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My Drive\UNDP\WPP\Reporting\PBF\WPP PBF semi-annual June 24\"/>
    </mc:Choice>
  </mc:AlternateContent>
  <xr:revisionPtr revIDLastSave="0" documentId="13_ncr:1_{A522D562-B255-4E19-8068-B616CC0630AA}" xr6:coauthVersionLast="47" xr6:coauthVersionMax="47" xr10:uidLastSave="{00000000-0000-0000-0000-000000000000}"/>
  <bookViews>
    <workbookView xWindow="-110" yWindow="-110" windowWidth="19420" windowHeight="10300" activeTab="2" xr2:uid="{163B4FE6-8EBE-4C39-8488-738AF691E0E5}"/>
  </bookViews>
  <sheets>
    <sheet name="1) Budget Table Report" sheetId="1" r:id="rId1"/>
    <sheet name="UNDP Report by UNDG Cat" sheetId="10" r:id="rId2"/>
    <sheet name="UNWomen Report by UNDG Category" sheetId="11" r:id="rId3"/>
    <sheet name="2) By Category PBF" sheetId="4" r:id="rId4"/>
    <sheet name="2) By Category MPTF" sheetId="5" r:id="rId5"/>
    <sheet name="UNDG Budget MPTF" sheetId="3" r:id="rId6"/>
    <sheet name="DPC MPTF total" sheetId="6" r:id="rId7"/>
    <sheet name="DPC MPTF UNWomen" sheetId="7" r:id="rId8"/>
    <sheet name="DPC MPTF UNDP" sheetId="8" r:id="rId9"/>
  </sheets>
  <definedNames>
    <definedName name="COA" localSheetId="2">#REF!</definedName>
    <definedName name="COA">#REF!</definedName>
    <definedName name="Comm_2005" localSheetId="2">#REF!</definedName>
    <definedName name="Comm_2005">#REF!</definedName>
    <definedName name="print" localSheetId="2">#REF!</definedName>
    <definedName name="print">#REF!</definedName>
    <definedName name="_xlnm.Print_Area" localSheetId="2">'UNWomen Report by UNDG Category'!$A$1:$K$28</definedName>
    <definedName name="XDO_?XDOFIELD1?">#REF!</definedName>
    <definedName name="XDO_?XDOFIELD10?">#REF!</definedName>
    <definedName name="XDO_?XDOFIELD100?">#REF!</definedName>
    <definedName name="XDO_?XDOFIELD101?">#REF!</definedName>
    <definedName name="XDO_?XDOFIELD102?">#REF!</definedName>
    <definedName name="XDO_?XDOFIELD11?">#REF!</definedName>
    <definedName name="XDO_?XDOFIELD12?">#REF!</definedName>
    <definedName name="XDO_?XDOFIELD13?">#REF!</definedName>
    <definedName name="XDO_?XDOFIELD14?">#REF!</definedName>
    <definedName name="XDO_?XDOFIELD15?">#REF!</definedName>
    <definedName name="XDO_?XDOFIELD16?">#REF!</definedName>
    <definedName name="XDO_?XDOFIELD17?">#REF!</definedName>
    <definedName name="XDO_?XDOFIELD18?">#REF!</definedName>
    <definedName name="XDO_?XDOFIELD19?">#REF!</definedName>
    <definedName name="XDO_?XDOFIELD2?">#REF!</definedName>
    <definedName name="XDO_?XDOFIELD20?">#REF!</definedName>
    <definedName name="XDO_?XDOFIELD21?">#REF!</definedName>
    <definedName name="XDO_?XDOFIELD22?">#REF!</definedName>
    <definedName name="XDO_?XDOFIELD23?">#REF!</definedName>
    <definedName name="XDO_?XDOFIELD24?">#REF!</definedName>
    <definedName name="XDO_?XDOFIELD25?">#REF!</definedName>
    <definedName name="XDO_?XDOFIELD26?">#REF!</definedName>
    <definedName name="XDO_?XDOFIELD27?">#REF!</definedName>
    <definedName name="XDO_?XDOFIELD28?">#REF!</definedName>
    <definedName name="XDO_?XDOFIELD29?">#REF!</definedName>
    <definedName name="XDO_?XDOFIELD3?">#REF!</definedName>
    <definedName name="XDO_?XDOFIELD30?">#REF!</definedName>
    <definedName name="XDO_?XDOFIELD31?">#REF!</definedName>
    <definedName name="XDO_?XDOFIELD32?">#REF!</definedName>
    <definedName name="XDO_?XDOFIELD33?">#REF!</definedName>
    <definedName name="XDO_?XDOFIELD34?">#REF!</definedName>
    <definedName name="XDO_?XDOFIELD35?">#REF!</definedName>
    <definedName name="XDO_?XDOFIELD36?">#REF!</definedName>
    <definedName name="XDO_?XDOFIELD37?">#REF!</definedName>
    <definedName name="XDO_?XDOFIELD38?">#REF!</definedName>
    <definedName name="XDO_?XDOFIELD39?">#REF!</definedName>
    <definedName name="XDO_?XDOFIELD4?">#REF!</definedName>
    <definedName name="XDO_?XDOFIELD40?">#REF!</definedName>
    <definedName name="XDO_?XDOFIELD42?">#REF!</definedName>
    <definedName name="XDO_?XDOFIELD43?">#REF!</definedName>
    <definedName name="XDO_?XDOFIELD44?">#REF!</definedName>
    <definedName name="XDO_?XDOFIELD45?">#REF!</definedName>
    <definedName name="XDO_?XDOFIELD46?">#REF!</definedName>
    <definedName name="XDO_?XDOFIELD47?">#REF!</definedName>
    <definedName name="XDO_?XDOFIELD48?">#REF!</definedName>
    <definedName name="XDO_?XDOFIELD49?">#REF!</definedName>
    <definedName name="XDO_?XDOFIELD5?">#REF!</definedName>
    <definedName name="XDO_?XDOFIELD50?">#REF!</definedName>
    <definedName name="XDO_?XDOFIELD51?">#REF!</definedName>
    <definedName name="XDO_?XDOFIELD52?">#REF!</definedName>
    <definedName name="XDO_?XDOFIELD53?">#REF!</definedName>
    <definedName name="XDO_?XDOFIELD54?">#REF!</definedName>
    <definedName name="XDO_?XDOFIELD55?">#REF!</definedName>
    <definedName name="XDO_?XDOFIELD56?">#REF!</definedName>
    <definedName name="XDO_?XDOFIELD57?">#REF!</definedName>
    <definedName name="XDO_?XDOFIELD58?">#REF!</definedName>
    <definedName name="XDO_?XDOFIELD6?">#REF!</definedName>
    <definedName name="XDO_?XDOFIELD61?">#REF!</definedName>
    <definedName name="XDO_?XDOFIELD64?">#REF!</definedName>
    <definedName name="XDO_?XDOFIELD67?">#REF!</definedName>
    <definedName name="XDO_?XDOFIELD7?">#REF!</definedName>
    <definedName name="XDO_?XDOFIELD70?">#REF!</definedName>
    <definedName name="XDO_?XDOFIELD71?">#REF!</definedName>
    <definedName name="XDO_?XDOFIELD72?">#REF!</definedName>
    <definedName name="XDO_?XDOFIELD73?">#REF!</definedName>
    <definedName name="XDO_?XDOFIELD74?">#REF!</definedName>
    <definedName name="XDO_?XDOFIELD75?">#REF!</definedName>
    <definedName name="XDO_?XDOFIELD76?">#REF!</definedName>
    <definedName name="XDO_?XDOFIELD77?">#REF!</definedName>
    <definedName name="XDO_?XDOFIELD78?">#REF!</definedName>
    <definedName name="XDO_?XDOFIELD79?">#REF!</definedName>
    <definedName name="XDO_?XDOFIELD8?">#REF!</definedName>
    <definedName name="XDO_?XDOFIELD80?">#REF!</definedName>
    <definedName name="XDO_?XDOFIELD81?">#REF!</definedName>
    <definedName name="XDO_?XDOFIELD82?">#REF!</definedName>
    <definedName name="XDO_?XDOFIELD83?">#REF!</definedName>
    <definedName name="XDO_?XDOFIELD84?">#REF!</definedName>
    <definedName name="XDO_?XDOFIELD9?">#REF!</definedName>
    <definedName name="XDO_?XDOFIELD90?">#REF!</definedName>
    <definedName name="XDO_?XDOFIELD91?">#REF!</definedName>
    <definedName name="XDO_?XDOFIELD92?">#REF!</definedName>
    <definedName name="XDO_?XDOFIELD93?">#REF!</definedName>
    <definedName name="XDO_?XDOFIELD96?">#REF!</definedName>
    <definedName name="XDO_?XDOFIELD98?">#REF!</definedName>
    <definedName name="XDO_?XDOFIELD99?">#REF!</definedName>
    <definedName name="XDO_GROUP_?XDOG1?">#REF!</definedName>
  </definedNames>
  <calcPr calcId="191028"/>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1" l="1"/>
  <c r="I24" i="11" s="1"/>
  <c r="H23" i="11"/>
  <c r="G23" i="11"/>
  <c r="E23" i="11"/>
  <c r="D23" i="11"/>
  <c r="D24" i="11" s="1"/>
  <c r="D25" i="11" s="1"/>
  <c r="C23" i="11"/>
  <c r="C25" i="11" s="1"/>
  <c r="F22" i="11"/>
  <c r="J22" i="11" s="1"/>
  <c r="K22" i="11" s="1"/>
  <c r="F21" i="11"/>
  <c r="J21" i="11" s="1"/>
  <c r="K21" i="11" s="1"/>
  <c r="F20" i="11"/>
  <c r="J20" i="11" s="1"/>
  <c r="K20" i="11" s="1"/>
  <c r="F19" i="11"/>
  <c r="J19" i="11" s="1"/>
  <c r="K19" i="11" s="1"/>
  <c r="J18" i="11"/>
  <c r="K18" i="11" s="1"/>
  <c r="F18" i="11"/>
  <c r="F17" i="11"/>
  <c r="J17" i="11" s="1"/>
  <c r="K17" i="11" s="1"/>
  <c r="J16" i="11"/>
  <c r="F16" i="11"/>
  <c r="F23" i="11" s="1"/>
  <c r="M91" i="1"/>
  <c r="M88" i="1"/>
  <c r="M79" i="1"/>
  <c r="M78" i="1"/>
  <c r="M70" i="1"/>
  <c r="M77" i="1"/>
  <c r="F93" i="1"/>
  <c r="I12" i="1"/>
  <c r="I13" i="1"/>
  <c r="I15" i="1"/>
  <c r="F24" i="11" l="1"/>
  <c r="F25" i="11" s="1"/>
  <c r="J23" i="11"/>
  <c r="H25" i="11"/>
  <c r="E24" i="11"/>
  <c r="E25" i="11" s="1"/>
  <c r="I25" i="11"/>
  <c r="G24" i="11"/>
  <c r="G25" i="11" s="1"/>
  <c r="K16" i="11"/>
  <c r="H24" i="11"/>
  <c r="J24" i="11" l="1"/>
  <c r="K24" i="11" s="1"/>
  <c r="K23" i="11"/>
  <c r="J25" i="11" l="1"/>
  <c r="K25" i="11" s="1"/>
  <c r="C14" i="10" l="1"/>
  <c r="C13" i="10"/>
  <c r="C12" i="10"/>
  <c r="C11" i="10"/>
  <c r="C10" i="10"/>
  <c r="C9" i="10"/>
  <c r="C8" i="10"/>
  <c r="C7" i="10"/>
  <c r="C6" i="10"/>
  <c r="C15" i="10" l="1"/>
  <c r="E11" i="10"/>
  <c r="L77" i="1" l="1"/>
  <c r="L61" i="1"/>
  <c r="L48" i="1"/>
  <c r="L36" i="1"/>
  <c r="L30" i="1"/>
  <c r="L21" i="1"/>
  <c r="L16" i="1"/>
  <c r="L68" i="1" l="1"/>
  <c r="L69" i="1" s="1"/>
  <c r="L37" i="1"/>
  <c r="L38" i="1" s="1"/>
  <c r="L88" i="1" l="1"/>
  <c r="L91" i="1" s="1"/>
  <c r="L70" i="1"/>
  <c r="L78" i="1" s="1"/>
  <c r="L79" i="1" s="1"/>
  <c r="C16" i="1"/>
  <c r="D16" i="1"/>
  <c r="E16" i="1"/>
  <c r="C21" i="1"/>
  <c r="D21" i="1"/>
  <c r="E21" i="1"/>
  <c r="C30" i="1"/>
  <c r="D30" i="1"/>
  <c r="E30" i="1"/>
  <c r="C36" i="1"/>
  <c r="D36" i="1"/>
  <c r="E37" i="1"/>
  <c r="C48" i="1"/>
  <c r="D48" i="1"/>
  <c r="E48" i="1"/>
  <c r="C54" i="1"/>
  <c r="D54" i="1"/>
  <c r="E54" i="1"/>
  <c r="C61" i="1"/>
  <c r="E61" i="1"/>
  <c r="C67" i="1"/>
  <c r="D67" i="1"/>
  <c r="E67" i="1"/>
  <c r="C77" i="1"/>
  <c r="D77" i="1"/>
  <c r="E77" i="1"/>
  <c r="D79" i="1"/>
  <c r="C86" i="1"/>
  <c r="D86" i="1"/>
  <c r="E86" i="1"/>
  <c r="C97" i="1"/>
  <c r="D97" i="1"/>
  <c r="E97" i="1"/>
  <c r="E99" i="1"/>
  <c r="E100" i="1"/>
  <c r="E101" i="1"/>
  <c r="E223" i="4"/>
  <c r="D37" i="1" l="1"/>
  <c r="D38" i="1" s="1"/>
  <c r="E102" i="1"/>
  <c r="C37" i="1"/>
  <c r="C38" i="1" s="1"/>
  <c r="C68" i="1"/>
  <c r="C69" i="1" s="1"/>
  <c r="D68" i="1"/>
  <c r="D69" i="1" s="1"/>
  <c r="B35" i="8"/>
  <c r="J39" i="8" s="1"/>
  <c r="J40" i="8" s="1"/>
  <c r="B14" i="8"/>
  <c r="J39" i="7"/>
  <c r="J40" i="7" s="1"/>
  <c r="B35" i="7"/>
  <c r="B14" i="7"/>
  <c r="B35" i="6"/>
  <c r="B14" i="6"/>
  <c r="C70" i="1" l="1"/>
  <c r="C88" i="1" s="1"/>
  <c r="C89" i="1" s="1"/>
  <c r="C91" i="1" s="1"/>
  <c r="C99" i="1" s="1"/>
  <c r="D70" i="1"/>
  <c r="D88" i="1" s="1"/>
  <c r="D89" i="1" s="1"/>
  <c r="D91" i="1" s="1"/>
  <c r="D100" i="1" s="1"/>
  <c r="C101" i="1"/>
  <c r="C100" i="1"/>
  <c r="J41" i="8"/>
  <c r="J42" i="8" s="1"/>
  <c r="C26" i="8" s="1"/>
  <c r="J42" i="7"/>
  <c r="C26" i="7" s="1"/>
  <c r="J41" i="7"/>
  <c r="J39" i="6"/>
  <c r="J40" i="6" s="1"/>
  <c r="C93" i="1" l="1"/>
  <c r="D93" i="1"/>
  <c r="C102" i="1"/>
  <c r="D99" i="1"/>
  <c r="D101" i="1"/>
  <c r="C27" i="8"/>
  <c r="C28" i="8" s="1"/>
  <c r="C27" i="7"/>
  <c r="J41" i="6"/>
  <c r="J42" i="6" s="1"/>
  <c r="C26" i="6" s="1"/>
  <c r="D102" i="1" l="1"/>
  <c r="C34" i="8"/>
  <c r="E28" i="8"/>
  <c r="F28" i="8" s="1"/>
  <c r="C32" i="8"/>
  <c r="C33" i="8"/>
  <c r="C30" i="8"/>
  <c r="E29" i="8"/>
  <c r="C31" i="8"/>
  <c r="C28" i="7"/>
  <c r="C27" i="6"/>
  <c r="C35" i="8" l="1"/>
  <c r="C34" i="7"/>
  <c r="C32" i="7"/>
  <c r="E28" i="7"/>
  <c r="F28" i="7" s="1"/>
  <c r="C30" i="7"/>
  <c r="C33" i="7"/>
  <c r="E29" i="7"/>
  <c r="C31" i="7"/>
  <c r="C28" i="6"/>
  <c r="C38" i="8" l="1"/>
  <c r="C37" i="8"/>
  <c r="C39" i="8" s="1"/>
  <c r="E39" i="8" s="1"/>
  <c r="C41" i="8"/>
  <c r="C35" i="7"/>
  <c r="C33" i="6"/>
  <c r="E29" i="6"/>
  <c r="E28" i="6"/>
  <c r="F28" i="6" s="1"/>
  <c r="C31" i="6"/>
  <c r="C34" i="6"/>
  <c r="C32" i="6"/>
  <c r="C30" i="6"/>
  <c r="C38" i="7" l="1"/>
  <c r="C37" i="7"/>
  <c r="C39" i="7" s="1"/>
  <c r="C41" i="7"/>
  <c r="C35" i="6"/>
  <c r="E39" i="7" l="1"/>
  <c r="C37" i="6"/>
  <c r="C38" i="6"/>
  <c r="C41" i="6"/>
  <c r="C39" i="6" l="1"/>
  <c r="E39" i="6" s="1"/>
  <c r="Q54" i="1" l="1"/>
  <c r="Q35" i="1"/>
  <c r="Q36" i="1" s="1"/>
  <c r="G77" i="1"/>
  <c r="J52" i="1"/>
  <c r="J53" i="1"/>
  <c r="J51" i="1"/>
  <c r="H43" i="1"/>
  <c r="I43" i="1" s="1"/>
  <c r="H44" i="1"/>
  <c r="J44" i="1" s="1"/>
  <c r="H45" i="1"/>
  <c r="J45" i="1" s="1"/>
  <c r="H46" i="1"/>
  <c r="J46" i="1" s="1"/>
  <c r="H47" i="1"/>
  <c r="J47" i="1" s="1"/>
  <c r="H42" i="1"/>
  <c r="J42" i="1" s="1"/>
  <c r="H33" i="1"/>
  <c r="I33" i="1" s="1"/>
  <c r="H34" i="1"/>
  <c r="I34" i="1" s="1"/>
  <c r="H32" i="1"/>
  <c r="I32" i="1" s="1"/>
  <c r="I25" i="1"/>
  <c r="I27" i="1"/>
  <c r="I28" i="1"/>
  <c r="H26" i="1"/>
  <c r="H30" i="1" s="1"/>
  <c r="H15" i="1"/>
  <c r="H12" i="1"/>
  <c r="H13" i="1"/>
  <c r="G67" i="1"/>
  <c r="G61" i="1"/>
  <c r="G54" i="1"/>
  <c r="G48" i="1"/>
  <c r="G36" i="1"/>
  <c r="G30" i="1"/>
  <c r="G21" i="1"/>
  <c r="G16" i="1"/>
  <c r="H21" i="1"/>
  <c r="H54" i="1"/>
  <c r="H61" i="1"/>
  <c r="H67" i="1"/>
  <c r="H77" i="1"/>
  <c r="G68" i="1" l="1"/>
  <c r="G69" i="1" s="1"/>
  <c r="G37" i="1"/>
  <c r="G38" i="1" s="1"/>
  <c r="H36" i="1"/>
  <c r="Q16" i="1"/>
  <c r="H48" i="1"/>
  <c r="H68" i="1" s="1"/>
  <c r="H69" i="1" s="1"/>
  <c r="H16" i="1"/>
  <c r="H71" i="1"/>
  <c r="F218" i="5"/>
  <c r="F217" i="5"/>
  <c r="F216" i="5"/>
  <c r="F215" i="5"/>
  <c r="F214" i="5"/>
  <c r="F213" i="5"/>
  <c r="F212" i="5"/>
  <c r="F219" i="5" s="1"/>
  <c r="F210" i="5"/>
  <c r="F207" i="5"/>
  <c r="E207" i="5"/>
  <c r="D207" i="5"/>
  <c r="G207" i="5" s="1"/>
  <c r="G206" i="5"/>
  <c r="G205" i="5"/>
  <c r="G204" i="5"/>
  <c r="G203" i="5"/>
  <c r="G202" i="5"/>
  <c r="G201" i="5"/>
  <c r="G200" i="5"/>
  <c r="G199" i="5"/>
  <c r="F199" i="5"/>
  <c r="E199" i="5"/>
  <c r="D199" i="5"/>
  <c r="F196" i="5"/>
  <c r="E196" i="5"/>
  <c r="D196" i="5"/>
  <c r="G196" i="5" s="1"/>
  <c r="G195" i="5"/>
  <c r="G194" i="5"/>
  <c r="G193" i="5"/>
  <c r="G192" i="5"/>
  <c r="G191" i="5"/>
  <c r="G190" i="5"/>
  <c r="G189" i="5"/>
  <c r="G188" i="5"/>
  <c r="F188" i="5"/>
  <c r="E188" i="5"/>
  <c r="D188" i="5"/>
  <c r="F185" i="5"/>
  <c r="E185" i="5"/>
  <c r="D185" i="5"/>
  <c r="G185" i="5" s="1"/>
  <c r="G184" i="5"/>
  <c r="G183" i="5"/>
  <c r="G182" i="5"/>
  <c r="G181" i="5"/>
  <c r="G180" i="5"/>
  <c r="G179" i="5"/>
  <c r="G178" i="5"/>
  <c r="G177" i="5"/>
  <c r="F177" i="5"/>
  <c r="E177" i="5"/>
  <c r="D177" i="5"/>
  <c r="F174" i="5"/>
  <c r="E174" i="5"/>
  <c r="D174" i="5"/>
  <c r="G174" i="5" s="1"/>
  <c r="G173" i="5"/>
  <c r="G172" i="5"/>
  <c r="G171" i="5"/>
  <c r="G170" i="5"/>
  <c r="G169" i="5"/>
  <c r="G168" i="5"/>
  <c r="G167" i="5"/>
  <c r="F166" i="5"/>
  <c r="E166" i="5"/>
  <c r="D166" i="5"/>
  <c r="G166" i="5" s="1"/>
  <c r="F163" i="5"/>
  <c r="E163" i="5"/>
  <c r="D163" i="5"/>
  <c r="G163" i="5" s="1"/>
  <c r="G162" i="5"/>
  <c r="G161" i="5"/>
  <c r="G160" i="5"/>
  <c r="G159" i="5"/>
  <c r="G158" i="5"/>
  <c r="G157" i="5"/>
  <c r="G156" i="5"/>
  <c r="F155" i="5"/>
  <c r="E155" i="5"/>
  <c r="D155" i="5"/>
  <c r="G155" i="5" s="1"/>
  <c r="G151" i="5"/>
  <c r="F151" i="5"/>
  <c r="E151" i="5"/>
  <c r="D151" i="5"/>
  <c r="G150" i="5"/>
  <c r="G149" i="5"/>
  <c r="G148" i="5"/>
  <c r="G147" i="5"/>
  <c r="G146" i="5"/>
  <c r="G145" i="5"/>
  <c r="G144" i="5"/>
  <c r="F143" i="5"/>
  <c r="E143" i="5"/>
  <c r="D143" i="5"/>
  <c r="G143" i="5" s="1"/>
  <c r="F140" i="5"/>
  <c r="G140" i="5" s="1"/>
  <c r="E140" i="5"/>
  <c r="D140" i="5"/>
  <c r="G139" i="5"/>
  <c r="G138" i="5"/>
  <c r="G137" i="5"/>
  <c r="G136" i="5"/>
  <c r="G135" i="5"/>
  <c r="G134" i="5"/>
  <c r="G133" i="5"/>
  <c r="F132" i="5"/>
  <c r="E132" i="5"/>
  <c r="D132" i="5"/>
  <c r="G132" i="5" s="1"/>
  <c r="G129" i="5"/>
  <c r="F129" i="5"/>
  <c r="E129" i="5"/>
  <c r="D129" i="5"/>
  <c r="G128" i="5"/>
  <c r="G127" i="5"/>
  <c r="G126" i="5"/>
  <c r="G125" i="5"/>
  <c r="G124" i="5"/>
  <c r="G123" i="5"/>
  <c r="G122" i="5"/>
  <c r="G121" i="5"/>
  <c r="F121" i="5"/>
  <c r="E121" i="5"/>
  <c r="D121" i="5"/>
  <c r="F118" i="5"/>
  <c r="E118" i="5"/>
  <c r="D118" i="5"/>
  <c r="G118" i="5" s="1"/>
  <c r="G117" i="5"/>
  <c r="G116" i="5"/>
  <c r="G115" i="5"/>
  <c r="G114" i="5"/>
  <c r="G113" i="5"/>
  <c r="G112" i="5"/>
  <c r="G111" i="5"/>
  <c r="G110" i="5"/>
  <c r="F110" i="5"/>
  <c r="E110" i="5"/>
  <c r="D110" i="5"/>
  <c r="F105" i="5"/>
  <c r="G103" i="5"/>
  <c r="G102" i="5"/>
  <c r="G101" i="5"/>
  <c r="G100" i="5"/>
  <c r="G99" i="5"/>
  <c r="F97" i="5"/>
  <c r="F93" i="5"/>
  <c r="F85" i="5"/>
  <c r="F82" i="5"/>
  <c r="F74" i="5"/>
  <c r="F71" i="5"/>
  <c r="F63" i="5"/>
  <c r="F60" i="5"/>
  <c r="F52" i="5"/>
  <c r="F48" i="5"/>
  <c r="F40" i="5"/>
  <c r="F37" i="5"/>
  <c r="F29" i="5"/>
  <c r="F26" i="5"/>
  <c r="F18" i="5"/>
  <c r="I15" i="5"/>
  <c r="F15" i="5"/>
  <c r="F7" i="5"/>
  <c r="F219" i="4"/>
  <c r="F221" i="4" s="1"/>
  <c r="F218" i="4"/>
  <c r="F217" i="4"/>
  <c r="F216" i="4"/>
  <c r="F215" i="4"/>
  <c r="F214" i="4"/>
  <c r="F213" i="4"/>
  <c r="F212" i="4"/>
  <c r="F210" i="4"/>
  <c r="F207" i="4"/>
  <c r="E207" i="4"/>
  <c r="D207" i="4"/>
  <c r="G207" i="4" s="1"/>
  <c r="G206" i="4"/>
  <c r="G205" i="4"/>
  <c r="G204" i="4"/>
  <c r="G203" i="4"/>
  <c r="G202" i="4"/>
  <c r="G201" i="4"/>
  <c r="G200" i="4"/>
  <c r="F199" i="4"/>
  <c r="E199" i="4"/>
  <c r="D199" i="4"/>
  <c r="G199" i="4" s="1"/>
  <c r="G196" i="4"/>
  <c r="F196" i="4"/>
  <c r="E196" i="4"/>
  <c r="D196" i="4"/>
  <c r="G195" i="4"/>
  <c r="G194" i="4"/>
  <c r="G193" i="4"/>
  <c r="G192" i="4"/>
  <c r="G191" i="4"/>
  <c r="G190" i="4"/>
  <c r="G189" i="4"/>
  <c r="F188" i="4"/>
  <c r="E188" i="4"/>
  <c r="D188" i="4"/>
  <c r="G188" i="4" s="1"/>
  <c r="F185" i="4"/>
  <c r="G185" i="4" s="1"/>
  <c r="E185" i="4"/>
  <c r="D185" i="4"/>
  <c r="G184" i="4"/>
  <c r="G183" i="4"/>
  <c r="G182" i="4"/>
  <c r="G181" i="4"/>
  <c r="G180" i="4"/>
  <c r="G179" i="4"/>
  <c r="G178" i="4"/>
  <c r="F177" i="4"/>
  <c r="E177" i="4"/>
  <c r="D177" i="4"/>
  <c r="G177" i="4" s="1"/>
  <c r="G174" i="4"/>
  <c r="F174" i="4"/>
  <c r="E174" i="4"/>
  <c r="D174" i="4"/>
  <c r="G173" i="4"/>
  <c r="G172" i="4"/>
  <c r="G171" i="4"/>
  <c r="G170" i="4"/>
  <c r="G169" i="4"/>
  <c r="G168" i="4"/>
  <c r="G167" i="4"/>
  <c r="F166" i="4"/>
  <c r="E166" i="4"/>
  <c r="D166" i="4"/>
  <c r="G166" i="4" s="1"/>
  <c r="F163" i="4"/>
  <c r="E163" i="4"/>
  <c r="D163" i="4"/>
  <c r="G163" i="4" s="1"/>
  <c r="G162" i="4"/>
  <c r="G161" i="4"/>
  <c r="G160" i="4"/>
  <c r="G159" i="4"/>
  <c r="G158" i="4"/>
  <c r="G157" i="4"/>
  <c r="G156" i="4"/>
  <c r="G155" i="4"/>
  <c r="F155" i="4"/>
  <c r="E155" i="4"/>
  <c r="D155" i="4"/>
  <c r="F151" i="4"/>
  <c r="E151" i="4"/>
  <c r="D151" i="4"/>
  <c r="G151" i="4" s="1"/>
  <c r="G150" i="4"/>
  <c r="G149" i="4"/>
  <c r="G148" i="4"/>
  <c r="G147" i="4"/>
  <c r="G146" i="4"/>
  <c r="G145" i="4"/>
  <c r="G144" i="4"/>
  <c r="G143" i="4"/>
  <c r="F143" i="4"/>
  <c r="E143" i="4"/>
  <c r="D143" i="4"/>
  <c r="F140" i="4"/>
  <c r="E140" i="4"/>
  <c r="D140" i="4"/>
  <c r="G140" i="4" s="1"/>
  <c r="G139" i="4"/>
  <c r="G138" i="4"/>
  <c r="G137" i="4"/>
  <c r="G136" i="4"/>
  <c r="G135" i="4"/>
  <c r="G134" i="4"/>
  <c r="G133" i="4"/>
  <c r="G132" i="4"/>
  <c r="F132" i="4"/>
  <c r="E132" i="4"/>
  <c r="D132" i="4"/>
  <c r="F129" i="4"/>
  <c r="E129" i="4"/>
  <c r="D129" i="4"/>
  <c r="G129" i="4" s="1"/>
  <c r="G128" i="4"/>
  <c r="G127" i="4"/>
  <c r="G126" i="4"/>
  <c r="G125" i="4"/>
  <c r="G124" i="4"/>
  <c r="G123" i="4"/>
  <c r="G122" i="4"/>
  <c r="F121" i="4"/>
  <c r="E121" i="4"/>
  <c r="D121" i="4"/>
  <c r="G121" i="4" s="1"/>
  <c r="F118" i="4"/>
  <c r="E118" i="4"/>
  <c r="D118" i="4"/>
  <c r="G118" i="4" s="1"/>
  <c r="G117" i="4"/>
  <c r="G116" i="4"/>
  <c r="G115" i="4"/>
  <c r="G114" i="4"/>
  <c r="G113" i="4"/>
  <c r="G112" i="4"/>
  <c r="G111" i="4"/>
  <c r="F110" i="4"/>
  <c r="E110" i="4"/>
  <c r="D110" i="4"/>
  <c r="G110" i="4" s="1"/>
  <c r="F105" i="4"/>
  <c r="G103" i="4"/>
  <c r="G102" i="4"/>
  <c r="G101" i="4"/>
  <c r="G100" i="4"/>
  <c r="G99" i="4"/>
  <c r="G98" i="4"/>
  <c r="F97" i="4"/>
  <c r="E104" i="4"/>
  <c r="E105" i="4" s="1"/>
  <c r="F93" i="4"/>
  <c r="F85" i="4"/>
  <c r="E91" i="4"/>
  <c r="D86" i="4"/>
  <c r="F82" i="4"/>
  <c r="F74" i="4"/>
  <c r="E79" i="4"/>
  <c r="D79" i="4"/>
  <c r="F71" i="4"/>
  <c r="F63" i="4"/>
  <c r="E65" i="4"/>
  <c r="D68" i="4"/>
  <c r="F60" i="4"/>
  <c r="F52" i="4"/>
  <c r="E58" i="4"/>
  <c r="D53" i="4"/>
  <c r="F48" i="4"/>
  <c r="D44" i="4"/>
  <c r="D42" i="4"/>
  <c r="F40" i="4"/>
  <c r="E46" i="4"/>
  <c r="D41" i="4"/>
  <c r="F37" i="4"/>
  <c r="F29" i="4"/>
  <c r="E34" i="4"/>
  <c r="D34" i="4"/>
  <c r="F26" i="4"/>
  <c r="F18" i="4"/>
  <c r="E20" i="4"/>
  <c r="D23" i="4"/>
  <c r="I15" i="4"/>
  <c r="F15" i="4"/>
  <c r="E12" i="4"/>
  <c r="F7" i="4"/>
  <c r="E13" i="4"/>
  <c r="Q69" i="1" l="1"/>
  <c r="H37" i="1"/>
  <c r="H38" i="1" s="1"/>
  <c r="H70" i="1" s="1"/>
  <c r="H88" i="1" s="1"/>
  <c r="G70" i="1"/>
  <c r="G92" i="1" s="1"/>
  <c r="D77" i="4"/>
  <c r="D20" i="4"/>
  <c r="E56" i="4"/>
  <c r="E14" i="4"/>
  <c r="G97" i="4"/>
  <c r="E32" i="4"/>
  <c r="E77" i="4"/>
  <c r="G77" i="4" s="1"/>
  <c r="E33" i="4"/>
  <c r="D65" i="4"/>
  <c r="G65" i="4" s="1"/>
  <c r="E11" i="4"/>
  <c r="E86" i="4"/>
  <c r="D87" i="4"/>
  <c r="E35" i="4"/>
  <c r="G20" i="4"/>
  <c r="D30" i="4"/>
  <c r="D54" i="4"/>
  <c r="D75" i="4"/>
  <c r="E80" i="4"/>
  <c r="D89" i="4"/>
  <c r="E41" i="4"/>
  <c r="G41" i="4" s="1"/>
  <c r="D59" i="4"/>
  <c r="D35" i="4"/>
  <c r="E59" i="4"/>
  <c r="D78" i="4"/>
  <c r="E78" i="4"/>
  <c r="G29" i="4"/>
  <c r="D36" i="4"/>
  <c r="E44" i="4"/>
  <c r="G44" i="4" s="1"/>
  <c r="E53" i="4"/>
  <c r="G74" i="4"/>
  <c r="D80" i="4"/>
  <c r="E8" i="4"/>
  <c r="E9" i="4"/>
  <c r="D32" i="4"/>
  <c r="D47" i="4"/>
  <c r="D56" i="4"/>
  <c r="G56" i="4" s="1"/>
  <c r="E75" i="4"/>
  <c r="D81" i="4"/>
  <c r="E89" i="4"/>
  <c r="E47" i="4"/>
  <c r="D92" i="4"/>
  <c r="E92" i="4"/>
  <c r="F221" i="5"/>
  <c r="F220" i="5"/>
  <c r="G34" i="4"/>
  <c r="G53" i="4"/>
  <c r="G79" i="4"/>
  <c r="D21" i="4"/>
  <c r="E30" i="4"/>
  <c r="D33" i="4"/>
  <c r="E42" i="4"/>
  <c r="D45" i="4"/>
  <c r="E54" i="4"/>
  <c r="D57" i="4"/>
  <c r="D66" i="4"/>
  <c r="E87" i="4"/>
  <c r="D90" i="4"/>
  <c r="E21" i="4"/>
  <c r="E45" i="4"/>
  <c r="G63" i="4"/>
  <c r="E66" i="4"/>
  <c r="D69" i="4"/>
  <c r="E90" i="4"/>
  <c r="H105" i="4"/>
  <c r="I105" i="4" s="1"/>
  <c r="G42" i="4"/>
  <c r="E57" i="4"/>
  <c r="D19" i="4"/>
  <c r="E24" i="4"/>
  <c r="D31" i="4"/>
  <c r="E36" i="4"/>
  <c r="G36" i="4" s="1"/>
  <c r="D43" i="4"/>
  <c r="D55" i="4"/>
  <c r="D64" i="4"/>
  <c r="E69" i="4"/>
  <c r="D76" i="4"/>
  <c r="E81" i="4"/>
  <c r="D88" i="4"/>
  <c r="D104" i="4"/>
  <c r="F220" i="4"/>
  <c r="G18" i="4"/>
  <c r="E19" i="4"/>
  <c r="D22" i="4"/>
  <c r="E31" i="4"/>
  <c r="G40" i="4"/>
  <c r="E43" i="4"/>
  <c r="D46" i="4"/>
  <c r="G52" i="4"/>
  <c r="E55" i="4"/>
  <c r="D58" i="4"/>
  <c r="G58" i="4" s="1"/>
  <c r="E64" i="4"/>
  <c r="D67" i="4"/>
  <c r="E76" i="4"/>
  <c r="G85" i="4"/>
  <c r="E88" i="4"/>
  <c r="D91" i="4"/>
  <c r="G91" i="4" s="1"/>
  <c r="E23" i="4"/>
  <c r="G23" i="4" s="1"/>
  <c r="E68" i="4"/>
  <c r="G68" i="4" s="1"/>
  <c r="D24" i="4"/>
  <c r="E10" i="4"/>
  <c r="E22" i="4"/>
  <c r="D25" i="4"/>
  <c r="E67" i="4"/>
  <c r="D70" i="4"/>
  <c r="E25" i="4"/>
  <c r="E70" i="4"/>
  <c r="D93" i="4" l="1"/>
  <c r="G30" i="4"/>
  <c r="G87" i="4"/>
  <c r="G32" i="4"/>
  <c r="G54" i="4"/>
  <c r="G69" i="4"/>
  <c r="J15" i="6"/>
  <c r="G66" i="4"/>
  <c r="G35" i="4"/>
  <c r="E215" i="4"/>
  <c r="E60" i="4"/>
  <c r="G67" i="4"/>
  <c r="E93" i="4"/>
  <c r="G33" i="4"/>
  <c r="G75" i="4"/>
  <c r="G24" i="4"/>
  <c r="G80" i="4"/>
  <c r="E71" i="4"/>
  <c r="G86" i="4"/>
  <c r="E217" i="4"/>
  <c r="G92" i="4"/>
  <c r="E15" i="4"/>
  <c r="G22" i="4"/>
  <c r="G59" i="4"/>
  <c r="G76" i="4"/>
  <c r="G78" i="4"/>
  <c r="E218" i="4"/>
  <c r="G47" i="4"/>
  <c r="G89" i="4"/>
  <c r="E26" i="4"/>
  <c r="G19" i="4"/>
  <c r="D26" i="4"/>
  <c r="G57" i="4"/>
  <c r="D82" i="4"/>
  <c r="G70" i="4"/>
  <c r="E216" i="4"/>
  <c r="G45" i="4"/>
  <c r="D37" i="4"/>
  <c r="G64" i="4"/>
  <c r="D71" i="4"/>
  <c r="G71" i="4" s="1"/>
  <c r="G46" i="4"/>
  <c r="G55" i="4"/>
  <c r="E212" i="4"/>
  <c r="E213" i="4"/>
  <c r="D60" i="4"/>
  <c r="G81" i="4"/>
  <c r="G25" i="4"/>
  <c r="E214" i="4"/>
  <c r="G43" i="4"/>
  <c r="E82" i="4"/>
  <c r="E94" i="4" s="1"/>
  <c r="D105" i="4"/>
  <c r="G104" i="4"/>
  <c r="G105" i="4" s="1"/>
  <c r="G90" i="4"/>
  <c r="E37" i="4"/>
  <c r="E48" i="4"/>
  <c r="D48" i="4"/>
  <c r="G88" i="4"/>
  <c r="G31" i="4"/>
  <c r="G21" i="4"/>
  <c r="J16" i="6" l="1"/>
  <c r="J17" i="6" s="1"/>
  <c r="J18" i="6" s="1"/>
  <c r="J19" i="6" s="1"/>
  <c r="G93" i="4"/>
  <c r="E49" i="4"/>
  <c r="E106" i="4" s="1"/>
  <c r="G82" i="4"/>
  <c r="D94" i="4"/>
  <c r="G60" i="4"/>
  <c r="G37" i="4"/>
  <c r="G26" i="4"/>
  <c r="G48" i="4"/>
  <c r="E219" i="4"/>
  <c r="L18" i="6" l="1"/>
  <c r="J20" i="6"/>
  <c r="J21" i="6" s="1"/>
  <c r="K23" i="6"/>
  <c r="K24" i="6" s="1"/>
  <c r="C3" i="6"/>
  <c r="C5" i="6" s="1"/>
  <c r="C6" i="6" s="1"/>
  <c r="H60" i="4"/>
  <c r="G94" i="4"/>
  <c r="E220" i="4"/>
  <c r="E221" i="4" s="1"/>
  <c r="C7" i="6" l="1"/>
  <c r="H89" i="1"/>
  <c r="C9" i="6" l="1"/>
  <c r="C12" i="6"/>
  <c r="C13" i="6"/>
  <c r="C11" i="6"/>
  <c r="E7" i="6"/>
  <c r="F7" i="6" s="1"/>
  <c r="E8" i="6"/>
  <c r="C10" i="6"/>
  <c r="J77" i="1"/>
  <c r="I77" i="1"/>
  <c r="I67" i="1"/>
  <c r="D85" i="5" s="1"/>
  <c r="J64" i="1"/>
  <c r="J63" i="1"/>
  <c r="J61" i="1"/>
  <c r="E74" i="5" s="1"/>
  <c r="I57" i="1"/>
  <c r="I58" i="1"/>
  <c r="I59" i="1"/>
  <c r="I60" i="1"/>
  <c r="I56" i="1"/>
  <c r="I54" i="1"/>
  <c r="D63" i="5" s="1"/>
  <c r="I48" i="1"/>
  <c r="D52" i="5" s="1"/>
  <c r="J36" i="1"/>
  <c r="E40" i="5" s="1"/>
  <c r="J30" i="1"/>
  <c r="E29" i="5" s="1"/>
  <c r="I21" i="1"/>
  <c r="D18" i="5" s="1"/>
  <c r="K102" i="1"/>
  <c r="F76" i="1"/>
  <c r="F75" i="1"/>
  <c r="F74" i="1"/>
  <c r="F73" i="1"/>
  <c r="F66" i="1"/>
  <c r="F65" i="1"/>
  <c r="F64" i="1"/>
  <c r="F63" i="1"/>
  <c r="F60" i="1"/>
  <c r="F59" i="1"/>
  <c r="F58" i="1"/>
  <c r="F57" i="1"/>
  <c r="F56" i="1"/>
  <c r="F53" i="1"/>
  <c r="F52" i="1"/>
  <c r="F51" i="1"/>
  <c r="F50" i="1"/>
  <c r="F47" i="1"/>
  <c r="F46" i="1"/>
  <c r="F45" i="1"/>
  <c r="F44" i="1"/>
  <c r="F43" i="1"/>
  <c r="F42" i="1"/>
  <c r="F35" i="1"/>
  <c r="F34" i="1"/>
  <c r="F33" i="1"/>
  <c r="F32" i="1"/>
  <c r="F29" i="1"/>
  <c r="F28" i="1"/>
  <c r="F27" i="1"/>
  <c r="F26" i="1"/>
  <c r="F25" i="1"/>
  <c r="F24" i="1"/>
  <c r="F23" i="1"/>
  <c r="F20" i="1"/>
  <c r="F19" i="1"/>
  <c r="F18" i="1"/>
  <c r="F15" i="1"/>
  <c r="F14" i="1"/>
  <c r="F13" i="1"/>
  <c r="F12" i="1"/>
  <c r="F11" i="1"/>
  <c r="F10" i="1"/>
  <c r="F9" i="1"/>
  <c r="F8" i="1"/>
  <c r="F7" i="1"/>
  <c r="C107" i="1" l="1"/>
  <c r="E9" i="6"/>
  <c r="G9" i="6" s="1"/>
  <c r="H9" i="6" s="1"/>
  <c r="E33" i="6"/>
  <c r="E14" i="6"/>
  <c r="G14" i="6" s="1"/>
  <c r="H14" i="6" s="1"/>
  <c r="E11" i="6"/>
  <c r="G11" i="6" s="1"/>
  <c r="H11" i="6" s="1"/>
  <c r="E34" i="6"/>
  <c r="E12" i="6"/>
  <c r="G12" i="6" s="1"/>
  <c r="H12" i="6" s="1"/>
  <c r="E31" i="6"/>
  <c r="E35" i="6"/>
  <c r="E32" i="6"/>
  <c r="E10" i="6"/>
  <c r="G10" i="6" s="1"/>
  <c r="H10" i="6" s="1"/>
  <c r="E30" i="6"/>
  <c r="E13" i="6"/>
  <c r="G13" i="6" s="1"/>
  <c r="H13" i="6" s="1"/>
  <c r="C14" i="6"/>
  <c r="J67" i="1"/>
  <c r="E85" i="5" s="1"/>
  <c r="E89" i="5" s="1"/>
  <c r="D58" i="5"/>
  <c r="D56" i="5"/>
  <c r="D59" i="5"/>
  <c r="D55" i="5"/>
  <c r="D54" i="5"/>
  <c r="D53" i="5"/>
  <c r="D57" i="5"/>
  <c r="E78" i="5"/>
  <c r="E80" i="5"/>
  <c r="E76" i="5"/>
  <c r="E77" i="5"/>
  <c r="E81" i="5"/>
  <c r="E75" i="5"/>
  <c r="E79" i="5"/>
  <c r="D70" i="5"/>
  <c r="D67" i="5"/>
  <c r="D69" i="5"/>
  <c r="D68" i="5"/>
  <c r="D64" i="5"/>
  <c r="D66" i="5"/>
  <c r="D65" i="5"/>
  <c r="D92" i="5"/>
  <c r="D87" i="5"/>
  <c r="D91" i="5"/>
  <c r="D88" i="5"/>
  <c r="D86" i="5"/>
  <c r="D89" i="5"/>
  <c r="D90" i="5"/>
  <c r="D25" i="5"/>
  <c r="D23" i="5"/>
  <c r="D24" i="5"/>
  <c r="D22" i="5"/>
  <c r="D20" i="5"/>
  <c r="D21" i="5"/>
  <c r="D19" i="5"/>
  <c r="E35" i="5"/>
  <c r="E31" i="5"/>
  <c r="E33" i="5"/>
  <c r="E34" i="5"/>
  <c r="E32" i="5"/>
  <c r="E30" i="5"/>
  <c r="E36" i="5"/>
  <c r="E47" i="5"/>
  <c r="E43" i="5"/>
  <c r="E45" i="5"/>
  <c r="E46" i="5"/>
  <c r="E41" i="5"/>
  <c r="E44" i="5"/>
  <c r="E42" i="5"/>
  <c r="I36" i="1"/>
  <c r="D40" i="5" s="1"/>
  <c r="J48" i="1"/>
  <c r="E52" i="5" s="1"/>
  <c r="I30" i="1"/>
  <c r="D29" i="5" s="1"/>
  <c r="I61" i="1"/>
  <c r="I16" i="1"/>
  <c r="J54" i="1"/>
  <c r="E63" i="5" s="1"/>
  <c r="F21" i="1"/>
  <c r="K16" i="1"/>
  <c r="F54" i="1"/>
  <c r="K61" i="1"/>
  <c r="J21" i="1"/>
  <c r="E18" i="5" s="1"/>
  <c r="J16" i="1"/>
  <c r="E7" i="5" s="1"/>
  <c r="K21" i="1"/>
  <c r="F48" i="1"/>
  <c r="K48" i="1"/>
  <c r="K30" i="1"/>
  <c r="K54" i="1"/>
  <c r="F77" i="1"/>
  <c r="F61" i="1"/>
  <c r="F36" i="1"/>
  <c r="K67" i="1"/>
  <c r="F16" i="1"/>
  <c r="K36" i="1"/>
  <c r="F30" i="1"/>
  <c r="F67" i="1"/>
  <c r="G85" i="5" l="1"/>
  <c r="E88" i="5"/>
  <c r="G88" i="5" s="1"/>
  <c r="E92" i="5"/>
  <c r="G92" i="5" s="1"/>
  <c r="F13" i="6"/>
  <c r="F11" i="6"/>
  <c r="F9" i="6"/>
  <c r="G34" i="6"/>
  <c r="H34" i="6" s="1"/>
  <c r="F34" i="6"/>
  <c r="G33" i="6"/>
  <c r="H33" i="6" s="1"/>
  <c r="F33" i="6"/>
  <c r="G32" i="6"/>
  <c r="H32" i="6" s="1"/>
  <c r="F32" i="6"/>
  <c r="G30" i="6"/>
  <c r="H30" i="6" s="1"/>
  <c r="F30" i="6"/>
  <c r="G35" i="6"/>
  <c r="H35" i="6" s="1"/>
  <c r="F35" i="6"/>
  <c r="F10" i="6"/>
  <c r="F14" i="6"/>
  <c r="C16" i="6"/>
  <c r="C17" i="6"/>
  <c r="E20" i="6"/>
  <c r="C20" i="6"/>
  <c r="G31" i="6"/>
  <c r="H31" i="6" s="1"/>
  <c r="F31" i="6"/>
  <c r="F12" i="6"/>
  <c r="E86" i="5"/>
  <c r="G86" i="5" s="1"/>
  <c r="E91" i="5"/>
  <c r="G91" i="5" s="1"/>
  <c r="E87" i="5"/>
  <c r="G87" i="5" s="1"/>
  <c r="E90" i="5"/>
  <c r="G89" i="5"/>
  <c r="E55" i="5"/>
  <c r="G55" i="5" s="1"/>
  <c r="E59" i="5"/>
  <c r="G59" i="5" s="1"/>
  <c r="E54" i="5"/>
  <c r="G54" i="5" s="1"/>
  <c r="E57" i="5"/>
  <c r="G57" i="5" s="1"/>
  <c r="E53" i="5"/>
  <c r="G53" i="5" s="1"/>
  <c r="E56" i="5"/>
  <c r="G56" i="5" s="1"/>
  <c r="E58" i="5"/>
  <c r="G58" i="5" s="1"/>
  <c r="G52" i="5"/>
  <c r="G40" i="5"/>
  <c r="D47" i="5"/>
  <c r="G47" i="5" s="1"/>
  <c r="D46" i="5"/>
  <c r="G46" i="5" s="1"/>
  <c r="D44" i="5"/>
  <c r="G44" i="5" s="1"/>
  <c r="D42" i="5"/>
  <c r="G42" i="5" s="1"/>
  <c r="D41" i="5"/>
  <c r="D43" i="5"/>
  <c r="G43" i="5" s="1"/>
  <c r="D45" i="5"/>
  <c r="G45" i="5" s="1"/>
  <c r="E82" i="5"/>
  <c r="D60" i="5"/>
  <c r="D30" i="5"/>
  <c r="D36" i="5"/>
  <c r="G36" i="5" s="1"/>
  <c r="D32" i="5"/>
  <c r="G32" i="5" s="1"/>
  <c r="D34" i="5"/>
  <c r="G34" i="5" s="1"/>
  <c r="G29" i="5"/>
  <c r="D35" i="5"/>
  <c r="G35" i="5" s="1"/>
  <c r="D33" i="5"/>
  <c r="G33" i="5" s="1"/>
  <c r="D31" i="5"/>
  <c r="G31" i="5" s="1"/>
  <c r="E37" i="5"/>
  <c r="D26" i="5"/>
  <c r="D93" i="5"/>
  <c r="D71" i="5"/>
  <c r="E65" i="5"/>
  <c r="G65" i="5" s="1"/>
  <c r="E64" i="5"/>
  <c r="G64" i="5" s="1"/>
  <c r="E69" i="5"/>
  <c r="G69" i="5" s="1"/>
  <c r="E66" i="5"/>
  <c r="G66" i="5" s="1"/>
  <c r="E68" i="5"/>
  <c r="G68" i="5" s="1"/>
  <c r="E67" i="5"/>
  <c r="G67" i="5" s="1"/>
  <c r="E70" i="5"/>
  <c r="E48" i="5"/>
  <c r="I68" i="1"/>
  <c r="I69" i="1" s="1"/>
  <c r="D74" i="5"/>
  <c r="G63" i="5"/>
  <c r="I37" i="1"/>
  <c r="I38" i="1" s="1"/>
  <c r="D7" i="5"/>
  <c r="G7" i="5" s="1"/>
  <c r="E23" i="5"/>
  <c r="G23" i="5" s="1"/>
  <c r="G18" i="5"/>
  <c r="E19" i="5"/>
  <c r="E22" i="5"/>
  <c r="G22" i="5" s="1"/>
  <c r="E21" i="5"/>
  <c r="G21" i="5" s="1"/>
  <c r="E25" i="5"/>
  <c r="G25" i="5" s="1"/>
  <c r="E24" i="5"/>
  <c r="G24" i="5" s="1"/>
  <c r="E20" i="5"/>
  <c r="G20" i="5" s="1"/>
  <c r="E14" i="5"/>
  <c r="E9" i="5"/>
  <c r="E13" i="5"/>
  <c r="E10" i="5"/>
  <c r="E12" i="5"/>
  <c r="E11" i="5"/>
  <c r="E8" i="5"/>
  <c r="J68" i="1"/>
  <c r="J69" i="1" s="1"/>
  <c r="F68" i="1"/>
  <c r="F69" i="1" s="1"/>
  <c r="K37" i="1"/>
  <c r="K38" i="1" s="1"/>
  <c r="J37" i="1"/>
  <c r="J38" i="1" s="1"/>
  <c r="K68" i="1"/>
  <c r="K69" i="1" s="1"/>
  <c r="B69" i="1"/>
  <c r="F37" i="1"/>
  <c r="F92" i="1"/>
  <c r="E93" i="5" l="1"/>
  <c r="C18" i="6"/>
  <c r="E215" i="5"/>
  <c r="G90" i="5"/>
  <c r="G93" i="5" s="1"/>
  <c r="I70" i="1"/>
  <c r="I88" i="1" s="1"/>
  <c r="J15" i="7" s="1"/>
  <c r="E60" i="5"/>
  <c r="G60" i="5" s="1"/>
  <c r="E71" i="5"/>
  <c r="G71" i="5" s="1"/>
  <c r="G30" i="5"/>
  <c r="D37" i="5"/>
  <c r="G37" i="5" s="1"/>
  <c r="D75" i="5"/>
  <c r="G74" i="5"/>
  <c r="D76" i="5"/>
  <c r="G76" i="5" s="1"/>
  <c r="D80" i="5"/>
  <c r="G80" i="5" s="1"/>
  <c r="D81" i="5"/>
  <c r="G81" i="5" s="1"/>
  <c r="D79" i="5"/>
  <c r="G79" i="5" s="1"/>
  <c r="D78" i="5"/>
  <c r="G78" i="5" s="1"/>
  <c r="D77" i="5"/>
  <c r="G77" i="5" s="1"/>
  <c r="G41" i="5"/>
  <c r="D48" i="5"/>
  <c r="G48" i="5" s="1"/>
  <c r="G70" i="5"/>
  <c r="D10" i="5"/>
  <c r="D13" i="5"/>
  <c r="D14" i="5"/>
  <c r="D11" i="5"/>
  <c r="D12" i="5"/>
  <c r="D8" i="5"/>
  <c r="G8" i="5" s="1"/>
  <c r="D9" i="5"/>
  <c r="J70" i="1"/>
  <c r="J88" i="1" s="1"/>
  <c r="E26" i="5"/>
  <c r="G26" i="5" s="1"/>
  <c r="G19" i="5"/>
  <c r="E15" i="5"/>
  <c r="E216" i="5"/>
  <c r="E214" i="5"/>
  <c r="E217" i="5"/>
  <c r="E213" i="5"/>
  <c r="F88" i="1"/>
  <c r="F89" i="1"/>
  <c r="K70" i="1"/>
  <c r="C104" i="1" s="1"/>
  <c r="C105" i="1" s="1"/>
  <c r="F38" i="1"/>
  <c r="F70" i="1" s="1"/>
  <c r="B38" i="1"/>
  <c r="D213" i="5" l="1"/>
  <c r="C21" i="3" s="1"/>
  <c r="E21" i="3" s="1"/>
  <c r="D23" i="3"/>
  <c r="I9" i="10"/>
  <c r="D21" i="3"/>
  <c r="I7" i="10"/>
  <c r="D22" i="3"/>
  <c r="I8" i="10"/>
  <c r="D25" i="3"/>
  <c r="I11" i="10"/>
  <c r="K11" i="10" s="1"/>
  <c r="D24" i="3"/>
  <c r="I10" i="10"/>
  <c r="J15" i="8"/>
  <c r="E18" i="6"/>
  <c r="H90" i="1"/>
  <c r="J16" i="7"/>
  <c r="J17" i="7" s="1"/>
  <c r="J18" i="7" s="1"/>
  <c r="D215" i="5"/>
  <c r="G215" i="5" s="1"/>
  <c r="D216" i="5"/>
  <c r="C24" i="3" s="1"/>
  <c r="E24" i="3" s="1"/>
  <c r="D214" i="5"/>
  <c r="C22" i="3" s="1"/>
  <c r="D82" i="5"/>
  <c r="G75" i="5"/>
  <c r="E94" i="5"/>
  <c r="D217" i="5"/>
  <c r="C25" i="3" s="1"/>
  <c r="H60" i="5"/>
  <c r="R71" i="1"/>
  <c r="G13" i="5"/>
  <c r="G14" i="5"/>
  <c r="G9" i="5"/>
  <c r="G12" i="5"/>
  <c r="D15" i="5"/>
  <c r="D49" i="5" s="1"/>
  <c r="G10" i="5"/>
  <c r="E49" i="5"/>
  <c r="G213" i="5" l="1"/>
  <c r="E25" i="3"/>
  <c r="D9" i="3" s="1"/>
  <c r="E22" i="3"/>
  <c r="C6" i="3" s="1"/>
  <c r="C8" i="3"/>
  <c r="D8" i="3"/>
  <c r="C5" i="3"/>
  <c r="D5" i="3"/>
  <c r="C23" i="3"/>
  <c r="E23" i="3" s="1"/>
  <c r="J16" i="8"/>
  <c r="J17" i="8" s="1"/>
  <c r="H92" i="1"/>
  <c r="J19" i="7"/>
  <c r="J20" i="7"/>
  <c r="L18" i="7"/>
  <c r="G216" i="5"/>
  <c r="G214" i="5"/>
  <c r="G217" i="5"/>
  <c r="G82" i="5"/>
  <c r="G94" i="5" s="1"/>
  <c r="D94" i="5"/>
  <c r="G15" i="5"/>
  <c r="G49" i="5" s="1"/>
  <c r="F101" i="1"/>
  <c r="F91" i="1"/>
  <c r="F100" i="1"/>
  <c r="D6" i="3" l="1"/>
  <c r="E6" i="3" s="1"/>
  <c r="C9" i="3"/>
  <c r="E9" i="3" s="1"/>
  <c r="C108" i="1"/>
  <c r="C7" i="3"/>
  <c r="D7" i="3"/>
  <c r="J18" i="8"/>
  <c r="J19" i="8" s="1"/>
  <c r="C3" i="7"/>
  <c r="K23" i="7"/>
  <c r="K24" i="7" s="1"/>
  <c r="J21" i="7"/>
  <c r="E8" i="3"/>
  <c r="E5" i="3"/>
  <c r="F99" i="1"/>
  <c r="F102" i="1" s="1"/>
  <c r="E7" i="3" l="1"/>
  <c r="K23" i="8"/>
  <c r="K24" i="8" s="1"/>
  <c r="C3" i="8"/>
  <c r="C5" i="8" s="1"/>
  <c r="C6" i="8" s="1"/>
  <c r="J20" i="8"/>
  <c r="J21" i="8" s="1"/>
  <c r="L18" i="8"/>
  <c r="C5" i="7"/>
  <c r="C6" i="7" s="1"/>
  <c r="C7" i="7" s="1"/>
  <c r="C7" i="8" l="1"/>
  <c r="J89" i="1"/>
  <c r="E8" i="7"/>
  <c r="E7" i="7"/>
  <c r="F7" i="7" s="1"/>
  <c r="C9" i="7"/>
  <c r="C11" i="7"/>
  <c r="C10" i="7"/>
  <c r="C12" i="7"/>
  <c r="C13" i="7"/>
  <c r="I89" i="1"/>
  <c r="C9" i="8" l="1"/>
  <c r="C12" i="8"/>
  <c r="C13" i="8"/>
  <c r="E8" i="8"/>
  <c r="C10" i="8"/>
  <c r="E7" i="8"/>
  <c r="F7" i="8" s="1"/>
  <c r="C11" i="8"/>
  <c r="C14" i="7"/>
  <c r="E35" i="7"/>
  <c r="E14" i="7"/>
  <c r="G14" i="7" s="1"/>
  <c r="H14" i="7" s="1"/>
  <c r="E32" i="7"/>
  <c r="E11" i="7"/>
  <c r="G11" i="7" s="1"/>
  <c r="H11" i="7" s="1"/>
  <c r="E13" i="7"/>
  <c r="G13" i="7" s="1"/>
  <c r="H13" i="7" s="1"/>
  <c r="E31" i="7"/>
  <c r="E12" i="7"/>
  <c r="G12" i="7" s="1"/>
  <c r="H12" i="7" s="1"/>
  <c r="E34" i="7"/>
  <c r="E30" i="7"/>
  <c r="E10" i="7"/>
  <c r="G10" i="7" s="1"/>
  <c r="H10" i="7" s="1"/>
  <c r="E9" i="7"/>
  <c r="G9" i="7" s="1"/>
  <c r="H9" i="7" s="1"/>
  <c r="E33" i="7"/>
  <c r="E9" i="8" l="1"/>
  <c r="G9" i="8" s="1"/>
  <c r="H9" i="8" s="1"/>
  <c r="E13" i="8"/>
  <c r="G13" i="8" s="1"/>
  <c r="H13" i="8" s="1"/>
  <c r="E35" i="8"/>
  <c r="E14" i="8"/>
  <c r="G14" i="8" s="1"/>
  <c r="H14" i="8" s="1"/>
  <c r="E31" i="8"/>
  <c r="E30" i="8"/>
  <c r="E33" i="8"/>
  <c r="E32" i="8"/>
  <c r="E11" i="8"/>
  <c r="G11" i="8" s="1"/>
  <c r="H11" i="8" s="1"/>
  <c r="E12" i="8"/>
  <c r="G12" i="8" s="1"/>
  <c r="H12" i="8" s="1"/>
  <c r="E10" i="8"/>
  <c r="G10" i="8" s="1"/>
  <c r="H10" i="8" s="1"/>
  <c r="E34" i="8"/>
  <c r="C14" i="8"/>
  <c r="F9" i="7"/>
  <c r="G35" i="7"/>
  <c r="H35" i="7" s="1"/>
  <c r="F35" i="7"/>
  <c r="F31" i="7"/>
  <c r="G31" i="7"/>
  <c r="H31" i="7" s="1"/>
  <c r="C16" i="7"/>
  <c r="C17" i="7"/>
  <c r="F14" i="7"/>
  <c r="E20" i="7"/>
  <c r="C20" i="7"/>
  <c r="F12" i="7"/>
  <c r="G34" i="7"/>
  <c r="H34" i="7" s="1"/>
  <c r="F34" i="7"/>
  <c r="G33" i="7"/>
  <c r="H33" i="7" s="1"/>
  <c r="F33" i="7"/>
  <c r="F11" i="7"/>
  <c r="G30" i="7"/>
  <c r="H30" i="7" s="1"/>
  <c r="F30" i="7"/>
  <c r="G32" i="7"/>
  <c r="H32" i="7" s="1"/>
  <c r="F32" i="7"/>
  <c r="F10" i="7"/>
  <c r="F13" i="7"/>
  <c r="F12" i="8" l="1"/>
  <c r="F13" i="8"/>
  <c r="G31" i="8"/>
  <c r="H31" i="8" s="1"/>
  <c r="F31" i="8"/>
  <c r="C16" i="8"/>
  <c r="C17" i="8"/>
  <c r="F14" i="8"/>
  <c r="E20" i="8"/>
  <c r="C20" i="8"/>
  <c r="G33" i="8"/>
  <c r="H33" i="8" s="1"/>
  <c r="F33" i="8"/>
  <c r="G35" i="8"/>
  <c r="H35" i="8" s="1"/>
  <c r="F35" i="8"/>
  <c r="G30" i="8"/>
  <c r="H30" i="8" s="1"/>
  <c r="F30" i="8"/>
  <c r="G34" i="8"/>
  <c r="H34" i="8" s="1"/>
  <c r="F34" i="8"/>
  <c r="F10" i="8"/>
  <c r="F9" i="8"/>
  <c r="F32" i="8"/>
  <c r="G32" i="8"/>
  <c r="H32" i="8" s="1"/>
  <c r="F11" i="8"/>
  <c r="C18" i="7"/>
  <c r="C18" i="8" l="1"/>
  <c r="E18" i="7"/>
  <c r="I90" i="1"/>
  <c r="E18" i="8" l="1"/>
  <c r="J90" i="1"/>
  <c r="D97" i="5"/>
  <c r="I92" i="1"/>
  <c r="E97" i="5" l="1"/>
  <c r="E104" i="5" s="1"/>
  <c r="J92" i="1"/>
  <c r="D104" i="5"/>
  <c r="D98" i="5" s="1"/>
  <c r="G97" i="5" l="1"/>
  <c r="E98" i="5"/>
  <c r="E218" i="5"/>
  <c r="D105" i="5"/>
  <c r="D106" i="5" s="1"/>
  <c r="D212" i="5"/>
  <c r="G104" i="5"/>
  <c r="D218" i="5"/>
  <c r="D26" i="3" l="1"/>
  <c r="I12" i="10"/>
  <c r="E105" i="5"/>
  <c r="E212" i="5"/>
  <c r="G98" i="5"/>
  <c r="G105" i="5" s="1"/>
  <c r="G106" i="5" s="1"/>
  <c r="D219" i="5"/>
  <c r="C20" i="3"/>
  <c r="C26" i="3"/>
  <c r="E26" i="3" s="1"/>
  <c r="G218" i="5"/>
  <c r="G212" i="5" l="1"/>
  <c r="I6" i="10"/>
  <c r="C10" i="3"/>
  <c r="D10" i="3"/>
  <c r="H105" i="5"/>
  <c r="I105" i="5" s="1"/>
  <c r="E106" i="5"/>
  <c r="D20" i="3"/>
  <c r="D27" i="3" s="1"/>
  <c r="D28" i="3" s="1"/>
  <c r="D29" i="3" s="1"/>
  <c r="E219" i="5"/>
  <c r="G219" i="5" s="1"/>
  <c r="C27" i="3"/>
  <c r="D220" i="5"/>
  <c r="I13" i="10" l="1"/>
  <c r="E20" i="3"/>
  <c r="D4" i="3" s="1"/>
  <c r="D11" i="3" s="1"/>
  <c r="D12" i="3" s="1"/>
  <c r="D13" i="3" s="1"/>
  <c r="E220" i="5"/>
  <c r="D221" i="5"/>
  <c r="C28" i="3"/>
  <c r="C29" i="3" s="1"/>
  <c r="E10" i="3"/>
  <c r="E27" i="3" l="1"/>
  <c r="E28" i="3" s="1"/>
  <c r="E29" i="3" s="1"/>
  <c r="C4" i="3"/>
  <c r="C11" i="3" s="1"/>
  <c r="C12" i="3" s="1"/>
  <c r="C13" i="3" s="1"/>
  <c r="G220" i="5"/>
  <c r="I14" i="10"/>
  <c r="E221" i="5"/>
  <c r="G221" i="5" s="1"/>
  <c r="G7" i="4"/>
  <c r="D8" i="4"/>
  <c r="D11" i="4"/>
  <c r="D215" i="4" s="1"/>
  <c r="G215" i="4" s="1"/>
  <c r="D12" i="4"/>
  <c r="D14" i="4"/>
  <c r="D9" i="4"/>
  <c r="D10" i="4"/>
  <c r="D13" i="4"/>
  <c r="E4" i="3" l="1"/>
  <c r="E11" i="3" s="1"/>
  <c r="E12" i="3" s="1"/>
  <c r="E13" i="3" s="1"/>
  <c r="I15" i="10"/>
  <c r="G13" i="4"/>
  <c r="D217" i="4"/>
  <c r="G217" i="4" s="1"/>
  <c r="G9" i="4"/>
  <c r="D213" i="4"/>
  <c r="G213" i="4" s="1"/>
  <c r="G12" i="4"/>
  <c r="D216" i="4"/>
  <c r="G216" i="4" s="1"/>
  <c r="G14" i="4"/>
  <c r="D218" i="4"/>
  <c r="G218" i="4" s="1"/>
  <c r="D214" i="4"/>
  <c r="G214" i="4" s="1"/>
  <c r="G10" i="4"/>
  <c r="D15" i="4"/>
  <c r="G8" i="4"/>
  <c r="D212" i="4"/>
  <c r="D49" i="4" l="1"/>
  <c r="D106" i="4" s="1"/>
  <c r="G15" i="4"/>
  <c r="G49" i="4" s="1"/>
  <c r="G106" i="4" s="1"/>
  <c r="D219" i="4"/>
  <c r="G212" i="4"/>
  <c r="G219" i="4" l="1"/>
  <c r="D220" i="4"/>
  <c r="G220" i="4" s="1"/>
  <c r="D221" i="4" l="1"/>
  <c r="G221" i="4" s="1"/>
  <c r="K7" i="10" l="1"/>
  <c r="K8" i="10"/>
  <c r="E10" i="10"/>
  <c r="E12" i="10"/>
  <c r="E7" i="10"/>
  <c r="E8" i="10"/>
  <c r="E6" i="10"/>
  <c r="E9" i="10"/>
  <c r="K10" i="10"/>
  <c r="K6" i="10"/>
  <c r="K9" i="10"/>
  <c r="D13" i="10" l="1"/>
  <c r="D14" i="10" s="1"/>
  <c r="E14" i="10" s="1"/>
  <c r="E13" i="10" l="1"/>
  <c r="E15" i="10" s="1"/>
  <c r="D15" i="10"/>
  <c r="N61" i="1" l="1"/>
  <c r="N30" i="1"/>
  <c r="O61" i="1"/>
  <c r="O30" i="1"/>
  <c r="N36" i="1" l="1"/>
  <c r="O77" i="1"/>
  <c r="O21" i="1"/>
  <c r="O36" i="1"/>
  <c r="O48" i="1"/>
  <c r="O16" i="1"/>
  <c r="O67" i="1"/>
  <c r="O54" i="1"/>
  <c r="N16" i="1"/>
  <c r="N54" i="1"/>
  <c r="N67" i="1"/>
  <c r="N48" i="1"/>
  <c r="N77" i="1"/>
  <c r="N21" i="1"/>
  <c r="K12" i="10" l="1"/>
  <c r="J13" i="10"/>
  <c r="O37" i="1"/>
  <c r="O38" i="1" s="1"/>
  <c r="O68" i="1"/>
  <c r="O69" i="1" s="1"/>
  <c r="N37" i="1"/>
  <c r="N38" i="1" s="1"/>
  <c r="N68" i="1"/>
  <c r="N69" i="1" s="1"/>
  <c r="J14" i="10" l="1"/>
  <c r="K14" i="10" s="1"/>
  <c r="K13" i="10"/>
  <c r="O88" i="1"/>
  <c r="O91" i="1" s="1"/>
  <c r="O70" i="1"/>
  <c r="O78" i="1" s="1"/>
  <c r="O79" i="1" s="1"/>
  <c r="N70" i="1"/>
  <c r="N78" i="1" s="1"/>
  <c r="N79" i="1" s="1"/>
  <c r="N88" i="1"/>
  <c r="N91" i="1" s="1"/>
  <c r="P91" i="1" s="1"/>
  <c r="J15" i="10" l="1"/>
  <c r="K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tc={6164C365-1AD1-4B8D-8FA3-D4EE3E1167BF}</author>
    <author>tc={6A5DAA24-48D1-42C0-B0DE-473823904E0E}</author>
    <author>tc={5AF46EE0-4421-4E37-B45F-53C899525F80}</author>
    <author>tc={A8736738-376A-4CF0-8719-FDFAB5FDC953}</author>
  </authors>
  <commentList>
    <comment ref="I29" authorId="0" shapeId="0" xr:uid="{6164C365-1AD1-4B8D-8FA3-D4EE3E1167BF}">
      <text>
        <t>[Threaded comment]
Your version of Excel allows you to read this threaded comment; however, any edits to it will get removed if the file is opened in a newer version of Excel. Learn more: https://go.microsoft.com/fwlink/?linkid=870924
Comment:
    327,761 in 2022</t>
      </text>
    </comment>
    <comment ref="H73" authorId="1" shapeId="0" xr:uid="{6A5DAA24-48D1-42C0-B0DE-473823904E0E}">
      <text>
        <t>[Threaded comment]
Your version of Excel allows you to read this threaded comment; however, any edits to it will get removed if the file is opened in a newer version of Excel. Learn more: https://go.microsoft.com/fwlink/?linkid=870924
Comment:
    UNWomen and UNDP staff and accommodation</t>
      </text>
    </comment>
    <comment ref="I73" authorId="2" shapeId="0" xr:uid="{5AF46EE0-4421-4E37-B45F-53C899525F80}">
      <text>
        <t>[Threaded comment]
Your version of Excel allows you to read this threaded comment; however, any edits to it will get removed if the file is opened in a newer version of Excel. Learn more: https://go.microsoft.com/fwlink/?linkid=870924
Comment:
    81,940 for 2022</t>
      </text>
    </comment>
    <comment ref="D110" authorId="3" shapeId="0" xr:uid="{A8736738-376A-4CF0-8719-FDFAB5FDC953}">
      <text>
        <t>[Threaded comment]
Your version of Excel allows you to read this threaded comment; however, any edits to it will get removed if the file is opened in a newer version of Excel. Learn more: https://go.microsoft.com/fwlink/?linkid=870924
Comment:
    incoparated only for UNW  therefores needs to include their inputs here as well.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Dain Rosamund Baird-Rogers</author>
    <author>tc={F2F5E53E-E166-4AC6-9D5A-DA504D16E49C}</author>
  </authors>
  <commentList>
    <comment ref="H16" authorId="0" shapeId="0" xr:uid="{188BBFA8-17A7-4919-809C-57368190E7FA}">
      <text>
        <r>
          <rPr>
            <b/>
            <sz val="9"/>
            <color indexed="81"/>
            <rFont val="Tahoma"/>
            <family val="2"/>
          </rPr>
          <t>Dain Rosamund Baird-Rogers:</t>
        </r>
        <r>
          <rPr>
            <sz val="9"/>
            <color indexed="81"/>
            <rFont val="Tahoma"/>
            <family val="2"/>
          </rPr>
          <t xml:space="preserve">
payroll Feb to July</t>
        </r>
      </text>
    </comment>
    <comment ref="K21" authorId="1" shapeId="0" xr:uid="{F2F5E53E-E166-4AC6-9D5A-DA504D16E49C}">
      <text>
        <t>[Threaded comment]
Your version of Excel allows you to read this threaded comment; however, any edits to it will get removed if the file is opened in a newer version of Excel. Learn more: https://go.microsoft.com/fwlink/?linkid=870924
Comment:
    These are advance to partners in the form of transfers. Once expenditure is reported by the partners it would be categorized as contractual services that has huge budget allocation.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tc={23E61800-0CBE-4EDB-94A0-25CFA1E0844B}</author>
    <author>tc={55C92C24-ABD4-43CA-96F0-70A6CFB02603}</author>
    <author>tc={E7563320-98A5-4D47-80C4-E12B8CF78D1B}</author>
    <author>tc={A2B86E2F-A90C-47C1-894E-0F7FBD2B633C}</author>
    <author>tc={366D4DE8-4C9C-4CE3-B82A-2745DF79C108}</author>
    <author>tc={3AF2372E-E1E7-4538-AB65-094E6421E9D4}</author>
    <author>tc={401CDE48-6034-4C2B-8E45-3DB6CE5C7533}</author>
  </authors>
  <commentList>
    <comment ref="C20" authorId="0" shapeId="0" xr:uid="{23E61800-0CBE-4EDB-94A0-25CFA1E0844B}">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1" authorId="1" shapeId="0" xr:uid="{55C92C24-ABD4-43CA-96F0-70A6CFB02603}">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2" authorId="2" shapeId="0" xr:uid="{E7563320-98A5-4D47-80C4-E12B8CF78D1B}">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3" authorId="3" shapeId="0" xr:uid="{A2B86E2F-A90C-47C1-894E-0F7FBD2B633C}">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4" authorId="4" shapeId="0" xr:uid="{366D4DE8-4C9C-4CE3-B82A-2745DF79C108}">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5" authorId="5" shapeId="0" xr:uid="{3AF2372E-E1E7-4538-AB65-094E6421E9D4}">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 ref="C26" authorId="6" shapeId="0" xr:uid="{401CDE48-6034-4C2B-8E45-3DB6CE5C7533}">
      <text>
        <t>[Threaded comment]
Your version of Excel allows you to read this threaded comment; however, any edits to it will get removed if the file is opened in a newer version of Excel. Learn more: https://go.microsoft.com/fwlink/?linkid=870924
Comment:
    this does not include MPTF 1% fee</t>
      </text>
    </comment>
  </commentList>
</comments>
</file>

<file path=xl/sharedStrings.xml><?xml version="1.0" encoding="utf-8"?>
<sst xmlns="http://schemas.openxmlformats.org/spreadsheetml/2006/main" count="937" uniqueCount="322">
  <si>
    <t>Annex D - PBF Project Budget</t>
  </si>
  <si>
    <t>Table 1 - PBF project budget by outcome, output and activity</t>
  </si>
  <si>
    <r>
      <rPr>
        <b/>
        <sz val="10"/>
        <color theme="1"/>
        <rFont val="Calibri"/>
        <family val="2"/>
        <scheme val="minor"/>
      </rPr>
      <t>Outcome/ Output</t>
    </r>
    <r>
      <rPr>
        <sz val="10"/>
        <color theme="1"/>
        <rFont val="Calibri"/>
        <family val="2"/>
        <scheme val="minor"/>
      </rPr>
      <t xml:space="preserve"> number</t>
    </r>
  </si>
  <si>
    <r>
      <rPr>
        <b/>
        <sz val="10"/>
        <color theme="1"/>
        <rFont val="Calibri"/>
        <family val="2"/>
        <scheme val="minor"/>
      </rPr>
      <t>Description</t>
    </r>
    <r>
      <rPr>
        <sz val="10"/>
        <color theme="1"/>
        <rFont val="Calibri"/>
        <family val="2"/>
        <scheme val="minor"/>
      </rPr>
      <t xml:space="preserve"> (Text)</t>
    </r>
  </si>
  <si>
    <t>Recipient Organization  1   
UN Women</t>
  </si>
  <si>
    <t>Recipient Organization 2
UNDP</t>
  </si>
  <si>
    <t>Budget description</t>
  </si>
  <si>
    <t>Total Funds Through PBF</t>
  </si>
  <si>
    <t>Funds through Somalia MPTF - original Budget</t>
  </si>
  <si>
    <t>Funds through Somalia MPTF - REVISION July 2022 with additional USD 400,000</t>
  </si>
  <si>
    <t>UN Women MPTF</t>
  </si>
  <si>
    <t>UNDP MPTF</t>
  </si>
  <si>
    <r>
      <rPr>
        <b/>
        <sz val="10"/>
        <color theme="1"/>
        <rFont val="Calibri"/>
        <family val="2"/>
        <scheme val="minor"/>
      </rPr>
      <t>% of budget</t>
    </r>
    <r>
      <rPr>
        <sz val="10"/>
        <color theme="1"/>
        <rFont val="Calibri"/>
        <family val="2"/>
        <scheme val="minor"/>
      </rPr>
      <t xml:space="preserve"> per activity  allocated to </t>
    </r>
    <r>
      <rPr>
        <b/>
        <sz val="10"/>
        <color theme="1"/>
        <rFont val="Calibri"/>
        <family val="2"/>
        <scheme val="minor"/>
      </rPr>
      <t>Gender Equality and Women's Empowerment (GEWE)</t>
    </r>
    <r>
      <rPr>
        <sz val="10"/>
        <color theme="1"/>
        <rFont val="Calibri"/>
        <family val="2"/>
        <scheme val="minor"/>
      </rPr>
      <t xml:space="preserve"> (if any):</t>
    </r>
  </si>
  <si>
    <r>
      <rPr>
        <b/>
        <sz val="10"/>
        <color theme="1"/>
        <rFont val="Calibri"/>
        <family val="2"/>
        <scheme val="minor"/>
      </rPr>
      <t xml:space="preserve">GEWE justification </t>
    </r>
    <r>
      <rPr>
        <sz val="10"/>
        <color theme="1"/>
        <rFont val="Calibri"/>
        <family val="2"/>
        <scheme val="minor"/>
      </rPr>
      <t>(e.g. training includes session on gender equality, specific efforts made to ensure equal representation of women and men etc.)</t>
    </r>
  </si>
  <si>
    <r>
      <t xml:space="preserve">Any other </t>
    </r>
    <r>
      <rPr>
        <b/>
        <sz val="10"/>
        <color theme="1"/>
        <rFont val="Calibri"/>
        <family val="2"/>
        <scheme val="minor"/>
      </rPr>
      <t>remarks</t>
    </r>
    <r>
      <rPr>
        <sz val="10"/>
        <color theme="1"/>
        <rFont val="Calibri"/>
        <family val="2"/>
        <scheme val="minor"/>
      </rPr>
      <t xml:space="preserve"> (e.g. on types of inputs provided or budget justification, esp. for TA or travel costs)</t>
    </r>
  </si>
  <si>
    <t xml:space="preserve">OUTCOME 1: </t>
  </si>
  <si>
    <t xml:space="preserve">Enhanced representation and meaningful participation of women in political, legislative and peace infrastructures and processes to promote, sustain and consolidate peace, and gender-responsive approaches to peacebuilding, </t>
  </si>
  <si>
    <t>Output 1.1:</t>
  </si>
  <si>
    <t>Inclusive and responsive infrastructures for peace to support women’s participation and leadership in national and local level peace processes are established</t>
  </si>
  <si>
    <t>Activity 1.1.a:</t>
  </si>
  <si>
    <t>Provide technical support to the Ministry of Constitutional Affairs, Ministry of Women and Human Rights Development, Parliamentarian Committee, and Ministry of Justice for review process of constitution and Election Laws at FGS and FMS (6 meetings)</t>
  </si>
  <si>
    <t>Workshop meetings
Travel
Local Consultants
Contractual Services</t>
  </si>
  <si>
    <t>Meetings includes session on gender equality; efforts made to ensure equal representation of women and men</t>
  </si>
  <si>
    <t>Activity 1.1.b:</t>
  </si>
  <si>
    <t>6 Capacity building training for women MPs, other influential women leaders including the Charter Champions at FGS and FMS on inclusion of women in leadership and decision-making role, including in executive, legislative bodies, judiciary and independent commissions (6 trainings)</t>
  </si>
  <si>
    <t>Trainings
Travel
Local Consultants
Contractual Services</t>
  </si>
  <si>
    <t>Training includes session on gender equality; efforts made to ensure equal representation of women and men</t>
  </si>
  <si>
    <t>Activity 1.1.1:</t>
  </si>
  <si>
    <t>Mapping and documentation of local initiatives in support of women’s representation at the community levels and local governance councils to promote women’s voice and roles and in the peace processes and to operationalize the NAP on UNSCR 1325 (1 mapping)</t>
  </si>
  <si>
    <t>Workshops
Travel
Contractual Services</t>
  </si>
  <si>
    <t>Advocacy by women; Efforts made to ensure representation of women</t>
  </si>
  <si>
    <t>Activity 1.1.2a:</t>
  </si>
  <si>
    <t>Identification of traditional elders and religious leaders for engaging in FGD and advocacy at community level.  Produce training manuals and organize 1 ToT and Roll-out 6 trainings.</t>
  </si>
  <si>
    <t>Mapping Report      Workshops
Travel
Local Consultants
Contractual Services</t>
  </si>
  <si>
    <t>Activity 1.1.2b:</t>
  </si>
  <si>
    <t xml:space="preserve"> 6 Advocacy campaigns for women’s organisations and human rights defenders to be included in the coordination and monitoring mechanisms with government on the WPS agenda at FGS and FMS</t>
  </si>
  <si>
    <t>Efforts made to ensure equal representation of women and men</t>
  </si>
  <si>
    <t xml:space="preserve">Activity 1.1.3 </t>
  </si>
  <si>
    <t xml:space="preserve">Establishment of 6 women’s parliamentary caucus and support 6 advocacy campaigns at FGS and FMSs level.  </t>
  </si>
  <si>
    <t>Campaigns
Travel
Contractual Services</t>
  </si>
  <si>
    <t>Activity exclusively for women</t>
  </si>
  <si>
    <t>Activity 1.1.4.</t>
  </si>
  <si>
    <t>Establish African Women Leaders Network (AWLN) at FGS level and organize 1 national level launch event and 4 day capacity building program.  Support AWLN to organize 5 capacity building events in 5 FMS level.</t>
  </si>
  <si>
    <t>Activity 1.1.5.</t>
  </si>
  <si>
    <t>Conduct institutional and human resource capacity assessment of MoWHRD, MoIFAR and Ministry of Justice, relevant Committee in the Federal Parliament to implement and oversee the WPS agenda and multi-sectoral, multi-institutional capacity development programs for existing institutions at FGS and 5 FMS to support the WPS interventions and gender mainstreaming capacity within the relevant institutions (1 mapping and 6 trainings)</t>
  </si>
  <si>
    <t>Mapping Report         Trainings
Travel
Local Consultants
Contractual Services</t>
  </si>
  <si>
    <t>Efforts to ensure representation and participation of women</t>
  </si>
  <si>
    <t>Activity 1.1.6.</t>
  </si>
  <si>
    <t>Establish Women CSO Reference Group, support monitoring visits to select projects/locations, facilitate participation in quarterly meetings of the RG and 2 RG members in the WPS Project Steering Committee and in preparation of a annual feedback/monitoring report.</t>
  </si>
  <si>
    <t>Monitoring visits, Travel, Capacity Building, Preparation of a Annual Report</t>
  </si>
  <si>
    <t>Output Total 1.1</t>
  </si>
  <si>
    <t>Output 1.2:</t>
  </si>
  <si>
    <t>Legal and policy frameworks for inclusive and gender-responsive national, state and local level peacebuilding processes are formulated</t>
  </si>
  <si>
    <t>Activity 1.2.1</t>
  </si>
  <si>
    <t>Undertake review of laws, especially those related to women’s political participation, electoral processes and peacebuilding and orientation workshops and briefing sessions to familiarize and orient policy planners, legislators, development practitioners and peacebuilders at the FGS and FMSs level on the findings and outcomes of the review (1 Report related to discriminatory laws and 6 orientation workshops and 1 briefing session)</t>
  </si>
  <si>
    <t>Mapping Report     Workshops
Travel
Local Consultants
Contractual Services</t>
  </si>
  <si>
    <t>Law review on gender equality and women's rights</t>
  </si>
  <si>
    <t>Activity 1.2.2.a</t>
  </si>
  <si>
    <t>Establish a Coordination Mechanism with Co-Chair of Ministry of Women and Human Rights Development and the Ministry of Justice for wide public consultations at the FGS, FMS and Community level on SOB and WPS related laws and policies.</t>
  </si>
  <si>
    <t>Workshops
Travel
Local Consultants
Contractual Services</t>
  </si>
  <si>
    <t>Review and formulation nof necessary legal and policy frameworks on inclusive peacebuilding model</t>
  </si>
  <si>
    <t>Activity 1.2.2.b</t>
  </si>
  <si>
    <t>Advocacy campaigns by relevant groups at FGS and FMS for repeal or amendment of discriminatory laws, policies and executive instruments and inclusion of women in peace structures also focusing on enactment of Sexual Offences Bill(SOB) (6 advocacy campaigns)</t>
  </si>
  <si>
    <t>Advocacy efforts for necessary amendments of discriminatory laws</t>
  </si>
  <si>
    <t>Output Total 1.2</t>
  </si>
  <si>
    <t>Output 1.3:</t>
  </si>
  <si>
    <t>Operationalization of NAP on UNSCR 1325 to promote women’s meaningful participation in peacebuilding at national and local level.</t>
  </si>
  <si>
    <t>Activity 1.3.1.a</t>
  </si>
  <si>
    <t>NAP on UNSCR 1325 is fully operationalized and adopted through an inauguration and validation workshop, 600 copies of NAP on UNSCR 1325 disseminated to relevant government and CSO stakeholders, and community outreach (1 workshop, 600 copies of NAP printed and disseminated at FGS and FMSs)</t>
  </si>
  <si>
    <t>Workshop
Travel
Local Consultants
Contractual Services</t>
  </si>
  <si>
    <t>Activity 1.3.1.b</t>
  </si>
  <si>
    <t>Dialogues between CSOs and the implementation and monitoring mechanisms formed under the NAP on UNSCR 1325 at FGS and FMS to operationalize coordination, learning and reporting mechanisms to ensure relevant CSOs engagement (6 dialogues)</t>
  </si>
  <si>
    <t>Dialogues
Travel
Contractual Services</t>
  </si>
  <si>
    <t>Activity 1.3.2.a</t>
  </si>
  <si>
    <t>Establish women-led learning mechanisms at federal and FMS and learning and knowledge sharing visits</t>
  </si>
  <si>
    <t>Workshops
Trainings
Local Consultants</t>
  </si>
  <si>
    <t>Activity 1.3.2.b</t>
  </si>
  <si>
    <t xml:space="preserve">Documentation of good practices and lessons learnt across FGS and FMS by the learning mechanism. </t>
  </si>
  <si>
    <t>Activity 1.3.3.a</t>
  </si>
  <si>
    <t>First year monitoring report of implementation of NAP produced (1 Report) and establishment of the Inter-Ministerial Coordination Platform, MoWHRD</t>
  </si>
  <si>
    <t>Activity 1.3.3.b</t>
  </si>
  <si>
    <t>Documentation of progress and good practices on women, peace and security in Somalia and capacity development of relevant women organizations on monitoring and data collection on UN SCR 1325 and NAP.</t>
  </si>
  <si>
    <t>Workshops
Travel
Local and international Consultants
Contractual Services</t>
  </si>
  <si>
    <t>Documentation of best practices on women, peace and security; case studies from women integrated</t>
  </si>
  <si>
    <t>Activity 1.3.3.c</t>
  </si>
  <si>
    <t>Localization of UNSCR 1325 workshops at FGS and 5 FMS and develop local action plans on implementing the NAP in close coordination with local and community stakeholders, including traditional elders and religious leaders, to ensure ownership and sustainability (6 workshops and 6 local action plans)</t>
  </si>
  <si>
    <t>Output Total 1.3</t>
  </si>
  <si>
    <t>Output 1.4:</t>
  </si>
  <si>
    <t>Women leaders, peace networks and forums (Hayaanka Nabadda-Hope for Peace Networks) established to engage in peace mediation, reconciliation and social cohesion at  community levels</t>
  </si>
  <si>
    <t>Activity 1.4.1.a</t>
  </si>
  <si>
    <t>Mapping report on existing women peacemakers, leaders, networks, and forums (1 report) at FGS and FMS</t>
  </si>
  <si>
    <t>Network of women peacebuilders established to promote WPS agenda and GEWE</t>
  </si>
  <si>
    <t>Activity 1.4.1.b</t>
  </si>
  <si>
    <t>Establish 15 women networks and forums for leading peace mediation, reconciliation and promoting social cohesion at FMS and community level</t>
  </si>
  <si>
    <t>Activity 1.4.2.a</t>
  </si>
  <si>
    <t>Trainings on transformative leadership, reconciliation and mediation skills to representatives of the women networks and forums.</t>
  </si>
  <si>
    <t>Activity 1.4.2.b</t>
  </si>
  <si>
    <t>Quarterly meetings of women networks and forums at community levels to discuss on issues relevant to peacebuilding, peace and security led by local expert (8 meetings * 15 networks * 2 Years)</t>
  </si>
  <si>
    <t>Meetings
Travel
Contractual Services</t>
  </si>
  <si>
    <t>Women networks established actively operated to promote gender equality and promoting women's meaningful participation, and hence efforts made to ensure equal representation of women and men</t>
  </si>
  <si>
    <t>Output Total 1.4</t>
  </si>
  <si>
    <t>Output Total 1</t>
  </si>
  <si>
    <t xml:space="preserve">OUTCOME 2: </t>
  </si>
  <si>
    <t>An enabling environment for women’s participation in peacebuilding efforts at all levels is created through strengthened protection and prevention mechanisms and structures at FGS, FMS and community levels and  through   addressing negative social norms.</t>
  </si>
  <si>
    <t>Output 2.1</t>
  </si>
  <si>
    <t xml:space="preserve">Capacity and gender-responsiveness of the existing rule of law and security sector institutions improved , particularly in handling cases of conflict-related sexual violence (CRSV)
</t>
  </si>
  <si>
    <t>Activity 2.1.1.a.</t>
  </si>
  <si>
    <t>Develop training manual and organize training workshop with FGS institutions, FGS/FMS coordination platforms CSOs, including TOT and CRSV data collection and monitoring training - 4 annual coordination meetings held between FGS/FMS institutions</t>
  </si>
  <si>
    <t>Training, Workshops and Confer
Travel
Contractual Services</t>
  </si>
  <si>
    <t>Includes CRSV</t>
  </si>
  <si>
    <t>Activity 2.1.1.b.</t>
  </si>
  <si>
    <t xml:space="preserve">Study mission: Regional experience sharing in legislative development in similar cultural context also integrating Gender Responsive Budgeting (with members from key stakeholders entities) </t>
  </si>
  <si>
    <t>Training, Workshops and Confer
Travel
Local Consultants
Contractual Services</t>
  </si>
  <si>
    <t>Study tour on WPS</t>
  </si>
  <si>
    <t>Activity 2.1.1.c.</t>
  </si>
  <si>
    <t xml:space="preserve">Stakeholder and expert roundtable consultation series, including religious leaders, to support the Government in identifying and clarifying legislative reform priorities to support harmonization of formal and informal laws related to WPS- in-depth discussion of at least two national draft bill - with advisory note outcome
</t>
  </si>
  <si>
    <t>Focus on sexual violence</t>
  </si>
  <si>
    <t>Activity 2.1.1.d.</t>
  </si>
  <si>
    <t>Awareness campaign: community story telling workshops, key messages developed; dissemination channels identified; community surveys, 6 community consultations, and monitoring of social media discussions on women’s rights issues and advocacy; (Year 2)</t>
  </si>
  <si>
    <t>Focus on women' rights and community conversations</t>
  </si>
  <si>
    <t>Activity 2.1.2</t>
  </si>
  <si>
    <t>At least 2 FMS  psychosocial legal counselling centres established in South Central and the operationalize SGBV units across the FMS (including: data analysis and documentation of lessons learned) (Year 2)</t>
  </si>
  <si>
    <t>Focus on SGBV</t>
  </si>
  <si>
    <t>Activity 2.1.3</t>
  </si>
  <si>
    <t xml:space="preserve">Design one year diploma programmes at two universities in Somalia on WPS and women’s empowerment;  mentorship for 100 women professional working in the government institutions to create mid management and women leaders  is designed and launched;  </t>
  </si>
  <si>
    <t>Focus on mentorship for women</t>
  </si>
  <si>
    <t>Total Output 2.1</t>
  </si>
  <si>
    <t>Output 2.2</t>
  </si>
  <si>
    <t xml:space="preserve">Religious leaders, traditional clan leaders, minority and youth groups are capacitated and actively engaged to address negative social norms, protect human rights of women,  promote a culture of trust-building to eliminate discriminatory practices.
</t>
  </si>
  <si>
    <t>Activity 2.2.1.a.</t>
  </si>
  <si>
    <t>Initiate workshops with religious leaders, traditional clan elders and women rights groups to discuss Islam and women's rights (international Islamic scholars invited to guide the discussions) - (Year 1)</t>
  </si>
  <si>
    <t>Activity 2.2.1.b.</t>
  </si>
  <si>
    <t>Annual survey on Islam and women's rights launched to gather information and insights on how communities' view on women's rights are evolving in Somalia (Year 2- 600 copies published and disseminated)</t>
  </si>
  <si>
    <t>Activity 2.2.2.</t>
  </si>
  <si>
    <t>Training for FMS MoWHRD to conduct the community conversation on WPS and Transformative Change: monthly  conversations across 15 districts - data analysis and referral pathway established to address key strategic level concerns (Year 2)</t>
  </si>
  <si>
    <t>Activity 2.2.3.</t>
  </si>
  <si>
    <t>First-ever Somali Women led National Reconciliation Conference to discuss main thematic areas within the context of reconciliation (Year 1)</t>
  </si>
  <si>
    <t>Total Output 2.2</t>
  </si>
  <si>
    <t>Output 2.3</t>
  </si>
  <si>
    <t>Women-led conflict early-warning system and preparedness plans developed and operationalized.</t>
  </si>
  <si>
    <t>Activity 2.3.1a</t>
  </si>
  <si>
    <t>Develop a early warning system and guidance documents (SOPs) on WPS reporting focusing on CRSV (Year 1).</t>
  </si>
  <si>
    <t>WPS focus with civil society and communities</t>
  </si>
  <si>
    <t>Activity 2.3.1b</t>
  </si>
  <si>
    <t>Training for 10 CSOs in FGS and each FMS on early warning monitoring and reporting design relating to WPS violations (CSO’s identified; CSO’s trained for 1 week) (Year 1).</t>
  </si>
  <si>
    <t>Activity 2.3.2.a.</t>
  </si>
  <si>
    <t>5-day training for government stakeholders on early warning response and mitigation system and reporting relating to WPS and CRSV violations and establish referral mechanisms covering Federal and all FMSs (Year 1)</t>
  </si>
  <si>
    <t>Activity 2.3.2.b.</t>
  </si>
  <si>
    <t>Refresher training course for the  CSOs on early warning follow-up relating to WPS violations (CSO’s identified; CSO’s trained for 5 days) (Year 2)</t>
  </si>
  <si>
    <t>Activity 2.3.3.</t>
  </si>
  <si>
    <t>Quarterly coordination meetings, Information gathering and development of 2 periodic early warning reports annually (Year 2)</t>
  </si>
  <si>
    <t>Output 2.3 Total</t>
  </si>
  <si>
    <t>Output 2.4</t>
  </si>
  <si>
    <t>Media sensitization for positive messages,  reporting and advocacy for inclusion of women in peace processes</t>
  </si>
  <si>
    <t>Activity 2.4.1.a</t>
  </si>
  <si>
    <t>Conduct research on Somali media reporting on WPS (with a special focus on the link between Islam and WPS) (Year 1)</t>
  </si>
  <si>
    <t>Focus on how media reports on WPS</t>
  </si>
  <si>
    <t>Activity 2.4.1.b</t>
  </si>
  <si>
    <t>Consultation workshops across the different FMS on the outcome of the Somali media reporting on WPS research  and strengthen gender sensitive reporting (Year 2)</t>
  </si>
  <si>
    <t>Activity 2.4.2.a</t>
  </si>
  <si>
    <t>Training for legislators across the different FMS on WPS and developing legislation linked to Somalia's WPS commitments (Year 1)</t>
  </si>
  <si>
    <t>WPS focus</t>
  </si>
  <si>
    <t>Activity 2.4.3</t>
  </si>
  <si>
    <t>Sensitization of parliamentary committees on developing WPS messaging and legislative narratives (5 widely disseminated debates organized with media/CSO and legislators) (Year 2)</t>
  </si>
  <si>
    <t>Total Output 1.5</t>
  </si>
  <si>
    <t>Output Total 2</t>
  </si>
  <si>
    <t>Outcome 2</t>
  </si>
  <si>
    <t>Grand total Outcome 1 and Outcome 2</t>
  </si>
  <si>
    <t xml:space="preserve">Additional cost </t>
  </si>
  <si>
    <t>Office Running Costs, Office Rent, Common services, Utilities, Stationery, Accommodation and staff</t>
  </si>
  <si>
    <t xml:space="preserve">Additional operational costs </t>
  </si>
  <si>
    <t>Audit Cost - HACT micro-capacity assessments, financial audits, financial spot checks of partners.</t>
  </si>
  <si>
    <t>Monitoring budget</t>
  </si>
  <si>
    <t>Budget for independent final evaluation</t>
  </si>
  <si>
    <t>Total Additional Costs</t>
  </si>
  <si>
    <t>Totals</t>
  </si>
  <si>
    <t>Funds through Somalia MPTF</t>
  </si>
  <si>
    <t>Funds avaialble</t>
  </si>
  <si>
    <t>programmable amount</t>
  </si>
  <si>
    <t>Total</t>
  </si>
  <si>
    <t>Funds available</t>
  </si>
  <si>
    <t xml:space="preserve">Sub-Total Project Budget </t>
  </si>
  <si>
    <t>Indirect support costs GMS (7%):</t>
  </si>
  <si>
    <t>DPC 13%</t>
  </si>
  <si>
    <t>Subtotal (Peacebuilding Fund)</t>
  </si>
  <si>
    <t>German and Sweden funds through MPTF</t>
  </si>
  <si>
    <t>Performance-Based Tranche Breakdown</t>
  </si>
  <si>
    <t>Tranche %</t>
  </si>
  <si>
    <t>First Tranche:</t>
  </si>
  <si>
    <t>Second Tranche:</t>
  </si>
  <si>
    <t>Third Tranche</t>
  </si>
  <si>
    <t>Total:</t>
  </si>
  <si>
    <r>
      <t xml:space="preserve">$ Towards GEWE </t>
    </r>
    <r>
      <rPr>
        <sz val="10"/>
        <color theme="1"/>
        <rFont val="Calibri"/>
        <family val="2"/>
        <scheme val="minor"/>
      </rPr>
      <t>(includes indirect costs)</t>
    </r>
  </si>
  <si>
    <t>Total Expenditure</t>
  </si>
  <si>
    <t>% Towards GEWE</t>
  </si>
  <si>
    <t>Delivery Rate:</t>
  </si>
  <si>
    <r>
      <t xml:space="preserve">$ Towards M&amp;E </t>
    </r>
    <r>
      <rPr>
        <sz val="10"/>
        <color theme="1"/>
        <rFont val="Calibri"/>
        <family val="2"/>
        <scheme val="minor"/>
      </rPr>
      <t>(includes indirect costs)</t>
    </r>
  </si>
  <si>
    <t>% Towards M&amp;E</t>
  </si>
  <si>
    <r>
      <t xml:space="preserve">Note: PBF does not accept projects with less than </t>
    </r>
    <r>
      <rPr>
        <b/>
        <sz val="10"/>
        <color theme="1"/>
        <rFont val="Calibri"/>
        <family val="2"/>
        <scheme val="minor"/>
      </rPr>
      <t>5%</t>
    </r>
    <r>
      <rPr>
        <sz val="10"/>
        <color theme="1"/>
        <rFont val="Calibri"/>
        <family val="2"/>
        <scheme val="minor"/>
      </rPr>
      <t xml:space="preserve"> towards M&amp;E and less than </t>
    </r>
    <r>
      <rPr>
        <b/>
        <sz val="10"/>
        <color theme="1"/>
        <rFont val="Calibri"/>
        <family val="2"/>
        <scheme val="minor"/>
      </rPr>
      <t xml:space="preserve">15% </t>
    </r>
    <r>
      <rPr>
        <sz val="10"/>
        <color theme="1"/>
        <rFont val="Calibri"/>
        <family val="2"/>
        <scheme val="minor"/>
      </rPr>
      <t xml:space="preserve">towards GEWE. These figures will show as </t>
    </r>
    <r>
      <rPr>
        <sz val="10"/>
        <color rgb="FFFF0000"/>
        <rFont val="Calibri"/>
        <family val="2"/>
        <scheme val="minor"/>
      </rPr>
      <t xml:space="preserve">red </t>
    </r>
    <r>
      <rPr>
        <sz val="10"/>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</si>
  <si>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</si>
  <si>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</si>
  <si>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</si>
  <si>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</si>
  <si>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</si>
  <si>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</si>
  <si>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</si>
  <si>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</si>
  <si>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</si>
  <si>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</si>
  <si>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</si>
  <si>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</si>
  <si>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</si>
  <si>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</si>
  <si>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</si>
  <si>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Total Outcome 1</t>
  </si>
  <si>
    <t>OUTCOME 2</t>
  </si>
  <si>
    <t>Total Outcome 2</t>
  </si>
  <si>
    <t>Additional Costs</t>
  </si>
  <si>
    <t>additional costs Total from Table 1</t>
  </si>
  <si>
    <t>Grand Total</t>
  </si>
  <si>
    <t>OUTCOME 3</t>
  </si>
  <si>
    <t>Output 3.1</t>
  </si>
  <si>
    <t>Output 3.2</t>
  </si>
  <si>
    <t>Output 3.3</t>
  </si>
  <si>
    <t>Output 3.4</t>
  </si>
  <si>
    <t>OUTCOME 4</t>
  </si>
  <si>
    <t>Output 4.1</t>
  </si>
  <si>
    <t>Output 4.2</t>
  </si>
  <si>
    <t>Output 4.3</t>
  </si>
  <si>
    <t>Output 4.4</t>
  </si>
  <si>
    <t>Additional Cost Totals from Table 1</t>
  </si>
  <si>
    <t xml:space="preserve">7. General Operating and other Costs </t>
  </si>
  <si>
    <t xml:space="preserve">Subtotal </t>
  </si>
  <si>
    <t>7% Indirect Costs</t>
  </si>
  <si>
    <t>TOTAL</t>
  </si>
  <si>
    <t xml:space="preserve">FINAL TABLE (Breakdown per Years) </t>
  </si>
  <si>
    <t>Categories</t>
  </si>
  <si>
    <t>YR 2022</t>
  </si>
  <si>
    <t>YR 2023</t>
  </si>
  <si>
    <t>1- Staff and other personnel costs</t>
  </si>
  <si>
    <t>2- Supplies, Commodities, Materials</t>
  </si>
  <si>
    <t>3- Equipment, Vehicles and Furniture (including depreciation)</t>
  </si>
  <si>
    <t>4- Contractual Services</t>
  </si>
  <si>
    <t>5- Travel</t>
  </si>
  <si>
    <t>6- Transfers and Grants Counterparts</t>
  </si>
  <si>
    <t>7- General Operating and other direct costs</t>
  </si>
  <si>
    <t xml:space="preserve">Sub-total </t>
  </si>
  <si>
    <t>Indirect Cost</t>
  </si>
  <si>
    <t xml:space="preserve">FINAL TABLE (Breakdown per UN Agencies) </t>
  </si>
  <si>
    <t>UN Women</t>
  </si>
  <si>
    <t>UNDP</t>
  </si>
  <si>
    <t>Calculator:</t>
  </si>
  <si>
    <t>MPTF</t>
  </si>
  <si>
    <t>USD</t>
  </si>
  <si>
    <t>Available resources</t>
  </si>
  <si>
    <t>Please fill the BLUE box with the Income / AWP</t>
  </si>
  <si>
    <t>1% levy</t>
  </si>
  <si>
    <t>GMS 75100</t>
  </si>
  <si>
    <t>control:</t>
  </si>
  <si>
    <t xml:space="preserve">Programmable </t>
  </si>
  <si>
    <t>DPC:</t>
  </si>
  <si>
    <t>programmable after DPC</t>
  </si>
  <si>
    <t>Security</t>
  </si>
  <si>
    <t>Communications</t>
  </si>
  <si>
    <t xml:space="preserve">M&amp;E </t>
  </si>
  <si>
    <t>Prog Oversight</t>
  </si>
  <si>
    <t>Operations</t>
  </si>
  <si>
    <t>Total DPC</t>
  </si>
  <si>
    <t>Distribution of DPC</t>
  </si>
  <si>
    <t>DPC-64300</t>
  </si>
  <si>
    <t>DPC</t>
  </si>
  <si>
    <t>DPC-74500</t>
  </si>
  <si>
    <t xml:space="preserve">check </t>
  </si>
  <si>
    <t>GMS</t>
  </si>
  <si>
    <t>Programmable - net</t>
  </si>
  <si>
    <t>DPC + GMS</t>
  </si>
  <si>
    <t>1% Levy</t>
  </si>
  <si>
    <t>TRAC</t>
  </si>
  <si>
    <t>programmable</t>
  </si>
  <si>
    <t>Peace Building Fund Uncertified Financial Progress Report</t>
  </si>
  <si>
    <t>Reporting Period:</t>
  </si>
  <si>
    <t>Donor:</t>
  </si>
  <si>
    <t>Peace Building Fund - 11363</t>
  </si>
  <si>
    <t xml:space="preserve">MPTF Project ID: </t>
  </si>
  <si>
    <t>00129369</t>
  </si>
  <si>
    <t>UN Women Project Number:</t>
  </si>
  <si>
    <t>00129161</t>
  </si>
  <si>
    <t>Project Title:</t>
  </si>
  <si>
    <t>Women Peace and Protection Programme</t>
  </si>
  <si>
    <t>Table 2 - Project budget by UN cost category</t>
  </si>
  <si>
    <t>Category</t>
  </si>
  <si>
    <t>Budget</t>
  </si>
  <si>
    <t>Advance</t>
  </si>
  <si>
    <t>Funds Balance</t>
  </si>
  <si>
    <t xml:space="preserve">Disclaimer: The report provided above is an informal Financial update only which has been prepared using unreconciled data. Reconciled figures will be reported via  UNEX II upload modality to MPTF three times a year in accordance with the signed agreement and in accordance with UN Women Standard Donor Reporting Format and International Public Sector Accounting Standards (IPSAS). Annual  certified Financial Statements are provided to MPTF no later than 30 June in the year after financial year end. </t>
  </si>
  <si>
    <t>PBF</t>
  </si>
  <si>
    <t>Table 3 - Project budget by UN cost category-MPTF</t>
  </si>
  <si>
    <t>Table 2 - Project budget by UN cost category-PBF</t>
  </si>
  <si>
    <t>Funds Balance for all 3 tranches</t>
  </si>
  <si>
    <t>Expenditure and Commitments</t>
  </si>
  <si>
    <r>
      <t>PBF</t>
    </r>
    <r>
      <rPr>
        <sz val="10"/>
        <color rgb="FFFF0000"/>
        <rFont val="Calibri"/>
        <family val="2"/>
        <scheme val="minor"/>
      </rPr>
      <t xml:space="preserve"> </t>
    </r>
    <r>
      <rPr>
        <b/>
        <sz val="10"/>
        <color rgb="FFFF0000"/>
        <rFont val="Calibri"/>
        <family val="2"/>
        <scheme val="minor"/>
      </rPr>
      <t>UN Women</t>
    </r>
    <r>
      <rPr>
        <b/>
        <sz val="10"/>
        <color theme="1"/>
        <rFont val="Calibri"/>
        <family val="2"/>
        <scheme val="minor"/>
      </rPr>
      <t xml:space="preserve"> </t>
    </r>
    <r>
      <rPr>
        <sz val="10"/>
        <color theme="1"/>
        <rFont val="Calibri"/>
        <family val="2"/>
        <scheme val="minor"/>
      </rPr>
      <t xml:space="preserve">Current level of </t>
    </r>
    <r>
      <rPr>
        <b/>
        <sz val="10"/>
        <color theme="1"/>
        <rFont val="Calibri"/>
        <family val="2"/>
        <scheme val="minor"/>
      </rPr>
      <t>expenditure/ commitment</t>
    </r>
  </si>
  <si>
    <r>
      <t xml:space="preserve">MPTF
</t>
    </r>
    <r>
      <rPr>
        <b/>
        <sz val="10"/>
        <color rgb="FFFF0000"/>
        <rFont val="Calibri"/>
        <family val="2"/>
        <scheme val="minor"/>
      </rPr>
      <t>UN Women</t>
    </r>
    <r>
      <rPr>
        <sz val="10"/>
        <color theme="1"/>
        <rFont val="Calibri"/>
        <family val="2"/>
        <scheme val="minor"/>
      </rPr>
      <t xml:space="preserve"> Current level of expenditure/ commitment </t>
    </r>
  </si>
  <si>
    <r>
      <t xml:space="preserve">PBF
</t>
    </r>
    <r>
      <rPr>
        <sz val="10"/>
        <color rgb="FFFF0000"/>
        <rFont val="Calibri"/>
        <family val="2"/>
        <scheme val="minor"/>
      </rPr>
      <t>UNDP</t>
    </r>
    <r>
      <rPr>
        <sz val="10"/>
        <color theme="1"/>
        <rFont val="Calibri"/>
        <family val="2"/>
        <scheme val="minor"/>
      </rPr>
      <t xml:space="preserve"> Current level of </t>
    </r>
    <r>
      <rPr>
        <b/>
        <sz val="10"/>
        <color theme="1"/>
        <rFont val="Calibri"/>
        <family val="2"/>
        <scheme val="minor"/>
      </rPr>
      <t>expenditure</t>
    </r>
    <r>
      <rPr>
        <sz val="10"/>
        <color theme="1"/>
        <rFont val="Calibri"/>
        <family val="2"/>
        <scheme val="minor"/>
      </rPr>
      <t xml:space="preserve"> (without commitments)</t>
    </r>
  </si>
  <si>
    <r>
      <t xml:space="preserve">MPTF
</t>
    </r>
    <r>
      <rPr>
        <sz val="10"/>
        <color rgb="FFFF0000"/>
        <rFont val="Calibri"/>
        <family val="2"/>
        <scheme val="minor"/>
      </rPr>
      <t>UNDP</t>
    </r>
    <r>
      <rPr>
        <sz val="10"/>
        <color theme="1"/>
        <rFont val="Calibri"/>
        <family val="2"/>
        <scheme val="minor"/>
      </rPr>
      <t xml:space="preserve"> Current level of </t>
    </r>
    <r>
      <rPr>
        <b/>
        <sz val="10"/>
        <color theme="1"/>
        <rFont val="Calibri"/>
        <family val="2"/>
        <scheme val="minor"/>
      </rPr>
      <t>expenditure</t>
    </r>
    <r>
      <rPr>
        <sz val="10"/>
        <color theme="1"/>
        <rFont val="Calibri"/>
        <family val="2"/>
        <scheme val="minor"/>
      </rPr>
      <t xml:space="preserve"> (without commitments)</t>
    </r>
  </si>
  <si>
    <t>Row Labels</t>
  </si>
  <si>
    <t>Sum of Net</t>
  </si>
  <si>
    <t>Contractual Services</t>
  </si>
  <si>
    <t>Equipment,Vehicles and Furniture Including Depreciation</t>
  </si>
  <si>
    <t>General  Operating  and other Direct costs</t>
  </si>
  <si>
    <t>Staff and Other Personnel Costs</t>
  </si>
  <si>
    <t>Supplies Commodities and Materials</t>
  </si>
  <si>
    <t>Travel</t>
  </si>
  <si>
    <t>Expenditure 2022</t>
  </si>
  <si>
    <t>Expenditure 2023</t>
  </si>
  <si>
    <t>Cummulative  Expenditure 2022 -  2023</t>
  </si>
  <si>
    <t>Commitment</t>
  </si>
  <si>
    <t>NBV</t>
  </si>
  <si>
    <t>Sum of ENDING BALANCE</t>
  </si>
  <si>
    <t>Transfers and Grants Counterparts</t>
  </si>
  <si>
    <t>Total Expenditure PBF</t>
  </si>
  <si>
    <t>2022-2023</t>
  </si>
  <si>
    <t>UNW FINANCIAL INFORMATION FOR 2024 IS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</si>
</sst>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_-[$$-409]* #,##0.00_ ;_-[$$-409]* \-#,##0.00\ ;_-[$$-409]* &quot;-&quot;??_ ;_-@_ "/>
    <numFmt numFmtId="169" formatCode="_-* #,##0.00\ _X_D_R_-;\-* #,##0.00\ _X_D_R_-;_-* &quot;-&quot;??\ _X_D_R_-;_-@_-"/>
    <numFmt numFmtId="170" formatCode="0.0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0"/>
      <color theme="1"/>
      <name val="Calibri"/>
      <family val="2"/>
      <scheme val="minor"/>
    </font>
    <font>
      <b/>
      <sz val="10"/>
      <color theme="1"/>
      <name val="Calibri"/>
      <family val="2"/>
      <scheme val="minor"/>
    </font>
    <font>
      <b/>
      <sz val="12"/>
      <color rgb="FFFF0000"/>
      <name val="Calibri"/>
      <family val="2"/>
      <scheme val="minor"/>
    </font>
    <font>
      <sz val="12"/>
      <color rgb="FFFF0000"/>
      <name val="Calibri"/>
      <family val="2"/>
      <scheme val="minor"/>
    </font>
    <font>
      <sz val="12"/>
      <color theme="1"/>
      <name val="Calibri"/>
      <family val="2"/>
      <scheme val="minor"/>
    </font>
    <font>
      <sz val="10"/>
      <name val="Calibri"/>
      <family val="2"/>
      <scheme val="minor"/>
    </font>
    <font>
      <b/>
      <sz val="10"/>
      <color theme="0"/>
      <name val="Calibri"/>
      <family val="2"/>
      <scheme val="minor"/>
    </font>
    <font>
      <sz val="10"/>
      <color theme="0"/>
      <name val="Calibri"/>
      <family val="2"/>
      <scheme val="minor"/>
    </font>
    <font>
      <b/>
      <sz val="10"/>
      <color rgb="FF000000"/>
      <name val="Calibri"/>
      <family val="2"/>
      <scheme val="minor"/>
    </font>
    <font>
      <sz val="11"/>
      <name val="Calibri"/>
      <family val="2"/>
      <scheme val="minor"/>
    </font>
    <font>
      <b/>
      <sz val="11"/>
      <name val="Calibri"/>
      <family val="2"/>
      <scheme val="minor"/>
    </font>
    <font>
      <sz val="10"/>
      <color rgb="FFFF0000"/>
      <name val="Calibri"/>
      <family val="2"/>
      <scheme val="minor"/>
    </font>
    <font>
      <b/>
      <sz val="12"/>
      <color theme="1"/>
      <name val="Calibri"/>
      <family val="2"/>
    </font>
    <font>
      <sz val="12"/>
      <color theme="1"/>
      <name val="Calibri"/>
      <family val="2"/>
    </font>
    <font>
      <b/>
      <i/>
      <sz val="11"/>
      <color rgb="FF0070C0"/>
      <name val="Calibri"/>
      <family val="2"/>
      <scheme val="minor"/>
    </font>
    <font>
      <b/>
      <sz val="11"/>
      <color theme="0"/>
      <name val="Calibri"/>
      <family val="2"/>
      <scheme val="minor"/>
    </font>
    <font>
      <b/>
      <sz val="10"/>
      <color rgb="FFFF0000"/>
      <name val="Calibri"/>
      <family val="2"/>
      <scheme val="minor"/>
    </font>
    <font>
      <b/>
      <u val="singleAccounting"/>
      <sz val="11"/>
      <color theme="1"/>
      <name val="Calibri"/>
      <family val="2"/>
      <scheme val="minor"/>
    </font>
    <font>
      <b/>
      <u val="singleAccounting"/>
      <sz val="11"/>
      <color theme="0"/>
      <name val="Calibri"/>
      <family val="2"/>
      <scheme val="minor"/>
    </font>
    <font>
      <u/>
      <sz val="11"/>
      <color theme="1"/>
      <name val="Calibri"/>
      <family val="2"/>
      <scheme val="minor"/>
    </font>
    <font>
      <b/>
      <sz val="11"/>
      <color rgb="FF0070C0"/>
      <name val="Calibri"/>
      <family val="2"/>
      <scheme val="minor"/>
    </font>
    <font>
      <b/>
      <sz val="11"/>
      <color rgb="FFFF0000"/>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b/>
      <sz val="11"/>
      <color rgb="FF00B050"/>
      <name val="Calibri"/>
      <family val="2"/>
      <scheme val="minor"/>
    </font>
    <font>
      <b/>
      <sz val="9"/>
      <color indexed="81"/>
      <name val="Tahoma"/>
      <family val="2"/>
    </font>
    <font>
      <sz val="9"/>
      <color indexed="81"/>
      <name val="Tahoma"/>
      <family val="2"/>
    </font>
    <font>
      <sz val="11"/>
      <color theme="0"/>
      <name val="Calibri"/>
      <family val="2"/>
      <scheme val="minor"/>
    </font>
    <font>
      <sz val="20"/>
      <color theme="0"/>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CC"/>
        <bgColor indexed="64"/>
      </patternFill>
    </fill>
    <fill>
      <patternFill patternType="solid">
        <fgColor rgb="FFFFC0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9797"/>
        <bgColor indexed="64"/>
      </patternFill>
    </fill>
    <fill>
      <patternFill patternType="solid">
        <fgColor rgb="FFDDDDDD"/>
        <bgColor indexed="64"/>
      </patternFill>
    </fill>
    <fill>
      <patternFill patternType="solid">
        <fgColor theme="2" tint="-9.9978637043366805E-2"/>
        <bgColor indexed="64"/>
      </patternFill>
    </fill>
    <fill>
      <patternFill patternType="solid">
        <fgColor rgb="FFFFA7A7"/>
        <bgColor indexed="64"/>
      </patternFill>
    </fill>
    <fill>
      <patternFill patternType="solid">
        <fgColor rgb="FFFF9B9B"/>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99FF"/>
        <bgColor indexed="64"/>
      </patternFill>
    </fill>
    <fill>
      <patternFill patternType="solid">
        <fgColor theme="4" tint="0.59999389629810485"/>
        <bgColor indexed="64"/>
      </patternFill>
    </fill>
    <fill>
      <patternFill patternType="solid">
        <fgColor rgb="FFE3CFE0"/>
        <bgColor indexed="64"/>
      </patternFill>
    </fill>
    <fill>
      <patternFill patternType="solid">
        <fgColor rgb="FFC00000"/>
        <bgColor indexed="64"/>
      </patternFill>
    </fill>
    <fill>
      <patternFill patternType="solid">
        <fgColor theme="3"/>
        <bgColor indexed="64"/>
      </patternFill>
    </fill>
    <fill>
      <patternFill patternType="solid">
        <fgColor theme="7"/>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rgb="FFCDA6F4"/>
        <bgColor indexed="64"/>
      </patternFill>
    </fill>
    <fill>
      <patternFill patternType="solid">
        <fgColor theme="5" tint="0.79998168889431442"/>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cellStyleXfs>
  <cellXfs count="480">
    <xf numFmtId="0" fontId="0" fillId="0" borderId="0" xfId="0"/>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166" fontId="5" fillId="2" borderId="0" xfId="2" applyFont="1" applyFill="1" applyBorder="1" applyAlignment="1">
      <alignment horizontal="left" wrapText="1"/>
    </xf>
    <xf numFmtId="0" fontId="7" fillId="0" borderId="0" xfId="0" applyFont="1" applyAlignment="1">
      <alignment wrapText="1"/>
    </xf>
    <xf numFmtId="166" fontId="8" fillId="2" borderId="0" xfId="2" applyFont="1" applyFill="1" applyBorder="1" applyAlignment="1">
      <alignment horizontal="left" wrapText="1"/>
    </xf>
    <xf numFmtId="0" fontId="9" fillId="3" borderId="2" xfId="0" applyFont="1" applyFill="1" applyBorder="1" applyAlignment="1">
      <alignment horizontal="center" vertical="center" wrapText="1"/>
    </xf>
    <xf numFmtId="0" fontId="10" fillId="2" borderId="2" xfId="0" applyFont="1" applyFill="1" applyBorder="1" applyAlignment="1" applyProtection="1">
      <alignment vertical="center" wrapText="1"/>
      <protection locked="0"/>
    </xf>
    <xf numFmtId="0" fontId="10" fillId="2" borderId="2" xfId="0" applyFont="1" applyFill="1" applyBorder="1" applyAlignment="1" applyProtection="1">
      <alignment horizontal="center" vertical="center" wrapText="1"/>
      <protection locked="0"/>
    </xf>
    <xf numFmtId="0" fontId="10" fillId="3" borderId="2" xfId="0" applyFont="1" applyFill="1" applyBorder="1" applyAlignment="1">
      <alignment vertical="center" wrapText="1"/>
    </xf>
    <xf numFmtId="0" fontId="10"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11" fillId="0" borderId="0" xfId="0" applyFont="1" applyAlignment="1">
      <alignment horizontal="center" vertical="center" wrapText="1"/>
    </xf>
    <xf numFmtId="0" fontId="0" fillId="0" borderId="0" xfId="0" applyAlignment="1">
      <alignment horizontal="left" vertical="top" wrapText="1"/>
    </xf>
    <xf numFmtId="0" fontId="10" fillId="3" borderId="2" xfId="0" applyFont="1" applyFill="1" applyBorder="1" applyAlignment="1">
      <alignment horizontal="left" vertical="top" wrapText="1"/>
    </xf>
    <xf numFmtId="166" fontId="12" fillId="0" borderId="0" xfId="2" applyFont="1" applyFill="1" applyBorder="1" applyAlignment="1" applyProtection="1">
      <alignment horizontal="left" vertical="top" wrapText="1"/>
    </xf>
    <xf numFmtId="166" fontId="7" fillId="0" borderId="0" xfId="2" applyFont="1" applyFill="1" applyBorder="1" applyAlignment="1" applyProtection="1">
      <alignment horizontal="left" vertical="top" wrapText="1"/>
    </xf>
    <xf numFmtId="0" fontId="9" fillId="3" borderId="2" xfId="0" applyFont="1" applyFill="1" applyBorder="1" applyAlignment="1">
      <alignment horizontal="left" vertical="top" wrapText="1"/>
    </xf>
    <xf numFmtId="0" fontId="9" fillId="2" borderId="2" xfId="0" applyFont="1" applyFill="1" applyBorder="1" applyAlignment="1" applyProtection="1">
      <alignment horizontal="left" vertical="top" wrapText="1"/>
      <protection locked="0"/>
    </xf>
    <xf numFmtId="168" fontId="9" fillId="2" borderId="2" xfId="2" applyNumberFormat="1" applyFont="1" applyFill="1" applyBorder="1" applyAlignment="1" applyProtection="1">
      <alignment vertical="top" wrapText="1"/>
      <protection locked="0"/>
    </xf>
    <xf numFmtId="166" fontId="9" fillId="2" borderId="2" xfId="2" applyFont="1" applyFill="1" applyBorder="1" applyAlignment="1" applyProtection="1">
      <alignment horizontal="left" vertical="top" wrapText="1"/>
      <protection locked="0"/>
    </xf>
    <xf numFmtId="166" fontId="9" fillId="3" borderId="2" xfId="2" applyFont="1" applyFill="1" applyBorder="1" applyAlignment="1" applyProtection="1">
      <alignment vertical="top" wrapText="1"/>
    </xf>
    <xf numFmtId="166" fontId="9" fillId="3" borderId="2" xfId="2" applyFont="1" applyFill="1" applyBorder="1" applyAlignment="1" applyProtection="1">
      <alignment horizontal="left" vertical="top" wrapText="1"/>
    </xf>
    <xf numFmtId="9" fontId="9" fillId="2" borderId="2" xfId="3" applyFont="1" applyFill="1" applyBorder="1" applyAlignment="1" applyProtection="1">
      <alignment horizontal="left" vertical="top" wrapText="1"/>
      <protection locked="0"/>
    </xf>
    <xf numFmtId="49" fontId="9" fillId="2" borderId="2" xfId="2" applyNumberFormat="1" applyFont="1" applyFill="1" applyBorder="1" applyAlignment="1" applyProtection="1">
      <alignment horizontal="left" vertical="top" wrapText="1"/>
      <protection locked="0"/>
    </xf>
    <xf numFmtId="166" fontId="13" fillId="0" borderId="0" xfId="2" applyFont="1" applyFill="1" applyBorder="1" applyAlignment="1" applyProtection="1">
      <alignment horizontal="left" vertical="top" wrapText="1"/>
    </xf>
    <xf numFmtId="0" fontId="0" fillId="2" borderId="0" xfId="0" applyFill="1" applyAlignment="1">
      <alignment horizontal="left" vertical="top" wrapText="1"/>
    </xf>
    <xf numFmtId="166" fontId="9" fillId="0" borderId="2" xfId="2" applyFont="1" applyBorder="1" applyAlignment="1" applyProtection="1">
      <alignment horizontal="left" vertical="top" wrapText="1"/>
      <protection locked="0"/>
    </xf>
    <xf numFmtId="9" fontId="9" fillId="0" borderId="2" xfId="3" applyFont="1" applyBorder="1" applyAlignment="1" applyProtection="1">
      <alignment horizontal="left" vertical="top" wrapText="1"/>
      <protection locked="0"/>
    </xf>
    <xf numFmtId="49" fontId="9" fillId="0" borderId="2" xfId="2" applyNumberFormat="1" applyFont="1" applyBorder="1" applyAlignment="1" applyProtection="1">
      <alignment horizontal="left" vertical="top" wrapText="1"/>
      <protection locked="0"/>
    </xf>
    <xf numFmtId="0" fontId="14" fillId="2" borderId="2" xfId="0" applyFont="1" applyFill="1" applyBorder="1" applyAlignment="1" applyProtection="1">
      <alignment horizontal="left" vertical="top" wrapText="1"/>
      <protection locked="0"/>
    </xf>
    <xf numFmtId="165" fontId="9" fillId="3" borderId="2" xfId="2" applyNumberFormat="1" applyFont="1" applyFill="1" applyBorder="1" applyAlignment="1" applyProtection="1">
      <alignment vertical="top" wrapText="1"/>
    </xf>
    <xf numFmtId="0" fontId="9" fillId="3" borderId="0" xfId="0" applyFont="1" applyFill="1" applyAlignment="1">
      <alignment horizontal="left" vertical="top" wrapText="1"/>
    </xf>
    <xf numFmtId="0" fontId="9" fillId="0" borderId="0" xfId="0" applyFont="1" applyAlignment="1">
      <alignment horizontal="left" vertical="top" wrapText="1"/>
    </xf>
    <xf numFmtId="166" fontId="10" fillId="3" borderId="2" xfId="2" applyFont="1" applyFill="1" applyBorder="1" applyAlignment="1" applyProtection="1">
      <alignment vertical="top" wrapText="1"/>
    </xf>
    <xf numFmtId="166" fontId="10" fillId="3" borderId="2" xfId="2" applyFont="1" applyFill="1" applyBorder="1" applyAlignment="1" applyProtection="1">
      <alignment horizontal="left" vertical="top" wrapText="1"/>
    </xf>
    <xf numFmtId="166" fontId="10" fillId="2" borderId="2" xfId="2" applyFont="1" applyFill="1" applyBorder="1" applyAlignment="1" applyProtection="1">
      <alignment horizontal="left" vertical="top" wrapText="1"/>
    </xf>
    <xf numFmtId="0" fontId="0" fillId="0" borderId="2" xfId="0" applyBorder="1" applyAlignment="1">
      <alignment horizontal="left" vertical="top" wrapText="1"/>
    </xf>
    <xf numFmtId="166" fontId="9" fillId="0" borderId="2" xfId="2" applyFont="1" applyBorder="1" applyAlignment="1" applyProtection="1">
      <alignment vertical="top" wrapText="1"/>
      <protection locked="0"/>
    </xf>
    <xf numFmtId="166" fontId="10" fillId="3" borderId="6" xfId="2" applyFont="1" applyFill="1" applyBorder="1" applyAlignment="1" applyProtection="1">
      <alignment vertical="top" wrapText="1"/>
    </xf>
    <xf numFmtId="166" fontId="10" fillId="3" borderId="6" xfId="2" applyFont="1" applyFill="1" applyBorder="1" applyAlignment="1" applyProtection="1">
      <alignment horizontal="left" vertical="top" wrapText="1"/>
    </xf>
    <xf numFmtId="0" fontId="9" fillId="0" borderId="2" xfId="0" applyFont="1" applyBorder="1" applyAlignment="1" applyProtection="1">
      <alignment horizontal="left" vertical="top" wrapText="1"/>
      <protection locked="0"/>
    </xf>
    <xf numFmtId="168" fontId="9" fillId="2" borderId="2" xfId="2" applyNumberFormat="1" applyFont="1" applyFill="1" applyBorder="1" applyAlignment="1" applyProtection="1">
      <alignment vertical="top" wrapText="1"/>
    </xf>
    <xf numFmtId="168" fontId="0" fillId="2" borderId="0" xfId="0" applyNumberFormat="1" applyFill="1" applyAlignment="1">
      <alignment horizontal="left" vertical="top" wrapText="1"/>
    </xf>
    <xf numFmtId="166" fontId="9" fillId="2" borderId="2" xfId="2" applyFont="1" applyFill="1" applyBorder="1" applyAlignment="1" applyProtection="1">
      <alignment vertical="top" wrapText="1"/>
      <protection locked="0"/>
    </xf>
    <xf numFmtId="0" fontId="15" fillId="8" borderId="2" xfId="0" applyFont="1" applyFill="1" applyBorder="1" applyAlignment="1">
      <alignment horizontal="left" vertical="top" wrapText="1"/>
    </xf>
    <xf numFmtId="166" fontId="15" fillId="8" borderId="2" xfId="2" applyFont="1" applyFill="1" applyBorder="1" applyAlignment="1" applyProtection="1">
      <alignment vertical="top" wrapText="1"/>
    </xf>
    <xf numFmtId="166" fontId="15" fillId="8" borderId="2" xfId="2" applyFont="1" applyFill="1" applyBorder="1" applyAlignment="1" applyProtection="1">
      <alignment horizontal="left" vertical="top" wrapText="1"/>
    </xf>
    <xf numFmtId="0" fontId="10" fillId="9" borderId="2" xfId="0" applyFont="1" applyFill="1" applyBorder="1" applyAlignment="1" applyProtection="1">
      <alignment horizontal="left" vertical="center" wrapText="1"/>
      <protection locked="0"/>
    </xf>
    <xf numFmtId="166" fontId="10" fillId="9" borderId="2" xfId="0" applyNumberFormat="1" applyFont="1" applyFill="1" applyBorder="1" applyAlignment="1" applyProtection="1">
      <alignment horizontal="left" vertical="center" wrapText="1"/>
      <protection locked="0"/>
    </xf>
    <xf numFmtId="166" fontId="10" fillId="9" borderId="2" xfId="2" applyFont="1" applyFill="1" applyBorder="1" applyAlignment="1" applyProtection="1">
      <alignment vertical="center" wrapText="1"/>
      <protection locked="0"/>
    </xf>
    <xf numFmtId="166" fontId="10" fillId="9" borderId="2" xfId="2" applyFont="1" applyFill="1" applyBorder="1" applyAlignment="1" applyProtection="1">
      <alignment horizontal="left" vertical="center" wrapText="1"/>
      <protection locked="0"/>
    </xf>
    <xf numFmtId="166" fontId="13" fillId="2" borderId="0" xfId="2" applyFont="1" applyFill="1" applyBorder="1" applyAlignment="1" applyProtection="1">
      <alignment horizontal="left" vertical="center" wrapText="1"/>
    </xf>
    <xf numFmtId="0" fontId="0" fillId="2" borderId="0" xfId="0" applyFill="1" applyAlignment="1">
      <alignment horizontal="left" vertical="center" wrapText="1"/>
    </xf>
    <xf numFmtId="0" fontId="10" fillId="2" borderId="2" xfId="0" applyFont="1" applyFill="1" applyBorder="1" applyAlignment="1" applyProtection="1">
      <alignment horizontal="left" vertical="center" wrapText="1"/>
      <protection locked="0"/>
    </xf>
    <xf numFmtId="166" fontId="10" fillId="2" borderId="3" xfId="0" applyNumberFormat="1" applyFont="1" applyFill="1" applyBorder="1" applyAlignment="1" applyProtection="1">
      <alignment horizontal="left" vertical="center" wrapText="1"/>
      <protection locked="0"/>
    </xf>
    <xf numFmtId="166" fontId="10" fillId="2" borderId="4" xfId="2" applyFont="1" applyFill="1" applyBorder="1" applyAlignment="1" applyProtection="1">
      <alignment vertical="center" wrapText="1"/>
      <protection locked="0"/>
    </xf>
    <xf numFmtId="166" fontId="10" fillId="2" borderId="4" xfId="2" applyFont="1" applyFill="1" applyBorder="1" applyAlignment="1" applyProtection="1">
      <alignment horizontal="left" vertical="center" wrapText="1"/>
      <protection locked="0"/>
    </xf>
    <xf numFmtId="166" fontId="10" fillId="2" borderId="5" xfId="2" applyFont="1" applyFill="1" applyBorder="1" applyAlignment="1" applyProtection="1">
      <alignment horizontal="left" vertical="center" wrapText="1"/>
      <protection locked="0"/>
    </xf>
    <xf numFmtId="0" fontId="0" fillId="0" borderId="0" xfId="0" applyAlignment="1">
      <alignment vertical="center" wrapText="1"/>
    </xf>
    <xf numFmtId="0" fontId="10" fillId="3" borderId="2" xfId="0" applyFont="1" applyFill="1" applyBorder="1" applyAlignment="1">
      <alignment horizontal="left" vertical="center" wrapText="1"/>
    </xf>
    <xf numFmtId="166" fontId="12" fillId="0" borderId="0" xfId="2" applyFont="1" applyFill="1" applyBorder="1" applyAlignment="1" applyProtection="1">
      <alignment vertical="center" wrapText="1"/>
    </xf>
    <xf numFmtId="166" fontId="7" fillId="0" borderId="0" xfId="2" applyFont="1" applyFill="1" applyBorder="1" applyAlignment="1" applyProtection="1">
      <alignment vertical="center" wrapText="1"/>
    </xf>
    <xf numFmtId="168" fontId="9" fillId="0" borderId="0" xfId="0" applyNumberFormat="1" applyFont="1" applyAlignment="1" applyProtection="1">
      <alignment vertical="top" wrapText="1"/>
      <protection locked="0"/>
    </xf>
    <xf numFmtId="168" fontId="9" fillId="0" borderId="2" xfId="2" applyNumberFormat="1" applyFont="1" applyBorder="1" applyAlignment="1" applyProtection="1">
      <alignment vertical="top" wrapText="1"/>
      <protection locked="0"/>
    </xf>
    <xf numFmtId="0" fontId="14" fillId="10" borderId="2" xfId="0" applyFont="1" applyFill="1" applyBorder="1" applyAlignment="1" applyProtection="1">
      <alignment horizontal="left" vertical="top" wrapText="1"/>
      <protection locked="0"/>
    </xf>
    <xf numFmtId="168" fontId="9" fillId="3" borderId="2" xfId="2" applyNumberFormat="1" applyFont="1" applyFill="1" applyBorder="1" applyAlignment="1" applyProtection="1">
      <alignment vertical="top" wrapText="1"/>
    </xf>
    <xf numFmtId="168" fontId="9" fillId="3" borderId="2" xfId="2" applyNumberFormat="1" applyFont="1" applyFill="1" applyBorder="1" applyAlignment="1" applyProtection="1">
      <alignment horizontal="left" vertical="top" wrapText="1"/>
    </xf>
    <xf numFmtId="166" fontId="13" fillId="0" borderId="0" xfId="2" applyFont="1" applyFill="1" applyBorder="1" applyAlignment="1" applyProtection="1">
      <alignment horizontal="center" vertical="center" wrapText="1"/>
    </xf>
    <xf numFmtId="166" fontId="7" fillId="0" borderId="0" xfId="2" applyFont="1" applyFill="1" applyBorder="1" applyAlignment="1" applyProtection="1">
      <alignment horizontal="center" vertical="center" wrapText="1"/>
    </xf>
    <xf numFmtId="0" fontId="0" fillId="2" borderId="0" xfId="0" applyFill="1" applyAlignment="1">
      <alignment wrapText="1"/>
    </xf>
    <xf numFmtId="164" fontId="9" fillId="0" borderId="2" xfId="2" applyNumberFormat="1" applyFont="1" applyBorder="1" applyAlignment="1" applyProtection="1">
      <alignment vertical="top" wrapText="1"/>
      <protection locked="0"/>
    </xf>
    <xf numFmtId="166" fontId="17" fillId="11" borderId="2" xfId="0" applyNumberFormat="1" applyFont="1" applyFill="1" applyBorder="1" applyAlignment="1">
      <alignment horizontal="left" vertical="top" wrapText="1"/>
    </xf>
    <xf numFmtId="165" fontId="9" fillId="0" borderId="2" xfId="2" applyNumberFormat="1" applyFont="1" applyBorder="1" applyAlignment="1" applyProtection="1">
      <alignment vertical="top" wrapText="1"/>
      <protection locked="0"/>
    </xf>
    <xf numFmtId="0" fontId="10" fillId="3" borderId="6" xfId="0" applyFont="1" applyFill="1" applyBorder="1" applyAlignment="1">
      <alignment horizontal="left" vertical="top" wrapText="1"/>
    </xf>
    <xf numFmtId="166" fontId="17" fillId="11" borderId="6" xfId="0" applyNumberFormat="1" applyFont="1" applyFill="1" applyBorder="1" applyAlignment="1">
      <alignment horizontal="left" vertical="top" wrapText="1"/>
    </xf>
    <xf numFmtId="49" fontId="9" fillId="2" borderId="6" xfId="2" applyNumberFormat="1" applyFont="1" applyFill="1" applyBorder="1" applyAlignment="1" applyProtection="1">
      <alignment horizontal="left" vertical="top" wrapText="1"/>
      <protection locked="0"/>
    </xf>
    <xf numFmtId="0" fontId="10" fillId="9" borderId="2" xfId="0" applyFont="1" applyFill="1" applyBorder="1" applyAlignment="1">
      <alignment vertical="center" wrapText="1"/>
    </xf>
    <xf numFmtId="169" fontId="10" fillId="9" borderId="2" xfId="0" applyNumberFormat="1" applyFont="1" applyFill="1" applyBorder="1" applyAlignment="1" applyProtection="1">
      <alignment vertical="center" wrapText="1"/>
      <protection locked="0"/>
    </xf>
    <xf numFmtId="0" fontId="18" fillId="12" borderId="0" xfId="0" applyFont="1" applyFill="1" applyAlignment="1">
      <alignment wrapText="1"/>
    </xf>
    <xf numFmtId="0" fontId="19" fillId="12" borderId="0" xfId="0" applyFont="1" applyFill="1" applyAlignment="1">
      <alignment wrapText="1"/>
    </xf>
    <xf numFmtId="43" fontId="19" fillId="12" borderId="0" xfId="1" applyFont="1" applyFill="1" applyAlignment="1">
      <alignment wrapText="1"/>
    </xf>
    <xf numFmtId="0" fontId="7" fillId="0" borderId="0" xfId="0" applyFont="1" applyAlignment="1" applyProtection="1">
      <alignment vertical="center" wrapText="1"/>
      <protection locked="0"/>
    </xf>
    <xf numFmtId="0" fontId="10" fillId="2" borderId="0" xfId="0" applyFont="1" applyFill="1" applyAlignment="1">
      <alignment vertical="center" wrapText="1"/>
    </xf>
    <xf numFmtId="0" fontId="9" fillId="2" borderId="0" xfId="0" applyFont="1" applyFill="1" applyAlignment="1" applyProtection="1">
      <alignment vertical="center" wrapText="1"/>
      <protection locked="0"/>
    </xf>
    <xf numFmtId="166" fontId="9" fillId="2" borderId="0" xfId="2" applyFont="1" applyFill="1" applyBorder="1" applyAlignment="1" applyProtection="1">
      <alignment vertical="center" wrapText="1"/>
      <protection locked="0"/>
    </xf>
    <xf numFmtId="166" fontId="9" fillId="2" borderId="0" xfId="2" applyFont="1" applyFill="1" applyBorder="1" applyAlignment="1" applyProtection="1">
      <alignment horizontal="left" vertical="center" wrapText="1"/>
      <protection locked="0"/>
    </xf>
    <xf numFmtId="0" fontId="2" fillId="2" borderId="2" xfId="0" applyFont="1" applyFill="1" applyBorder="1" applyAlignment="1" applyProtection="1">
      <alignment vertical="center" wrapText="1"/>
      <protection locked="0"/>
    </xf>
    <xf numFmtId="166" fontId="9" fillId="13" borderId="2" xfId="2" applyFont="1" applyFill="1" applyBorder="1" applyAlignment="1" applyProtection="1">
      <alignment vertical="center" wrapText="1"/>
      <protection locked="0"/>
    </xf>
    <xf numFmtId="166" fontId="9" fillId="0" borderId="2" xfId="2" applyFont="1" applyBorder="1" applyAlignment="1" applyProtection="1">
      <alignment vertical="center" wrapText="1"/>
      <protection locked="0"/>
    </xf>
    <xf numFmtId="166" fontId="9" fillId="3" borderId="2" xfId="2" applyFont="1" applyFill="1" applyBorder="1" applyAlignment="1" applyProtection="1">
      <alignment vertical="center" wrapText="1"/>
    </xf>
    <xf numFmtId="9" fontId="9" fillId="0" borderId="2" xfId="3" applyFont="1" applyBorder="1" applyAlignment="1" applyProtection="1">
      <alignment vertical="center" wrapText="1"/>
      <protection locked="0"/>
    </xf>
    <xf numFmtId="166" fontId="9" fillId="2" borderId="2" xfId="2" applyFont="1" applyFill="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0" fontId="9" fillId="2" borderId="5" xfId="0" applyFont="1" applyFill="1" applyBorder="1" applyAlignment="1" applyProtection="1">
      <alignment vertical="center" wrapText="1"/>
      <protection locked="0"/>
    </xf>
    <xf numFmtId="0" fontId="10" fillId="3" borderId="7" xfId="0" applyFont="1" applyFill="1" applyBorder="1" applyAlignment="1">
      <alignment vertical="center" wrapText="1"/>
    </xf>
    <xf numFmtId="0" fontId="9" fillId="2" borderId="2" xfId="0" applyFont="1" applyFill="1" applyBorder="1" applyAlignment="1" applyProtection="1">
      <alignment vertical="center" wrapText="1"/>
      <protection locked="0"/>
    </xf>
    <xf numFmtId="0" fontId="10" fillId="14" borderId="2" xfId="0" applyFont="1" applyFill="1" applyBorder="1" applyAlignment="1" applyProtection="1">
      <alignment vertical="center" wrapText="1"/>
      <protection locked="0"/>
    </xf>
    <xf numFmtId="166" fontId="10" fillId="15" borderId="2" xfId="2" applyFont="1" applyFill="1" applyBorder="1" applyAlignment="1" applyProtection="1">
      <alignment vertical="center" wrapText="1"/>
    </xf>
    <xf numFmtId="166" fontId="10" fillId="14" borderId="2" xfId="2" applyFont="1" applyFill="1" applyBorder="1" applyAlignment="1" applyProtection="1">
      <alignment vertical="center" wrapText="1"/>
    </xf>
    <xf numFmtId="166" fontId="10" fillId="16" borderId="2" xfId="2" applyFont="1" applyFill="1" applyBorder="1" applyAlignment="1" applyProtection="1">
      <alignment vertical="center" wrapText="1"/>
    </xf>
    <xf numFmtId="166" fontId="10" fillId="3" borderId="2" xfId="2" applyFont="1" applyFill="1" applyBorder="1" applyAlignment="1" applyProtection="1">
      <alignment horizontal="center" vertical="center" wrapText="1"/>
    </xf>
    <xf numFmtId="166" fontId="17" fillId="11" borderId="2" xfId="0" applyNumberFormat="1" applyFont="1" applyFill="1" applyBorder="1" applyAlignment="1">
      <alignment horizontal="left" vertical="center" wrapText="1"/>
    </xf>
    <xf numFmtId="0" fontId="7" fillId="2" borderId="0" xfId="0" applyFont="1" applyFill="1" applyAlignment="1" applyProtection="1">
      <alignment vertical="center" wrapText="1"/>
      <protection locked="0"/>
    </xf>
    <xf numFmtId="0" fontId="10" fillId="2" borderId="0" xfId="0" applyFont="1" applyFill="1" applyAlignment="1" applyProtection="1">
      <alignment vertical="center" wrapText="1"/>
      <protection locked="0"/>
    </xf>
    <xf numFmtId="166" fontId="10" fillId="3" borderId="0" xfId="2" applyFont="1" applyFill="1" applyBorder="1" applyAlignment="1" applyProtection="1">
      <alignment horizontal="center" vertical="center" wrapText="1"/>
    </xf>
    <xf numFmtId="0" fontId="9" fillId="2" borderId="0" xfId="0" applyFont="1" applyFill="1" applyAlignment="1">
      <alignment vertical="center" wrapText="1"/>
    </xf>
    <xf numFmtId="0" fontId="9" fillId="3" borderId="15" xfId="0" applyFont="1" applyFill="1" applyBorder="1" applyAlignment="1">
      <alignment vertical="center" wrapText="1"/>
    </xf>
    <xf numFmtId="166" fontId="9" fillId="3" borderId="2" xfId="0" applyNumberFormat="1" applyFont="1" applyFill="1" applyBorder="1" applyAlignment="1">
      <alignment vertical="center" wrapText="1"/>
    </xf>
    <xf numFmtId="166" fontId="9" fillId="3" borderId="16" xfId="0" applyNumberFormat="1" applyFont="1" applyFill="1" applyBorder="1" applyAlignment="1">
      <alignment vertical="center" wrapText="1"/>
    </xf>
    <xf numFmtId="0" fontId="9" fillId="0" borderId="0" xfId="0" applyFont="1" applyAlignment="1" applyProtection="1">
      <alignment vertical="center" wrapText="1"/>
      <protection locked="0"/>
    </xf>
    <xf numFmtId="166" fontId="9" fillId="3" borderId="0" xfId="0" applyNumberFormat="1" applyFont="1" applyFill="1" applyAlignment="1">
      <alignment vertical="center" wrapText="1"/>
    </xf>
    <xf numFmtId="0" fontId="9" fillId="0" borderId="0" xfId="0" applyFont="1" applyAlignment="1">
      <alignment vertical="center" wrapText="1"/>
    </xf>
    <xf numFmtId="0" fontId="10" fillId="3" borderId="11" xfId="0" applyFont="1" applyFill="1" applyBorder="1" applyAlignment="1">
      <alignment vertical="center" wrapText="1"/>
    </xf>
    <xf numFmtId="166" fontId="10" fillId="16" borderId="16" xfId="0" applyNumberFormat="1" applyFont="1" applyFill="1" applyBorder="1" applyAlignment="1">
      <alignment vertical="center" wrapText="1"/>
    </xf>
    <xf numFmtId="166" fontId="9" fillId="3" borderId="6" xfId="0" applyNumberFormat="1" applyFont="1" applyFill="1" applyBorder="1" applyAlignment="1">
      <alignment vertical="center" wrapText="1"/>
    </xf>
    <xf numFmtId="166" fontId="9" fillId="0" borderId="0" xfId="0" applyNumberFormat="1" applyFont="1" applyAlignment="1" applyProtection="1">
      <alignment vertical="center" wrapText="1"/>
      <protection locked="0"/>
    </xf>
    <xf numFmtId="0" fontId="9" fillId="3" borderId="11" xfId="0" applyFont="1" applyFill="1" applyBorder="1" applyAlignment="1">
      <alignment vertical="center" wrapText="1"/>
    </xf>
    <xf numFmtId="166" fontId="10" fillId="3" borderId="0" xfId="2" applyFont="1" applyFill="1" applyBorder="1" applyAlignment="1" applyProtection="1">
      <alignment vertical="center" wrapText="1"/>
    </xf>
    <xf numFmtId="0" fontId="10" fillId="3" borderId="17" xfId="0" applyFont="1" applyFill="1" applyBorder="1" applyAlignment="1">
      <alignment vertical="center" wrapText="1"/>
    </xf>
    <xf numFmtId="166" fontId="10" fillId="3" borderId="18" xfId="2" applyFont="1" applyFill="1" applyBorder="1" applyAlignment="1" applyProtection="1">
      <alignment vertical="center" wrapText="1"/>
    </xf>
    <xf numFmtId="166" fontId="9" fillId="2" borderId="0" xfId="2" applyFont="1" applyFill="1" applyBorder="1" applyAlignment="1">
      <alignment horizontal="left" wrapText="1"/>
    </xf>
    <xf numFmtId="0" fontId="9" fillId="0" borderId="0" xfId="0" applyFont="1" applyAlignment="1">
      <alignment wrapText="1"/>
    </xf>
    <xf numFmtId="166" fontId="10" fillId="2" borderId="0" xfId="2" applyFont="1" applyFill="1" applyBorder="1" applyAlignment="1">
      <alignment horizontal="left" vertical="center" wrapText="1"/>
    </xf>
    <xf numFmtId="0" fontId="10" fillId="0" borderId="0" xfId="0" applyFont="1" applyAlignment="1" applyProtection="1">
      <alignment vertical="center" wrapText="1"/>
      <protection locked="0"/>
    </xf>
    <xf numFmtId="0" fontId="13" fillId="0" borderId="0" xfId="0" applyFont="1" applyAlignment="1">
      <alignment vertical="center" wrapText="1"/>
    </xf>
    <xf numFmtId="166" fontId="10" fillId="2" borderId="0" xfId="0" applyNumberFormat="1" applyFont="1" applyFill="1" applyAlignment="1">
      <alignment vertical="center" wrapText="1"/>
    </xf>
    <xf numFmtId="166" fontId="10" fillId="2" borderId="0" xfId="2" applyFont="1" applyFill="1" applyBorder="1" applyAlignment="1" applyProtection="1">
      <alignment horizontal="left" vertical="center" wrapText="1"/>
    </xf>
    <xf numFmtId="0" fontId="13" fillId="2" borderId="0" xfId="0" applyFont="1" applyFill="1" applyAlignment="1">
      <alignment vertical="center" wrapTex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166" fontId="10" fillId="2" borderId="0" xfId="2" applyFont="1" applyFill="1" applyBorder="1" applyAlignment="1" applyProtection="1">
      <alignment horizontal="left" vertical="center" wrapText="1"/>
      <protection locked="0"/>
    </xf>
    <xf numFmtId="0" fontId="10" fillId="3" borderId="15" xfId="0" applyFont="1" applyFill="1" applyBorder="1" applyAlignment="1">
      <alignment vertical="center" wrapText="1"/>
    </xf>
    <xf numFmtId="166" fontId="10" fillId="3" borderId="2" xfId="2" applyFont="1" applyFill="1" applyBorder="1" applyAlignment="1" applyProtection="1">
      <alignment vertical="center" wrapText="1"/>
    </xf>
    <xf numFmtId="166" fontId="10" fillId="3" borderId="3" xfId="2" applyFont="1" applyFill="1" applyBorder="1" applyAlignment="1" applyProtection="1">
      <alignment vertical="center" wrapText="1"/>
    </xf>
    <xf numFmtId="9" fontId="10" fillId="2" borderId="16" xfId="3" applyFont="1" applyFill="1" applyBorder="1" applyAlignment="1" applyProtection="1">
      <alignment vertical="center" wrapText="1"/>
      <protection locked="0"/>
    </xf>
    <xf numFmtId="166" fontId="10" fillId="3" borderId="19" xfId="2" applyFont="1" applyFill="1" applyBorder="1" applyAlignment="1" applyProtection="1">
      <alignment vertical="center" wrapText="1"/>
    </xf>
    <xf numFmtId="9" fontId="10" fillId="2" borderId="12" xfId="3" applyFont="1" applyFill="1" applyBorder="1" applyAlignment="1" applyProtection="1">
      <alignment vertical="center" wrapText="1"/>
      <protection locked="0"/>
    </xf>
    <xf numFmtId="9" fontId="10" fillId="2" borderId="12" xfId="3" applyFont="1" applyFill="1" applyBorder="1" applyAlignment="1" applyProtection="1">
      <alignment horizontal="right" vertical="center" wrapText="1"/>
      <protection locked="0"/>
    </xf>
    <xf numFmtId="166" fontId="10" fillId="3" borderId="21" xfId="2" applyFont="1" applyFill="1" applyBorder="1" applyAlignment="1" applyProtection="1">
      <alignment vertical="center" wrapText="1"/>
    </xf>
    <xf numFmtId="9" fontId="10" fillId="3" borderId="22" xfId="3" applyFont="1" applyFill="1" applyBorder="1" applyAlignment="1" applyProtection="1">
      <alignment vertical="center" wrapText="1"/>
    </xf>
    <xf numFmtId="0" fontId="10" fillId="0" borderId="0" xfId="0" applyFont="1" applyAlignment="1">
      <alignment vertical="center" wrapText="1"/>
    </xf>
    <xf numFmtId="166" fontId="10" fillId="0" borderId="0" xfId="0" applyNumberFormat="1" applyFont="1" applyAlignment="1">
      <alignment vertical="center" wrapText="1"/>
    </xf>
    <xf numFmtId="0" fontId="10" fillId="9" borderId="23" xfId="0" applyFont="1" applyFill="1" applyBorder="1" applyAlignment="1">
      <alignment horizontal="left" vertical="center" wrapText="1"/>
    </xf>
    <xf numFmtId="166" fontId="10" fillId="9" borderId="16" xfId="3" applyNumberFormat="1" applyFont="1" applyFill="1" applyBorder="1" applyAlignment="1" applyProtection="1">
      <alignment vertical="center" wrapText="1"/>
    </xf>
    <xf numFmtId="166" fontId="10" fillId="3" borderId="23" xfId="0" applyNumberFormat="1" applyFont="1" applyFill="1" applyBorder="1" applyAlignment="1">
      <alignment vertical="center" wrapText="1"/>
    </xf>
    <xf numFmtId="166" fontId="9" fillId="2" borderId="0" xfId="2" applyFont="1" applyFill="1" applyBorder="1" applyAlignment="1">
      <alignment horizontal="left" vertical="center" wrapText="1"/>
    </xf>
    <xf numFmtId="0" fontId="10" fillId="9" borderId="15" xfId="0" applyFont="1" applyFill="1" applyBorder="1" applyAlignment="1">
      <alignment horizontal="left" vertical="center" wrapText="1"/>
    </xf>
    <xf numFmtId="10" fontId="10" fillId="9" borderId="16" xfId="3" applyNumberFormat="1" applyFont="1" applyFill="1" applyBorder="1" applyAlignment="1" applyProtection="1">
      <alignment wrapText="1"/>
    </xf>
    <xf numFmtId="9" fontId="10" fillId="2" borderId="0" xfId="3" applyFont="1" applyFill="1" applyBorder="1" applyAlignment="1">
      <alignment wrapText="1"/>
    </xf>
    <xf numFmtId="0" fontId="9" fillId="3" borderId="17" xfId="0" applyFont="1" applyFill="1" applyBorder="1" applyAlignment="1">
      <alignment wrapText="1"/>
    </xf>
    <xf numFmtId="9" fontId="9" fillId="2" borderId="0" xfId="3" applyFont="1" applyFill="1" applyBorder="1" applyAlignment="1">
      <alignment horizontal="left" wrapText="1"/>
    </xf>
    <xf numFmtId="0" fontId="10" fillId="2" borderId="0" xfId="0" applyFont="1" applyFill="1" applyAlignment="1">
      <alignment horizontal="center" vertical="center" wrapText="1"/>
    </xf>
    <xf numFmtId="166" fontId="10" fillId="9" borderId="16" xfId="3" applyNumberFormat="1" applyFont="1" applyFill="1" applyBorder="1" applyAlignment="1" applyProtection="1">
      <alignment wrapText="1"/>
    </xf>
    <xf numFmtId="166" fontId="10" fillId="2" borderId="0" xfId="3" applyNumberFormat="1" applyFont="1" applyFill="1" applyBorder="1" applyAlignment="1">
      <alignment wrapText="1"/>
    </xf>
    <xf numFmtId="0" fontId="9" fillId="2" borderId="0" xfId="0" applyFont="1" applyFill="1" applyAlignment="1">
      <alignment horizontal="center" vertical="center" wrapText="1"/>
    </xf>
    <xf numFmtId="166" fontId="0" fillId="2" borderId="0" xfId="2" applyFont="1" applyFill="1" applyBorder="1" applyAlignment="1">
      <alignment horizontal="left" wrapText="1"/>
    </xf>
    <xf numFmtId="166" fontId="9" fillId="17" borderId="2" xfId="2" applyFont="1" applyFill="1" applyBorder="1" applyAlignment="1" applyProtection="1">
      <alignment horizontal="left" vertical="top" wrapText="1"/>
    </xf>
    <xf numFmtId="166" fontId="9" fillId="18" borderId="2" xfId="2" applyFont="1" applyFill="1" applyBorder="1" applyAlignment="1" applyProtection="1">
      <alignment horizontal="left" vertical="top" wrapText="1"/>
    </xf>
    <xf numFmtId="166" fontId="10" fillId="18" borderId="6" xfId="2" applyFont="1" applyFill="1" applyBorder="1" applyAlignment="1" applyProtection="1">
      <alignment horizontal="left" vertical="top" wrapText="1"/>
    </xf>
    <xf numFmtId="168" fontId="9" fillId="18" borderId="2" xfId="2" applyNumberFormat="1" applyFont="1" applyFill="1" applyBorder="1" applyAlignment="1" applyProtection="1">
      <alignment horizontal="left" vertical="top" wrapText="1"/>
    </xf>
    <xf numFmtId="166" fontId="10" fillId="19" borderId="2" xfId="2" applyFont="1" applyFill="1" applyBorder="1" applyAlignment="1" applyProtection="1">
      <alignment vertical="top" wrapText="1"/>
    </xf>
    <xf numFmtId="166" fontId="10" fillId="20" borderId="2" xfId="2" applyFont="1" applyFill="1" applyBorder="1" applyAlignment="1" applyProtection="1">
      <alignment vertical="top" wrapText="1"/>
    </xf>
    <xf numFmtId="166" fontId="10" fillId="20" borderId="6" xfId="2" applyFont="1" applyFill="1" applyBorder="1" applyAlignment="1" applyProtection="1">
      <alignment horizontal="left" vertical="top" wrapText="1"/>
    </xf>
    <xf numFmtId="166" fontId="10" fillId="19" borderId="6" xfId="2" applyFont="1" applyFill="1" applyBorder="1" applyAlignment="1" applyProtection="1">
      <alignment horizontal="left" vertical="top" wrapText="1"/>
    </xf>
    <xf numFmtId="0" fontId="10" fillId="21" borderId="2" xfId="0" applyFont="1" applyFill="1" applyBorder="1" applyAlignment="1">
      <alignment horizontal="center" vertical="center" wrapText="1"/>
    </xf>
    <xf numFmtId="166" fontId="9" fillId="3" borderId="3" xfId="0" applyNumberFormat="1" applyFont="1" applyFill="1" applyBorder="1" applyAlignment="1">
      <alignment vertical="center" wrapText="1"/>
    </xf>
    <xf numFmtId="166" fontId="10" fillId="21" borderId="2" xfId="2" applyFont="1" applyFill="1" applyBorder="1" applyAlignment="1" applyProtection="1">
      <alignment vertical="center" wrapText="1"/>
    </xf>
    <xf numFmtId="166" fontId="10" fillId="2" borderId="2" xfId="2" applyFont="1" applyFill="1" applyBorder="1" applyAlignment="1" applyProtection="1">
      <alignment vertical="center" wrapText="1"/>
    </xf>
    <xf numFmtId="0" fontId="9" fillId="21" borderId="11" xfId="0" applyFont="1" applyFill="1" applyBorder="1" applyAlignment="1">
      <alignment vertical="center" wrapText="1"/>
    </xf>
    <xf numFmtId="166" fontId="10" fillId="4" borderId="2" xfId="2" applyFont="1" applyFill="1" applyBorder="1" applyAlignment="1" applyProtection="1">
      <alignment vertical="center" wrapText="1"/>
    </xf>
    <xf numFmtId="0" fontId="13" fillId="0" borderId="0" xfId="0" applyFont="1" applyAlignment="1">
      <alignment wrapText="1"/>
    </xf>
    <xf numFmtId="0" fontId="7" fillId="2" borderId="0" xfId="0" applyFont="1" applyFill="1" applyAlignment="1">
      <alignment horizontal="left" wrapText="1"/>
    </xf>
    <xf numFmtId="166" fontId="7" fillId="3" borderId="6" xfId="2" applyFont="1" applyFill="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166" fontId="21" fillId="2" borderId="0" xfId="2" applyFont="1" applyFill="1" applyBorder="1" applyAlignment="1" applyProtection="1">
      <alignment vertical="center" wrapText="1"/>
    </xf>
    <xf numFmtId="0" fontId="22" fillId="0" borderId="0" xfId="0" applyFont="1" applyAlignment="1">
      <alignment vertical="center" wrapText="1"/>
    </xf>
    <xf numFmtId="0" fontId="7" fillId="3" borderId="18" xfId="0" applyFont="1" applyFill="1" applyBorder="1" applyAlignment="1">
      <alignment horizontal="left" wrapText="1"/>
    </xf>
    <xf numFmtId="166" fontId="7" fillId="3" borderId="18" xfId="0" applyNumberFormat="1" applyFont="1" applyFill="1" applyBorder="1" applyAlignment="1">
      <alignment horizontal="center" wrapText="1"/>
    </xf>
    <xf numFmtId="166" fontId="7" fillId="3" borderId="18" xfId="0" applyNumberFormat="1" applyFont="1" applyFill="1" applyBorder="1" applyAlignment="1">
      <alignment wrapText="1"/>
    </xf>
    <xf numFmtId="0" fontId="22" fillId="3" borderId="7" xfId="0" applyFont="1" applyFill="1" applyBorder="1" applyAlignment="1">
      <alignment vertical="center" wrapText="1"/>
    </xf>
    <xf numFmtId="166" fontId="13" fillId="0" borderId="7" xfId="0" applyNumberFormat="1" applyFont="1" applyBorder="1" applyAlignment="1" applyProtection="1">
      <alignment wrapText="1"/>
      <protection locked="0"/>
    </xf>
    <xf numFmtId="166" fontId="7" fillId="3" borderId="7" xfId="0" applyNumberFormat="1" applyFont="1" applyFill="1" applyBorder="1" applyAlignment="1">
      <alignment wrapText="1"/>
    </xf>
    <xf numFmtId="0" fontId="22" fillId="3" borderId="2" xfId="0" applyFont="1" applyFill="1" applyBorder="1" applyAlignment="1">
      <alignment vertical="center" wrapText="1"/>
    </xf>
    <xf numFmtId="166" fontId="13" fillId="0" borderId="2" xfId="0" applyNumberFormat="1" applyFont="1" applyBorder="1" applyAlignment="1" applyProtection="1">
      <alignment wrapText="1"/>
      <protection locked="0"/>
    </xf>
    <xf numFmtId="166" fontId="7" fillId="3" borderId="2" xfId="0" applyNumberFormat="1" applyFont="1" applyFill="1" applyBorder="1" applyAlignment="1">
      <alignment wrapText="1"/>
    </xf>
    <xf numFmtId="0" fontId="22" fillId="3" borderId="2" xfId="0" applyFont="1" applyFill="1" applyBorder="1" applyAlignment="1" applyProtection="1">
      <alignment vertical="center" wrapText="1"/>
      <protection locked="0"/>
    </xf>
    <xf numFmtId="166" fontId="7" fillId="14" borderId="2" xfId="2" applyFont="1" applyFill="1" applyBorder="1" applyAlignment="1" applyProtection="1">
      <alignment wrapText="1"/>
    </xf>
    <xf numFmtId="166" fontId="7" fillId="14" borderId="2" xfId="2" applyFont="1" applyFill="1" applyBorder="1" applyAlignment="1">
      <alignment wrapText="1"/>
    </xf>
    <xf numFmtId="166" fontId="7" fillId="3" borderId="3" xfId="0" applyNumberFormat="1" applyFont="1" applyFill="1" applyBorder="1" applyAlignment="1">
      <alignment wrapText="1"/>
    </xf>
    <xf numFmtId="169" fontId="9" fillId="2" borderId="0" xfId="0" applyNumberFormat="1" applyFont="1" applyFill="1" applyAlignment="1" applyProtection="1">
      <alignment vertical="center" wrapText="1"/>
      <protection locked="0"/>
    </xf>
    <xf numFmtId="0" fontId="0" fillId="0" borderId="2" xfId="0" applyBorder="1" applyAlignment="1">
      <alignment wrapText="1"/>
    </xf>
    <xf numFmtId="166" fontId="0" fillId="2" borderId="2" xfId="2" applyFont="1" applyFill="1" applyBorder="1" applyAlignment="1">
      <alignment horizontal="left" wrapText="1"/>
    </xf>
    <xf numFmtId="167" fontId="2" fillId="22" borderId="0" xfId="4" applyFont="1" applyFill="1"/>
    <xf numFmtId="167" fontId="0" fillId="22" borderId="0" xfId="4" applyFont="1" applyFill="1"/>
    <xf numFmtId="167" fontId="23" fillId="0" borderId="0" xfId="4" applyFont="1" applyFill="1"/>
    <xf numFmtId="167" fontId="1" fillId="0" borderId="0" xfId="4" applyFont="1" applyFill="1"/>
    <xf numFmtId="167" fontId="0" fillId="0" borderId="0" xfId="4" applyFont="1"/>
    <xf numFmtId="167" fontId="2" fillId="0" borderId="0" xfId="4" applyFont="1"/>
    <xf numFmtId="0" fontId="0" fillId="0" borderId="0" xfId="4" applyNumberFormat="1" applyFont="1"/>
    <xf numFmtId="0" fontId="0" fillId="0" borderId="0" xfId="4" applyNumberFormat="1" applyFont="1" applyAlignment="1">
      <alignment wrapText="1"/>
    </xf>
    <xf numFmtId="167" fontId="1" fillId="0" borderId="0" xfId="4" applyFont="1"/>
    <xf numFmtId="167" fontId="2" fillId="6" borderId="0" xfId="4" applyFont="1" applyFill="1"/>
    <xf numFmtId="167" fontId="0" fillId="6" borderId="0" xfId="4" applyFont="1" applyFill="1"/>
    <xf numFmtId="167" fontId="23" fillId="2" borderId="0" xfId="4" applyFont="1" applyFill="1"/>
    <xf numFmtId="9" fontId="0" fillId="0" borderId="0" xfId="3" applyFont="1"/>
    <xf numFmtId="167" fontId="2" fillId="0" borderId="0" xfId="4" applyFont="1" applyAlignment="1">
      <alignment horizontal="center" vertical="center"/>
    </xf>
    <xf numFmtId="166" fontId="10" fillId="9" borderId="2" xfId="2" applyFont="1" applyFill="1" applyBorder="1" applyAlignment="1" applyProtection="1">
      <alignment vertical="center" wrapText="1"/>
    </xf>
    <xf numFmtId="0" fontId="6" fillId="0" borderId="0" xfId="0" applyFont="1" applyAlignment="1">
      <alignment wrapText="1"/>
    </xf>
    <xf numFmtId="166" fontId="13" fillId="2" borderId="7" xfId="2" applyFont="1" applyFill="1" applyBorder="1" applyAlignment="1" applyProtection="1">
      <alignment horizontal="center" vertical="center" wrapText="1"/>
      <protection locked="0"/>
    </xf>
    <xf numFmtId="166" fontId="13" fillId="2" borderId="2" xfId="2" applyFont="1" applyFill="1" applyBorder="1" applyAlignment="1" applyProtection="1">
      <alignment horizontal="center" vertical="center" wrapText="1"/>
      <protection locked="0"/>
    </xf>
    <xf numFmtId="0" fontId="13" fillId="2" borderId="0" xfId="0" applyFont="1" applyFill="1" applyAlignment="1">
      <alignment wrapText="1"/>
    </xf>
    <xf numFmtId="166" fontId="7" fillId="2" borderId="3" xfId="2" applyFont="1" applyFill="1" applyBorder="1" applyAlignment="1" applyProtection="1">
      <alignment wrapText="1"/>
    </xf>
    <xf numFmtId="166" fontId="7" fillId="2" borderId="4" xfId="2" applyFont="1" applyFill="1" applyBorder="1" applyAlignment="1">
      <alignment wrapText="1"/>
    </xf>
    <xf numFmtId="166" fontId="7" fillId="2" borderId="4" xfId="0" applyNumberFormat="1" applyFont="1" applyFill="1" applyBorder="1" applyAlignment="1">
      <alignment wrapText="1"/>
    </xf>
    <xf numFmtId="166" fontId="7" fillId="2" borderId="5" xfId="0" applyNumberFormat="1" applyFont="1" applyFill="1" applyBorder="1" applyAlignment="1">
      <alignment wrapText="1"/>
    </xf>
    <xf numFmtId="0" fontId="7" fillId="2" borderId="19" xfId="0" applyFont="1" applyFill="1" applyBorder="1" applyAlignment="1">
      <alignment horizontal="left" wrapText="1"/>
    </xf>
    <xf numFmtId="0" fontId="7" fillId="2" borderId="26" xfId="0" applyFont="1" applyFill="1" applyBorder="1" applyAlignment="1">
      <alignment horizontal="left" wrapText="1"/>
    </xf>
    <xf numFmtId="0" fontId="7" fillId="2" borderId="27" xfId="0" applyFont="1" applyFill="1" applyBorder="1" applyAlignment="1">
      <alignment horizontal="left" wrapText="1"/>
    </xf>
    <xf numFmtId="166" fontId="7" fillId="9" borderId="4" xfId="2" applyFont="1" applyFill="1" applyBorder="1" applyAlignment="1" applyProtection="1">
      <alignment wrapText="1"/>
    </xf>
    <xf numFmtId="166" fontId="7" fillId="9" borderId="4" xfId="2" applyFont="1" applyFill="1" applyBorder="1" applyAlignment="1">
      <alignment wrapText="1"/>
    </xf>
    <xf numFmtId="169" fontId="13" fillId="0" borderId="0" xfId="0" applyNumberFormat="1" applyFont="1" applyAlignment="1">
      <alignment wrapText="1"/>
    </xf>
    <xf numFmtId="166" fontId="7" fillId="2" borderId="4" xfId="2" applyFont="1" applyFill="1" applyBorder="1" applyAlignment="1" applyProtection="1">
      <alignment wrapText="1"/>
    </xf>
    <xf numFmtId="166" fontId="7" fillId="9" borderId="2" xfId="2" applyFont="1" applyFill="1" applyBorder="1" applyAlignment="1">
      <alignment wrapText="1"/>
    </xf>
    <xf numFmtId="166" fontId="7" fillId="15" borderId="3" xfId="2" applyFont="1" applyFill="1" applyBorder="1" applyAlignment="1" applyProtection="1">
      <alignment wrapText="1"/>
    </xf>
    <xf numFmtId="166" fontId="7" fillId="15" borderId="4" xfId="2" applyFont="1" applyFill="1" applyBorder="1" applyAlignment="1">
      <alignment wrapText="1"/>
    </xf>
    <xf numFmtId="0" fontId="7" fillId="3" borderId="31" xfId="0" applyFont="1" applyFill="1" applyBorder="1" applyAlignment="1">
      <alignment horizontal="center" wrapText="1"/>
    </xf>
    <xf numFmtId="0" fontId="21" fillId="3" borderId="15" xfId="0" applyFont="1" applyFill="1" applyBorder="1" applyAlignment="1">
      <alignment vertical="center" wrapText="1"/>
    </xf>
    <xf numFmtId="166" fontId="13" fillId="3" borderId="7" xfId="0" applyNumberFormat="1" applyFont="1" applyFill="1" applyBorder="1" applyAlignment="1">
      <alignment wrapText="1"/>
    </xf>
    <xf numFmtId="166" fontId="7" fillId="3" borderId="14" xfId="0" applyNumberFormat="1" applyFont="1" applyFill="1" applyBorder="1" applyAlignment="1">
      <alignment wrapText="1"/>
    </xf>
    <xf numFmtId="0" fontId="21" fillId="3" borderId="15" xfId="0" applyFont="1" applyFill="1" applyBorder="1" applyAlignment="1" applyProtection="1">
      <alignment vertical="center" wrapText="1"/>
      <protection locked="0"/>
    </xf>
    <xf numFmtId="166" fontId="13" fillId="2" borderId="0" xfId="2" applyFont="1" applyFill="1" applyBorder="1" applyAlignment="1" applyProtection="1">
      <alignment vertical="center" wrapText="1"/>
      <protection locked="0"/>
    </xf>
    <xf numFmtId="166" fontId="13" fillId="2" borderId="0" xfId="2" applyFont="1" applyFill="1" applyBorder="1" applyAlignment="1" applyProtection="1">
      <alignment vertical="center" wrapText="1"/>
    </xf>
    <xf numFmtId="166" fontId="13" fillId="3" borderId="2" xfId="0" applyNumberFormat="1" applyFont="1" applyFill="1" applyBorder="1" applyAlignment="1">
      <alignment wrapText="1"/>
    </xf>
    <xf numFmtId="166" fontId="13" fillId="3" borderId="15" xfId="2" applyFont="1" applyFill="1" applyBorder="1" applyAlignment="1" applyProtection="1">
      <alignment wrapText="1"/>
    </xf>
    <xf numFmtId="166" fontId="7" fillId="15" borderId="2" xfId="2" applyFont="1" applyFill="1" applyBorder="1" applyAlignment="1">
      <alignment wrapText="1"/>
    </xf>
    <xf numFmtId="166" fontId="13" fillId="3" borderId="2" xfId="2" applyFont="1" applyFill="1" applyBorder="1" applyAlignment="1">
      <alignment wrapText="1"/>
    </xf>
    <xf numFmtId="166" fontId="7" fillId="15" borderId="14" xfId="0" applyNumberFormat="1" applyFont="1" applyFill="1" applyBorder="1" applyAlignment="1">
      <alignment wrapText="1"/>
    </xf>
    <xf numFmtId="0" fontId="13" fillId="3" borderId="17" xfId="0" applyFont="1" applyFill="1" applyBorder="1" applyAlignment="1">
      <alignment wrapText="1"/>
    </xf>
    <xf numFmtId="166" fontId="13" fillId="3" borderId="18" xfId="0" applyNumberFormat="1" applyFont="1" applyFill="1" applyBorder="1" applyAlignment="1">
      <alignment wrapText="1"/>
    </xf>
    <xf numFmtId="166" fontId="7" fillId="2" borderId="0" xfId="0" applyNumberFormat="1" applyFont="1" applyFill="1" applyAlignment="1">
      <alignment vertical="center" wrapText="1"/>
    </xf>
    <xf numFmtId="166" fontId="13" fillId="2" borderId="0" xfId="0" applyNumberFormat="1" applyFont="1" applyFill="1" applyAlignment="1">
      <alignment vertical="center" wrapText="1"/>
    </xf>
    <xf numFmtId="0" fontId="7" fillId="6" borderId="34" xfId="0" applyFont="1" applyFill="1" applyBorder="1" applyAlignment="1">
      <alignment wrapText="1"/>
    </xf>
    <xf numFmtId="166" fontId="7" fillId="6" borderId="35" xfId="0" applyNumberFormat="1" applyFont="1" applyFill="1" applyBorder="1" applyAlignment="1">
      <alignment wrapText="1"/>
    </xf>
    <xf numFmtId="166" fontId="7" fillId="6" borderId="36" xfId="0" applyNumberFormat="1" applyFont="1" applyFill="1" applyBorder="1" applyAlignment="1">
      <alignment wrapText="1"/>
    </xf>
    <xf numFmtId="166" fontId="7" fillId="0" borderId="0" xfId="0" applyNumberFormat="1" applyFont="1" applyAlignment="1">
      <alignment wrapText="1"/>
    </xf>
    <xf numFmtId="0" fontId="7" fillId="0" borderId="0" xfId="0" applyFont="1" applyAlignment="1">
      <alignment horizontal="center" vertical="center" wrapText="1"/>
    </xf>
    <xf numFmtId="166" fontId="22" fillId="0" borderId="0" xfId="2" applyFont="1" applyFill="1" applyBorder="1" applyAlignment="1">
      <alignment horizontal="right" vertical="center" wrapText="1"/>
    </xf>
    <xf numFmtId="0" fontId="13" fillId="2" borderId="0" xfId="0" applyFont="1" applyFill="1" applyAlignment="1">
      <alignment horizontal="center" vertical="center" wrapText="1"/>
    </xf>
    <xf numFmtId="166" fontId="9" fillId="9" borderId="2" xfId="2" applyFont="1" applyFill="1" applyBorder="1" applyAlignment="1" applyProtection="1">
      <alignment horizontal="left" vertical="top" wrapText="1"/>
    </xf>
    <xf numFmtId="168" fontId="9" fillId="17" borderId="2" xfId="2" applyNumberFormat="1" applyFont="1" applyFill="1" applyBorder="1" applyAlignment="1" applyProtection="1">
      <alignment horizontal="left" vertical="top" wrapText="1"/>
    </xf>
    <xf numFmtId="166" fontId="9" fillId="18" borderId="2" xfId="2" applyFont="1" applyFill="1" applyBorder="1" applyAlignment="1" applyProtection="1">
      <alignment vertical="center" wrapText="1"/>
    </xf>
    <xf numFmtId="166" fontId="9" fillId="17" borderId="2" xfId="2" applyFont="1" applyFill="1" applyBorder="1" applyAlignment="1" applyProtection="1">
      <alignment vertical="center" wrapText="1"/>
    </xf>
    <xf numFmtId="169" fontId="7" fillId="0" borderId="0" xfId="0" applyNumberFormat="1" applyFont="1" applyAlignment="1" applyProtection="1">
      <alignment vertical="center" wrapText="1"/>
      <protection locked="0"/>
    </xf>
    <xf numFmtId="169" fontId="14" fillId="2" borderId="0" xfId="0" applyNumberFormat="1" applyFont="1" applyFill="1" applyAlignment="1">
      <alignment wrapText="1"/>
    </xf>
    <xf numFmtId="0" fontId="10" fillId="14" borderId="1" xfId="0" applyFont="1" applyFill="1" applyBorder="1" applyAlignment="1">
      <alignment horizontal="center" vertical="center" wrapText="1"/>
    </xf>
    <xf numFmtId="166" fontId="10" fillId="16" borderId="0" xfId="0" applyNumberFormat="1" applyFont="1" applyFill="1" applyAlignment="1">
      <alignment vertical="center" wrapText="1"/>
    </xf>
    <xf numFmtId="0" fontId="10" fillId="3" borderId="19" xfId="0" applyFont="1" applyFill="1" applyBorder="1" applyAlignment="1">
      <alignment vertical="center" wrapText="1"/>
    </xf>
    <xf numFmtId="0" fontId="10" fillId="3" borderId="20" xfId="0" applyFont="1" applyFill="1" applyBorder="1" applyAlignment="1">
      <alignment vertical="center" wrapText="1"/>
    </xf>
    <xf numFmtId="166" fontId="9" fillId="23" borderId="2" xfId="2" applyFont="1" applyFill="1" applyBorder="1" applyAlignment="1" applyProtection="1">
      <alignment horizontal="left" vertical="top" wrapText="1"/>
    </xf>
    <xf numFmtId="168" fontId="9" fillId="23" borderId="2" xfId="2" applyNumberFormat="1" applyFont="1" applyFill="1" applyBorder="1" applyAlignment="1" applyProtection="1">
      <alignment vertical="top" wrapText="1"/>
    </xf>
    <xf numFmtId="166" fontId="9" fillId="23" borderId="2" xfId="2" applyFont="1" applyFill="1" applyBorder="1" applyAlignment="1" applyProtection="1">
      <alignment vertical="center" wrapText="1"/>
    </xf>
    <xf numFmtId="166" fontId="10" fillId="23" borderId="2" xfId="2" applyFont="1" applyFill="1" applyBorder="1" applyAlignment="1" applyProtection="1">
      <alignment vertical="center" wrapText="1"/>
    </xf>
    <xf numFmtId="166" fontId="10" fillId="5" borderId="2" xfId="2" applyFont="1" applyFill="1" applyBorder="1" applyAlignment="1" applyProtection="1">
      <alignment vertical="top" wrapText="1"/>
    </xf>
    <xf numFmtId="166" fontId="10" fillId="5" borderId="6" xfId="2" applyFont="1" applyFill="1" applyBorder="1" applyAlignment="1" applyProtection="1">
      <alignment vertical="top" wrapText="1"/>
    </xf>
    <xf numFmtId="166" fontId="10" fillId="5" borderId="6" xfId="2" applyFont="1" applyFill="1" applyBorder="1" applyAlignment="1" applyProtection="1">
      <alignment horizontal="left" vertical="top" wrapText="1"/>
    </xf>
    <xf numFmtId="166" fontId="10" fillId="5" borderId="2" xfId="2" applyFont="1" applyFill="1" applyBorder="1" applyAlignment="1" applyProtection="1">
      <alignment vertical="center" wrapText="1"/>
    </xf>
    <xf numFmtId="43" fontId="9" fillId="2" borderId="2" xfId="1" applyFont="1" applyFill="1" applyBorder="1" applyAlignment="1" applyProtection="1">
      <alignment horizontal="left" vertical="top" wrapText="1"/>
      <protection locked="0"/>
    </xf>
    <xf numFmtId="43" fontId="9" fillId="2" borderId="2" xfId="1" applyFont="1" applyFill="1" applyBorder="1" applyAlignment="1" applyProtection="1">
      <alignment horizontal="left" vertical="top"/>
      <protection locked="0"/>
    </xf>
    <xf numFmtId="43" fontId="9" fillId="0" borderId="2" xfId="1" applyFont="1" applyBorder="1" applyAlignment="1" applyProtection="1">
      <alignment horizontal="left" vertical="top" wrapText="1"/>
      <protection locked="0"/>
    </xf>
    <xf numFmtId="43" fontId="9" fillId="5" borderId="2" xfId="1" applyFont="1" applyFill="1" applyBorder="1" applyAlignment="1" applyProtection="1">
      <alignment horizontal="left" vertical="top" wrapText="1"/>
      <protection locked="0"/>
    </xf>
    <xf numFmtId="43" fontId="9" fillId="0" borderId="2" xfId="1" applyFont="1" applyBorder="1" applyAlignment="1" applyProtection="1">
      <alignment horizontal="left" vertical="top"/>
      <protection locked="0"/>
    </xf>
    <xf numFmtId="43" fontId="0" fillId="0" borderId="2" xfId="1" applyFont="1" applyBorder="1" applyAlignment="1">
      <alignment horizontal="left" vertical="top"/>
    </xf>
    <xf numFmtId="43" fontId="16" fillId="8" borderId="2" xfId="1" applyFont="1" applyFill="1" applyBorder="1" applyAlignment="1" applyProtection="1">
      <alignment horizontal="left" vertical="top"/>
      <protection locked="0"/>
    </xf>
    <xf numFmtId="43" fontId="10" fillId="9" borderId="2" xfId="1" applyFont="1" applyFill="1" applyBorder="1" applyAlignment="1" applyProtection="1">
      <alignment horizontal="left" vertical="center"/>
      <protection locked="0"/>
    </xf>
    <xf numFmtId="43" fontId="18" fillId="12" borderId="0" xfId="1" applyFont="1" applyFill="1" applyAlignment="1"/>
    <xf numFmtId="43" fontId="10" fillId="5" borderId="2" xfId="1" applyFont="1" applyFill="1" applyBorder="1" applyAlignment="1" applyProtection="1">
      <alignment vertical="center"/>
      <protection locked="0"/>
    </xf>
    <xf numFmtId="0" fontId="2" fillId="0" borderId="0" xfId="5" applyFont="1"/>
    <xf numFmtId="10" fontId="2" fillId="0" borderId="0" xfId="6" applyNumberFormat="1" applyFont="1" applyBorder="1" applyAlignment="1">
      <alignment horizontal="center"/>
    </xf>
    <xf numFmtId="167" fontId="2" fillId="0" borderId="0" xfId="7" applyFont="1" applyBorder="1"/>
    <xf numFmtId="0" fontId="24" fillId="24" borderId="0" xfId="5" applyFont="1" applyFill="1"/>
    <xf numFmtId="10" fontId="0" fillId="0" borderId="0" xfId="6" applyNumberFormat="1" applyFont="1" applyBorder="1" applyAlignment="1">
      <alignment horizontal="center"/>
    </xf>
    <xf numFmtId="167" fontId="26" fillId="0" borderId="0" xfId="7" applyFont="1" applyBorder="1" applyAlignment="1">
      <alignment horizontal="center"/>
    </xf>
    <xf numFmtId="0" fontId="1" fillId="0" borderId="0" xfId="5"/>
    <xf numFmtId="167" fontId="0" fillId="0" borderId="0" xfId="7" applyFont="1" applyBorder="1"/>
    <xf numFmtId="167" fontId="1" fillId="0" borderId="0" xfId="4"/>
    <xf numFmtId="167" fontId="24" fillId="25" borderId="0" xfId="7" applyFont="1" applyFill="1" applyBorder="1"/>
    <xf numFmtId="0" fontId="1" fillId="26" borderId="2" xfId="5" applyFill="1" applyBorder="1"/>
    <xf numFmtId="4" fontId="25" fillId="5" borderId="0" xfId="5" applyNumberFormat="1" applyFont="1" applyFill="1"/>
    <xf numFmtId="0" fontId="24" fillId="25" borderId="0" xfId="5" applyFont="1" applyFill="1" applyAlignment="1">
      <alignment horizontal="left"/>
    </xf>
    <xf numFmtId="0" fontId="1" fillId="2" borderId="2" xfId="5" applyFill="1" applyBorder="1"/>
    <xf numFmtId="167" fontId="19" fillId="5" borderId="0" xfId="7" applyFont="1" applyFill="1" applyBorder="1"/>
    <xf numFmtId="167" fontId="0" fillId="0" borderId="0" xfId="7" applyFont="1" applyFill="1" applyBorder="1"/>
    <xf numFmtId="0" fontId="1" fillId="0" borderId="2" xfId="5" applyBorder="1"/>
    <xf numFmtId="10" fontId="24" fillId="27" borderId="0" xfId="6" applyNumberFormat="1" applyFont="1" applyFill="1" applyBorder="1" applyAlignment="1">
      <alignment horizontal="center"/>
    </xf>
    <xf numFmtId="167" fontId="27" fillId="27" borderId="0" xfId="7" applyFont="1" applyFill="1" applyBorder="1"/>
    <xf numFmtId="0" fontId="28" fillId="0" borderId="0" xfId="5" applyFont="1"/>
    <xf numFmtId="43" fontId="1" fillId="0" borderId="0" xfId="5" applyNumberFormat="1"/>
    <xf numFmtId="167" fontId="1" fillId="0" borderId="0" xfId="5" applyNumberFormat="1"/>
    <xf numFmtId="0" fontId="24" fillId="28" borderId="0" xfId="5" applyFont="1" applyFill="1"/>
    <xf numFmtId="10" fontId="0" fillId="0" borderId="2" xfId="6" applyNumberFormat="1" applyFont="1" applyBorder="1" applyAlignment="1">
      <alignment horizontal="center"/>
    </xf>
    <xf numFmtId="167" fontId="0" fillId="0" borderId="2" xfId="7" applyFont="1" applyBorder="1"/>
    <xf numFmtId="10" fontId="0" fillId="0" borderId="0" xfId="6" applyNumberFormat="1" applyFont="1" applyBorder="1"/>
    <xf numFmtId="10" fontId="1" fillId="0" borderId="0" xfId="5" applyNumberFormat="1"/>
    <xf numFmtId="10" fontId="1" fillId="0" borderId="2" xfId="6" applyNumberFormat="1" applyFont="1" applyBorder="1" applyAlignment="1">
      <alignment horizontal="center"/>
    </xf>
    <xf numFmtId="167" fontId="1" fillId="0" borderId="2" xfId="7" applyFont="1" applyBorder="1"/>
    <xf numFmtId="0" fontId="24" fillId="29" borderId="2" xfId="5" applyFont="1" applyFill="1" applyBorder="1"/>
    <xf numFmtId="10" fontId="24" fillId="29" borderId="2" xfId="6" applyNumberFormat="1" applyFont="1" applyFill="1" applyBorder="1" applyAlignment="1">
      <alignment horizontal="center"/>
    </xf>
    <xf numFmtId="167" fontId="24" fillId="29" borderId="2" xfId="7" applyFont="1" applyFill="1" applyBorder="1"/>
    <xf numFmtId="167" fontId="2" fillId="0" borderId="0" xfId="5" applyNumberFormat="1" applyFont="1"/>
    <xf numFmtId="0" fontId="24" fillId="24" borderId="2" xfId="5" applyFont="1" applyFill="1" applyBorder="1"/>
    <xf numFmtId="10" fontId="24" fillId="30" borderId="2" xfId="6" applyNumberFormat="1" applyFont="1" applyFill="1" applyBorder="1" applyAlignment="1">
      <alignment horizontal="center"/>
    </xf>
    <xf numFmtId="167" fontId="24" fillId="30" borderId="2" xfId="7" applyFont="1" applyFill="1" applyBorder="1"/>
    <xf numFmtId="167" fontId="1" fillId="0" borderId="2" xfId="4" applyBorder="1"/>
    <xf numFmtId="10" fontId="1" fillId="0" borderId="0" xfId="5" applyNumberFormat="1" applyAlignment="1">
      <alignment horizontal="right"/>
    </xf>
    <xf numFmtId="0" fontId="1" fillId="31" borderId="2" xfId="5" applyFill="1" applyBorder="1"/>
    <xf numFmtId="10" fontId="0" fillId="31" borderId="2" xfId="6" applyNumberFormat="1" applyFont="1" applyFill="1" applyBorder="1" applyAlignment="1">
      <alignment horizontal="center"/>
    </xf>
    <xf numFmtId="167" fontId="0" fillId="31" borderId="2" xfId="7" applyFont="1" applyFill="1" applyBorder="1"/>
    <xf numFmtId="0" fontId="24" fillId="32" borderId="2" xfId="5" applyFont="1" applyFill="1" applyBorder="1"/>
    <xf numFmtId="10" fontId="24" fillId="32" borderId="2" xfId="6" applyNumberFormat="1" applyFont="1" applyFill="1" applyBorder="1" applyAlignment="1">
      <alignment horizontal="center"/>
    </xf>
    <xf numFmtId="167" fontId="24" fillId="24" borderId="2" xfId="7" applyFont="1" applyFill="1" applyBorder="1"/>
    <xf numFmtId="167" fontId="24" fillId="24" borderId="0" xfId="5" applyNumberFormat="1" applyFont="1" applyFill="1"/>
    <xf numFmtId="0" fontId="1" fillId="0" borderId="0" xfId="5" applyAlignment="1">
      <alignment horizontal="right"/>
    </xf>
    <xf numFmtId="0" fontId="2" fillId="33" borderId="0" xfId="5" applyFont="1" applyFill="1"/>
    <xf numFmtId="10" fontId="2" fillId="33" borderId="0" xfId="6" applyNumberFormat="1" applyFont="1" applyFill="1" applyBorder="1" applyAlignment="1">
      <alignment horizontal="center"/>
    </xf>
    <xf numFmtId="167" fontId="2" fillId="9" borderId="0" xfId="7" applyFont="1" applyFill="1" applyBorder="1"/>
    <xf numFmtId="167" fontId="1" fillId="34" borderId="0" xfId="5" applyNumberFormat="1" applyFill="1"/>
    <xf numFmtId="167" fontId="0" fillId="5" borderId="0" xfId="7" applyFont="1" applyFill="1" applyBorder="1"/>
    <xf numFmtId="10" fontId="0" fillId="5" borderId="0" xfId="6" applyNumberFormat="1" applyFont="1" applyFill="1" applyBorder="1" applyAlignment="1">
      <alignment horizontal="center"/>
    </xf>
    <xf numFmtId="9" fontId="0" fillId="0" borderId="0" xfId="6" applyFont="1" applyBorder="1"/>
    <xf numFmtId="0" fontId="19" fillId="9" borderId="0" xfId="5" applyFont="1" applyFill="1"/>
    <xf numFmtId="170" fontId="0" fillId="0" borderId="0" xfId="6" applyNumberFormat="1" applyFont="1" applyBorder="1"/>
    <xf numFmtId="10" fontId="24" fillId="3" borderId="0" xfId="6" applyNumberFormat="1" applyFont="1" applyFill="1" applyBorder="1" applyAlignment="1">
      <alignment horizontal="center"/>
    </xf>
    <xf numFmtId="167" fontId="27" fillId="3" borderId="0" xfId="7" applyFont="1" applyFill="1" applyBorder="1"/>
    <xf numFmtId="0" fontId="29" fillId="9" borderId="2" xfId="5" applyFont="1" applyFill="1" applyBorder="1"/>
    <xf numFmtId="167" fontId="30" fillId="9" borderId="0" xfId="7" applyFont="1" applyFill="1" applyBorder="1"/>
    <xf numFmtId="167" fontId="29" fillId="9" borderId="2" xfId="7" applyFont="1" applyFill="1" applyBorder="1"/>
    <xf numFmtId="167" fontId="29" fillId="9" borderId="0" xfId="5" applyNumberFormat="1" applyFont="1" applyFill="1"/>
    <xf numFmtId="167" fontId="2" fillId="33" borderId="0" xfId="7" applyFont="1" applyFill="1" applyBorder="1"/>
    <xf numFmtId="43" fontId="9" fillId="0" borderId="0" xfId="1" applyFont="1" applyAlignment="1">
      <alignment wrapText="1"/>
    </xf>
    <xf numFmtId="166" fontId="13" fillId="2" borderId="0" xfId="0" applyNumberFormat="1" applyFont="1" applyFill="1" applyAlignment="1">
      <alignment wrapText="1"/>
    </xf>
    <xf numFmtId="166" fontId="9" fillId="35" borderId="2" xfId="2" applyFont="1" applyFill="1" applyBorder="1" applyAlignment="1" applyProtection="1">
      <alignment vertical="top" wrapText="1"/>
    </xf>
    <xf numFmtId="166" fontId="10" fillId="35" borderId="6" xfId="2" applyFont="1" applyFill="1" applyBorder="1" applyAlignment="1" applyProtection="1">
      <alignment vertical="top" wrapText="1"/>
    </xf>
    <xf numFmtId="166" fontId="9" fillId="35" borderId="16" xfId="0" applyNumberFormat="1" applyFont="1" applyFill="1" applyBorder="1" applyAlignment="1">
      <alignment vertical="center" wrapText="1"/>
    </xf>
    <xf numFmtId="166" fontId="10" fillId="35" borderId="2" xfId="2" applyFont="1" applyFill="1" applyBorder="1" applyAlignment="1" applyProtection="1">
      <alignment vertical="top" wrapText="1"/>
    </xf>
    <xf numFmtId="0" fontId="10" fillId="3" borderId="0" xfId="0" applyFont="1" applyFill="1" applyAlignment="1">
      <alignment horizontal="center" vertical="center" wrapText="1"/>
    </xf>
    <xf numFmtId="9" fontId="10" fillId="2" borderId="0" xfId="3" applyFont="1" applyFill="1" applyBorder="1" applyAlignment="1" applyProtection="1">
      <alignment vertical="center" wrapText="1"/>
      <protection locked="0"/>
    </xf>
    <xf numFmtId="9" fontId="10" fillId="2" borderId="0" xfId="3" applyFont="1" applyFill="1" applyBorder="1" applyAlignment="1" applyProtection="1">
      <alignment horizontal="right" vertical="center" wrapText="1"/>
      <protection locked="0"/>
    </xf>
    <xf numFmtId="9" fontId="10" fillId="3" borderId="0" xfId="3" applyFont="1" applyFill="1" applyBorder="1" applyAlignment="1" applyProtection="1">
      <alignment vertical="center" wrapText="1"/>
    </xf>
    <xf numFmtId="166" fontId="10" fillId="3" borderId="9" xfId="0" applyNumberFormat="1" applyFont="1" applyFill="1" applyBorder="1" applyAlignment="1">
      <alignment vertical="center" wrapText="1"/>
    </xf>
    <xf numFmtId="0" fontId="9" fillId="3" borderId="40" xfId="0" applyFont="1" applyFill="1" applyBorder="1" applyAlignment="1">
      <alignment wrapText="1"/>
    </xf>
    <xf numFmtId="0" fontId="9" fillId="35" borderId="2" xfId="0" applyFont="1" applyFill="1" applyBorder="1" applyAlignment="1">
      <alignment horizontal="center" vertical="center" wrapText="1"/>
    </xf>
    <xf numFmtId="166" fontId="9" fillId="2" borderId="3" xfId="2" applyFont="1" applyFill="1" applyBorder="1" applyAlignment="1" applyProtection="1">
      <alignment horizontal="left" vertical="center" wrapText="1"/>
      <protection locked="0"/>
    </xf>
    <xf numFmtId="166" fontId="9" fillId="35" borderId="2" xfId="2" applyFont="1" applyFill="1" applyBorder="1" applyAlignment="1" applyProtection="1">
      <alignment horizontal="left" vertical="top" wrapText="1"/>
      <protection locked="0"/>
    </xf>
    <xf numFmtId="166" fontId="10" fillId="35" borderId="2" xfId="2" applyFont="1" applyFill="1" applyBorder="1" applyAlignment="1" applyProtection="1">
      <alignment horizontal="left" vertical="top" wrapText="1"/>
    </xf>
    <xf numFmtId="166" fontId="0" fillId="35" borderId="2" xfId="2" applyFont="1" applyFill="1" applyBorder="1" applyAlignment="1">
      <alignment horizontal="left" vertical="top" wrapText="1"/>
    </xf>
    <xf numFmtId="166" fontId="0" fillId="35" borderId="2" xfId="0" applyNumberFormat="1" applyFill="1" applyBorder="1" applyAlignment="1">
      <alignment horizontal="right" vertical="top" wrapText="1"/>
    </xf>
    <xf numFmtId="166" fontId="10" fillId="35" borderId="6" xfId="2" applyFont="1" applyFill="1" applyBorder="1" applyAlignment="1" applyProtection="1">
      <alignment horizontal="left" vertical="top" wrapText="1"/>
    </xf>
    <xf numFmtId="166" fontId="15" fillId="35" borderId="2" xfId="2" applyFont="1" applyFill="1" applyBorder="1" applyAlignment="1" applyProtection="1">
      <alignment vertical="top" wrapText="1"/>
    </xf>
    <xf numFmtId="166" fontId="17" fillId="35" borderId="6" xfId="0" applyNumberFormat="1" applyFont="1" applyFill="1" applyBorder="1" applyAlignment="1">
      <alignment horizontal="left" vertical="top" wrapText="1"/>
    </xf>
    <xf numFmtId="9" fontId="9" fillId="35" borderId="2" xfId="3" applyFont="1" applyFill="1" applyBorder="1" applyAlignment="1" applyProtection="1">
      <alignment horizontal="left" vertical="top" wrapText="1"/>
      <protection locked="0"/>
    </xf>
    <xf numFmtId="166" fontId="9" fillId="35" borderId="2" xfId="2" applyFont="1" applyFill="1" applyBorder="1" applyAlignment="1" applyProtection="1">
      <alignment vertical="center" wrapText="1"/>
      <protection locked="0"/>
    </xf>
    <xf numFmtId="9" fontId="9" fillId="35" borderId="2" xfId="3" applyFont="1" applyFill="1" applyBorder="1" applyAlignment="1" applyProtection="1">
      <alignment vertical="center" wrapText="1"/>
      <protection locked="0"/>
    </xf>
    <xf numFmtId="166" fontId="10" fillId="35" borderId="2" xfId="2" applyFont="1" applyFill="1" applyBorder="1" applyAlignment="1" applyProtection="1">
      <alignment vertical="center" wrapText="1"/>
    </xf>
    <xf numFmtId="0" fontId="7" fillId="0" borderId="0" xfId="0" applyFont="1" applyAlignment="1">
      <alignment vertical="center"/>
    </xf>
    <xf numFmtId="0" fontId="7" fillId="0" borderId="0" xfId="0" applyFont="1"/>
    <xf numFmtId="0" fontId="7" fillId="0" borderId="0" xfId="0" quotePrefix="1" applyFont="1" applyAlignment="1">
      <alignment wrapText="1"/>
    </xf>
    <xf numFmtId="0" fontId="2" fillId="31" borderId="2" xfId="0" applyFont="1" applyFill="1" applyBorder="1"/>
    <xf numFmtId="0" fontId="0" fillId="0" borderId="2" xfId="0" applyBorder="1"/>
    <xf numFmtId="4" fontId="0" fillId="0" borderId="2" xfId="0" applyNumberFormat="1" applyBorder="1"/>
    <xf numFmtId="167" fontId="0" fillId="0" borderId="2" xfId="0" applyNumberFormat="1" applyBorder="1"/>
    <xf numFmtId="4" fontId="2" fillId="31" borderId="2" xfId="0" applyNumberFormat="1" applyFont="1" applyFill="1" applyBorder="1"/>
    <xf numFmtId="167" fontId="2" fillId="31" borderId="2" xfId="0" applyNumberFormat="1" applyFont="1" applyFill="1" applyBorder="1"/>
    <xf numFmtId="167" fontId="2" fillId="22" borderId="2" xfId="0" applyNumberFormat="1" applyFont="1" applyFill="1" applyBorder="1"/>
    <xf numFmtId="167" fontId="0" fillId="0" borderId="0" xfId="0" applyNumberFormat="1"/>
    <xf numFmtId="166" fontId="9" fillId="2" borderId="0" xfId="0" applyNumberFormat="1" applyFont="1" applyFill="1" applyAlignment="1" applyProtection="1">
      <alignment vertical="center" wrapText="1"/>
      <protection locked="0"/>
    </xf>
    <xf numFmtId="0" fontId="31" fillId="0" borderId="0" xfId="0" applyFont="1"/>
    <xf numFmtId="0" fontId="32" fillId="0" borderId="0" xfId="0" applyFont="1"/>
    <xf numFmtId="0" fontId="31" fillId="31" borderId="2" xfId="0" applyFont="1" applyFill="1" applyBorder="1"/>
    <xf numFmtId="0" fontId="32" fillId="0" borderId="2" xfId="0" applyFont="1" applyBorder="1"/>
    <xf numFmtId="4" fontId="32" fillId="0" borderId="2" xfId="0" applyNumberFormat="1" applyFont="1" applyBorder="1"/>
    <xf numFmtId="167" fontId="32" fillId="0" borderId="2" xfId="0" applyNumberFormat="1" applyFont="1" applyBorder="1"/>
    <xf numFmtId="0" fontId="32" fillId="0" borderId="2" xfId="0" applyFont="1" applyBorder="1" applyAlignment="1">
      <alignment wrapText="1"/>
    </xf>
    <xf numFmtId="0" fontId="31" fillId="0" borderId="2" xfId="0" applyFont="1" applyBorder="1"/>
    <xf numFmtId="4" fontId="31" fillId="0" borderId="2" xfId="0" applyNumberFormat="1" applyFont="1" applyBorder="1"/>
    <xf numFmtId="167" fontId="31" fillId="0" borderId="2" xfId="0" applyNumberFormat="1" applyFont="1" applyBorder="1"/>
    <xf numFmtId="4" fontId="31" fillId="31" borderId="2" xfId="0" applyNumberFormat="1" applyFont="1" applyFill="1" applyBorder="1"/>
    <xf numFmtId="167" fontId="32" fillId="0" borderId="0" xfId="0" applyNumberFormat="1" applyFont="1"/>
    <xf numFmtId="0" fontId="33" fillId="0" borderId="0" xfId="0" applyFont="1" applyAlignment="1">
      <alignment vertical="center"/>
    </xf>
    <xf numFmtId="0" fontId="34" fillId="0" borderId="0" xfId="0" applyFont="1"/>
    <xf numFmtId="0" fontId="10" fillId="21" borderId="0" xfId="0" applyFont="1" applyFill="1" applyAlignment="1">
      <alignment horizontal="center" vertical="center" wrapText="1"/>
    </xf>
    <xf numFmtId="166" fontId="10" fillId="3" borderId="0" xfId="0" applyNumberFormat="1" applyFont="1" applyFill="1" applyAlignment="1">
      <alignment vertical="center" wrapText="1"/>
    </xf>
    <xf numFmtId="0" fontId="9" fillId="3" borderId="0" xfId="0" applyFont="1" applyFill="1" applyAlignment="1">
      <alignment wrapText="1"/>
    </xf>
    <xf numFmtId="0" fontId="31" fillId="31" borderId="2" xfId="0" applyFont="1" applyFill="1" applyBorder="1" applyAlignment="1">
      <alignment horizontal="center" vertical="center"/>
    </xf>
    <xf numFmtId="0" fontId="32" fillId="0" borderId="0" xfId="0" applyFont="1" applyAlignment="1">
      <alignment horizontal="center" vertical="center"/>
    </xf>
    <xf numFmtId="0" fontId="31" fillId="31" borderId="2" xfId="0" applyFont="1" applyFill="1" applyBorder="1" applyAlignment="1">
      <alignment horizontal="center" vertical="center" wrapText="1"/>
    </xf>
    <xf numFmtId="4" fontId="32" fillId="0" borderId="0" xfId="0" applyNumberFormat="1" applyFont="1"/>
    <xf numFmtId="0" fontId="9" fillId="36" borderId="2" xfId="0" applyFont="1" applyFill="1" applyBorder="1" applyAlignment="1">
      <alignment horizontal="center" vertical="center" wrapText="1"/>
    </xf>
    <xf numFmtId="0" fontId="9" fillId="37" borderId="2" xfId="0" applyFont="1" applyFill="1" applyBorder="1" applyAlignment="1">
      <alignment horizontal="center" vertical="center" wrapText="1"/>
    </xf>
    <xf numFmtId="0" fontId="7" fillId="0" borderId="0" xfId="0" applyFont="1" applyAlignment="1">
      <alignment horizontal="left" wrapText="1"/>
    </xf>
    <xf numFmtId="49" fontId="10" fillId="16" borderId="16" xfId="0" applyNumberFormat="1" applyFont="1" applyFill="1" applyBorder="1" applyAlignment="1">
      <alignment vertical="center" wrapText="1"/>
    </xf>
    <xf numFmtId="0" fontId="0" fillId="0" borderId="0" xfId="0" applyAlignment="1">
      <alignment horizontal="left"/>
    </xf>
    <xf numFmtId="0" fontId="7" fillId="0" borderId="0" xfId="0" applyFont="1" applyAlignment="1">
      <alignment horizontal="left"/>
    </xf>
    <xf numFmtId="0" fontId="10" fillId="0" borderId="0" xfId="0" quotePrefix="1" applyFont="1"/>
    <xf numFmtId="0" fontId="2" fillId="31" borderId="2" xfId="0" applyFont="1" applyFill="1" applyBorder="1" applyAlignment="1">
      <alignment horizontal="center" wrapText="1"/>
    </xf>
    <xf numFmtId="167" fontId="0" fillId="0" borderId="41" xfId="0" applyNumberFormat="1" applyBorder="1"/>
    <xf numFmtId="0" fontId="2" fillId="0" borderId="2" xfId="0" applyFont="1" applyBorder="1"/>
    <xf numFmtId="4" fontId="2" fillId="0" borderId="2" xfId="0" applyNumberFormat="1" applyFont="1" applyBorder="1"/>
    <xf numFmtId="167" fontId="2" fillId="0" borderId="2" xfId="0" applyNumberFormat="1" applyFont="1" applyBorder="1"/>
    <xf numFmtId="43" fontId="0" fillId="0" borderId="0" xfId="8" applyFont="1"/>
    <xf numFmtId="43" fontId="0" fillId="22" borderId="0" xfId="0" applyNumberFormat="1" applyFill="1"/>
    <xf numFmtId="43" fontId="0" fillId="0" borderId="0" xfId="0" applyNumberFormat="1"/>
    <xf numFmtId="166" fontId="9" fillId="16" borderId="0" xfId="2" applyFont="1" applyFill="1" applyBorder="1" applyAlignment="1" applyProtection="1">
      <alignment horizontal="left" vertical="center" wrapText="1"/>
      <protection locked="0"/>
    </xf>
    <xf numFmtId="43" fontId="32" fillId="0" borderId="0" xfId="1" applyFont="1"/>
    <xf numFmtId="167" fontId="31" fillId="0" borderId="0" xfId="0" applyNumberFormat="1" applyFont="1"/>
    <xf numFmtId="0" fontId="10" fillId="14" borderId="8"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166" fontId="10" fillId="3" borderId="6" xfId="2" applyFont="1" applyFill="1" applyBorder="1" applyAlignment="1" applyProtection="1">
      <alignment vertical="center" wrapText="1"/>
      <protection locked="0"/>
    </xf>
    <xf numFmtId="166" fontId="10" fillId="3" borderId="7" xfId="2" applyFont="1" applyFill="1" applyBorder="1" applyAlignment="1" applyProtection="1">
      <alignment vertical="center" wrapText="1"/>
      <protection locked="0"/>
    </xf>
    <xf numFmtId="0" fontId="10" fillId="7" borderId="3" xfId="0" applyFont="1" applyFill="1" applyBorder="1" applyAlignment="1" applyProtection="1">
      <alignment horizontal="left" vertical="top" wrapText="1"/>
      <protection locked="0"/>
    </xf>
    <xf numFmtId="0" fontId="10" fillId="7" borderId="4" xfId="0" applyFont="1" applyFill="1" applyBorder="1" applyAlignment="1" applyProtection="1">
      <alignment horizontal="left" vertical="top" wrapText="1"/>
      <protection locked="0"/>
    </xf>
    <xf numFmtId="0" fontId="10" fillId="7" borderId="5"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6" fillId="0" borderId="1" xfId="0" applyFont="1" applyBorder="1" applyAlignment="1">
      <alignment horizontal="left" wrapText="1"/>
    </xf>
    <xf numFmtId="49" fontId="10" fillId="6" borderId="3" xfId="0" applyNumberFormat="1" applyFont="1" applyFill="1" applyBorder="1" applyAlignment="1" applyProtection="1">
      <alignment horizontal="left" vertical="top" wrapText="1"/>
      <protection locked="0"/>
    </xf>
    <xf numFmtId="49" fontId="10" fillId="6" borderId="4" xfId="0" applyNumberFormat="1" applyFont="1" applyFill="1" applyBorder="1" applyAlignment="1" applyProtection="1">
      <alignment horizontal="left" vertical="top" wrapText="1"/>
      <protection locked="0"/>
    </xf>
    <xf numFmtId="49" fontId="10" fillId="6" borderId="5" xfId="0" applyNumberFormat="1" applyFont="1" applyFill="1" applyBorder="1" applyAlignment="1" applyProtection="1">
      <alignment horizontal="left" vertical="top" wrapText="1"/>
      <protection locked="0"/>
    </xf>
    <xf numFmtId="49" fontId="10" fillId="7" borderId="3" xfId="0" applyNumberFormat="1" applyFont="1" applyFill="1" applyBorder="1" applyAlignment="1" applyProtection="1">
      <alignment horizontal="left" vertical="top" wrapText="1"/>
      <protection locked="0"/>
    </xf>
    <xf numFmtId="49" fontId="10" fillId="7" borderId="4" xfId="0" applyNumberFormat="1" applyFont="1" applyFill="1" applyBorder="1" applyAlignment="1" applyProtection="1">
      <alignment horizontal="left" vertical="top" wrapText="1"/>
      <protection locked="0"/>
    </xf>
    <xf numFmtId="49" fontId="10" fillId="7" borderId="5" xfId="0" applyNumberFormat="1" applyFont="1" applyFill="1" applyBorder="1" applyAlignment="1" applyProtection="1">
      <alignment horizontal="left" vertical="top" wrapText="1"/>
      <protection locked="0"/>
    </xf>
    <xf numFmtId="0" fontId="10" fillId="7" borderId="3" xfId="0" applyFont="1" applyFill="1" applyBorder="1" applyAlignment="1" applyProtection="1">
      <alignment horizontal="left" vertical="center" wrapText="1"/>
      <protection locked="0"/>
    </xf>
    <xf numFmtId="0" fontId="10" fillId="7" borderId="4" xfId="0" applyFont="1" applyFill="1" applyBorder="1" applyAlignment="1" applyProtection="1">
      <alignment horizontal="left" vertical="center" wrapText="1"/>
      <protection locked="0"/>
    </xf>
    <xf numFmtId="0" fontId="10" fillId="7" borderId="5"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4" xfId="0" applyFont="1" applyFill="1" applyBorder="1" applyAlignment="1" applyProtection="1">
      <alignment horizontal="left" vertical="center" wrapText="1"/>
      <protection locked="0"/>
    </xf>
    <xf numFmtId="0" fontId="10" fillId="6" borderId="5" xfId="0" applyFont="1" applyFill="1" applyBorder="1" applyAlignment="1" applyProtection="1">
      <alignment horizontal="left" vertical="center" wrapText="1"/>
      <protection locked="0"/>
    </xf>
    <xf numFmtId="0" fontId="10" fillId="7" borderId="3" xfId="0" applyFont="1" applyFill="1" applyBorder="1" applyAlignment="1" applyProtection="1">
      <alignment vertical="top" wrapText="1"/>
      <protection locked="0"/>
    </xf>
    <xf numFmtId="0" fontId="10" fillId="7" borderId="4" xfId="0" applyFont="1" applyFill="1" applyBorder="1" applyAlignment="1" applyProtection="1">
      <alignment vertical="top" wrapText="1"/>
      <protection locked="0"/>
    </xf>
    <xf numFmtId="0" fontId="10" fillId="7" borderId="5" xfId="0" applyFont="1" applyFill="1" applyBorder="1" applyAlignment="1" applyProtection="1">
      <alignment vertical="top" wrapText="1"/>
      <protection locked="0"/>
    </xf>
    <xf numFmtId="166" fontId="10" fillId="3" borderId="6" xfId="2" applyFont="1" applyFill="1" applyBorder="1" applyAlignment="1" applyProtection="1">
      <alignment horizontal="center" vertical="center" wrapText="1"/>
      <protection locked="0"/>
    </xf>
    <xf numFmtId="166" fontId="10" fillId="3" borderId="7" xfId="2" applyFont="1" applyFill="1" applyBorder="1" applyAlignment="1" applyProtection="1">
      <alignment horizontal="center" vertical="center" wrapText="1"/>
      <protection locked="0"/>
    </xf>
    <xf numFmtId="166" fontId="10" fillId="3" borderId="12" xfId="2" applyFont="1" applyFill="1" applyBorder="1" applyAlignment="1" applyProtection="1">
      <alignment vertical="center" wrapText="1"/>
    </xf>
    <xf numFmtId="166" fontId="10" fillId="3" borderId="14" xfId="2" applyFont="1" applyFill="1" applyBorder="1" applyAlignment="1" applyProtection="1">
      <alignment vertical="center" wrapText="1"/>
    </xf>
    <xf numFmtId="0" fontId="10" fillId="0" borderId="0" xfId="0" applyFont="1" applyAlignment="1">
      <alignment horizontal="center" vertical="center" wrapText="1"/>
    </xf>
    <xf numFmtId="0" fontId="10" fillId="9" borderId="24"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6"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0" fillId="0" borderId="0" xfId="0" applyAlignment="1">
      <alignment horizontal="left" wrapText="1"/>
    </xf>
    <xf numFmtId="0" fontId="7" fillId="3" borderId="28" xfId="0" applyFont="1" applyFill="1" applyBorder="1" applyAlignment="1">
      <alignment horizontal="center" wrapText="1"/>
    </xf>
    <xf numFmtId="0" fontId="7" fillId="3" borderId="29" xfId="0" applyFont="1" applyFill="1" applyBorder="1" applyAlignment="1">
      <alignment horizontal="center" wrapText="1"/>
    </xf>
    <xf numFmtId="0" fontId="7" fillId="3" borderId="30" xfId="0" applyFont="1" applyFill="1" applyBorder="1" applyAlignment="1">
      <alignment horizontal="center" wrapText="1"/>
    </xf>
    <xf numFmtId="0" fontId="7" fillId="3" borderId="32" xfId="0" applyFont="1" applyFill="1" applyBorder="1" applyAlignment="1" applyProtection="1">
      <alignment horizontal="center" wrapText="1"/>
      <protection locked="0"/>
    </xf>
    <xf numFmtId="0" fontId="7" fillId="3" borderId="7" xfId="0" applyFont="1" applyFill="1" applyBorder="1" applyAlignment="1" applyProtection="1">
      <alignment horizontal="center" wrapText="1"/>
      <protection locked="0"/>
    </xf>
    <xf numFmtId="0" fontId="7" fillId="3" borderId="3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0" fontId="7" fillId="3" borderId="5" xfId="0" applyFont="1" applyFill="1" applyBorder="1" applyAlignment="1">
      <alignment horizontal="left" wrapText="1"/>
    </xf>
    <xf numFmtId="0" fontId="24" fillId="25" borderId="0" xfId="5" applyFont="1" applyFill="1" applyAlignment="1">
      <alignment horizontal="left"/>
    </xf>
    <xf numFmtId="0" fontId="38" fillId="24" borderId="0" xfId="0" applyFont="1" applyFill="1"/>
    <xf numFmtId="0" fontId="37" fillId="24" borderId="0" xfId="0" applyFont="1" applyFill="1"/>
  </cellXfs>
  <cellStyles count="9">
    <cellStyle name="Comma" xfId="1" builtinId="3"/>
    <cellStyle name="Comma 2" xfId="4" xr:uid="{5EBE5E06-3E04-422A-BFE1-93F17796D0FD}"/>
    <cellStyle name="Comma 2 2" xfId="8" xr:uid="{8FB96B8C-0582-4B42-A5E4-6948F6E80BC5}"/>
    <cellStyle name="Comma 6" xfId="7" xr:uid="{C4AB014B-8B97-4B90-BD08-2D0B67C91825}"/>
    <cellStyle name="Currency" xfId="2" builtinId="4"/>
    <cellStyle name="Normal" xfId="0" builtinId="0"/>
    <cellStyle name="Normal 6" xfId="5" xr:uid="{984A3A81-B0B6-4572-B760-5F5AE33A965F}"/>
    <cellStyle name="Percent" xfId="3" builtinId="5"/>
    <cellStyle name="Percent 3" xfId="6" xr:uid="{E71D83E6-62A4-4F03-809D-4B2F7E1202FC}"/>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numFmt numFmtId="167" formatCode="_(* #,##0.00_);_(* \(#,##0.00\);_(* &quot;-&quot;??_);_(@_)"/>
    </dxf>
    <dxf>
      <numFmt numFmtId="167" formatCode="_(* #,##0.00_);_(* \(#,##0.00\);_(* &quot;-&quot;??_);_(@_)"/>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B9B"/>
      <color rgb="FFCDA6F4"/>
      <color rgb="FFE3CFE0"/>
      <color rgb="FFFFCCFF"/>
      <color rgb="FFFF66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1</xdr:col>
      <xdr:colOff>190500</xdr:colOff>
      <xdr:row>0</xdr:row>
      <xdr:rowOff>44450</xdr:rowOff>
    </xdr:from>
    <xdr:ext cx="1850865" cy="1066488"/>
    <xdr:pic>
      <xdr:nvPicPr>
        <xdr:cNvPr id="2" name="Picture 1" descr="UN_Women_English_Blue_Small_ALONE">
          <a:extLst>
            <a:ext uri="{FF2B5EF4-FFF2-40B4-BE49-F238E27FC236}">
              <a16:creationId xmlns:a16="http://schemas.microsoft.com/office/drawing/2014/main" id="{D7DBD47C-AF89-4457-8A64-8F03B9D948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44450"/>
          <a:ext cx="1850865" cy="1066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Said Ogle" id="{6D77DBBE-69F5-42D9-AA12-3EA61462CC06}" userId="S::said.ogle@unwomen.org::8b05ed22-fba0-4fa7-9b5c-b504c10ba24f" providerId="AD"/>
  <person displayName="Ruth Pfleiderer" id="{09828C9A-8302-429C-80EC-6698CDA0B197}" userId="S::ruth.pfleiderer@undp.org::43bca2da-4161-4c78-aaff-72f365233823" providerId="AD"/>
  <person displayName="Abdikadir Ahmed Noor" id="{6E28304A-9325-4134-96D1-004021C477CC}" userId="S::abdikadir.noor@unwomen.org::43b31246-b332-4b9a-8b65-057426fe5742"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undp-my.sharepoint.com/personal/rachael_kathuri_undp_org/Documents/OS/UNDP/2024/WPP/June%202024%20Reporting/UN%20Women%20PBF%20Uncertified%20Financial%20Report%2031st%20October%202023%20PID%20129161%2015-11-2023Fn.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https://undp-my.sharepoint.com/personal/rachael_kathuri_undp_org/Documents/OS/UNDP/2024/WPP/June%202024%20Reporting/UN%20Women%20PBF%20Uncertified%20Financial%20Report%2031st%20October%202023%20PID%20129161%2015-11-2023Fn.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in Rosamund Baird-Rogers" refreshedDate="45196.863026851854" createdVersion="8" refreshedVersion="8" minRefreshableVersion="3" recordCount="73" xr:uid="{5B10B76F-622F-4DFD-8A01-C0176A960B78}">
  <cacheSource type="worksheet">
    <worksheetSource ref="A7:K80" sheet="TB 2022" r:id="rId2"/>
  </cacheSource>
  <cacheFields count="11">
    <cacheField name="Account" numFmtId="0">
      <sharedItems containsSemiMixedTypes="0" containsString="0" containsNumber="1" containsInteger="1" minValue="14050" maxValue="77630"/>
    </cacheField>
    <cacheField name="Description" numFmtId="0">
      <sharedItems/>
    </cacheField>
    <cacheField name="Fund" numFmtId="0">
      <sharedItems/>
    </cacheField>
    <cacheField name="DeptID" numFmtId="0">
      <sharedItems containsSemiMixedTypes="0" containsString="0" containsNumber="1" containsInteger="1" minValue="93125" maxValue="93125"/>
    </cacheField>
    <cacheField name="Project" numFmtId="0">
      <sharedItems containsSemiMixedTypes="0" containsString="0" containsNumber="1" containsInteger="1" minValue="129161" maxValue="129161"/>
    </cacheField>
    <cacheField name="Donor" numFmtId="0">
      <sharedItems containsSemiMixedTypes="0" containsString="0" containsNumber="1" containsInteger="1" minValue="11363" maxValue="11363"/>
    </cacheField>
    <cacheField name="Oper Unit" numFmtId="0">
      <sharedItems/>
    </cacheField>
    <cacheField name="Cur" numFmtId="0">
      <sharedItems/>
    </cacheField>
    <cacheField name="Net" numFmtId="167">
      <sharedItems containsSemiMixedTypes="0" containsString="0" containsNumber="1" minValue="-632228.4" maxValue="90592"/>
    </cacheField>
    <cacheField name="TB Mapping" numFmtId="0">
      <sharedItems/>
    </cacheField>
    <cacheField name="UNDG" numFmtId="0">
      <sharedItems count="10">
        <s v="Not reported as Exp"/>
        <s v="Advance"/>
        <s v="NBV"/>
        <s v="Staff and Other Personnel Costs"/>
        <s v="Contractual Services"/>
        <s v="Travel"/>
        <s v="General  Operating  and other Direct costs"/>
        <s v="Equipment,Vehicles and Furniture Including Depreciation"/>
        <s v="Supplies Commodities and Materials"/>
        <e v="#N/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in Rosamund Baird-Rogers" refreshedDate="45196.863027314816" createdVersion="8" refreshedVersion="8" minRefreshableVersion="3" recordCount="49" xr:uid="{EB67B01E-0D44-4991-93BC-EF5A15558006}">
  <cacheSource type="worksheet">
    <worksheetSource ref="A1:S50" sheet="TB 2023 AUGUST" r:id="rId2"/>
  </cacheSource>
  <cacheFields count="19">
    <cacheField name="LEDGER NAME" numFmtId="0">
      <sharedItems/>
    </cacheField>
    <cacheField name="PERIOD YEAR" numFmtId="0">
      <sharedItems containsSemiMixedTypes="0" containsString="0" containsNumber="1" containsInteger="1" minValue="2023" maxValue="2023"/>
    </cacheField>
    <cacheField name="PERIOD NAME" numFmtId="49">
      <sharedItems/>
    </cacheField>
    <cacheField name="AGENCY" numFmtId="0">
      <sharedItems/>
    </cacheField>
    <cacheField name="OPERATING UNIT" numFmtId="0">
      <sharedItems/>
    </cacheField>
    <cacheField name="FUND" numFmtId="49">
      <sharedItems/>
    </cacheField>
    <cacheField name="COST CENTRE" numFmtId="49">
      <sharedItems/>
    </cacheField>
    <cacheField name="ACCOUNT" numFmtId="0">
      <sharedItems containsSemiMixedTypes="0" containsString="0" containsNumber="1" containsInteger="1" minValue="14015" maxValue="79014"/>
    </cacheField>
    <cacheField name="ACCOUNT DESCRIPTION" numFmtId="49">
      <sharedItems/>
    </cacheField>
    <cacheField name="PROJECT" numFmtId="49">
      <sharedItems/>
    </cacheField>
    <cacheField name="DONOR" numFmtId="49">
      <sharedItems/>
    </cacheField>
    <cacheField name="INTERAGENCY" numFmtId="49">
      <sharedItems/>
    </cacheField>
    <cacheField name="FUTURE" numFmtId="49">
      <sharedItems/>
    </cacheField>
    <cacheField name="CODE COMBINATION" numFmtId="0">
      <sharedItems/>
    </cacheField>
    <cacheField name="CURRENCY CODE" numFmtId="0">
      <sharedItems/>
    </cacheField>
    <cacheField name="BEGINNING BALANCE" numFmtId="167">
      <sharedItems containsSemiMixedTypes="0" containsString="0" containsNumber="1" minValue="-901979.18" maxValue="901979.18"/>
    </cacheField>
    <cacheField name="PERIOD ACTIVITY" numFmtId="167">
      <sharedItems containsSemiMixedTypes="0" containsString="0" containsNumber="1" minValue="0" maxValue="110001.34"/>
    </cacheField>
    <cacheField name="ENDING BALANCE" numFmtId="167">
      <sharedItems containsSemiMixedTypes="0" containsString="0" containsNumber="1" minValue="-901979.18" maxValue="901979.18"/>
    </cacheField>
    <cacheField name="UNDG Category" numFmtId="167">
      <sharedItems count="10">
        <s v="Revenue"/>
        <s v="Not reported as Exp"/>
        <s v="NBV"/>
        <s v="General  Operating  and other Direct costs"/>
        <s v="Contractual Services"/>
        <s v="Equipment,Vehicles and Furniture Including Depreciation"/>
        <s v="Advance"/>
        <s v="Staff and Other Personnel Costs"/>
        <s v="Travel"/>
        <s v="Transfers and Grants Counterpart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
  <r>
    <n v="14050"/>
    <s v="Staff Receivable - Other"/>
    <s v="W3007"/>
    <n v="93125"/>
    <n v="129161"/>
    <n v="11363"/>
    <s v="SOM"/>
    <s v="USD"/>
    <n v="2400"/>
    <s v="N/a"/>
    <x v="0"/>
  </r>
  <r>
    <n v="16040"/>
    <s v="OFA - Implementing Agency Exp"/>
    <s v="W3007"/>
    <n v="93125"/>
    <n v="129161"/>
    <n v="11363"/>
    <s v="SOM"/>
    <s v="USD"/>
    <n v="90592"/>
    <s v="Advances"/>
    <x v="1"/>
  </r>
  <r>
    <n v="18130"/>
    <s v="Communications &amp; IT Equipments"/>
    <s v="W3007"/>
    <n v="93125"/>
    <n v="129161"/>
    <n v="11363"/>
    <s v="ESA"/>
    <s v="USD"/>
    <n v="3474"/>
    <s v="Undepreciated Asset"/>
    <x v="2"/>
  </r>
  <r>
    <n v="18630"/>
    <s v="Accumulated Dep - ITC"/>
    <s v="W3007"/>
    <n v="93125"/>
    <n v="129161"/>
    <n v="11363"/>
    <s v="ESA"/>
    <s v="USD"/>
    <n v="-192.99"/>
    <s v="Undepreciated Asset"/>
    <x v="2"/>
  </r>
  <r>
    <n v="21005"/>
    <s v="Accounts Payable"/>
    <s v="W3007"/>
    <n v="93125"/>
    <n v="129161"/>
    <n v="11363"/>
    <s v="ESA"/>
    <s v="USD"/>
    <n v="0"/>
    <s v="N/a"/>
    <x v="0"/>
  </r>
  <r>
    <n v="21005"/>
    <s v="Accounts Payable"/>
    <s v="W3007"/>
    <n v="93125"/>
    <n v="129161"/>
    <n v="11363"/>
    <s v="SOM"/>
    <s v="USD"/>
    <n v="0"/>
    <s v="N/a"/>
    <x v="0"/>
  </r>
  <r>
    <n v="21035"/>
    <s v="Receipt Accrual Liability"/>
    <s v="W3007"/>
    <n v="93125"/>
    <n v="129161"/>
    <n v="11363"/>
    <s v="SOM"/>
    <s v="USD"/>
    <n v="-2181.5"/>
    <s v="Receipt Accrual"/>
    <x v="0"/>
  </r>
  <r>
    <n v="31005"/>
    <s v="Unexpended Resources"/>
    <s v="W3007"/>
    <n v="93125"/>
    <n v="129161"/>
    <n v="11363"/>
    <s v="SOM"/>
    <s v="USD"/>
    <n v="-632228.4"/>
    <s v="Unexpended Resources"/>
    <x v="0"/>
  </r>
  <r>
    <n v="61105"/>
    <s v="Salaries - NP Staff"/>
    <s v="W3007"/>
    <n v="93125"/>
    <n v="129161"/>
    <n v="11363"/>
    <s v="SOM"/>
    <s v="USD"/>
    <n v="4145.33"/>
    <s v="Expenses"/>
    <x v="3"/>
  </r>
  <r>
    <n v="62105"/>
    <s v="Dependency Allowance-NP Staff"/>
    <s v="W3007"/>
    <n v="93125"/>
    <n v="129161"/>
    <n v="11363"/>
    <s v="SOM"/>
    <s v="USD"/>
    <n v="189.17"/>
    <s v="Expenses"/>
    <x v="3"/>
  </r>
  <r>
    <n v="62110"/>
    <s v="Contrib Joint Staff Pension-NP"/>
    <s v="W3007"/>
    <n v="93125"/>
    <n v="129161"/>
    <n v="11363"/>
    <s v="SOM"/>
    <s v="USD"/>
    <n v="824.47"/>
    <s v="Expenses"/>
    <x v="3"/>
  </r>
  <r>
    <n v="62115"/>
    <s v="Contrib to Med,SocIns-NP Staff"/>
    <s v="W3007"/>
    <n v="93125"/>
    <n v="129161"/>
    <n v="11363"/>
    <s v="SOM"/>
    <s v="USD"/>
    <n v="383.44"/>
    <s v="Expenses"/>
    <x v="3"/>
  </r>
  <r>
    <n v="62120"/>
    <s v="Hazard Duty Station Allow-NP"/>
    <s v="W3007"/>
    <n v="93125"/>
    <n v="129161"/>
    <n v="11363"/>
    <s v="SOM"/>
    <s v="USD"/>
    <n v="444"/>
    <s v="Expenses"/>
    <x v="3"/>
  </r>
  <r>
    <n v="62140"/>
    <s v="Annual Leave Expense - NO"/>
    <s v="W3007"/>
    <n v="93125"/>
    <n v="129161"/>
    <n v="11363"/>
    <s v="SOM"/>
    <s v="USD"/>
    <n v="-857.65"/>
    <s v="Expenses"/>
    <x v="3"/>
  </r>
  <r>
    <n v="63530"/>
    <s v="Contribution to EOS Benefits"/>
    <s v="W3007"/>
    <n v="93125"/>
    <n v="129161"/>
    <n v="11363"/>
    <s v="SOM"/>
    <s v="USD"/>
    <n v="155.44999999999999"/>
    <s v="Expenses"/>
    <x v="3"/>
  </r>
  <r>
    <n v="63535"/>
    <s v="Contribution to Security"/>
    <s v="W3007"/>
    <n v="93125"/>
    <n v="129161"/>
    <n v="11363"/>
    <s v="SOM"/>
    <s v="USD"/>
    <n v="103.63"/>
    <s v="Expenses"/>
    <x v="3"/>
  </r>
  <r>
    <n v="63540"/>
    <s v="Contribution to Training"/>
    <s v="W3007"/>
    <n v="93125"/>
    <n v="129161"/>
    <n v="11363"/>
    <s v="SOM"/>
    <s v="USD"/>
    <n v="41.45"/>
    <s v="Expenses"/>
    <x v="3"/>
  </r>
  <r>
    <n v="63545"/>
    <s v="Contribution to ICT"/>
    <s v="W3007"/>
    <n v="93125"/>
    <n v="129161"/>
    <n v="11363"/>
    <s v="SOM"/>
    <s v="USD"/>
    <n v="186.54"/>
    <s v="Expenses"/>
    <x v="3"/>
  </r>
  <r>
    <n v="63550"/>
    <s v="Contributions to MAIP"/>
    <s v="W3007"/>
    <n v="93125"/>
    <n v="129161"/>
    <n v="11363"/>
    <s v="SOM"/>
    <s v="USD"/>
    <n v="8.2899999999999991"/>
    <s v="Expenses"/>
    <x v="3"/>
  </r>
  <r>
    <n v="63555"/>
    <s v="Contribution to UN JFA"/>
    <s v="W3007"/>
    <n v="93125"/>
    <n v="129161"/>
    <n v="11363"/>
    <s v="SOM"/>
    <s v="USD"/>
    <n v="74.62"/>
    <s v="Expenses"/>
    <x v="3"/>
  </r>
  <r>
    <n v="63560"/>
    <s v="Contributions to Appendix D"/>
    <s v="W3007"/>
    <n v="93125"/>
    <n v="129161"/>
    <n v="11363"/>
    <s v="SOM"/>
    <s v="USD"/>
    <n v="12.44"/>
    <s v="Expenses"/>
    <x v="3"/>
  </r>
  <r>
    <n v="65115"/>
    <s v="Contributions to ASHI Reserve"/>
    <s v="W3007"/>
    <n v="93125"/>
    <n v="129161"/>
    <n v="11363"/>
    <s v="SOM"/>
    <s v="USD"/>
    <n v="331.63"/>
    <s v="Expenses"/>
    <x v="3"/>
  </r>
  <r>
    <n v="65135"/>
    <s v="Payroll Mgt Cost Recovery ATLA"/>
    <s v="W3007"/>
    <n v="93125"/>
    <n v="129161"/>
    <n v="11363"/>
    <s v="SOM"/>
    <s v="USD"/>
    <n v="22.41"/>
    <s v="Expenses"/>
    <x v="3"/>
  </r>
  <r>
    <n v="71210"/>
    <s v="Intl Consultants-Sht Term-Supp"/>
    <s v="W3007"/>
    <n v="93125"/>
    <n v="129161"/>
    <n v="11363"/>
    <s v="SOM"/>
    <s v="USD"/>
    <n v="14250"/>
    <s v="Expenses"/>
    <x v="4"/>
  </r>
  <r>
    <n v="71305"/>
    <s v="Local Consult.-Sht Term-Tech"/>
    <s v="W3007"/>
    <n v="93125"/>
    <n v="129161"/>
    <n v="11363"/>
    <s v="SOM"/>
    <s v="USD"/>
    <n v="14024.29"/>
    <s v="Expenses"/>
    <x v="4"/>
  </r>
  <r>
    <n v="71405"/>
    <s v="Service Contracts-Individuals"/>
    <s v="W3007"/>
    <n v="93125"/>
    <n v="129161"/>
    <n v="11363"/>
    <s v="SOM"/>
    <s v="USD"/>
    <n v="34359.96"/>
    <s v="Expenses"/>
    <x v="4"/>
  </r>
  <r>
    <n v="71410"/>
    <s v="MAIP Premium SC"/>
    <s v="W3007"/>
    <n v="93125"/>
    <n v="129161"/>
    <n v="11363"/>
    <s v="SOM"/>
    <s v="USD"/>
    <n v="131.44999999999999"/>
    <s v="Expenses"/>
    <x v="4"/>
  </r>
  <r>
    <n v="71415"/>
    <s v="Contribution to Security SC"/>
    <s v="W3007"/>
    <n v="93125"/>
    <n v="129161"/>
    <n v="11363"/>
    <s v="SOM"/>
    <s v="USD"/>
    <n v="919.96"/>
    <s v="Expenses"/>
    <x v="4"/>
  </r>
  <r>
    <n v="71440"/>
    <s v="Appendix D SC"/>
    <s v="W3007"/>
    <n v="93125"/>
    <n v="129161"/>
    <n v="11363"/>
    <s v="SOM"/>
    <s v="USD"/>
    <n v="1182.8599999999999"/>
    <s v="Expenses"/>
    <x v="4"/>
  </r>
  <r>
    <n v="71605"/>
    <s v="Travel Tickets-International"/>
    <s v="W3007"/>
    <n v="93125"/>
    <n v="129161"/>
    <n v="11363"/>
    <s v="SOM"/>
    <s v="USD"/>
    <n v="6012.73"/>
    <s v="Expenses"/>
    <x v="5"/>
  </r>
  <r>
    <n v="71610"/>
    <s v="Travel Tickets-Local"/>
    <s v="W3007"/>
    <n v="93125"/>
    <n v="129161"/>
    <n v="11363"/>
    <s v="SOM"/>
    <s v="USD"/>
    <n v="16060"/>
    <s v="Expenses"/>
    <x v="5"/>
  </r>
  <r>
    <n v="71615"/>
    <s v="Daily Subsistence Allow-Intl"/>
    <s v="W3007"/>
    <n v="93125"/>
    <n v="129161"/>
    <n v="11363"/>
    <s v="SOM"/>
    <s v="USD"/>
    <n v="23920"/>
    <s v="Expenses"/>
    <x v="5"/>
  </r>
  <r>
    <n v="71620"/>
    <s v="Daily Subsistence Allow-Local"/>
    <s v="W3007"/>
    <n v="93125"/>
    <n v="129161"/>
    <n v="11363"/>
    <s v="SOM"/>
    <s v="USD"/>
    <n v="7499"/>
    <s v="Expenses"/>
    <x v="5"/>
  </r>
  <r>
    <n v="71630"/>
    <s v="Shipment"/>
    <s v="W3007"/>
    <n v="93125"/>
    <n v="129161"/>
    <n v="11363"/>
    <s v="ESA"/>
    <s v="USD"/>
    <n v="1643.54"/>
    <s v="Expenses"/>
    <x v="6"/>
  </r>
  <r>
    <n v="71635"/>
    <s v="Travel - Other"/>
    <s v="W3007"/>
    <n v="93125"/>
    <n v="129161"/>
    <n v="11363"/>
    <s v="SOM"/>
    <s v="USD"/>
    <n v="8523.15"/>
    <s v="Expenses"/>
    <x v="5"/>
  </r>
  <r>
    <n v="71810"/>
    <s v="Contractual Svcs-indiv ImpPtnr"/>
    <s v="W3007"/>
    <n v="93125"/>
    <n v="129161"/>
    <n v="11363"/>
    <s v="SOM"/>
    <s v="USD"/>
    <n v="4000"/>
    <s v="Expenses"/>
    <x v="4"/>
  </r>
  <r>
    <n v="72125"/>
    <s v="Svc Co-Studies &amp; Research Serv"/>
    <s v="W3007"/>
    <n v="93125"/>
    <n v="129161"/>
    <n v="11363"/>
    <s v="SOM"/>
    <s v="USD"/>
    <n v="34596"/>
    <s v="Expenses"/>
    <x v="4"/>
  </r>
  <r>
    <n v="72220"/>
    <s v="Furniture"/>
    <s v="W3007"/>
    <n v="93125"/>
    <n v="129161"/>
    <n v="11363"/>
    <s v="SOM"/>
    <s v="USD"/>
    <n v="2070"/>
    <s v="Expenses"/>
    <x v="7"/>
  </r>
  <r>
    <n v="72425"/>
    <s v="Mobile Telephone Charges"/>
    <s v="W3007"/>
    <n v="93125"/>
    <n v="129161"/>
    <n v="11363"/>
    <s v="SOM"/>
    <s v="USD"/>
    <n v="558"/>
    <s v="Expenses"/>
    <x v="6"/>
  </r>
  <r>
    <n v="72505"/>
    <s v="Stationery &amp; other Office Supp"/>
    <s v="W3007"/>
    <n v="93125"/>
    <n v="129161"/>
    <n v="11363"/>
    <s v="SOM"/>
    <s v="USD"/>
    <n v="600"/>
    <s v="Expenses"/>
    <x v="6"/>
  </r>
  <r>
    <n v="72715"/>
    <s v="Hospitality Catering"/>
    <s v="W3007"/>
    <n v="93125"/>
    <n v="129161"/>
    <n v="11363"/>
    <s v="SOM"/>
    <s v="USD"/>
    <n v="2080"/>
    <s v="Expenses"/>
    <x v="6"/>
  </r>
  <r>
    <n v="72805"/>
    <s v="Acquis of Computer Hardware"/>
    <s v="W3007"/>
    <n v="93125"/>
    <n v="129161"/>
    <n v="11363"/>
    <s v="ESA"/>
    <s v="USD"/>
    <n v="1196"/>
    <s v="Expenses"/>
    <x v="7"/>
  </r>
  <r>
    <n v="73104"/>
    <s v="Leased Building"/>
    <s v="W3007"/>
    <n v="93125"/>
    <n v="129161"/>
    <n v="11363"/>
    <s v="SOM"/>
    <s v="USD"/>
    <n v="15837"/>
    <s v="Expenses"/>
    <x v="6"/>
  </r>
  <r>
    <n v="73105"/>
    <s v="Rent"/>
    <s v="W3007"/>
    <n v="93125"/>
    <n v="129161"/>
    <n v="11363"/>
    <s v="SOM"/>
    <s v="USD"/>
    <n v="6300"/>
    <s v="Expenses"/>
    <x v="6"/>
  </r>
  <r>
    <n v="73107"/>
    <s v="Rent - Meeting Rooms"/>
    <s v="W3007"/>
    <n v="93125"/>
    <n v="129161"/>
    <n v="11363"/>
    <s v="SOM"/>
    <s v="USD"/>
    <n v="1625"/>
    <s v="Expenses"/>
    <x v="6"/>
  </r>
  <r>
    <n v="73310"/>
    <s v="Maint &amp; Licencing of Software"/>
    <s v="W3007"/>
    <n v="93125"/>
    <n v="129161"/>
    <n v="11363"/>
    <s v="SOM"/>
    <s v="USD"/>
    <n v="186"/>
    <s v="Expenses"/>
    <x v="6"/>
  </r>
  <r>
    <n v="73420"/>
    <s v="Leased Vehicles"/>
    <s v="W3007"/>
    <n v="93125"/>
    <n v="129161"/>
    <n v="11363"/>
    <s v="SOM"/>
    <s v="USD"/>
    <n v="610"/>
    <s v="Expenses"/>
    <x v="6"/>
  </r>
  <r>
    <n v="73505"/>
    <s v="Reimb to UNDP for Supp Srvs"/>
    <s v="W3007"/>
    <n v="93125"/>
    <n v="129161"/>
    <n v="11363"/>
    <s v="SOM"/>
    <s v="USD"/>
    <n v="1647.34"/>
    <s v="Expenses"/>
    <x v="7"/>
  </r>
  <r>
    <n v="73510"/>
    <s v="Reimb to UN for Supp Srvs"/>
    <s v="W3007"/>
    <n v="93125"/>
    <n v="129161"/>
    <n v="11363"/>
    <s v="SOM"/>
    <s v="USD"/>
    <n v="1142.9000000000001"/>
    <s v="Expenses"/>
    <x v="6"/>
  </r>
  <r>
    <n v="74210"/>
    <s v="Printing and Publications"/>
    <s v="W3007"/>
    <n v="93125"/>
    <n v="129161"/>
    <n v="11363"/>
    <s v="SOM"/>
    <s v="USD"/>
    <n v="329"/>
    <s v="Expenses"/>
    <x v="8"/>
  </r>
  <r>
    <n v="74325"/>
    <s v="Contrib.To CO Common Security"/>
    <s v="W3007"/>
    <n v="93125"/>
    <n v="129161"/>
    <n v="11363"/>
    <s v="SOM"/>
    <s v="USD"/>
    <n v="3150"/>
    <s v="Expenses"/>
    <x v="6"/>
  </r>
  <r>
    <n v="74510"/>
    <s v="Bank Charges"/>
    <s v="W3007"/>
    <n v="93125"/>
    <n v="129161"/>
    <n v="11363"/>
    <s v="SOM"/>
    <s v="USD"/>
    <n v="3923.01"/>
    <s v="Expenses"/>
    <x v="6"/>
  </r>
  <r>
    <n v="74965"/>
    <s v="Low value equipment"/>
    <s v="W3007"/>
    <n v="93125"/>
    <n v="129161"/>
    <n v="11363"/>
    <s v="ESA"/>
    <s v="USD"/>
    <n v="0"/>
    <s v="Expenses"/>
    <x v="7"/>
  </r>
  <r>
    <n v="75705"/>
    <s v="Learning costs"/>
    <s v="W3007"/>
    <n v="93125"/>
    <n v="129161"/>
    <n v="11363"/>
    <s v="SOM"/>
    <s v="USD"/>
    <n v="9940.09"/>
    <s v="Expenses"/>
    <x v="6"/>
  </r>
  <r>
    <n v="75710"/>
    <s v="Participation of counterparts"/>
    <s v="W3007"/>
    <n v="93125"/>
    <n v="129161"/>
    <n v="11363"/>
    <s v="SOM"/>
    <s v="USD"/>
    <n v="85880"/>
    <s v="Expenses"/>
    <x v="6"/>
  </r>
  <r>
    <n v="76135"/>
    <s v="Realized Gain"/>
    <s v="W3007"/>
    <n v="93125"/>
    <n v="129161"/>
    <n v="11363"/>
    <s v="SOM"/>
    <s v="USD"/>
    <n v="-13.05"/>
    <s v="Expenses"/>
    <x v="6"/>
  </r>
  <r>
    <n v="77305"/>
    <s v="Salaries - IP Staff-TA"/>
    <s v="W3007"/>
    <n v="93125"/>
    <n v="129161"/>
    <n v="11363"/>
    <s v="SOM"/>
    <s v="USD"/>
    <n v="31294.47"/>
    <s v="Expenses"/>
    <x v="3"/>
  </r>
  <r>
    <n v="77306"/>
    <s v="Appoint-Tk cost-IP Staff-TA"/>
    <s v="W3007"/>
    <n v="93125"/>
    <n v="129161"/>
    <n v="11363"/>
    <s v="SOM"/>
    <s v="USD"/>
    <n v="1100.3"/>
    <s v="Expenses"/>
    <x v="3"/>
  </r>
  <r>
    <n v="77307"/>
    <s v="Appoint-Sub Allow-IP Staff-TA"/>
    <s v="W3007"/>
    <n v="93125"/>
    <n v="129161"/>
    <n v="11363"/>
    <s v="SOM"/>
    <s v="USD"/>
    <n v="5190"/>
    <s v="Expenses"/>
    <x v="3"/>
  </r>
  <r>
    <n v="77309"/>
    <s v="Appoint-shipment-IP Staff-TA"/>
    <s v="W3007"/>
    <n v="93125"/>
    <n v="129161"/>
    <n v="11363"/>
    <s v="SOM"/>
    <s v="USD"/>
    <n v="1200"/>
    <s v="Expenses"/>
    <x v="3"/>
  </r>
  <r>
    <n v="77310"/>
    <s v="Post Adjustment - IP Staff-TA"/>
    <s v="W3007"/>
    <n v="93125"/>
    <n v="129161"/>
    <n v="11363"/>
    <s v="SOM"/>
    <s v="USD"/>
    <n v="15223.69"/>
    <s v="Expenses"/>
    <x v="3"/>
  </r>
  <r>
    <n v="77315"/>
    <s v="Contrib-Med,SocIns-IP Staff-TA"/>
    <s v="W3007"/>
    <n v="93125"/>
    <n v="129161"/>
    <n v="11363"/>
    <s v="SOM"/>
    <s v="USD"/>
    <n v="1608.96"/>
    <s v="Expenses"/>
    <x v="3"/>
  </r>
  <r>
    <n v="77320"/>
    <s v="Assg hardship &amp; mob allow-TA"/>
    <s v="W3007"/>
    <n v="93125"/>
    <n v="129161"/>
    <n v="11363"/>
    <s v="SOM"/>
    <s v="USD"/>
    <n v="8094.11"/>
    <s v="Expenses"/>
    <x v="3"/>
  </r>
  <r>
    <n v="77345"/>
    <s v="Dep Allowances-IP Staff-TA"/>
    <s v="W3007"/>
    <n v="93125"/>
    <n v="129161"/>
    <n v="11363"/>
    <s v="SOM"/>
    <s v="USD"/>
    <n v="2665.29"/>
    <s v="Expenses"/>
    <x v="3"/>
  </r>
  <r>
    <n v="77357"/>
    <s v="Repat. Grt/Comm Ann Lv-IP-TA"/>
    <s v="W3007"/>
    <n v="93125"/>
    <n v="129161"/>
    <n v="11363"/>
    <s v="SOM"/>
    <s v="USD"/>
    <n v="2354.4"/>
    <s v="Expenses"/>
    <x v="3"/>
  </r>
  <r>
    <n v="77365"/>
    <s v="Spec Oper Living Allow-IP-TA"/>
    <s v="W3007"/>
    <n v="93125"/>
    <n v="129161"/>
    <n v="11363"/>
    <s v="SOM"/>
    <s v="USD"/>
    <n v="9008.6200000000008"/>
    <s v="Expenses"/>
    <x v="3"/>
  </r>
  <r>
    <n v="77375"/>
    <s v="Contrib-Jt Staff Pens Fd-IP-TA"/>
    <s v="W3007"/>
    <n v="93125"/>
    <n v="129161"/>
    <n v="11363"/>
    <s v="SOM"/>
    <s v="USD"/>
    <n v="11154.92"/>
    <s v="Expenses"/>
    <x v="3"/>
  </r>
  <r>
    <n v="77385"/>
    <s v="Contribution to Security"/>
    <s v="W3007"/>
    <n v="93125"/>
    <n v="129161"/>
    <n v="11363"/>
    <s v="SOM"/>
    <s v="USD"/>
    <n v="1162.95"/>
    <s v="Expenses"/>
    <x v="3"/>
  </r>
  <r>
    <n v="77386"/>
    <s v="Contribution to ICT_TA"/>
    <s v="W3007"/>
    <n v="93125"/>
    <n v="129161"/>
    <n v="11363"/>
    <s v="SOM"/>
    <s v="USD"/>
    <n v="2093.3200000000002"/>
    <s v="Expenses"/>
    <x v="3"/>
  </r>
  <r>
    <n v="77395"/>
    <s v="MAIP Premium TA/IP"/>
    <s v="W3007"/>
    <n v="93125"/>
    <n v="129161"/>
    <n v="11363"/>
    <s v="SOM"/>
    <s v="USD"/>
    <n v="93.03"/>
    <s v="Expenses"/>
    <x v="3"/>
  </r>
  <r>
    <n v="77396"/>
    <s v="PAYROLL MGT COST RECOVERY"/>
    <s v="W3007"/>
    <n v="93125"/>
    <n v="129161"/>
    <n v="11363"/>
    <s v="SOM"/>
    <s v="USD"/>
    <n v="1826.28"/>
    <s v="Expenses"/>
    <x v="6"/>
  </r>
  <r>
    <n v="77397"/>
    <s v="Appendix D TA/IP"/>
    <s v="W3007"/>
    <n v="93125"/>
    <n v="129161"/>
    <n v="11363"/>
    <s v="SOM"/>
    <s v="USD"/>
    <n v="139.56"/>
    <s v="Expenses"/>
    <x v="3"/>
  </r>
  <r>
    <n v="77630"/>
    <s v="Dep Exp Owned  - ITC"/>
    <s v="W3007"/>
    <n v="93125"/>
    <n v="129161"/>
    <n v="11363"/>
    <s v="ESA"/>
    <s v="USD"/>
    <n v="192.99"/>
    <s v="Expenses"/>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s v="UNWOMEN PL USD"/>
    <n v="2023"/>
    <s v="AUG-2023"/>
    <s v="UNWOMEN"/>
    <s v="ES01"/>
    <s v="W3007"/>
    <s v="93101"/>
    <n v="51035"/>
    <s v="Transfers to or from Funds or Donors"/>
    <s v="00129161"/>
    <s v="011363"/>
    <s v="0"/>
    <s v="0"/>
    <s v="UNWOMEN.ES01.W3007.93101.51035.00129161.011363.0.0"/>
    <s v="USD"/>
    <n v="14584.92"/>
    <n v="0"/>
    <n v="14584.92"/>
    <x v="0"/>
  </r>
  <r>
    <s v="UNWOMEN PL USD"/>
    <n v="2023"/>
    <s v="AUG-2023"/>
    <s v="UNWOMEN"/>
    <s v="ES01"/>
    <s v="W3007"/>
    <s v="93125"/>
    <n v="14015"/>
    <s v="Contributions Receivable"/>
    <s v="00129161"/>
    <s v="011363"/>
    <s v="0"/>
    <s v="0"/>
    <s v="UNWOMEN.ES01.W3007.93125.14015.00129161.011363.0.0"/>
    <s v="USD"/>
    <n v="0"/>
    <n v="0"/>
    <n v="0"/>
    <x v="1"/>
  </r>
  <r>
    <s v="UNWOMEN PL USD"/>
    <n v="2023"/>
    <s v="AUG-2023"/>
    <s v="UNWOMEN"/>
    <s v="ES01"/>
    <s v="W3007"/>
    <s v="93125"/>
    <n v="14081"/>
    <s v="Unbilled Accounts Receivable Contracts"/>
    <s v="00129161"/>
    <s v="011363"/>
    <s v="0"/>
    <s v="0"/>
    <s v="UNWOMEN.ES01.W3007.93125.14081.00129161.011363.0.0"/>
    <s v="USD"/>
    <n v="-901979.18"/>
    <n v="0"/>
    <n v="-901979.18"/>
    <x v="1"/>
  </r>
  <r>
    <s v="UNWOMEN PL USD"/>
    <n v="2023"/>
    <s v="AUG-2023"/>
    <s v="UNWOMEN"/>
    <s v="ES01"/>
    <s v="W3007"/>
    <s v="93125"/>
    <n v="18130"/>
    <s v="Information and Communications Technology Equipment - Cost"/>
    <s v="00129161"/>
    <s v="011363"/>
    <s v="0"/>
    <s v="0"/>
    <s v="UNWOMEN.ES01.W3007.93125.18130.00129161.011363.0.0"/>
    <s v="USD"/>
    <n v="0"/>
    <n v="0"/>
    <n v="0"/>
    <x v="2"/>
  </r>
  <r>
    <s v="UNWOMEN PL USD"/>
    <n v="2023"/>
    <s v="AUG-2023"/>
    <s v="UNWOMEN"/>
    <s v="ES01"/>
    <s v="W3007"/>
    <s v="93125"/>
    <n v="18630"/>
    <s v="Information and Communications Technology Equipment - Accumulated Depreciation"/>
    <s v="00129161"/>
    <s v="011363"/>
    <s v="0"/>
    <s v="0"/>
    <s v="UNWOMEN.ES01.W3007.93125.18630.00129161.011363.0.0"/>
    <s v="USD"/>
    <n v="-289.44"/>
    <n v="0"/>
    <n v="-289.44"/>
    <x v="2"/>
  </r>
  <r>
    <s v="UNWOMEN PL USD"/>
    <n v="2023"/>
    <s v="AUG-2023"/>
    <s v="UNWOMEN"/>
    <s v="ES01"/>
    <s v="W3007"/>
    <s v="93125"/>
    <n v="21005"/>
    <s v="Accounts Payable - Third Parties"/>
    <s v="00129161"/>
    <s v="011363"/>
    <s v="0"/>
    <s v="0"/>
    <s v="UNWOMEN.ES01.W3007.93125.21005.00129161.011363.0.0"/>
    <s v="USD"/>
    <n v="0"/>
    <n v="0"/>
    <n v="0"/>
    <x v="1"/>
  </r>
  <r>
    <s v="UNWOMEN PL USD"/>
    <n v="2023"/>
    <s v="AUG-2023"/>
    <s v="UNWOMEN"/>
    <s v="ES01"/>
    <s v="W3007"/>
    <s v="93125"/>
    <n v="71630"/>
    <s v="Shipment Cost"/>
    <s v="00129161"/>
    <s v="011363"/>
    <s v="0"/>
    <s v="0"/>
    <s v="UNWOMEN.ES01.W3007.93125.71630.00129161.011363.0.0"/>
    <s v="USD"/>
    <n v="239.83"/>
    <n v="0"/>
    <n v="239.83"/>
    <x v="3"/>
  </r>
  <r>
    <s v="UNWOMEN PL USD"/>
    <n v="2023"/>
    <s v="AUG-2023"/>
    <s v="UNWOMEN"/>
    <s v="ES01"/>
    <s v="W3007"/>
    <s v="93125"/>
    <n v="72145"/>
    <s v="Service Cost - Training and Education Services"/>
    <s v="00129161"/>
    <s v="011363"/>
    <s v="0"/>
    <s v="0"/>
    <s v="UNWOMEN.ES01.W3007.93125.72145.00129161.011363.0.0"/>
    <s v="USD"/>
    <n v="978"/>
    <n v="0"/>
    <n v="978"/>
    <x v="4"/>
  </r>
  <r>
    <s v="UNWOMEN PL USD"/>
    <n v="2023"/>
    <s v="AUG-2023"/>
    <s v="UNWOMEN"/>
    <s v="ES01"/>
    <s v="W3007"/>
    <s v="93125"/>
    <n v="72410"/>
    <s v="Information and Communications Technology (ICT) Equipment"/>
    <s v="00129161"/>
    <s v="011363"/>
    <s v="0"/>
    <s v="0"/>
    <s v="UNWOMEN.ES01.W3007.93125.72410.00129161.011363.0.0"/>
    <s v="USD"/>
    <n v="0"/>
    <n v="0"/>
    <n v="0"/>
    <x v="5"/>
  </r>
  <r>
    <s v="UNWOMEN PL USD"/>
    <n v="2023"/>
    <s v="AUG-2023"/>
    <s v="UNWOMEN"/>
    <s v="ES01"/>
    <s v="W3007"/>
    <s v="93125"/>
    <n v="77630"/>
    <s v="Information and Communications Technology (ICT) Equipment - Depreciation Expense"/>
    <s v="00129161"/>
    <s v="011363"/>
    <s v="0"/>
    <s v="0"/>
    <s v="UNWOMEN.ES01.W3007.93125.77630.00129161.011363.0.0"/>
    <s v="USD"/>
    <n v="289.44"/>
    <n v="0"/>
    <n v="289.44"/>
    <x v="5"/>
  </r>
  <r>
    <s v="UNWOMEN PL USD"/>
    <n v="2023"/>
    <s v="AUG-2023"/>
    <s v="UNWOMEN"/>
    <s v="ROESA"/>
    <s v="W3007"/>
    <s v="93101"/>
    <n v="51035"/>
    <s v="Transfers to or from Funds or Donors"/>
    <s v="00129161"/>
    <s v="011363"/>
    <s v="0"/>
    <s v="0"/>
    <s v="UNWOMEN.ROESA.W3007.93101.51035.00129161.011363.0.0"/>
    <s v="USD"/>
    <n v="58339.68"/>
    <n v="0"/>
    <n v="58339.68"/>
    <x v="0"/>
  </r>
  <r>
    <s v="UNWOMEN PL USD"/>
    <n v="2023"/>
    <s v="AUG-2023"/>
    <s v="UNWOMEN"/>
    <s v="SOM"/>
    <s v="W3007"/>
    <s v="93125"/>
    <n v="14081"/>
    <s v="Unbilled Accounts Receivable Contracts"/>
    <s v="00129161"/>
    <s v="011363"/>
    <s v="0"/>
    <s v="0"/>
    <s v="UNWOMEN.SOM.W3007.93125.14081.00129161.011363.0.0"/>
    <s v="USD"/>
    <n v="901979.18"/>
    <n v="0"/>
    <n v="901979.18"/>
    <x v="1"/>
  </r>
  <r>
    <s v="UNWOMEN PL USD"/>
    <n v="2023"/>
    <s v="AUG-2023"/>
    <s v="UNWOMEN"/>
    <s v="SOM"/>
    <s v="W3007"/>
    <s v="93125"/>
    <n v="16108"/>
    <s v="Project Cash Advance"/>
    <s v="00129161"/>
    <s v="011363"/>
    <s v="0"/>
    <s v="0"/>
    <s v="UNWOMEN.SOM.W3007.93125.16108.00129161.011363.0.0"/>
    <s v="USD"/>
    <n v="2400"/>
    <n v="6622"/>
    <n v="9022"/>
    <x v="1"/>
  </r>
  <r>
    <s v="UNWOMEN PL USD"/>
    <n v="2023"/>
    <s v="AUG-2023"/>
    <s v="UNWOMEN"/>
    <s v="SOM"/>
    <s v="W3007"/>
    <s v="93125"/>
    <n v="16920"/>
    <s v="Advances to Partners (NGO &amp; InterGov)"/>
    <s v="00129161"/>
    <s v="011363"/>
    <s v="0"/>
    <s v="0"/>
    <s v="UNWOMEN.SOM.W3007.93125.16920.00129161.011363.0.0"/>
    <s v="USD"/>
    <n v="27202"/>
    <n v="0"/>
    <n v="27202"/>
    <x v="6"/>
  </r>
  <r>
    <s v="UNWOMEN PL USD"/>
    <n v="2023"/>
    <s v="AUG-2023"/>
    <s v="UNWOMEN"/>
    <s v="SOM"/>
    <s v="W3007"/>
    <s v="93125"/>
    <n v="16925"/>
    <s v="Advances to Partners (Gov)"/>
    <s v="00129161"/>
    <s v="011363"/>
    <s v="0"/>
    <s v="0"/>
    <s v="UNWOMEN.SOM.W3007.93125.16925.00129161.011363.0.0"/>
    <s v="USD"/>
    <n v="441459.44"/>
    <n v="0"/>
    <n v="441459.44"/>
    <x v="6"/>
  </r>
  <r>
    <s v="UNWOMEN PL USD"/>
    <n v="2023"/>
    <s v="AUG-2023"/>
    <s v="UNWOMEN"/>
    <s v="SOM"/>
    <s v="W3007"/>
    <s v="93125"/>
    <n v="18089"/>
    <s v="Building - Clearing Account"/>
    <s v="00129161"/>
    <s v="011363"/>
    <s v="0"/>
    <s v="0"/>
    <s v="UNWOMEN.SOM.W3007.93125.18089.00129161.011363.0.0"/>
    <s v="USD"/>
    <n v="4410"/>
    <n v="4557"/>
    <n v="8967"/>
    <x v="2"/>
  </r>
  <r>
    <s v="UNWOMEN PL USD"/>
    <n v="2023"/>
    <s v="AUG-2023"/>
    <s v="UNWOMEN"/>
    <s v="SOM"/>
    <s v="W3007"/>
    <s v="93125"/>
    <n v="18120"/>
    <s v="Building - Cost"/>
    <s v="00129161"/>
    <s v="011363"/>
    <s v="0"/>
    <s v="0"/>
    <s v="UNWOMEN.SOM.W3007.93125.18120.00129161.011363.0.0"/>
    <s v="USD"/>
    <n v="0"/>
    <n v="0"/>
    <n v="0"/>
    <x v="2"/>
  </r>
  <r>
    <s v="UNWOMEN PL USD"/>
    <n v="2023"/>
    <s v="AUG-2023"/>
    <s v="UNWOMEN"/>
    <s v="SOM"/>
    <s v="W3007"/>
    <s v="93125"/>
    <n v="18130"/>
    <s v="Information and Communications Technology Equipment - Cost"/>
    <s v="00129161"/>
    <s v="011363"/>
    <s v="0"/>
    <s v="0"/>
    <s v="UNWOMEN.SOM.W3007.93125.18130.00129161.011363.0.0"/>
    <s v="USD"/>
    <n v="3474"/>
    <n v="0"/>
    <n v="3474"/>
    <x v="2"/>
  </r>
  <r>
    <s v="UNWOMEN PL USD"/>
    <n v="2023"/>
    <s v="AUG-2023"/>
    <s v="UNWOMEN"/>
    <s v="SOM"/>
    <s v="W3007"/>
    <s v="93125"/>
    <n v="18630"/>
    <s v="Information and Communications Technology Equipment - Accumulated Depreciation"/>
    <s v="00129161"/>
    <s v="011363"/>
    <s v="0"/>
    <s v="0"/>
    <s v="UNWOMEN.SOM.W3007.93125.18630.00129161.011363.0.0"/>
    <s v="USD"/>
    <n v="-192.99"/>
    <n v="0"/>
    <n v="-192.99"/>
    <x v="2"/>
  </r>
  <r>
    <s v="UNWOMEN PL USD"/>
    <n v="2023"/>
    <s v="AUG-2023"/>
    <s v="UNWOMEN"/>
    <s v="SOM"/>
    <s v="W3007"/>
    <s v="93125"/>
    <n v="21005"/>
    <s v="Accounts Payable - Third Parties"/>
    <s v="00129161"/>
    <s v="011363"/>
    <s v="0"/>
    <s v="0"/>
    <s v="UNWOMEN.SOM.W3007.93125.21005.00129161.011363.0.0"/>
    <s v="USD"/>
    <n v="-20264.939999999999"/>
    <n v="110001.34"/>
    <n v="89736.4"/>
    <x v="1"/>
  </r>
  <r>
    <s v="UNWOMEN PL USD"/>
    <n v="2023"/>
    <s v="AUG-2023"/>
    <s v="UNWOMEN"/>
    <s v="SOM"/>
    <s v="W3007"/>
    <s v="93125"/>
    <n v="21035"/>
    <s v="Receipt Accrual Liability - Expenses"/>
    <s v="00129161"/>
    <s v="011363"/>
    <s v="0"/>
    <s v="0"/>
    <s v="UNWOMEN.SOM.W3007.93125.21035.00129161.011363.0.0"/>
    <s v="USD"/>
    <n v="-2181.5"/>
    <n v="0"/>
    <n v="-2181.5"/>
    <x v="1"/>
  </r>
  <r>
    <s v="UNWOMEN PL USD"/>
    <n v="2023"/>
    <s v="AUG-2023"/>
    <s v="UNWOMEN"/>
    <s v="SOM"/>
    <s v="W3007"/>
    <s v="93125"/>
    <n v="31005"/>
    <s v="Unexpended Resources / Retained earnings"/>
    <s v="00129161"/>
    <s v="011363"/>
    <s v="0"/>
    <s v="0"/>
    <s v="UNWOMEN.SOM.W3007.93125.31005.00129161.011363.0.0"/>
    <s v="USD"/>
    <n v="-227576.06"/>
    <n v="0"/>
    <n v="-227576.06"/>
    <x v="1"/>
  </r>
  <r>
    <s v="UNWOMEN PL USD"/>
    <n v="2023"/>
    <s v="AUG-2023"/>
    <s v="UNWOMEN"/>
    <s v="SOM"/>
    <s v="W3007"/>
    <s v="93125"/>
    <n v="51005"/>
    <s v="Voluntary Contributions"/>
    <s v="00129161"/>
    <s v="011363"/>
    <s v="0"/>
    <s v="0"/>
    <s v="UNWOMEN.SOM.W3007.93125.51005.00129161.011363.0.0"/>
    <s v="USD"/>
    <n v="-901979.18"/>
    <n v="0"/>
    <n v="-901979.18"/>
    <x v="0"/>
  </r>
  <r>
    <s v="UNWOMEN PL USD"/>
    <n v="2023"/>
    <s v="AUG-2023"/>
    <s v="UNWOMEN"/>
    <s v="SOM"/>
    <s v="W3007"/>
    <s v="93125"/>
    <n v="51035"/>
    <s v="Transfers to or from Funds or Donors"/>
    <s v="00129161"/>
    <s v="011363"/>
    <s v="0"/>
    <s v="0"/>
    <s v="UNWOMEN.SOM.W3007.93125.51035.00129161.011363.0.0"/>
    <s v="USD"/>
    <n v="-72924.600000000006"/>
    <n v="0"/>
    <n v="-72924.600000000006"/>
    <x v="0"/>
  </r>
  <r>
    <s v="UNWOMEN PL USD"/>
    <n v="2023"/>
    <s v="AUG-2023"/>
    <s v="UNWOMEN"/>
    <s v="SOM"/>
    <s v="W3007"/>
    <s v="93125"/>
    <n v="63310"/>
    <s v="Cost of Repatriation - IP Staff"/>
    <s v="00129161"/>
    <s v="011363"/>
    <s v="0"/>
    <s v="0"/>
    <s v="UNWOMEN.SOM.W3007.93125.63310.00129161.011363.0.0"/>
    <s v="USD"/>
    <n v="2822.2"/>
    <n v="0"/>
    <n v="2822.2"/>
    <x v="7"/>
  </r>
  <r>
    <s v="UNWOMEN PL USD"/>
    <n v="2023"/>
    <s v="AUG-2023"/>
    <s v="UNWOMEN"/>
    <s v="SOM"/>
    <s v="W3007"/>
    <s v="93125"/>
    <n v="71210"/>
    <s v="International Consultants Expenses - Short-Term Support Contractors"/>
    <s v="00129161"/>
    <s v="011363"/>
    <s v="0"/>
    <s v="0"/>
    <s v="UNWOMEN.SOM.W3007.93125.71210.00129161.011363.0.0"/>
    <s v="USD"/>
    <n v="22750"/>
    <n v="0"/>
    <n v="22750"/>
    <x v="4"/>
  </r>
  <r>
    <s v="UNWOMEN PL USD"/>
    <n v="2023"/>
    <s v="AUG-2023"/>
    <s v="UNWOMEN"/>
    <s v="SOM"/>
    <s v="W3007"/>
    <s v="93125"/>
    <n v="71475"/>
    <s v="Labour Cost - National Personnel Services Agreement"/>
    <s v="00129161"/>
    <s v="011363"/>
    <s v="0"/>
    <s v="0"/>
    <s v="UNWOMEN.SOM.W3007.93125.71475.00129161.011363.0.0"/>
    <s v="USD"/>
    <n v="2422.65"/>
    <n v="0"/>
    <n v="2422.65"/>
    <x v="4"/>
  </r>
  <r>
    <s v="UNWOMEN PL USD"/>
    <n v="2023"/>
    <s v="AUG-2023"/>
    <s v="UNWOMEN"/>
    <s v="SOM"/>
    <s v="W3007"/>
    <s v="93125"/>
    <n v="71610"/>
    <s v="Travel Tickets - Local"/>
    <s v="00129161"/>
    <s v="011363"/>
    <s v="0"/>
    <s v="0"/>
    <s v="UNWOMEN.SOM.W3007.93125.71610.00129161.011363.0.0"/>
    <s v="USD"/>
    <n v="1680"/>
    <n v="0"/>
    <n v="1680"/>
    <x v="8"/>
  </r>
  <r>
    <s v="UNWOMEN PL USD"/>
    <n v="2023"/>
    <s v="AUG-2023"/>
    <s v="UNWOMEN"/>
    <s v="SOM"/>
    <s v="W3007"/>
    <s v="93125"/>
    <n v="71615"/>
    <s v="Daily Subsistence Allowance - International"/>
    <s v="00129161"/>
    <s v="011363"/>
    <s v="0"/>
    <s v="0"/>
    <s v="UNWOMEN.SOM.W3007.93125.71615.00129161.011363.0.0"/>
    <s v="USD"/>
    <n v="3852.6"/>
    <n v="0"/>
    <n v="3852.6"/>
    <x v="8"/>
  </r>
  <r>
    <s v="UNWOMEN PL USD"/>
    <n v="2023"/>
    <s v="AUG-2023"/>
    <s v="UNWOMEN"/>
    <s v="SOM"/>
    <s v="W3007"/>
    <s v="93125"/>
    <n v="71620"/>
    <s v="Daily Subsistence Allowance - Local"/>
    <s v="00129161"/>
    <s v="011363"/>
    <s v="0"/>
    <s v="0"/>
    <s v="UNWOMEN.SOM.W3007.93125.71620.00129161.011363.0.0"/>
    <s v="USD"/>
    <n v="1553"/>
    <n v="764.4"/>
    <n v="2317.4"/>
    <x v="8"/>
  </r>
  <r>
    <s v="UNWOMEN PL USD"/>
    <n v="2023"/>
    <s v="AUG-2023"/>
    <s v="UNWOMEN"/>
    <s v="SOM"/>
    <s v="W3007"/>
    <s v="93125"/>
    <n v="71635"/>
    <s v="Travel Cost - Other"/>
    <s v="00129161"/>
    <s v="011363"/>
    <s v="0"/>
    <s v="0"/>
    <s v="UNWOMEN.SOM.W3007.93125.71635.00129161.011363.0.0"/>
    <s v="USD"/>
    <n v="1084"/>
    <n v="630"/>
    <n v="1714"/>
    <x v="8"/>
  </r>
  <r>
    <s v="UNWOMEN PL USD"/>
    <n v="2023"/>
    <s v="AUG-2023"/>
    <s v="UNWOMEN"/>
    <s v="SOM"/>
    <s v="W3007"/>
    <s v="93125"/>
    <n v="72120"/>
    <s v="Service Cost - Trade and Business Services"/>
    <s v="00129161"/>
    <s v="011363"/>
    <s v="0"/>
    <s v="0"/>
    <s v="UNWOMEN.SOM.W3007.93125.72120.00129161.011363.0.0"/>
    <s v="USD"/>
    <n v="524"/>
    <n v="0"/>
    <n v="524"/>
    <x v="4"/>
  </r>
  <r>
    <s v="UNWOMEN PL USD"/>
    <n v="2023"/>
    <s v="AUG-2023"/>
    <s v="UNWOMEN"/>
    <s v="SOM"/>
    <s v="W3007"/>
    <s v="93125"/>
    <n v="72125"/>
    <s v="Service Cost - Studies and Research Services"/>
    <s v="00129161"/>
    <s v="011363"/>
    <s v="0"/>
    <s v="0"/>
    <s v="UNWOMEN.SOM.W3007.93125.72125.00129161.011363.0.0"/>
    <s v="USD"/>
    <n v="17298"/>
    <n v="0"/>
    <n v="17298"/>
    <x v="4"/>
  </r>
  <r>
    <s v="UNWOMEN PL USD"/>
    <n v="2023"/>
    <s v="AUG-2023"/>
    <s v="UNWOMEN"/>
    <s v="SOM"/>
    <s v="W3007"/>
    <s v="93125"/>
    <n v="72145"/>
    <s v="Service Cost - Training and Education Services"/>
    <s v="00129161"/>
    <s v="011363"/>
    <s v="0"/>
    <s v="0"/>
    <s v="UNWOMEN.SOM.W3007.93125.72145.00129161.011363.0.0"/>
    <s v="USD"/>
    <n v="1575"/>
    <n v="0"/>
    <n v="1575"/>
    <x v="4"/>
  </r>
  <r>
    <s v="UNWOMEN PL USD"/>
    <n v="2023"/>
    <s v="AUG-2023"/>
    <s v="UNWOMEN"/>
    <s v="SOM"/>
    <s v="W3007"/>
    <s v="93125"/>
    <n v="72401"/>
    <s v="Prefabricated Structure - Other Buildings"/>
    <s v="00129161"/>
    <s v="011363"/>
    <s v="0"/>
    <s v="0"/>
    <s v="UNWOMEN.SOM.W3007.93125.72401.00129161.011363.0.0"/>
    <s v="USD"/>
    <n v="9774"/>
    <n v="0"/>
    <n v="9774"/>
    <x v="5"/>
  </r>
  <r>
    <s v="UNWOMEN PL USD"/>
    <n v="2023"/>
    <s v="AUG-2023"/>
    <s v="UNWOMEN"/>
    <s v="SOM"/>
    <s v="W3007"/>
    <s v="93125"/>
    <n v="72715"/>
    <s v="Hospitality Expenses - Catering"/>
    <s v="00129161"/>
    <s v="011363"/>
    <s v="0"/>
    <s v="0"/>
    <s v="UNWOMEN.SOM.W3007.93125.72715.00129161.011363.0.0"/>
    <s v="USD"/>
    <n v="4400"/>
    <n v="0"/>
    <n v="4400"/>
    <x v="3"/>
  </r>
  <r>
    <s v="UNWOMEN PL USD"/>
    <n v="2023"/>
    <s v="AUG-2023"/>
    <s v="UNWOMEN"/>
    <s v="SOM"/>
    <s v="W3007"/>
    <s v="93125"/>
    <n v="72815"/>
    <s v="Information and Communications Technology (ICT) Supplies"/>
    <s v="00129161"/>
    <s v="011363"/>
    <s v="0"/>
    <s v="0"/>
    <s v="UNWOMEN.SOM.W3007.93125.72815.00129161.011363.0.0"/>
    <s v="USD"/>
    <n v="57.85"/>
    <n v="0"/>
    <n v="57.85"/>
    <x v="3"/>
  </r>
  <r>
    <s v="UNWOMEN PL USD"/>
    <n v="2023"/>
    <s v="AUG-2023"/>
    <s v="UNWOMEN"/>
    <s v="SOM"/>
    <s v="W3007"/>
    <s v="93125"/>
    <n v="73107"/>
    <s v="Rental Expense - Meeting Rooms"/>
    <s v="00129161"/>
    <s v="011363"/>
    <s v="0"/>
    <s v="0"/>
    <s v="UNWOMEN.SOM.W3007.93125.73107.00129161.011363.0.0"/>
    <s v="USD"/>
    <n v="2020"/>
    <n v="830"/>
    <n v="2850"/>
    <x v="3"/>
  </r>
  <r>
    <s v="UNWOMEN PL USD"/>
    <n v="2023"/>
    <s v="AUG-2023"/>
    <s v="UNWOMEN"/>
    <s v="SOM"/>
    <s v="W3007"/>
    <s v="93125"/>
    <n v="73108"/>
    <s v="Rental Expense - Office Equipment and Furniture"/>
    <s v="00129161"/>
    <s v="011363"/>
    <s v="0"/>
    <s v="0"/>
    <s v="UNWOMEN.SOM.W3007.93125.73108.00129161.011363.0.0"/>
    <s v="USD"/>
    <n v="0"/>
    <n v="2790"/>
    <n v="2790"/>
    <x v="3"/>
  </r>
  <r>
    <s v="UNWOMEN PL USD"/>
    <n v="2023"/>
    <s v="AUG-2023"/>
    <s v="UNWOMEN"/>
    <s v="SOM"/>
    <s v="W3007"/>
    <s v="93125"/>
    <n v="73204"/>
    <s v="Building"/>
    <s v="00129161"/>
    <s v="011363"/>
    <s v="0"/>
    <s v="0"/>
    <s v="UNWOMEN.SOM.W3007.93125.73204.00129161.011363.0.0"/>
    <s v="USD"/>
    <n v="22197"/>
    <n v="0"/>
    <n v="22197"/>
    <x v="5"/>
  </r>
  <r>
    <s v="UNWOMEN PL USD"/>
    <n v="2023"/>
    <s v="AUG-2023"/>
    <s v="UNWOMEN"/>
    <s v="SOM"/>
    <s v="W3007"/>
    <s v="93125"/>
    <n v="73420"/>
    <s v="Lease Expense - Vehicles"/>
    <s v="00129161"/>
    <s v="011363"/>
    <s v="0"/>
    <s v="0"/>
    <s v="UNWOMEN.SOM.W3007.93125.73420.00129161.011363.0.0"/>
    <s v="USD"/>
    <n v="2548"/>
    <n v="100"/>
    <n v="2648"/>
    <x v="3"/>
  </r>
  <r>
    <s v="UNWOMEN PL USD"/>
    <n v="2023"/>
    <s v="AUG-2023"/>
    <s v="UNWOMEN"/>
    <s v="SOM"/>
    <s v="W3007"/>
    <s v="93125"/>
    <n v="73505"/>
    <s v="Reimbursement  to UNDP for Support Services"/>
    <s v="00129161"/>
    <s v="011363"/>
    <s v="0"/>
    <s v="0"/>
    <s v="UNWOMEN.SOM.W3007.93125.73505.00129161.011363.0.0"/>
    <s v="USD"/>
    <n v="0"/>
    <n v="1052.0999999999999"/>
    <n v="1052.0999999999999"/>
    <x v="3"/>
  </r>
  <r>
    <s v="UNWOMEN PL USD"/>
    <n v="2023"/>
    <s v="AUG-2023"/>
    <s v="UNWOMEN"/>
    <s v="SOM"/>
    <s v="W3007"/>
    <s v="93125"/>
    <n v="73510"/>
    <s v="Reimbursement to UN for Support Services"/>
    <s v="00129161"/>
    <s v="011363"/>
    <s v="0"/>
    <s v="0"/>
    <s v="UNWOMEN.SOM.W3007.93125.73510.00129161.011363.0.0"/>
    <s v="USD"/>
    <n v="3125.3"/>
    <n v="0"/>
    <n v="3125.3"/>
    <x v="3"/>
  </r>
  <r>
    <s v="UNWOMEN PL USD"/>
    <n v="2023"/>
    <s v="AUG-2023"/>
    <s v="UNWOMEN"/>
    <s v="SOM"/>
    <s v="W3007"/>
    <s v="93125"/>
    <n v="74325"/>
    <s v="Contributions to Country Office Common Security"/>
    <s v="00129161"/>
    <s v="011363"/>
    <s v="0"/>
    <s v="0"/>
    <s v="UNWOMEN.SOM.W3007.93125.74325.00129161.011363.0.0"/>
    <s v="USD"/>
    <n v="1341.98"/>
    <n v="1142.7"/>
    <n v="2484.6799999999998"/>
    <x v="3"/>
  </r>
  <r>
    <s v="UNWOMEN PL USD"/>
    <n v="2023"/>
    <s v="AUG-2023"/>
    <s v="UNWOMEN"/>
    <s v="SOM"/>
    <s v="W3007"/>
    <s v="93125"/>
    <n v="75710"/>
    <s v="Learning Costs - Participation of Counterparts"/>
    <s v="00129161"/>
    <s v="011363"/>
    <s v="0"/>
    <s v="0"/>
    <s v="UNWOMEN.SOM.W3007.93125.75710.00129161.011363.0.0"/>
    <s v="USD"/>
    <n v="690"/>
    <n v="0"/>
    <n v="690"/>
    <x v="3"/>
  </r>
  <r>
    <s v="UNWOMEN PL USD"/>
    <n v="2023"/>
    <s v="AUG-2023"/>
    <s v="UNWOMEN"/>
    <s v="SOM"/>
    <s v="W3007"/>
    <s v="93125"/>
    <n v="77301"/>
    <s v="Labour Cost – IP Staff on Temporary Appointment "/>
    <s v="00129161"/>
    <s v="011363"/>
    <s v="0"/>
    <s v="0"/>
    <s v="UNWOMEN.SOM.W3007.93125.77301.00129161.011363.0.0"/>
    <s v="USD"/>
    <n v="15115.97"/>
    <n v="0"/>
    <n v="15115.97"/>
    <x v="7"/>
  </r>
  <r>
    <s v="UNWOMEN PL USD"/>
    <n v="2023"/>
    <s v="AUG-2023"/>
    <s v="UNWOMEN"/>
    <s v="SOM"/>
    <s v="W3007"/>
    <s v="93125"/>
    <n v="79002"/>
    <s v="Local Consultants-IPs"/>
    <s v="00129161"/>
    <s v="011363"/>
    <s v="0"/>
    <s v="0"/>
    <s v="UNWOMEN.SOM.W3007.93125.79002.00129161.011363.0.0"/>
    <s v="USD"/>
    <n v="4000"/>
    <n v="0"/>
    <n v="4000"/>
    <x v="9"/>
  </r>
  <r>
    <s v="UNWOMEN PL USD"/>
    <n v="2023"/>
    <s v="AUG-2023"/>
    <s v="UNWOMEN"/>
    <s v="SOM"/>
    <s v="W3007"/>
    <s v="93125"/>
    <n v="79006"/>
    <s v="Training/Workshops and conferences - IPs"/>
    <s v="00129161"/>
    <s v="011363"/>
    <s v="0"/>
    <s v="0"/>
    <s v="UNWOMEN.SOM.W3007.93125.79006.00129161.011363.0.0"/>
    <s v="USD"/>
    <n v="18100"/>
    <n v="0"/>
    <n v="18100"/>
    <x v="9"/>
  </r>
  <r>
    <s v="UNWOMEN PL USD"/>
    <n v="2023"/>
    <s v="AUG-2023"/>
    <s v="UNWOMEN"/>
    <s v="SOM"/>
    <s v="W3007"/>
    <s v="93125"/>
    <n v="79014"/>
    <s v="Rental, Utilities &amp; Maintenance Premises - IPs"/>
    <s v="00129161"/>
    <s v="011363"/>
    <s v="0"/>
    <s v="0"/>
    <s v="UNWOMEN.SOM.W3007.93125.79014.00129161.011363.0.0"/>
    <s v="USD"/>
    <n v="4800"/>
    <n v="0"/>
    <n v="4800"/>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3CAB8E-D08B-4327-9FAD-AC9F573E30C5}"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T4:U11" firstHeaderRow="1" firstDataRow="1" firstDataCol="1"/>
  <pivotFields count="11">
    <pivotField showAll="0"/>
    <pivotField showAll="0"/>
    <pivotField showAll="0"/>
    <pivotField showAll="0"/>
    <pivotField showAll="0"/>
    <pivotField showAll="0"/>
    <pivotField showAll="0"/>
    <pivotField showAll="0"/>
    <pivotField dataField="1" numFmtId="167" showAll="0"/>
    <pivotField showAll="0"/>
    <pivotField axis="axisRow" showAll="0">
      <items count="11">
        <item h="1" x="1"/>
        <item x="4"/>
        <item x="7"/>
        <item x="6"/>
        <item h="1" x="2"/>
        <item h="1" x="0"/>
        <item x="3"/>
        <item x="8"/>
        <item x="5"/>
        <item h="1" m="1" x="9"/>
        <item t="default"/>
      </items>
    </pivotField>
  </pivotFields>
  <rowFields count="1">
    <field x="10"/>
  </rowFields>
  <rowItems count="7">
    <i>
      <x v="1"/>
    </i>
    <i>
      <x v="2"/>
    </i>
    <i>
      <x v="3"/>
    </i>
    <i>
      <x v="6"/>
    </i>
    <i>
      <x v="7"/>
    </i>
    <i>
      <x v="8"/>
    </i>
    <i t="grand">
      <x/>
    </i>
  </rowItems>
  <colItems count="1">
    <i/>
  </colItems>
  <dataFields count="1">
    <dataField name="Sum of Net"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0734775-BA48-4715-9B17-105151B78818}" name="PivotTable3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T15:U22" firstHeaderRow="1" firstDataRow="1" firstDataCol="1"/>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7" showAll="0"/>
    <pivotField numFmtId="167" showAll="0"/>
    <pivotField dataField="1" numFmtId="167" showAll="0"/>
    <pivotField axis="axisRow" showAll="0">
      <items count="11">
        <item h="1" x="6"/>
        <item x="4"/>
        <item x="5"/>
        <item x="3"/>
        <item h="1" x="2"/>
        <item h="1" x="1"/>
        <item h="1" x="0"/>
        <item x="7"/>
        <item x="9"/>
        <item x="8"/>
        <item t="default"/>
      </items>
    </pivotField>
  </pivotFields>
  <rowFields count="1">
    <field x="18"/>
  </rowFields>
  <rowItems count="7">
    <i>
      <x v="1"/>
    </i>
    <i>
      <x v="2"/>
    </i>
    <i>
      <x v="3"/>
    </i>
    <i>
      <x v="7"/>
    </i>
    <i>
      <x v="8"/>
    </i>
    <i>
      <x v="9"/>
    </i>
    <i t="grand">
      <x/>
    </i>
  </rowItems>
  <colItems count="1">
    <i/>
  </colItems>
  <dataFields count="1">
    <dataField name="Sum of ENDING BALANCE" fld="17" baseField="0" baseItem="0"/>
  </dataFields>
  <formats count="3">
    <format dxfId="42">
      <pivotArea collapsedLevelsAreSubtotals="1" fieldPosition="0">
        <references count="1">
          <reference field="18" count="0"/>
        </references>
      </pivotArea>
    </format>
    <format dxfId="41">
      <pivotArea collapsedLevelsAreSubtotals="1" fieldPosition="0">
        <references count="1">
          <reference field="18" count="1">
            <x v="9"/>
          </reference>
        </references>
      </pivotArea>
    </format>
    <format dxfId="40">
      <pivotArea dataOnly="0" labelOnly="1" fieldPosition="0">
        <references count="1">
          <reference field="18" count="1">
            <x v="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4E10DD-FD89-4C1E-96C2-9FB8881286EE}" name="PivotTable3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T25:U28" firstHeaderRow="1" firstDataRow="1" firstDataCol="1"/>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7" showAll="0"/>
    <pivotField numFmtId="167" showAll="0"/>
    <pivotField dataField="1" numFmtId="167" showAll="0"/>
    <pivotField axis="axisRow" showAll="0">
      <items count="11">
        <item x="6"/>
        <item h="1" x="4"/>
        <item h="1" x="5"/>
        <item h="1" x="3"/>
        <item x="2"/>
        <item h="1" x="1"/>
        <item h="1" x="0"/>
        <item h="1" x="7"/>
        <item h="1" x="9"/>
        <item h="1" x="8"/>
        <item t="default"/>
      </items>
    </pivotField>
  </pivotFields>
  <rowFields count="1">
    <field x="18"/>
  </rowFields>
  <rowItems count="3">
    <i>
      <x/>
    </i>
    <i>
      <x v="4"/>
    </i>
    <i t="grand">
      <x/>
    </i>
  </rowItems>
  <colItems count="1">
    <i/>
  </colItems>
  <dataFields count="1">
    <dataField name="Sum of ENDING BALANCE" fld="17" baseField="0" baseItem="0"/>
  </dataFields>
  <formats count="1">
    <format dxfId="43">
      <pivotArea collapsedLevelsAreSubtotals="1" fieldPosition="0">
        <references count="1">
          <reference field="18"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9" dT="2022-07-05T04:19:07.18" personId="{09828C9A-8302-429C-80EC-6698CDA0B197}" id="{6164C365-1AD1-4B8D-8FA3-D4EE3E1167BF}">
    <text>327,761 in 2022</text>
  </threadedComment>
  <threadedComment ref="H73" dT="2021-06-25T13:42:59.46" personId="{09828C9A-8302-429C-80EC-6698CDA0B197}" id="{6A5DAA24-48D1-42C0-B0DE-473823904E0E}">
    <text>UNWomen and UNDP staff and accommodation</text>
  </threadedComment>
  <threadedComment ref="I73" dT="2022-07-05T04:33:42.14" personId="{09828C9A-8302-429C-80EC-6698CDA0B197}" id="{5AF46EE0-4421-4E37-B45F-53C899525F80}">
    <text>81,940 for 2022</text>
  </threadedComment>
  <threadedComment ref="D110" dT="2021-06-23T12:16:01.20" personId="{6E28304A-9325-4134-96D1-004021C477CC}" id="{A8736738-376A-4CF0-8719-FDFAB5FDC953}">
    <text>incoparated only for UNW  therefores needs to include their inputs here as well.</text>
  </threadedComment>
</ThreadedComments>
</file>

<file path=xl/threadedComments/threadedComment2.xml><?xml version="1.0" encoding="utf-8"?>
<ThreadedComments xmlns="http://schemas.microsoft.com/office/spreadsheetml/2018/threadedcomments" xmlns:x="http://schemas.openxmlformats.org/spreadsheetml/2006/main">
  <threadedComment ref="K21" dT="2023-10-02T13:23:38.99" personId="{6D77DBBE-69F5-42D9-AA12-3EA61462CC06}" id="{F2F5E53E-E166-4AC6-9D5A-DA504D16E49C}">
    <text>These are advance to partners in the form of transfers. Once expenditure is reported by the partners it would be categorized as contractual services that has huge budget allocation.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C20" dT="2022-05-26T11:48:23.29" personId="{09828C9A-8302-429C-80EC-6698CDA0B197}" id="{23E61800-0CBE-4EDB-94A0-25CFA1E0844B}">
    <text>this does not include MPTF 1% fee</text>
  </threadedComment>
  <threadedComment ref="C21" dT="2022-05-26T11:48:23.29" personId="{09828C9A-8302-429C-80EC-6698CDA0B197}" id="{55C92C24-ABD4-43CA-96F0-70A6CFB02603}">
    <text>this does not include MPTF 1% fee</text>
  </threadedComment>
  <threadedComment ref="C22" dT="2022-05-26T11:48:23.29" personId="{09828C9A-8302-429C-80EC-6698CDA0B197}" id="{E7563320-98A5-4D47-80C4-E12B8CF78D1B}">
    <text>this does not include MPTF 1% fee</text>
  </threadedComment>
  <threadedComment ref="C23" dT="2022-05-26T11:48:23.29" personId="{09828C9A-8302-429C-80EC-6698CDA0B197}" id="{A2B86E2F-A90C-47C1-894E-0F7FBD2B633C}">
    <text>this does not include MPTF 1% fee</text>
  </threadedComment>
  <threadedComment ref="C24" dT="2022-05-26T11:48:23.29" personId="{09828C9A-8302-429C-80EC-6698CDA0B197}" id="{366D4DE8-4C9C-4CE3-B82A-2745DF79C108}">
    <text>this does not include MPTF 1% fee</text>
  </threadedComment>
  <threadedComment ref="C25" dT="2022-05-26T11:48:23.29" personId="{09828C9A-8302-429C-80EC-6698CDA0B197}" id="{3AF2372E-E1E7-4538-AB65-094E6421E9D4}">
    <text>this does not include MPTF 1% fee</text>
  </threadedComment>
  <threadedComment ref="C26" dT="2022-05-26T11:48:23.29" personId="{09828C9A-8302-429C-80EC-6698CDA0B197}" id="{401CDE48-6034-4C2B-8E45-3DB6CE5C7533}">
    <text>this does not include MPTF 1% fee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pivotTable" Target="../pivotTables/pivotTable3.xml"/><Relationship Id="rId7" Type="http://schemas.openxmlformats.org/officeDocument/2006/relationships/comments" Target="../comments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2932-3DAD-4423-99AF-A0DFCA17794B}">
  <sheetPr>
    <tabColor theme="5" tint="-0.249977111117893"/>
  </sheetPr>
  <dimension ref="A1:R123"/>
  <sheetViews>
    <sheetView showGridLines="0" showZeros="0" zoomScale="90" zoomScaleNormal="90" workbookViewId="0">
      <pane ySplit="4" topLeftCell="A6" activePane="bottomLeft" state="frozen"/>
      <selection pane="bottomLeft" activeCell="A74" sqref="A74"/>
    </sheetView>
  </sheetViews>
  <sheetFormatPr defaultColWidth="9.1796875" defaultRowHeight="14.5" x14ac:dyDescent="0.35"/>
  <cols>
    <col min="1" max="1" width="16.26953125" style="1" customWidth="1"/>
    <col min="2" max="2" width="55.1796875" style="1" customWidth="1"/>
    <col min="3" max="4" width="14" style="1" customWidth="1"/>
    <col min="5" max="5" width="20.54296875" style="1" customWidth="1"/>
    <col min="6" max="7" width="21" style="1" customWidth="1"/>
    <col min="8" max="10" width="23.1796875" style="1" customWidth="1"/>
    <col min="11" max="15" width="16" style="1" customWidth="1"/>
    <col min="16" max="16" width="25.54296875" style="159" customWidth="1"/>
    <col min="17" max="17" width="30.26953125" style="1" customWidth="1"/>
    <col min="18" max="18" width="18.81640625" style="1" customWidth="1"/>
    <col min="19" max="19" width="9.1796875" style="1"/>
    <col min="20" max="20" width="17.54296875" style="1" customWidth="1"/>
    <col min="21" max="21" width="26.453125" style="1" customWidth="1"/>
    <col min="22" max="22" width="22.453125" style="1" customWidth="1"/>
    <col min="23" max="23" width="29.54296875" style="1" customWidth="1"/>
    <col min="24" max="24" width="23.453125" style="1" customWidth="1"/>
    <col min="25" max="25" width="18.453125" style="1" customWidth="1"/>
    <col min="26" max="26" width="17.453125" style="1" customWidth="1"/>
    <col min="27" max="27" width="25.1796875" style="1" customWidth="1"/>
    <col min="28" max="16384" width="9.1796875" style="1"/>
  </cols>
  <sheetData>
    <row r="1" spans="1:18" ht="30.75" customHeight="1" x14ac:dyDescent="1">
      <c r="A1" s="428" t="s">
        <v>0</v>
      </c>
      <c r="B1" s="428"/>
      <c r="C1" s="428"/>
      <c r="D1" s="428"/>
      <c r="E1" s="2"/>
      <c r="F1" s="2"/>
      <c r="G1" s="2"/>
      <c r="H1" s="2"/>
      <c r="I1" s="2"/>
      <c r="J1" s="2"/>
      <c r="K1" s="3"/>
      <c r="L1" s="3"/>
      <c r="M1" s="3"/>
      <c r="N1" s="3"/>
      <c r="O1" s="3"/>
      <c r="P1" s="4"/>
      <c r="Q1" s="3"/>
    </row>
    <row r="2" spans="1:18" ht="16.5" customHeight="1" x14ac:dyDescent="0.6">
      <c r="A2" s="429" t="s">
        <v>1</v>
      </c>
      <c r="B2" s="429"/>
      <c r="C2" s="429"/>
      <c r="D2" s="429"/>
      <c r="E2" s="5"/>
      <c r="F2" s="5"/>
      <c r="G2" s="5"/>
      <c r="H2" s="5"/>
      <c r="I2" s="5"/>
      <c r="J2" s="5"/>
      <c r="K2" s="5"/>
      <c r="L2" s="5"/>
      <c r="M2" s="5"/>
      <c r="N2" s="5"/>
      <c r="O2" s="5"/>
      <c r="P2" s="6"/>
    </row>
    <row r="4" spans="1:18" ht="95.15" customHeight="1" x14ac:dyDescent="0.35">
      <c r="A4" s="7" t="s">
        <v>2</v>
      </c>
      <c r="B4" s="7" t="s">
        <v>3</v>
      </c>
      <c r="C4" s="8" t="s">
        <v>4</v>
      </c>
      <c r="D4" s="8" t="s">
        <v>5</v>
      </c>
      <c r="E4" s="9" t="s">
        <v>6</v>
      </c>
      <c r="F4" s="10" t="s">
        <v>7</v>
      </c>
      <c r="G4" s="11" t="s">
        <v>8</v>
      </c>
      <c r="H4" s="11" t="s">
        <v>9</v>
      </c>
      <c r="I4" s="168" t="s">
        <v>10</v>
      </c>
      <c r="J4" s="168" t="s">
        <v>11</v>
      </c>
      <c r="K4" s="12" t="s">
        <v>12</v>
      </c>
      <c r="L4" s="354" t="s">
        <v>300</v>
      </c>
      <c r="M4" s="354" t="s">
        <v>301</v>
      </c>
      <c r="N4" s="400" t="s">
        <v>302</v>
      </c>
      <c r="O4" s="401" t="s">
        <v>303</v>
      </c>
      <c r="P4" s="13" t="s">
        <v>13</v>
      </c>
      <c r="Q4" s="12" t="s">
        <v>14</v>
      </c>
      <c r="R4" s="14"/>
    </row>
    <row r="5" spans="1:18" s="15" customFormat="1" ht="30.65" customHeight="1" x14ac:dyDescent="0.35">
      <c r="A5" s="16" t="s">
        <v>15</v>
      </c>
      <c r="B5" s="430" t="s">
        <v>16</v>
      </c>
      <c r="C5" s="431"/>
      <c r="D5" s="431"/>
      <c r="E5" s="431"/>
      <c r="F5" s="431"/>
      <c r="G5" s="431"/>
      <c r="H5" s="431"/>
      <c r="I5" s="431"/>
      <c r="J5" s="431"/>
      <c r="K5" s="431"/>
      <c r="L5" s="431"/>
      <c r="M5" s="431"/>
      <c r="N5" s="431"/>
      <c r="O5" s="431"/>
      <c r="P5" s="431"/>
      <c r="Q5" s="432"/>
      <c r="R5" s="17"/>
    </row>
    <row r="6" spans="1:18" s="15" customFormat="1" ht="19.5" customHeight="1" x14ac:dyDescent="0.35">
      <c r="A6" s="16" t="s">
        <v>17</v>
      </c>
      <c r="B6" s="433" t="s">
        <v>18</v>
      </c>
      <c r="C6" s="434"/>
      <c r="D6" s="434"/>
      <c r="E6" s="434"/>
      <c r="F6" s="434"/>
      <c r="G6" s="434"/>
      <c r="H6" s="434"/>
      <c r="I6" s="434"/>
      <c r="J6" s="434"/>
      <c r="K6" s="434"/>
      <c r="L6" s="434"/>
      <c r="M6" s="434"/>
      <c r="N6" s="434"/>
      <c r="O6" s="434"/>
      <c r="P6" s="434"/>
      <c r="Q6" s="435"/>
      <c r="R6" s="18"/>
    </row>
    <row r="7" spans="1:18" s="15" customFormat="1" ht="90.65" customHeight="1" x14ac:dyDescent="0.35">
      <c r="A7" s="19" t="s">
        <v>19</v>
      </c>
      <c r="B7" s="20" t="s">
        <v>20</v>
      </c>
      <c r="C7" s="21"/>
      <c r="D7" s="21">
        <v>90000</v>
      </c>
      <c r="E7" s="22" t="s">
        <v>21</v>
      </c>
      <c r="F7" s="23">
        <f>SUM(D7:E7)</f>
        <v>90000</v>
      </c>
      <c r="G7" s="262">
        <v>10000</v>
      </c>
      <c r="H7" s="252">
        <v>30000</v>
      </c>
      <c r="I7" s="161"/>
      <c r="J7" s="252">
        <v>30000</v>
      </c>
      <c r="K7" s="25">
        <v>1</v>
      </c>
      <c r="L7" s="356"/>
      <c r="M7" s="356"/>
      <c r="N7" s="344">
        <v>25000</v>
      </c>
      <c r="O7" s="344">
        <v>11728.5</v>
      </c>
      <c r="P7" s="22" t="s">
        <v>22</v>
      </c>
      <c r="Q7" s="271"/>
      <c r="R7" s="27"/>
    </row>
    <row r="8" spans="1:18" s="15" customFormat="1" ht="90.65" customHeight="1" x14ac:dyDescent="0.35">
      <c r="A8" s="19" t="s">
        <v>23</v>
      </c>
      <c r="B8" s="20" t="s">
        <v>24</v>
      </c>
      <c r="C8" s="21">
        <v>109948</v>
      </c>
      <c r="D8" s="21"/>
      <c r="E8" s="22" t="s">
        <v>25</v>
      </c>
      <c r="F8" s="23">
        <f>SUM(C8:E8)</f>
        <v>109948</v>
      </c>
      <c r="G8" s="262">
        <v>35000</v>
      </c>
      <c r="H8" s="24">
        <v>25000</v>
      </c>
      <c r="I8" s="161">
        <v>25000</v>
      </c>
      <c r="J8" s="160"/>
      <c r="K8" s="25">
        <v>1</v>
      </c>
      <c r="L8" s="358">
        <v>75259</v>
      </c>
      <c r="M8" s="358"/>
      <c r="N8" s="344">
        <v>0</v>
      </c>
      <c r="O8" s="344">
        <v>0</v>
      </c>
      <c r="P8" s="22" t="s">
        <v>26</v>
      </c>
      <c r="Q8" s="270"/>
    </row>
    <row r="9" spans="1:18" s="15" customFormat="1" ht="65" x14ac:dyDescent="0.35">
      <c r="A9" s="19" t="s">
        <v>27</v>
      </c>
      <c r="B9" s="20" t="s">
        <v>28</v>
      </c>
      <c r="C9" s="21">
        <v>70000</v>
      </c>
      <c r="E9" s="29" t="s">
        <v>29</v>
      </c>
      <c r="F9" s="23">
        <f>SUM(C9:E9)</f>
        <v>70000</v>
      </c>
      <c r="G9" s="262">
        <v>30000</v>
      </c>
      <c r="H9" s="24">
        <v>20000</v>
      </c>
      <c r="I9" s="161">
        <v>20000</v>
      </c>
      <c r="J9" s="160"/>
      <c r="K9" s="30">
        <v>1</v>
      </c>
      <c r="L9" s="356">
        <v>27000</v>
      </c>
      <c r="M9" s="356"/>
      <c r="N9" s="344">
        <v>0</v>
      </c>
      <c r="O9" s="344">
        <v>0</v>
      </c>
      <c r="P9" s="22" t="s">
        <v>30</v>
      </c>
      <c r="Q9" s="272"/>
      <c r="R9" s="27"/>
    </row>
    <row r="10" spans="1:18" s="15" customFormat="1" ht="44.15" customHeight="1" x14ac:dyDescent="0.35">
      <c r="A10" s="19" t="s">
        <v>31</v>
      </c>
      <c r="B10" s="32" t="s">
        <v>32</v>
      </c>
      <c r="C10" s="21"/>
      <c r="D10" s="21">
        <v>105000</v>
      </c>
      <c r="E10" s="29" t="s">
        <v>33</v>
      </c>
      <c r="F10" s="23">
        <f>SUM(D10:E10)</f>
        <v>105000</v>
      </c>
      <c r="G10" s="262">
        <v>16000</v>
      </c>
      <c r="H10" s="252">
        <v>20000</v>
      </c>
      <c r="I10" s="161"/>
      <c r="J10" s="252">
        <v>20000</v>
      </c>
      <c r="K10" s="30">
        <v>1</v>
      </c>
      <c r="L10" s="356"/>
      <c r="M10" s="356"/>
      <c r="N10" s="344">
        <v>77879.44</v>
      </c>
      <c r="O10" s="344">
        <v>12824.35</v>
      </c>
      <c r="P10" s="22" t="s">
        <v>26</v>
      </c>
      <c r="Q10" s="271"/>
      <c r="R10" s="27"/>
    </row>
    <row r="11" spans="1:18" s="15" customFormat="1" ht="47.15" customHeight="1" x14ac:dyDescent="0.35">
      <c r="A11" s="19" t="s">
        <v>34</v>
      </c>
      <c r="B11" s="20" t="s">
        <v>35</v>
      </c>
      <c r="C11" s="21">
        <v>90000</v>
      </c>
      <c r="D11" s="21"/>
      <c r="E11" s="29" t="s">
        <v>33</v>
      </c>
      <c r="F11" s="23">
        <f>SUM(C11:E11)</f>
        <v>90000</v>
      </c>
      <c r="G11" s="262">
        <v>40000</v>
      </c>
      <c r="H11" s="24">
        <v>30000</v>
      </c>
      <c r="I11" s="161">
        <v>30000</v>
      </c>
      <c r="J11" s="160"/>
      <c r="K11" s="30">
        <v>1</v>
      </c>
      <c r="L11" s="356">
        <v>60161</v>
      </c>
      <c r="M11" s="356"/>
      <c r="N11" s="344">
        <v>15294.45</v>
      </c>
      <c r="O11" s="344">
        <v>0</v>
      </c>
      <c r="P11" s="22" t="s">
        <v>36</v>
      </c>
      <c r="Q11" s="272"/>
      <c r="R11" s="27"/>
    </row>
    <row r="12" spans="1:18" s="15" customFormat="1" ht="39" x14ac:dyDescent="0.35">
      <c r="A12" s="19" t="s">
        <v>37</v>
      </c>
      <c r="B12" s="20" t="s">
        <v>38</v>
      </c>
      <c r="C12" s="21">
        <v>90000</v>
      </c>
      <c r="D12" s="21"/>
      <c r="E12" s="29" t="s">
        <v>39</v>
      </c>
      <c r="F12" s="23">
        <f>SUM(C12:E12)</f>
        <v>90000</v>
      </c>
      <c r="G12" s="262">
        <v>15000</v>
      </c>
      <c r="H12" s="24">
        <f t="shared" ref="H12:H13" si="0">G12</f>
        <v>15000</v>
      </c>
      <c r="I12" s="161">
        <f>G12</f>
        <v>15000</v>
      </c>
      <c r="J12" s="160"/>
      <c r="K12" s="30">
        <v>1</v>
      </c>
      <c r="L12" s="356">
        <v>76956</v>
      </c>
      <c r="M12" s="356"/>
      <c r="N12" s="344">
        <v>0</v>
      </c>
      <c r="O12" s="344">
        <v>0</v>
      </c>
      <c r="P12" s="22" t="s">
        <v>40</v>
      </c>
      <c r="Q12" s="272"/>
      <c r="R12" s="27"/>
    </row>
    <row r="13" spans="1:18" s="15" customFormat="1" ht="52" x14ac:dyDescent="0.35">
      <c r="A13" s="19" t="s">
        <v>41</v>
      </c>
      <c r="B13" s="20" t="s">
        <v>42</v>
      </c>
      <c r="C13" s="21">
        <v>70000</v>
      </c>
      <c r="D13" s="21"/>
      <c r="E13" s="29"/>
      <c r="F13" s="33">
        <f>C13</f>
        <v>70000</v>
      </c>
      <c r="G13" s="262"/>
      <c r="H13" s="24">
        <f t="shared" si="0"/>
        <v>0</v>
      </c>
      <c r="I13" s="161">
        <f>G13</f>
        <v>0</v>
      </c>
      <c r="J13" s="160"/>
      <c r="K13" s="30">
        <v>1</v>
      </c>
      <c r="L13" s="356">
        <v>32370</v>
      </c>
      <c r="M13" s="356"/>
      <c r="N13" s="344">
        <v>0</v>
      </c>
      <c r="O13" s="344">
        <v>0</v>
      </c>
      <c r="P13" s="22"/>
      <c r="Q13" s="272"/>
      <c r="R13" s="27"/>
    </row>
    <row r="14" spans="1:18" s="15" customFormat="1" ht="91" x14ac:dyDescent="0.35">
      <c r="A14" s="19" t="s">
        <v>43</v>
      </c>
      <c r="B14" s="20" t="s">
        <v>44</v>
      </c>
      <c r="C14" s="21"/>
      <c r="D14" s="21">
        <v>90000</v>
      </c>
      <c r="E14" s="29" t="s">
        <v>45</v>
      </c>
      <c r="F14" s="23">
        <f>SUM(C14:E14)</f>
        <v>90000</v>
      </c>
      <c r="G14" s="262">
        <v>25638</v>
      </c>
      <c r="H14" s="252">
        <v>20000</v>
      </c>
      <c r="I14" s="161"/>
      <c r="J14" s="160">
        <v>20000</v>
      </c>
      <c r="K14" s="30">
        <v>1</v>
      </c>
      <c r="L14" s="356"/>
      <c r="M14" s="356"/>
      <c r="N14" s="344">
        <v>119120.48</v>
      </c>
      <c r="O14" s="344">
        <v>39192.25</v>
      </c>
      <c r="P14" s="22" t="s">
        <v>46</v>
      </c>
      <c r="Q14" s="271"/>
      <c r="R14" s="27"/>
    </row>
    <row r="15" spans="1:18" s="15" customFormat="1" ht="65" x14ac:dyDescent="0.35">
      <c r="A15" s="34" t="s">
        <v>47</v>
      </c>
      <c r="B15" s="20" t="s">
        <v>48</v>
      </c>
      <c r="C15" s="21">
        <v>80000</v>
      </c>
      <c r="D15" s="21"/>
      <c r="E15" s="29" t="s">
        <v>49</v>
      </c>
      <c r="F15" s="33">
        <f>C15</f>
        <v>80000</v>
      </c>
      <c r="G15" s="262"/>
      <c r="H15" s="24">
        <f>G15</f>
        <v>0</v>
      </c>
      <c r="I15" s="161">
        <f>H15</f>
        <v>0</v>
      </c>
      <c r="J15" s="160"/>
      <c r="K15" s="30">
        <v>1</v>
      </c>
      <c r="L15" s="356">
        <v>4710</v>
      </c>
      <c r="M15" s="356"/>
      <c r="N15" s="344">
        <v>0</v>
      </c>
      <c r="O15" s="344">
        <v>0</v>
      </c>
      <c r="P15" s="22"/>
      <c r="Q15" s="272"/>
      <c r="R15" s="27"/>
    </row>
    <row r="16" spans="1:18" s="15" customFormat="1" ht="15.5" x14ac:dyDescent="0.35">
      <c r="A16" s="35"/>
      <c r="B16" s="16" t="s">
        <v>50</v>
      </c>
      <c r="C16" s="36">
        <f>SUM(C7:C15)</f>
        <v>509948</v>
      </c>
      <c r="D16" s="36">
        <f>SUM(D7:D15)</f>
        <v>285000</v>
      </c>
      <c r="E16" s="37">
        <f>SUM(E9:E14)</f>
        <v>0</v>
      </c>
      <c r="F16" s="36">
        <f>SUM(F7:F15)</f>
        <v>794948</v>
      </c>
      <c r="G16" s="266">
        <f>SUM(G7:G15)</f>
        <v>171638</v>
      </c>
      <c r="H16" s="266">
        <f>SUM(H7:H15)</f>
        <v>160000</v>
      </c>
      <c r="I16" s="164">
        <f t="shared" ref="I16:J16" si="1">SUM(I7:I15)</f>
        <v>90000</v>
      </c>
      <c r="J16" s="165">
        <f t="shared" si="1"/>
        <v>70000</v>
      </c>
      <c r="K16" s="37">
        <f>(K9*F9)+(K11*F11)+(K10*F10)+(K12*F12)+(K14*F14)+(K7*F7)+(K8*F8)+(F15*K15)+(F13*K13)</f>
        <v>794948</v>
      </c>
      <c r="L16" s="357">
        <f>SUM(L7:L15)</f>
        <v>276456</v>
      </c>
      <c r="M16" s="357"/>
      <c r="N16" s="347">
        <f>SUM(N7:N15)</f>
        <v>237294.37</v>
      </c>
      <c r="O16" s="347">
        <f>SUM(O7:O15)</f>
        <v>63745.1</v>
      </c>
      <c r="P16" s="38"/>
      <c r="Q16" s="273">
        <f>SUM(Q7:Q15)</f>
        <v>0</v>
      </c>
      <c r="R16" s="18"/>
    </row>
    <row r="17" spans="1:18" s="15" customFormat="1" ht="14.5" customHeight="1" x14ac:dyDescent="0.35">
      <c r="A17" s="16" t="s">
        <v>51</v>
      </c>
      <c r="B17" s="425" t="s">
        <v>52</v>
      </c>
      <c r="C17" s="426"/>
      <c r="D17" s="426"/>
      <c r="E17" s="426"/>
      <c r="F17" s="426"/>
      <c r="G17" s="426"/>
      <c r="H17" s="426"/>
      <c r="I17" s="426"/>
      <c r="J17" s="426"/>
      <c r="K17" s="426"/>
      <c r="L17" s="426"/>
      <c r="M17" s="426"/>
      <c r="N17" s="426"/>
      <c r="O17" s="426"/>
      <c r="P17" s="426"/>
      <c r="Q17" s="427"/>
      <c r="R17" s="18"/>
    </row>
    <row r="18" spans="1:18" s="15" customFormat="1" ht="91" x14ac:dyDescent="0.35">
      <c r="A18" s="19" t="s">
        <v>53</v>
      </c>
      <c r="B18" s="20" t="s">
        <v>54</v>
      </c>
      <c r="C18" s="39"/>
      <c r="D18" s="40">
        <v>90000</v>
      </c>
      <c r="E18" s="29" t="s">
        <v>55</v>
      </c>
      <c r="F18" s="23">
        <f>SUM(D18:E18)</f>
        <v>90000</v>
      </c>
      <c r="G18" s="262">
        <v>30000</v>
      </c>
      <c r="H18" s="24">
        <v>30000</v>
      </c>
      <c r="I18" s="161"/>
      <c r="J18" s="160">
        <v>30000</v>
      </c>
      <c r="K18" s="30">
        <v>1</v>
      </c>
      <c r="L18" s="356"/>
      <c r="M18" s="356"/>
      <c r="N18" s="344">
        <v>10495</v>
      </c>
      <c r="O18" s="344">
        <v>36074.229999999996</v>
      </c>
      <c r="P18" s="22" t="s">
        <v>56</v>
      </c>
      <c r="Q18" s="274"/>
      <c r="R18" s="27"/>
    </row>
    <row r="19" spans="1:18" s="15" customFormat="1" ht="52" x14ac:dyDescent="0.35">
      <c r="A19" s="19" t="s">
        <v>57</v>
      </c>
      <c r="B19" s="20" t="s">
        <v>58</v>
      </c>
      <c r="C19" s="39"/>
      <c r="D19" s="40">
        <v>88000</v>
      </c>
      <c r="E19" s="29" t="s">
        <v>59</v>
      </c>
      <c r="F19" s="23">
        <f>SUM(D19:E19)</f>
        <v>88000</v>
      </c>
      <c r="G19" s="262">
        <v>12000</v>
      </c>
      <c r="H19" s="252">
        <v>20000</v>
      </c>
      <c r="I19" s="161"/>
      <c r="J19" s="252">
        <v>20000</v>
      </c>
      <c r="K19" s="30">
        <v>1</v>
      </c>
      <c r="L19" s="356"/>
      <c r="M19" s="356"/>
      <c r="N19" s="344">
        <v>36916.25</v>
      </c>
      <c r="O19" s="344">
        <v>34794.75</v>
      </c>
      <c r="P19" s="22" t="s">
        <v>60</v>
      </c>
      <c r="Q19" s="271"/>
      <c r="R19" s="27"/>
    </row>
    <row r="20" spans="1:18" s="15" customFormat="1" ht="65" x14ac:dyDescent="0.35">
      <c r="A20" s="19" t="s">
        <v>61</v>
      </c>
      <c r="B20" s="20" t="s">
        <v>62</v>
      </c>
      <c r="C20" s="39"/>
      <c r="D20" s="40">
        <v>80000</v>
      </c>
      <c r="E20" s="29" t="s">
        <v>39</v>
      </c>
      <c r="F20" s="23">
        <f>SUM(D20:E20)</f>
        <v>80000</v>
      </c>
      <c r="G20" s="262">
        <v>20000</v>
      </c>
      <c r="H20" s="24">
        <v>20000</v>
      </c>
      <c r="I20" s="161"/>
      <c r="J20" s="160">
        <v>20000</v>
      </c>
      <c r="K20" s="30">
        <v>1</v>
      </c>
      <c r="L20" s="356">
        <v>26000</v>
      </c>
      <c r="M20" s="356"/>
      <c r="N20" s="344">
        <v>50375</v>
      </c>
      <c r="O20" s="344">
        <v>30042.799999999999</v>
      </c>
      <c r="P20" s="22" t="s">
        <v>63</v>
      </c>
      <c r="Q20" s="274"/>
      <c r="R20" s="27"/>
    </row>
    <row r="21" spans="1:18" s="15" customFormat="1" ht="15.5" x14ac:dyDescent="0.35">
      <c r="A21" s="35"/>
      <c r="B21" s="16" t="s">
        <v>64</v>
      </c>
      <c r="C21" s="41">
        <f t="shared" ref="C21:J21" si="2">SUM(C18:C20)</f>
        <v>0</v>
      </c>
      <c r="D21" s="41">
        <f t="shared" si="2"/>
        <v>258000</v>
      </c>
      <c r="E21" s="42">
        <f t="shared" si="2"/>
        <v>0</v>
      </c>
      <c r="F21" s="41">
        <f t="shared" si="2"/>
        <v>258000</v>
      </c>
      <c r="G21" s="267">
        <f t="shared" si="2"/>
        <v>62000</v>
      </c>
      <c r="H21" s="268">
        <f t="shared" si="2"/>
        <v>70000</v>
      </c>
      <c r="I21" s="162">
        <f t="shared" si="2"/>
        <v>0</v>
      </c>
      <c r="J21" s="166">
        <f t="shared" si="2"/>
        <v>70000</v>
      </c>
      <c r="K21" s="37">
        <f>(K18*F18)+(K20*F20)+(K19*F19)</f>
        <v>258000</v>
      </c>
      <c r="L21" s="357">
        <f>SUM(L18:L20)</f>
        <v>26000</v>
      </c>
      <c r="M21" s="360"/>
      <c r="N21" s="345">
        <f>SUM(N18:N20)</f>
        <v>97786.25</v>
      </c>
      <c r="O21" s="345">
        <f>SUM(O18:O20)</f>
        <v>100911.78</v>
      </c>
      <c r="P21" s="38"/>
      <c r="Q21" s="271"/>
      <c r="R21" s="18"/>
    </row>
    <row r="22" spans="1:18" s="15" customFormat="1" ht="18" customHeight="1" x14ac:dyDescent="0.35">
      <c r="A22" s="16" t="s">
        <v>65</v>
      </c>
      <c r="B22" s="436" t="s">
        <v>66</v>
      </c>
      <c r="C22" s="437"/>
      <c r="D22" s="437"/>
      <c r="E22" s="437"/>
      <c r="F22" s="437"/>
      <c r="G22" s="437"/>
      <c r="H22" s="437"/>
      <c r="I22" s="437"/>
      <c r="J22" s="437"/>
      <c r="K22" s="437"/>
      <c r="L22" s="437"/>
      <c r="M22" s="437"/>
      <c r="N22" s="437"/>
      <c r="O22" s="437"/>
      <c r="P22" s="437"/>
      <c r="Q22" s="438"/>
      <c r="R22" s="18"/>
    </row>
    <row r="23" spans="1:18" s="15" customFormat="1" ht="65" x14ac:dyDescent="0.35">
      <c r="A23" s="19" t="s">
        <v>67</v>
      </c>
      <c r="B23" s="43" t="s">
        <v>68</v>
      </c>
      <c r="C23" s="44">
        <v>136500</v>
      </c>
      <c r="D23" s="21"/>
      <c r="E23" s="29" t="s">
        <v>69</v>
      </c>
      <c r="F23" s="23">
        <f>SUM(C23:E23)</f>
        <v>136500</v>
      </c>
      <c r="G23" s="262">
        <v>60000</v>
      </c>
      <c r="H23" s="24">
        <v>40000</v>
      </c>
      <c r="I23" s="161">
        <v>40000</v>
      </c>
      <c r="J23" s="160"/>
      <c r="K23" s="30">
        <v>1</v>
      </c>
      <c r="L23" s="356">
        <v>88505</v>
      </c>
      <c r="M23" s="356"/>
      <c r="N23" s="344">
        <v>0</v>
      </c>
      <c r="O23" s="344">
        <v>0</v>
      </c>
      <c r="P23" s="22" t="s">
        <v>26</v>
      </c>
      <c r="Q23" s="274"/>
      <c r="R23" s="27"/>
    </row>
    <row r="24" spans="1:18" s="15" customFormat="1" ht="52" x14ac:dyDescent="0.35">
      <c r="A24" s="19" t="s">
        <v>70</v>
      </c>
      <c r="B24" s="43" t="s">
        <v>71</v>
      </c>
      <c r="C24" s="44">
        <v>60000</v>
      </c>
      <c r="D24" s="21"/>
      <c r="E24" s="29" t="s">
        <v>72</v>
      </c>
      <c r="F24" s="23">
        <f>SUM(C24:E24)</f>
        <v>60000</v>
      </c>
      <c r="G24" s="262">
        <v>40000</v>
      </c>
      <c r="H24" s="24">
        <v>30000</v>
      </c>
      <c r="I24" s="161">
        <v>30000</v>
      </c>
      <c r="J24" s="160"/>
      <c r="K24" s="30">
        <v>1</v>
      </c>
      <c r="L24" s="356">
        <v>53812</v>
      </c>
      <c r="M24" s="356"/>
      <c r="N24" s="344">
        <v>0</v>
      </c>
      <c r="O24" s="344">
        <v>0</v>
      </c>
      <c r="P24" s="22" t="s">
        <v>26</v>
      </c>
      <c r="Q24" s="274"/>
      <c r="R24" s="27"/>
    </row>
    <row r="25" spans="1:18" s="15" customFormat="1" ht="39" x14ac:dyDescent="0.35">
      <c r="A25" s="19" t="s">
        <v>73</v>
      </c>
      <c r="B25" s="43" t="s">
        <v>74</v>
      </c>
      <c r="C25" s="44">
        <v>60000</v>
      </c>
      <c r="D25" s="21"/>
      <c r="E25" s="29" t="s">
        <v>75</v>
      </c>
      <c r="F25" s="23">
        <f>SUM(C25:E25)</f>
        <v>60000</v>
      </c>
      <c r="G25" s="262">
        <v>60000</v>
      </c>
      <c r="H25" s="24">
        <v>50000</v>
      </c>
      <c r="I25" s="161">
        <f t="shared" ref="H25:I28" si="3">H25</f>
        <v>50000</v>
      </c>
      <c r="J25" s="160"/>
      <c r="K25" s="30">
        <v>1</v>
      </c>
      <c r="L25" s="358">
        <v>45000</v>
      </c>
      <c r="M25" s="358"/>
      <c r="N25" s="344">
        <v>0</v>
      </c>
      <c r="O25" s="344">
        <v>0</v>
      </c>
      <c r="P25" s="22" t="s">
        <v>36</v>
      </c>
      <c r="Q25" s="274"/>
      <c r="R25" s="27"/>
    </row>
    <row r="26" spans="1:18" s="15" customFormat="1" ht="52" x14ac:dyDescent="0.35">
      <c r="A26" s="19" t="s">
        <v>76</v>
      </c>
      <c r="B26" s="20" t="s">
        <v>77</v>
      </c>
      <c r="C26" s="45"/>
      <c r="D26" s="44">
        <v>90000</v>
      </c>
      <c r="E26" s="29" t="s">
        <v>25</v>
      </c>
      <c r="F26" s="23">
        <f>SUM(D26:E26)</f>
        <v>90000</v>
      </c>
      <c r="G26" s="262">
        <v>30000</v>
      </c>
      <c r="H26" s="24">
        <f t="shared" si="3"/>
        <v>30000</v>
      </c>
      <c r="I26" s="161"/>
      <c r="J26" s="160">
        <v>30000</v>
      </c>
      <c r="K26" s="30">
        <v>1</v>
      </c>
      <c r="L26" s="358"/>
      <c r="M26" s="358"/>
      <c r="N26" s="344">
        <v>87188.5</v>
      </c>
      <c r="O26" s="344">
        <v>55295.7</v>
      </c>
      <c r="P26" s="22" t="s">
        <v>26</v>
      </c>
      <c r="Q26" s="274"/>
      <c r="R26" s="27"/>
    </row>
    <row r="27" spans="1:18" s="28" customFormat="1" ht="52" x14ac:dyDescent="0.35">
      <c r="A27" s="19" t="s">
        <v>78</v>
      </c>
      <c r="B27" s="43" t="s">
        <v>79</v>
      </c>
      <c r="C27" s="44">
        <v>70000</v>
      </c>
      <c r="D27" s="21"/>
      <c r="E27" s="29" t="s">
        <v>59</v>
      </c>
      <c r="F27" s="23">
        <f>SUM(C27:E27)</f>
        <v>70000</v>
      </c>
      <c r="G27" s="262">
        <v>37362</v>
      </c>
      <c r="H27" s="24">
        <v>20000</v>
      </c>
      <c r="I27" s="161">
        <f t="shared" si="3"/>
        <v>20000</v>
      </c>
      <c r="J27" s="160"/>
      <c r="K27" s="30">
        <v>1</v>
      </c>
      <c r="L27" s="359">
        <v>54015</v>
      </c>
      <c r="M27" s="359"/>
      <c r="N27" s="344">
        <v>0</v>
      </c>
      <c r="O27" s="344">
        <v>0</v>
      </c>
      <c r="P27" s="22" t="s">
        <v>26</v>
      </c>
      <c r="Q27" s="274"/>
      <c r="R27" s="27"/>
    </row>
    <row r="28" spans="1:18" s="28" customFormat="1" ht="65" x14ac:dyDescent="0.35">
      <c r="A28" s="19" t="s">
        <v>80</v>
      </c>
      <c r="B28" s="20" t="s">
        <v>81</v>
      </c>
      <c r="C28" s="44">
        <v>90000</v>
      </c>
      <c r="D28" s="21"/>
      <c r="E28" s="29" t="s">
        <v>82</v>
      </c>
      <c r="F28" s="23">
        <f>SUM(C28:E28)</f>
        <v>90000</v>
      </c>
      <c r="G28" s="262">
        <v>20000</v>
      </c>
      <c r="H28" s="24">
        <v>20937.919999999998</v>
      </c>
      <c r="I28" s="161">
        <f t="shared" si="3"/>
        <v>20937.919999999998</v>
      </c>
      <c r="J28" s="160"/>
      <c r="K28" s="30">
        <v>1</v>
      </c>
      <c r="L28" s="356">
        <v>60000</v>
      </c>
      <c r="M28" s="356"/>
      <c r="N28" s="344">
        <v>0</v>
      </c>
      <c r="O28" s="344">
        <v>0</v>
      </c>
      <c r="P28" s="22" t="s">
        <v>83</v>
      </c>
      <c r="Q28" s="274"/>
      <c r="R28" s="27"/>
    </row>
    <row r="29" spans="1:18" s="28" customFormat="1" ht="65" x14ac:dyDescent="0.35">
      <c r="A29" s="19" t="s">
        <v>84</v>
      </c>
      <c r="B29" s="20" t="s">
        <v>85</v>
      </c>
      <c r="C29" s="44">
        <v>120000</v>
      </c>
      <c r="D29" s="21"/>
      <c r="E29" s="22" t="s">
        <v>82</v>
      </c>
      <c r="F29" s="23">
        <f>SUM(C29:E29)</f>
        <v>120000</v>
      </c>
      <c r="G29" s="262">
        <v>34000</v>
      </c>
      <c r="H29" s="252">
        <v>330825</v>
      </c>
      <c r="I29" s="252">
        <v>330825</v>
      </c>
      <c r="J29" s="160"/>
      <c r="K29" s="25">
        <v>1</v>
      </c>
      <c r="L29" s="356">
        <v>80405</v>
      </c>
      <c r="M29" s="356"/>
      <c r="N29" s="344">
        <v>0</v>
      </c>
      <c r="O29" s="344">
        <v>0</v>
      </c>
      <c r="P29" s="22" t="s">
        <v>26</v>
      </c>
      <c r="Q29" s="271"/>
      <c r="R29" s="27"/>
    </row>
    <row r="30" spans="1:18" s="15" customFormat="1" ht="15.5" x14ac:dyDescent="0.35">
      <c r="A30" s="35"/>
      <c r="B30" s="16" t="s">
        <v>86</v>
      </c>
      <c r="C30" s="41">
        <f t="shared" ref="C30:J30" si="4">SUM(C23:C29)</f>
        <v>536500</v>
      </c>
      <c r="D30" s="41">
        <f t="shared" si="4"/>
        <v>90000</v>
      </c>
      <c r="E30" s="42">
        <f t="shared" si="4"/>
        <v>0</v>
      </c>
      <c r="F30" s="41">
        <f t="shared" si="4"/>
        <v>626500</v>
      </c>
      <c r="G30" s="267">
        <f t="shared" si="4"/>
        <v>281362</v>
      </c>
      <c r="H30" s="268">
        <f t="shared" si="4"/>
        <v>521762.92</v>
      </c>
      <c r="I30" s="167">
        <f t="shared" si="4"/>
        <v>491762.92</v>
      </c>
      <c r="J30" s="166">
        <f t="shared" si="4"/>
        <v>30000</v>
      </c>
      <c r="K30" s="37">
        <f>(K23*F23)+(K24*F24)+(K26*F26)+(K25*F25)+(K27*F27)+(K28*F28)+(K29*F29)</f>
        <v>626500</v>
      </c>
      <c r="L30" s="357">
        <f>SUM(L23:L29)</f>
        <v>381737</v>
      </c>
      <c r="M30" s="360"/>
      <c r="N30" s="345">
        <f>SUM(N23:N29)</f>
        <v>87188.5</v>
      </c>
      <c r="O30" s="345">
        <f>SUM(O23:O29)</f>
        <v>55295.7</v>
      </c>
      <c r="P30" s="38"/>
      <c r="Q30" s="271"/>
      <c r="R30" s="18"/>
    </row>
    <row r="31" spans="1:18" s="15" customFormat="1" ht="18.649999999999999" customHeight="1" x14ac:dyDescent="0.35">
      <c r="A31" s="16" t="s">
        <v>87</v>
      </c>
      <c r="B31" s="425" t="s">
        <v>88</v>
      </c>
      <c r="C31" s="426"/>
      <c r="D31" s="426"/>
      <c r="E31" s="426"/>
      <c r="F31" s="426"/>
      <c r="G31" s="426"/>
      <c r="H31" s="426"/>
      <c r="I31" s="426"/>
      <c r="J31" s="426"/>
      <c r="K31" s="426"/>
      <c r="L31" s="426"/>
      <c r="M31" s="426"/>
      <c r="N31" s="426"/>
      <c r="O31" s="426"/>
      <c r="P31" s="426"/>
      <c r="Q31" s="427"/>
      <c r="R31" s="18"/>
    </row>
    <row r="32" spans="1:18" s="15" customFormat="1" ht="52" x14ac:dyDescent="0.35">
      <c r="A32" s="19" t="s">
        <v>89</v>
      </c>
      <c r="B32" s="43" t="s">
        <v>90</v>
      </c>
      <c r="C32" s="40">
        <v>50000</v>
      </c>
      <c r="D32" s="40"/>
      <c r="E32" s="29" t="s">
        <v>59</v>
      </c>
      <c r="F32" s="23">
        <f>SUM(C32:E32)</f>
        <v>50000</v>
      </c>
      <c r="G32" s="262">
        <v>6000</v>
      </c>
      <c r="H32" s="24">
        <f>G32</f>
        <v>6000</v>
      </c>
      <c r="I32" s="161">
        <f>H32</f>
        <v>6000</v>
      </c>
      <c r="J32" s="160"/>
      <c r="K32" s="30">
        <v>1</v>
      </c>
      <c r="L32" s="356">
        <v>34596</v>
      </c>
      <c r="M32" s="356"/>
      <c r="N32" s="344">
        <v>0</v>
      </c>
      <c r="O32" s="344">
        <v>0</v>
      </c>
      <c r="P32" s="22" t="s">
        <v>91</v>
      </c>
      <c r="Q32" s="274"/>
      <c r="R32" s="27"/>
    </row>
    <row r="33" spans="1:18" s="15" customFormat="1" ht="39" customHeight="1" x14ac:dyDescent="0.35">
      <c r="A33" s="19" t="s">
        <v>92</v>
      </c>
      <c r="B33" s="20" t="s">
        <v>93</v>
      </c>
      <c r="C33" s="46">
        <v>150000</v>
      </c>
      <c r="E33" s="29" t="s">
        <v>29</v>
      </c>
      <c r="F33" s="23">
        <f>SUM(C33:E33)</f>
        <v>150000</v>
      </c>
      <c r="G33" s="262">
        <v>30000</v>
      </c>
      <c r="H33" s="24">
        <f t="shared" ref="H33:I34" si="5">G33</f>
        <v>30000</v>
      </c>
      <c r="I33" s="161">
        <f t="shared" si="5"/>
        <v>30000</v>
      </c>
      <c r="J33" s="160"/>
      <c r="K33" s="30">
        <v>1</v>
      </c>
      <c r="L33" s="356">
        <v>178774</v>
      </c>
      <c r="M33" s="356"/>
      <c r="N33" s="344">
        <v>0</v>
      </c>
      <c r="O33" s="344">
        <v>0</v>
      </c>
      <c r="P33" s="22" t="s">
        <v>26</v>
      </c>
      <c r="Q33" s="274"/>
      <c r="R33" s="27"/>
    </row>
    <row r="34" spans="1:18" s="15" customFormat="1" ht="52" x14ac:dyDescent="0.35">
      <c r="A34" s="19" t="s">
        <v>94</v>
      </c>
      <c r="B34" s="20" t="s">
        <v>95</v>
      </c>
      <c r="C34" s="46">
        <v>100000</v>
      </c>
      <c r="E34" s="29" t="s">
        <v>59</v>
      </c>
      <c r="F34" s="23">
        <f>SUM(C34:E34)</f>
        <v>100000</v>
      </c>
      <c r="G34" s="262">
        <v>30000</v>
      </c>
      <c r="H34" s="24">
        <f t="shared" si="5"/>
        <v>30000</v>
      </c>
      <c r="I34" s="161">
        <f t="shared" si="5"/>
        <v>30000</v>
      </c>
      <c r="J34" s="160"/>
      <c r="K34" s="30">
        <v>1</v>
      </c>
      <c r="L34" s="356">
        <v>9000</v>
      </c>
      <c r="M34" s="356"/>
      <c r="N34" s="344">
        <v>1218</v>
      </c>
      <c r="O34" s="344">
        <v>2842</v>
      </c>
      <c r="P34" s="22" t="s">
        <v>22</v>
      </c>
      <c r="Q34" s="274"/>
      <c r="R34" s="27"/>
    </row>
    <row r="35" spans="1:18" s="15" customFormat="1" ht="104" x14ac:dyDescent="0.35">
      <c r="A35" s="19" t="s">
        <v>96</v>
      </c>
      <c r="B35" s="20" t="s">
        <v>97</v>
      </c>
      <c r="C35" s="40"/>
      <c r="D35" s="40">
        <v>120000</v>
      </c>
      <c r="E35" s="29" t="s">
        <v>98</v>
      </c>
      <c r="F35" s="23">
        <f>SUM(C35:E35)</f>
        <v>120000</v>
      </c>
      <c r="G35" s="262">
        <v>50000</v>
      </c>
      <c r="H35" s="24">
        <v>50000</v>
      </c>
      <c r="I35" s="161"/>
      <c r="J35" s="252">
        <v>50000</v>
      </c>
      <c r="K35" s="30">
        <v>1</v>
      </c>
      <c r="L35" s="356"/>
      <c r="M35" s="356"/>
      <c r="N35" s="344">
        <v>74113.450000000012</v>
      </c>
      <c r="O35" s="344">
        <v>16939.5</v>
      </c>
      <c r="P35" s="22" t="s">
        <v>99</v>
      </c>
      <c r="Q35" s="274">
        <f>J35-G35</f>
        <v>0</v>
      </c>
      <c r="R35" s="27"/>
    </row>
    <row r="36" spans="1:18" s="15" customFormat="1" ht="15.5" x14ac:dyDescent="0.35">
      <c r="A36" s="39"/>
      <c r="B36" s="16" t="s">
        <v>100</v>
      </c>
      <c r="C36" s="41">
        <f>SUM(C32:C35)</f>
        <v>300000</v>
      </c>
      <c r="D36" s="41">
        <f>SUM(D32:D35)</f>
        <v>120000</v>
      </c>
      <c r="E36" s="42"/>
      <c r="F36" s="41">
        <f t="shared" ref="F36:J36" si="6">SUM(F32:F35)</f>
        <v>420000</v>
      </c>
      <c r="G36" s="267">
        <f t="shared" si="6"/>
        <v>116000</v>
      </c>
      <c r="H36" s="268">
        <f t="shared" si="6"/>
        <v>116000</v>
      </c>
      <c r="I36" s="167">
        <f t="shared" si="6"/>
        <v>66000</v>
      </c>
      <c r="J36" s="166">
        <f t="shared" si="6"/>
        <v>50000</v>
      </c>
      <c r="K36" s="37">
        <f>(F32*K32)+(F33*K33)+(F34*K34)+(F35*K35)</f>
        <v>420000</v>
      </c>
      <c r="L36" s="360">
        <f t="shared" ref="L36" si="7">SUM(L32:L35)</f>
        <v>222370</v>
      </c>
      <c r="M36" s="360"/>
      <c r="N36" s="345">
        <f t="shared" ref="N36:O36" si="8">SUM(N32:N35)</f>
        <v>75331.450000000012</v>
      </c>
      <c r="O36" s="345">
        <f t="shared" si="8"/>
        <v>19781.5</v>
      </c>
      <c r="P36" s="39"/>
      <c r="Q36" s="275">
        <f>SUM(Q32:Q35)</f>
        <v>0</v>
      </c>
      <c r="R36" s="27"/>
    </row>
    <row r="37" spans="1:18" s="15" customFormat="1" ht="15.5" x14ac:dyDescent="0.35">
      <c r="A37" s="47"/>
      <c r="B37" s="47" t="s">
        <v>101</v>
      </c>
      <c r="C37" s="48">
        <f>SUM(C16,C21,C30,C36)</f>
        <v>1346448</v>
      </c>
      <c r="D37" s="48">
        <f>SUM(D16,D21,D30,D36)</f>
        <v>753000</v>
      </c>
      <c r="E37" s="49">
        <f>SUM(E32:E35)</f>
        <v>0</v>
      </c>
      <c r="F37" s="48">
        <f t="shared" ref="F37:K37" si="9">SUM(F16,F21,F30,F36)</f>
        <v>2099448</v>
      </c>
      <c r="G37" s="48">
        <f t="shared" si="9"/>
        <v>631000</v>
      </c>
      <c r="H37" s="48">
        <f t="shared" si="9"/>
        <v>867762.91999999993</v>
      </c>
      <c r="I37" s="48">
        <f t="shared" si="9"/>
        <v>647762.91999999993</v>
      </c>
      <c r="J37" s="48">
        <f t="shared" si="9"/>
        <v>220000</v>
      </c>
      <c r="K37" s="48">
        <f t="shared" si="9"/>
        <v>2099448</v>
      </c>
      <c r="L37" s="361">
        <f>SUM(L16,L21,L30,L36)</f>
        <v>906563</v>
      </c>
      <c r="M37" s="361"/>
      <c r="N37" s="48">
        <f>SUM(N16,N21,N30,N36)</f>
        <v>497600.57</v>
      </c>
      <c r="O37" s="48">
        <f>SUM(O16,O21,O30,O36)</f>
        <v>239734.08000000002</v>
      </c>
      <c r="P37" s="49"/>
      <c r="Q37" s="276"/>
      <c r="R37" s="18"/>
    </row>
    <row r="38" spans="1:18" s="55" customFormat="1" ht="25.5" customHeight="1" x14ac:dyDescent="0.35">
      <c r="A38" s="50" t="s">
        <v>15</v>
      </c>
      <c r="B38" s="51">
        <f>F37</f>
        <v>2099448</v>
      </c>
      <c r="C38" s="52">
        <f>C37</f>
        <v>1346448</v>
      </c>
      <c r="D38" s="52">
        <f>D37</f>
        <v>753000</v>
      </c>
      <c r="E38" s="53"/>
      <c r="F38" s="52">
        <f>F37</f>
        <v>2099448</v>
      </c>
      <c r="G38" s="52">
        <f>G37</f>
        <v>631000</v>
      </c>
      <c r="H38" s="52">
        <f t="shared" ref="H38:L38" si="10">H37</f>
        <v>867762.91999999993</v>
      </c>
      <c r="I38" s="52">
        <f t="shared" si="10"/>
        <v>647762.91999999993</v>
      </c>
      <c r="J38" s="52">
        <f t="shared" si="10"/>
        <v>220000</v>
      </c>
      <c r="K38" s="52">
        <f t="shared" si="10"/>
        <v>2099448</v>
      </c>
      <c r="L38" s="52">
        <f t="shared" si="10"/>
        <v>906563</v>
      </c>
      <c r="M38" s="52"/>
      <c r="N38" s="52">
        <f>N37</f>
        <v>497600.57</v>
      </c>
      <c r="O38" s="52">
        <f>O37</f>
        <v>239734.08000000002</v>
      </c>
      <c r="P38" s="53"/>
      <c r="Q38" s="277"/>
      <c r="R38" s="54"/>
    </row>
    <row r="39" spans="1:18" s="55" customFormat="1" ht="25.5" customHeight="1" x14ac:dyDescent="0.35">
      <c r="A39" s="56"/>
      <c r="B39" s="57"/>
      <c r="C39" s="58"/>
      <c r="D39" s="58"/>
      <c r="E39" s="59"/>
      <c r="F39" s="58"/>
      <c r="G39" s="58"/>
      <c r="H39" s="58"/>
      <c r="I39" s="58"/>
      <c r="J39" s="58"/>
      <c r="K39" s="58"/>
      <c r="L39" s="58"/>
      <c r="M39" s="58"/>
      <c r="N39" s="58"/>
      <c r="O39" s="58"/>
      <c r="P39" s="59"/>
      <c r="Q39" s="60"/>
      <c r="R39" s="54"/>
    </row>
    <row r="40" spans="1:18" s="61" customFormat="1" ht="29.15" customHeight="1" x14ac:dyDescent="0.35">
      <c r="A40" s="62" t="s">
        <v>102</v>
      </c>
      <c r="B40" s="439" t="s">
        <v>103</v>
      </c>
      <c r="C40" s="440"/>
      <c r="D40" s="440"/>
      <c r="E40" s="440"/>
      <c r="F40" s="440"/>
      <c r="G40" s="440"/>
      <c r="H40" s="440"/>
      <c r="I40" s="440"/>
      <c r="J40" s="440"/>
      <c r="K40" s="440"/>
      <c r="L40" s="440"/>
      <c r="M40" s="440"/>
      <c r="N40" s="440"/>
      <c r="O40" s="440"/>
      <c r="P40" s="440"/>
      <c r="Q40" s="441"/>
      <c r="R40" s="63"/>
    </row>
    <row r="41" spans="1:18" s="61" customFormat="1" ht="21" customHeight="1" x14ac:dyDescent="0.35">
      <c r="A41" s="16" t="s">
        <v>104</v>
      </c>
      <c r="B41" s="442" t="s">
        <v>105</v>
      </c>
      <c r="C41" s="443"/>
      <c r="D41" s="443"/>
      <c r="E41" s="443"/>
      <c r="F41" s="443"/>
      <c r="G41" s="443"/>
      <c r="H41" s="443"/>
      <c r="I41" s="443"/>
      <c r="J41" s="443"/>
      <c r="K41" s="443"/>
      <c r="L41" s="443"/>
      <c r="M41" s="443"/>
      <c r="N41" s="443"/>
      <c r="O41" s="443"/>
      <c r="P41" s="443"/>
      <c r="Q41" s="444"/>
      <c r="R41" s="64"/>
    </row>
    <row r="42" spans="1:18" ht="52" x14ac:dyDescent="0.35">
      <c r="A42" s="19" t="s">
        <v>106</v>
      </c>
      <c r="B42" s="20" t="s">
        <v>107</v>
      </c>
      <c r="C42" s="65"/>
      <c r="D42" s="66">
        <v>111192</v>
      </c>
      <c r="E42" s="67" t="s">
        <v>108</v>
      </c>
      <c r="F42" s="68">
        <f>SUM(C42:D42)</f>
        <v>111192</v>
      </c>
      <c r="G42" s="263"/>
      <c r="H42" s="69">
        <f>G42</f>
        <v>0</v>
      </c>
      <c r="I42" s="163"/>
      <c r="J42" s="253">
        <f>H42</f>
        <v>0</v>
      </c>
      <c r="K42" s="30">
        <v>1</v>
      </c>
      <c r="L42" s="356"/>
      <c r="M42" s="356"/>
      <c r="N42" s="344">
        <v>34646.01</v>
      </c>
      <c r="O42" s="344">
        <v>2000</v>
      </c>
      <c r="P42" s="22" t="s">
        <v>109</v>
      </c>
      <c r="Q42" s="31"/>
      <c r="R42" s="70"/>
    </row>
    <row r="43" spans="1:18" ht="65" x14ac:dyDescent="0.35">
      <c r="A43" s="19" t="s">
        <v>110</v>
      </c>
      <c r="B43" s="20" t="s">
        <v>111</v>
      </c>
      <c r="C43" s="21">
        <v>97293</v>
      </c>
      <c r="E43" s="67" t="s">
        <v>112</v>
      </c>
      <c r="F43" s="68">
        <f>SUM(C43:C43)</f>
        <v>97293</v>
      </c>
      <c r="G43" s="263"/>
      <c r="H43" s="69">
        <f t="shared" ref="H43:H47" si="11">G43</f>
        <v>0</v>
      </c>
      <c r="I43" s="163">
        <f>H43</f>
        <v>0</v>
      </c>
      <c r="J43" s="253"/>
      <c r="K43" s="30">
        <v>1</v>
      </c>
      <c r="L43" s="356"/>
      <c r="M43" s="356"/>
      <c r="N43" s="344">
        <v>54939.199999999997</v>
      </c>
      <c r="O43" s="344">
        <v>0</v>
      </c>
      <c r="P43" s="22" t="s">
        <v>113</v>
      </c>
      <c r="Q43" s="31"/>
      <c r="R43" s="70"/>
    </row>
    <row r="44" spans="1:18" ht="78" x14ac:dyDescent="0.35">
      <c r="A44" s="19" t="s">
        <v>114</v>
      </c>
      <c r="B44" s="20" t="s">
        <v>115</v>
      </c>
      <c r="C44" s="66"/>
      <c r="D44" s="66">
        <v>103394</v>
      </c>
      <c r="E44" s="67" t="s">
        <v>112</v>
      </c>
      <c r="F44" s="68">
        <f>SUM(C44:D44)</f>
        <v>103394</v>
      </c>
      <c r="G44" s="263"/>
      <c r="H44" s="69">
        <f t="shared" si="11"/>
        <v>0</v>
      </c>
      <c r="I44" s="163"/>
      <c r="J44" s="253">
        <f>H44</f>
        <v>0</v>
      </c>
      <c r="K44" s="30">
        <v>1</v>
      </c>
      <c r="L44" s="356"/>
      <c r="M44" s="356"/>
      <c r="N44" s="344">
        <v>25075</v>
      </c>
      <c r="O44" s="344">
        <v>5000</v>
      </c>
      <c r="P44" s="22" t="s">
        <v>116</v>
      </c>
      <c r="Q44" s="31"/>
      <c r="R44" s="70"/>
    </row>
    <row r="45" spans="1:18" ht="65" x14ac:dyDescent="0.35">
      <c r="A45" s="19" t="s">
        <v>117</v>
      </c>
      <c r="B45" s="20" t="s">
        <v>118</v>
      </c>
      <c r="C45" s="21"/>
      <c r="D45" s="21">
        <v>70000</v>
      </c>
      <c r="E45" s="67" t="s">
        <v>112</v>
      </c>
      <c r="F45" s="68">
        <f>SUM(C45:D45)</f>
        <v>70000</v>
      </c>
      <c r="G45" s="263">
        <v>27798</v>
      </c>
      <c r="H45" s="69">
        <f t="shared" si="11"/>
        <v>27798</v>
      </c>
      <c r="I45" s="163"/>
      <c r="J45" s="253">
        <f>H45</f>
        <v>27798</v>
      </c>
      <c r="K45" s="30">
        <v>1</v>
      </c>
      <c r="L45" s="356"/>
      <c r="M45" s="356"/>
      <c r="N45" s="344">
        <v>125617</v>
      </c>
      <c r="O45" s="344">
        <v>31972.5</v>
      </c>
      <c r="P45" s="22" t="s">
        <v>119</v>
      </c>
      <c r="Q45" s="31"/>
      <c r="R45" s="70"/>
    </row>
    <row r="46" spans="1:18" ht="65" x14ac:dyDescent="0.35">
      <c r="A46" s="19" t="s">
        <v>120</v>
      </c>
      <c r="B46" s="20" t="s">
        <v>121</v>
      </c>
      <c r="C46" s="21"/>
      <c r="D46" s="21">
        <v>120000</v>
      </c>
      <c r="E46" s="67" t="s">
        <v>112</v>
      </c>
      <c r="F46" s="68">
        <f>SUM(C46:D46)</f>
        <v>120000</v>
      </c>
      <c r="G46" s="263">
        <v>104242.5</v>
      </c>
      <c r="H46" s="69">
        <f t="shared" si="11"/>
        <v>104242.5</v>
      </c>
      <c r="I46" s="163"/>
      <c r="J46" s="253">
        <f>H46</f>
        <v>104242.5</v>
      </c>
      <c r="K46" s="30">
        <v>1</v>
      </c>
      <c r="L46" s="356"/>
      <c r="M46" s="356"/>
      <c r="N46" s="344">
        <v>69106.26999999999</v>
      </c>
      <c r="O46" s="344">
        <v>87035.15</v>
      </c>
      <c r="P46" s="22" t="s">
        <v>122</v>
      </c>
      <c r="Q46" s="31"/>
      <c r="R46" s="70"/>
    </row>
    <row r="47" spans="1:18" ht="65" x14ac:dyDescent="0.35">
      <c r="A47" s="19" t="s">
        <v>123</v>
      </c>
      <c r="B47" s="20" t="s">
        <v>124</v>
      </c>
      <c r="C47" s="66"/>
      <c r="D47" s="21">
        <v>80000</v>
      </c>
      <c r="E47" s="67" t="s">
        <v>112</v>
      </c>
      <c r="F47" s="68">
        <f>SUM(C47:D47)</f>
        <v>80000</v>
      </c>
      <c r="G47" s="263">
        <v>83394</v>
      </c>
      <c r="H47" s="69">
        <f t="shared" si="11"/>
        <v>83394</v>
      </c>
      <c r="I47" s="163"/>
      <c r="J47" s="253">
        <f>H47</f>
        <v>83394</v>
      </c>
      <c r="K47" s="30">
        <v>1</v>
      </c>
      <c r="L47" s="356"/>
      <c r="M47" s="356"/>
      <c r="N47" s="344">
        <v>20000</v>
      </c>
      <c r="O47" s="344">
        <v>0</v>
      </c>
      <c r="P47" s="22" t="s">
        <v>125</v>
      </c>
      <c r="Q47" s="31"/>
      <c r="R47" s="70"/>
    </row>
    <row r="48" spans="1:18" s="72" customFormat="1" ht="15.5" x14ac:dyDescent="0.35">
      <c r="A48" s="35"/>
      <c r="B48" s="16" t="s">
        <v>126</v>
      </c>
      <c r="C48" s="36">
        <f t="shared" ref="C48:J48" si="12">SUM(C42:C47)</f>
        <v>97293</v>
      </c>
      <c r="D48" s="36">
        <f t="shared" si="12"/>
        <v>484586</v>
      </c>
      <c r="E48" s="37">
        <f t="shared" si="12"/>
        <v>0</v>
      </c>
      <c r="F48" s="41">
        <f t="shared" si="12"/>
        <v>581879</v>
      </c>
      <c r="G48" s="267">
        <f t="shared" si="12"/>
        <v>215434.5</v>
      </c>
      <c r="H48" s="268">
        <f t="shared" si="12"/>
        <v>215434.5</v>
      </c>
      <c r="I48" s="167">
        <f t="shared" si="12"/>
        <v>0</v>
      </c>
      <c r="J48" s="166">
        <f t="shared" si="12"/>
        <v>215434.5</v>
      </c>
      <c r="K48" s="37">
        <f>(K42*F42)+(K44*F44)+(K43*F43)+(K47*F47)+(K45*F45)+(K46*F46)</f>
        <v>581879</v>
      </c>
      <c r="L48" s="357">
        <f>SUM(L42:L47)</f>
        <v>0</v>
      </c>
      <c r="M48" s="360"/>
      <c r="N48" s="345">
        <f t="shared" ref="N48:O48" si="13">SUM(N42:N47)</f>
        <v>329383.48</v>
      </c>
      <c r="O48" s="345">
        <f t="shared" si="13"/>
        <v>126007.65</v>
      </c>
      <c r="P48" s="38"/>
      <c r="Q48" s="26"/>
      <c r="R48" s="71"/>
    </row>
    <row r="49" spans="1:18" s="61" customFormat="1" ht="15.5" x14ac:dyDescent="0.35">
      <c r="A49" s="16" t="s">
        <v>127</v>
      </c>
      <c r="B49" s="425" t="s">
        <v>128</v>
      </c>
      <c r="C49" s="426"/>
      <c r="D49" s="426"/>
      <c r="E49" s="426"/>
      <c r="F49" s="426"/>
      <c r="G49" s="426"/>
      <c r="H49" s="426"/>
      <c r="I49" s="426"/>
      <c r="J49" s="426"/>
      <c r="K49" s="426"/>
      <c r="L49" s="426"/>
      <c r="M49" s="426"/>
      <c r="N49" s="426"/>
      <c r="O49" s="426"/>
      <c r="P49" s="426"/>
      <c r="Q49" s="427"/>
      <c r="R49" s="64"/>
    </row>
    <row r="50" spans="1:18" ht="65" x14ac:dyDescent="0.35">
      <c r="A50" s="19" t="s">
        <v>129</v>
      </c>
      <c r="B50" s="20" t="s">
        <v>130</v>
      </c>
      <c r="C50" s="40"/>
      <c r="D50" s="40">
        <v>111192</v>
      </c>
      <c r="E50" s="67" t="s">
        <v>112</v>
      </c>
      <c r="F50" s="23">
        <f>SUM(C50:D50)</f>
        <v>111192</v>
      </c>
      <c r="G50" s="262"/>
      <c r="H50" s="252">
        <v>20000</v>
      </c>
      <c r="I50" s="161"/>
      <c r="J50" s="252">
        <v>20000</v>
      </c>
      <c r="K50" s="30">
        <v>1</v>
      </c>
      <c r="L50" s="363"/>
      <c r="M50" s="363"/>
      <c r="N50" s="344">
        <v>38193.99</v>
      </c>
      <c r="O50" s="344">
        <v>13829.6</v>
      </c>
      <c r="P50" s="22"/>
      <c r="Q50" s="274"/>
      <c r="R50" s="70"/>
    </row>
    <row r="51" spans="1:18" ht="65" x14ac:dyDescent="0.35">
      <c r="A51" s="19" t="s">
        <v>131</v>
      </c>
      <c r="B51" s="20" t="s">
        <v>132</v>
      </c>
      <c r="C51" s="40"/>
      <c r="D51" s="73">
        <v>50000</v>
      </c>
      <c r="E51" s="67" t="s">
        <v>112</v>
      </c>
      <c r="F51" s="23">
        <f>SUM(C51:D51)</f>
        <v>50000</v>
      </c>
      <c r="G51" s="262"/>
      <c r="H51" s="24"/>
      <c r="I51" s="161"/>
      <c r="J51" s="160">
        <f>H51</f>
        <v>0</v>
      </c>
      <c r="K51" s="30">
        <v>1</v>
      </c>
      <c r="L51" s="363"/>
      <c r="M51" s="363"/>
      <c r="N51" s="344">
        <v>0</v>
      </c>
      <c r="O51" s="344">
        <v>0</v>
      </c>
      <c r="P51" s="22"/>
      <c r="Q51" s="274"/>
      <c r="R51" s="70"/>
    </row>
    <row r="52" spans="1:18" ht="65" x14ac:dyDescent="0.35">
      <c r="A52" s="19" t="s">
        <v>133</v>
      </c>
      <c r="B52" s="20" t="s">
        <v>134</v>
      </c>
      <c r="C52" s="40"/>
      <c r="D52" s="40">
        <v>180687</v>
      </c>
      <c r="E52" s="67" t="s">
        <v>112</v>
      </c>
      <c r="F52" s="23">
        <f>SUM(C52:D52)</f>
        <v>180687</v>
      </c>
      <c r="G52" s="262"/>
      <c r="H52" s="24"/>
      <c r="I52" s="161"/>
      <c r="J52" s="160">
        <f t="shared" ref="J52:J53" si="14">H52</f>
        <v>0</v>
      </c>
      <c r="K52" s="30">
        <v>1</v>
      </c>
      <c r="L52" s="363"/>
      <c r="M52" s="363"/>
      <c r="N52" s="344">
        <v>33000</v>
      </c>
      <c r="O52" s="344">
        <v>0</v>
      </c>
      <c r="P52" s="22"/>
      <c r="Q52" s="274"/>
      <c r="R52" s="70"/>
    </row>
    <row r="53" spans="1:18" ht="65" x14ac:dyDescent="0.35">
      <c r="A53" s="19" t="s">
        <v>135</v>
      </c>
      <c r="B53" s="20" t="s">
        <v>136</v>
      </c>
      <c r="C53" s="40"/>
      <c r="D53" s="40">
        <v>180000</v>
      </c>
      <c r="E53" s="67" t="s">
        <v>112</v>
      </c>
      <c r="F53" s="23">
        <f>SUM(C53:D53)</f>
        <v>180000</v>
      </c>
      <c r="G53" s="262"/>
      <c r="H53" s="24"/>
      <c r="I53" s="161"/>
      <c r="J53" s="160">
        <f t="shared" si="14"/>
        <v>0</v>
      </c>
      <c r="K53" s="30">
        <v>1</v>
      </c>
      <c r="L53" s="363"/>
      <c r="M53" s="363"/>
      <c r="N53" s="344">
        <v>20000</v>
      </c>
      <c r="O53" s="344">
        <v>43089</v>
      </c>
      <c r="P53" s="22"/>
      <c r="Q53" s="274"/>
      <c r="R53" s="70"/>
    </row>
    <row r="54" spans="1:18" ht="15.5" x14ac:dyDescent="0.35">
      <c r="A54" s="35"/>
      <c r="B54" s="16" t="s">
        <v>137</v>
      </c>
      <c r="C54" s="41">
        <f t="shared" ref="C54:J54" si="15">SUM(C50:C53)</f>
        <v>0</v>
      </c>
      <c r="D54" s="41">
        <f t="shared" si="15"/>
        <v>521879</v>
      </c>
      <c r="E54" s="42">
        <f t="shared" si="15"/>
        <v>0</v>
      </c>
      <c r="F54" s="41">
        <f t="shared" si="15"/>
        <v>521879</v>
      </c>
      <c r="G54" s="267">
        <f t="shared" si="15"/>
        <v>0</v>
      </c>
      <c r="H54" s="268">
        <f t="shared" si="15"/>
        <v>20000</v>
      </c>
      <c r="I54" s="167">
        <f t="shared" si="15"/>
        <v>0</v>
      </c>
      <c r="J54" s="166">
        <f t="shared" si="15"/>
        <v>20000</v>
      </c>
      <c r="K54" s="37">
        <f>(K50*F50)+(K51*F51)+(K52*F52)+(K53*F53)</f>
        <v>521879</v>
      </c>
      <c r="L54" s="360"/>
      <c r="M54" s="360"/>
      <c r="N54" s="345">
        <f>SUM(N50:N53)</f>
        <v>91193.989999999991</v>
      </c>
      <c r="O54" s="345">
        <f>SUM(O50:O53)</f>
        <v>56918.6</v>
      </c>
      <c r="P54" s="74"/>
      <c r="Q54" s="271">
        <f>SUM(Q50:Q53)</f>
        <v>0</v>
      </c>
      <c r="R54" s="71"/>
    </row>
    <row r="55" spans="1:18" s="61" customFormat="1" ht="20.149999999999999" customHeight="1" x14ac:dyDescent="0.35">
      <c r="A55" s="16" t="s">
        <v>138</v>
      </c>
      <c r="B55" s="425" t="s">
        <v>139</v>
      </c>
      <c r="C55" s="426"/>
      <c r="D55" s="426"/>
      <c r="E55" s="426"/>
      <c r="F55" s="426"/>
      <c r="G55" s="426"/>
      <c r="H55" s="426"/>
      <c r="I55" s="426"/>
      <c r="J55" s="426"/>
      <c r="K55" s="426"/>
      <c r="L55" s="426"/>
      <c r="M55" s="426"/>
      <c r="N55" s="426"/>
      <c r="O55" s="426"/>
      <c r="P55" s="426"/>
      <c r="Q55" s="427"/>
      <c r="R55" s="64"/>
    </row>
    <row r="56" spans="1:18" ht="65" x14ac:dyDescent="0.35">
      <c r="A56" s="19" t="s">
        <v>140</v>
      </c>
      <c r="B56" s="20" t="s">
        <v>141</v>
      </c>
      <c r="C56" s="40">
        <v>60000</v>
      </c>
      <c r="D56" s="40"/>
      <c r="E56" s="32" t="s">
        <v>112</v>
      </c>
      <c r="F56" s="23">
        <f>SUM(C56:E56)</f>
        <v>60000</v>
      </c>
      <c r="G56" s="262"/>
      <c r="H56" s="24"/>
      <c r="I56" s="161">
        <f>H56</f>
        <v>0</v>
      </c>
      <c r="J56" s="160"/>
      <c r="K56" s="30">
        <v>1</v>
      </c>
      <c r="L56" s="356">
        <v>23000</v>
      </c>
      <c r="M56" s="356"/>
      <c r="N56" s="344">
        <v>0</v>
      </c>
      <c r="O56" s="344">
        <v>2030</v>
      </c>
      <c r="P56" s="22" t="s">
        <v>142</v>
      </c>
      <c r="Q56" s="31"/>
      <c r="R56" s="70"/>
    </row>
    <row r="57" spans="1:18" ht="65" x14ac:dyDescent="0.35">
      <c r="A57" s="19" t="s">
        <v>143</v>
      </c>
      <c r="B57" s="20" t="s">
        <v>144</v>
      </c>
      <c r="C57" s="40">
        <v>70000</v>
      </c>
      <c r="D57" s="40"/>
      <c r="E57" s="32" t="s">
        <v>112</v>
      </c>
      <c r="F57" s="23">
        <f>SUM(C57:E57)</f>
        <v>70000</v>
      </c>
      <c r="G57" s="262"/>
      <c r="H57" s="24"/>
      <c r="I57" s="161">
        <f>H57</f>
        <v>0</v>
      </c>
      <c r="J57" s="160"/>
      <c r="K57" s="30">
        <v>1</v>
      </c>
      <c r="L57" s="356">
        <v>20175</v>
      </c>
      <c r="M57" s="356"/>
      <c r="N57" s="344">
        <v>0</v>
      </c>
      <c r="O57" s="344">
        <v>0</v>
      </c>
      <c r="P57" s="22" t="s">
        <v>142</v>
      </c>
      <c r="Q57" s="31"/>
      <c r="R57" s="70"/>
    </row>
    <row r="58" spans="1:18" ht="65" x14ac:dyDescent="0.35">
      <c r="A58" s="19" t="s">
        <v>145</v>
      </c>
      <c r="B58" s="20" t="s">
        <v>146</v>
      </c>
      <c r="C58" s="40">
        <v>69495</v>
      </c>
      <c r="D58" s="40"/>
      <c r="E58" s="32" t="s">
        <v>112</v>
      </c>
      <c r="F58" s="23">
        <f>SUM(C58:E58)</f>
        <v>69495</v>
      </c>
      <c r="G58" s="262"/>
      <c r="H58" s="24"/>
      <c r="I58" s="161">
        <f>H58</f>
        <v>0</v>
      </c>
      <c r="J58" s="160"/>
      <c r="K58" s="30">
        <v>1</v>
      </c>
      <c r="L58" s="356">
        <v>4950</v>
      </c>
      <c r="M58" s="356"/>
      <c r="N58" s="344">
        <v>0</v>
      </c>
      <c r="O58" s="344">
        <v>0</v>
      </c>
      <c r="P58" s="22" t="s">
        <v>142</v>
      </c>
      <c r="Q58" s="31"/>
      <c r="R58" s="70"/>
    </row>
    <row r="59" spans="1:18" ht="65" x14ac:dyDescent="0.35">
      <c r="A59" s="19" t="s">
        <v>147</v>
      </c>
      <c r="B59" s="20" t="s">
        <v>148</v>
      </c>
      <c r="C59" s="40">
        <v>89192</v>
      </c>
      <c r="D59" s="40"/>
      <c r="E59" s="32" t="s">
        <v>112</v>
      </c>
      <c r="F59" s="23">
        <f>SUM(C59:E59)</f>
        <v>89192</v>
      </c>
      <c r="G59" s="262"/>
      <c r="H59" s="24"/>
      <c r="I59" s="161">
        <f>H59</f>
        <v>0</v>
      </c>
      <c r="J59" s="160"/>
      <c r="K59" s="30">
        <v>1</v>
      </c>
      <c r="L59" s="356">
        <v>12500</v>
      </c>
      <c r="M59" s="356"/>
      <c r="N59" s="344">
        <v>0</v>
      </c>
      <c r="O59" s="344">
        <v>0</v>
      </c>
      <c r="P59" s="22" t="s">
        <v>142</v>
      </c>
      <c r="Q59" s="31"/>
      <c r="R59" s="70"/>
    </row>
    <row r="60" spans="1:18" ht="65" x14ac:dyDescent="0.35">
      <c r="A60" s="19" t="s">
        <v>149</v>
      </c>
      <c r="B60" s="43" t="s">
        <v>150</v>
      </c>
      <c r="C60" s="75">
        <v>60000</v>
      </c>
      <c r="D60" s="40"/>
      <c r="E60" s="32" t="s">
        <v>112</v>
      </c>
      <c r="F60" s="23">
        <f>SUM(C60:E60)</f>
        <v>60000</v>
      </c>
      <c r="G60" s="262"/>
      <c r="H60" s="24"/>
      <c r="I60" s="161">
        <f>H60</f>
        <v>0</v>
      </c>
      <c r="J60" s="160"/>
      <c r="K60" s="30">
        <v>1</v>
      </c>
      <c r="L60" s="356">
        <v>29580</v>
      </c>
      <c r="M60" s="356"/>
      <c r="N60" s="344">
        <v>0</v>
      </c>
      <c r="O60" s="344">
        <v>0</v>
      </c>
      <c r="P60" s="22"/>
      <c r="Q60" s="31"/>
      <c r="R60" s="70"/>
    </row>
    <row r="61" spans="1:18" ht="15.5" x14ac:dyDescent="0.35">
      <c r="A61" s="35"/>
      <c r="B61" s="76" t="s">
        <v>151</v>
      </c>
      <c r="C61" s="41">
        <f>SUM(C56:C60)</f>
        <v>348687</v>
      </c>
      <c r="D61" s="41"/>
      <c r="E61" s="42">
        <f t="shared" ref="E61:J61" si="16">SUM(E56:E60)</f>
        <v>0</v>
      </c>
      <c r="F61" s="41">
        <f t="shared" si="16"/>
        <v>348687</v>
      </c>
      <c r="G61" s="267">
        <f t="shared" si="16"/>
        <v>0</v>
      </c>
      <c r="H61" s="268">
        <f t="shared" si="16"/>
        <v>0</v>
      </c>
      <c r="I61" s="167">
        <f t="shared" si="16"/>
        <v>0</v>
      </c>
      <c r="J61" s="166">
        <f t="shared" si="16"/>
        <v>0</v>
      </c>
      <c r="K61" s="42">
        <f>(K56*F56)+(K58*F58)+(K59*F59)+(K60*F60)+(K57*F57)</f>
        <v>348687</v>
      </c>
      <c r="L61" s="362">
        <f>SUM(L56:L60)</f>
        <v>90205</v>
      </c>
      <c r="M61" s="362"/>
      <c r="N61" s="345">
        <f>SUM(N56:N60)</f>
        <v>0</v>
      </c>
      <c r="O61" s="345">
        <f>SUM(O56:O60)</f>
        <v>2030</v>
      </c>
      <c r="P61" s="77"/>
      <c r="Q61" s="78"/>
      <c r="R61" s="71"/>
    </row>
    <row r="62" spans="1:18" s="61" customFormat="1" ht="19.5" customHeight="1" x14ac:dyDescent="0.35">
      <c r="A62" s="16" t="s">
        <v>152</v>
      </c>
      <c r="B62" s="425" t="s">
        <v>153</v>
      </c>
      <c r="C62" s="426"/>
      <c r="D62" s="426"/>
      <c r="E62" s="426"/>
      <c r="F62" s="426"/>
      <c r="G62" s="426"/>
      <c r="H62" s="426"/>
      <c r="I62" s="426"/>
      <c r="J62" s="426"/>
      <c r="K62" s="426"/>
      <c r="L62" s="426"/>
      <c r="M62" s="426"/>
      <c r="N62" s="426"/>
      <c r="O62" s="426"/>
      <c r="P62" s="426"/>
      <c r="Q62" s="427"/>
      <c r="R62" s="64"/>
    </row>
    <row r="63" spans="1:18" ht="65" x14ac:dyDescent="0.35">
      <c r="A63" s="19" t="s">
        <v>154</v>
      </c>
      <c r="B63" s="20" t="s">
        <v>155</v>
      </c>
      <c r="C63" s="40"/>
      <c r="D63" s="40">
        <v>70000</v>
      </c>
      <c r="E63" s="67" t="s">
        <v>112</v>
      </c>
      <c r="F63" s="23">
        <f>SUM(C63:E63)</f>
        <v>70000</v>
      </c>
      <c r="G63" s="262"/>
      <c r="H63" s="24"/>
      <c r="I63" s="161"/>
      <c r="J63" s="160">
        <f>H63</f>
        <v>0</v>
      </c>
      <c r="K63" s="30">
        <v>1</v>
      </c>
      <c r="L63" s="363"/>
      <c r="M63" s="363"/>
      <c r="N63" s="344">
        <v>0</v>
      </c>
      <c r="O63" s="344">
        <v>0</v>
      </c>
      <c r="P63" s="22" t="s">
        <v>156</v>
      </c>
      <c r="Q63" s="274"/>
      <c r="R63" s="70"/>
    </row>
    <row r="64" spans="1:18" ht="65" x14ac:dyDescent="0.35">
      <c r="A64" s="19" t="s">
        <v>157</v>
      </c>
      <c r="B64" s="20" t="s">
        <v>158</v>
      </c>
      <c r="C64" s="40"/>
      <c r="D64" s="40">
        <v>83394</v>
      </c>
      <c r="E64" s="67" t="s">
        <v>112</v>
      </c>
      <c r="F64" s="23">
        <f>SUM(C64:E64)</f>
        <v>83394</v>
      </c>
      <c r="G64" s="262"/>
      <c r="H64" s="24"/>
      <c r="I64" s="161"/>
      <c r="J64" s="160">
        <f>H64</f>
        <v>0</v>
      </c>
      <c r="K64" s="30">
        <v>1</v>
      </c>
      <c r="L64" s="363"/>
      <c r="M64" s="363"/>
      <c r="N64" s="344">
        <v>0</v>
      </c>
      <c r="O64" s="344">
        <v>0</v>
      </c>
      <c r="P64" s="22" t="s">
        <v>156</v>
      </c>
      <c r="Q64" s="274"/>
      <c r="R64" s="70"/>
    </row>
    <row r="65" spans="1:18" ht="65" x14ac:dyDescent="0.35">
      <c r="A65" s="19" t="s">
        <v>159</v>
      </c>
      <c r="B65" s="20" t="s">
        <v>160</v>
      </c>
      <c r="C65" s="40"/>
      <c r="D65" s="40">
        <v>125091</v>
      </c>
      <c r="E65" s="67" t="s">
        <v>112</v>
      </c>
      <c r="F65" s="23">
        <f>SUM(C65:E65)</f>
        <v>125091</v>
      </c>
      <c r="G65" s="262">
        <v>13899</v>
      </c>
      <c r="H65" s="252">
        <v>50000</v>
      </c>
      <c r="I65" s="161"/>
      <c r="J65" s="252">
        <v>50000</v>
      </c>
      <c r="K65" s="30">
        <v>1</v>
      </c>
      <c r="L65" s="363"/>
      <c r="M65" s="363"/>
      <c r="N65" s="344">
        <v>71847.3</v>
      </c>
      <c r="O65" s="344">
        <v>40000</v>
      </c>
      <c r="P65" s="22" t="s">
        <v>161</v>
      </c>
      <c r="Q65" s="274"/>
      <c r="R65" s="70"/>
    </row>
    <row r="66" spans="1:18" s="72" customFormat="1" ht="65" x14ac:dyDescent="0.35">
      <c r="A66" s="19" t="s">
        <v>162</v>
      </c>
      <c r="B66" s="20" t="s">
        <v>163</v>
      </c>
      <c r="C66" s="40"/>
      <c r="D66" s="40">
        <v>90343.5</v>
      </c>
      <c r="E66" s="67" t="s">
        <v>112</v>
      </c>
      <c r="F66" s="23">
        <f>SUM(C66:E66)</f>
        <v>90343.5</v>
      </c>
      <c r="G66" s="262"/>
      <c r="H66" s="252">
        <v>20000</v>
      </c>
      <c r="I66" s="161"/>
      <c r="J66" s="252">
        <v>20000</v>
      </c>
      <c r="K66" s="30">
        <v>1</v>
      </c>
      <c r="L66" s="363"/>
      <c r="M66" s="363"/>
      <c r="N66" s="344">
        <v>15012.970000000001</v>
      </c>
      <c r="O66" s="344">
        <v>9455.61</v>
      </c>
      <c r="P66" s="22" t="s">
        <v>161</v>
      </c>
      <c r="Q66" s="274"/>
      <c r="R66" s="70"/>
    </row>
    <row r="67" spans="1:18" ht="15.5" x14ac:dyDescent="0.35">
      <c r="A67" s="16"/>
      <c r="B67" s="16" t="s">
        <v>164</v>
      </c>
      <c r="C67" s="41">
        <f t="shared" ref="C67:J67" si="17">SUM(C63:C66)</f>
        <v>0</v>
      </c>
      <c r="D67" s="41">
        <f t="shared" si="17"/>
        <v>368828.5</v>
      </c>
      <c r="E67" s="42">
        <f t="shared" si="17"/>
        <v>0</v>
      </c>
      <c r="F67" s="41">
        <f t="shared" si="17"/>
        <v>368828.5</v>
      </c>
      <c r="G67" s="267">
        <f t="shared" si="17"/>
        <v>13899</v>
      </c>
      <c r="H67" s="268">
        <f t="shared" si="17"/>
        <v>70000</v>
      </c>
      <c r="I67" s="167">
        <f t="shared" si="17"/>
        <v>0</v>
      </c>
      <c r="J67" s="166">
        <f t="shared" si="17"/>
        <v>70000</v>
      </c>
      <c r="K67" s="37">
        <f>(K63*F63)+(K64*F64)+(K65*F65)+(K66*F66)</f>
        <v>368828.5</v>
      </c>
      <c r="L67" s="360"/>
      <c r="M67" s="360"/>
      <c r="N67" s="345">
        <f>SUM(N63:N66)</f>
        <v>86860.27</v>
      </c>
      <c r="O67" s="345">
        <f>SUM(O63:O66)</f>
        <v>49455.61</v>
      </c>
      <c r="P67" s="74"/>
      <c r="Q67" s="271"/>
      <c r="R67" s="71"/>
    </row>
    <row r="68" spans="1:18" s="15" customFormat="1" ht="15.5" x14ac:dyDescent="0.35">
      <c r="A68" s="47"/>
      <c r="B68" s="47" t="s">
        <v>165</v>
      </c>
      <c r="C68" s="48">
        <f>SUM(C48,C54,C61,C67)</f>
        <v>445980</v>
      </c>
      <c r="D68" s="48">
        <f>SUM(D48,D54,D61,D67)</f>
        <v>1375293.5</v>
      </c>
      <c r="E68" s="49"/>
      <c r="F68" s="48">
        <f t="shared" ref="F68:K68" si="18">SUM(F48,F54,F61,F67)</f>
        <v>1821273.5</v>
      </c>
      <c r="G68" s="48">
        <f t="shared" si="18"/>
        <v>229333.5</v>
      </c>
      <c r="H68" s="48">
        <f t="shared" si="18"/>
        <v>305434.5</v>
      </c>
      <c r="I68" s="48">
        <f t="shared" si="18"/>
        <v>0</v>
      </c>
      <c r="J68" s="48">
        <f t="shared" si="18"/>
        <v>305434.5</v>
      </c>
      <c r="K68" s="48">
        <f t="shared" si="18"/>
        <v>1821273.5</v>
      </c>
      <c r="L68" s="48">
        <f t="shared" ref="L68:O68" si="19">SUM(L48,L54,L61,L67)</f>
        <v>90205</v>
      </c>
      <c r="M68" s="48"/>
      <c r="N68" s="48">
        <f t="shared" si="19"/>
        <v>507437.74</v>
      </c>
      <c r="O68" s="48">
        <f t="shared" si="19"/>
        <v>234411.86</v>
      </c>
      <c r="P68" s="49"/>
      <c r="Q68" s="276"/>
      <c r="R68" s="18"/>
    </row>
    <row r="69" spans="1:18" ht="15.5" x14ac:dyDescent="0.35">
      <c r="A69" s="79" t="s">
        <v>166</v>
      </c>
      <c r="B69" s="80">
        <f>C68+D68</f>
        <v>1821273.5</v>
      </c>
      <c r="C69" s="52">
        <f>C68</f>
        <v>445980</v>
      </c>
      <c r="D69" s="52">
        <f>D68</f>
        <v>1375293.5</v>
      </c>
      <c r="E69" s="52"/>
      <c r="F69" s="52">
        <f t="shared" ref="F69:K69" si="20">F68</f>
        <v>1821273.5</v>
      </c>
      <c r="G69" s="52">
        <f t="shared" si="20"/>
        <v>229333.5</v>
      </c>
      <c r="H69" s="52">
        <f t="shared" si="20"/>
        <v>305434.5</v>
      </c>
      <c r="I69" s="52">
        <f t="shared" si="20"/>
        <v>0</v>
      </c>
      <c r="J69" s="52">
        <f t="shared" si="20"/>
        <v>305434.5</v>
      </c>
      <c r="K69" s="52">
        <f t="shared" si="20"/>
        <v>1821273.5</v>
      </c>
      <c r="L69" s="52">
        <f t="shared" ref="L69:O69" si="21">L68</f>
        <v>90205</v>
      </c>
      <c r="M69" s="52"/>
      <c r="N69" s="52">
        <f t="shared" si="21"/>
        <v>507437.74</v>
      </c>
      <c r="O69" s="52">
        <f t="shared" si="21"/>
        <v>234411.86</v>
      </c>
      <c r="P69" s="53"/>
      <c r="Q69" s="279">
        <f>Q16+Q21+Q54+Q67</f>
        <v>0</v>
      </c>
      <c r="R69" s="71"/>
    </row>
    <row r="70" spans="1:18" ht="21" customHeight="1" x14ac:dyDescent="0.35">
      <c r="A70" s="81"/>
      <c r="B70" s="82" t="s">
        <v>167</v>
      </c>
      <c r="C70" s="83">
        <f>C38+C69</f>
        <v>1792428</v>
      </c>
      <c r="D70" s="83">
        <f>D38+D69</f>
        <v>2128293.5</v>
      </c>
      <c r="E70" s="81"/>
      <c r="F70" s="83">
        <f t="shared" ref="F70:K70" si="22">F38+F69</f>
        <v>3920721.5</v>
      </c>
      <c r="G70" s="83">
        <f t="shared" si="22"/>
        <v>860333.5</v>
      </c>
      <c r="H70" s="83">
        <f t="shared" si="22"/>
        <v>1173197.42</v>
      </c>
      <c r="I70" s="83">
        <f t="shared" si="22"/>
        <v>647762.91999999993</v>
      </c>
      <c r="J70" s="83">
        <f t="shared" si="22"/>
        <v>525434.5</v>
      </c>
      <c r="K70" s="83">
        <f t="shared" si="22"/>
        <v>3920721.5</v>
      </c>
      <c r="L70" s="83">
        <f>L38+L69</f>
        <v>996768</v>
      </c>
      <c r="M70" s="83">
        <f>M38+M69</f>
        <v>0</v>
      </c>
      <c r="N70" s="83">
        <f t="shared" ref="N70:O70" si="23">N38+N69</f>
        <v>1005038.31</v>
      </c>
      <c r="O70" s="83">
        <f t="shared" si="23"/>
        <v>474145.94</v>
      </c>
      <c r="P70" s="81"/>
      <c r="Q70" s="278"/>
      <c r="R70" s="84"/>
    </row>
    <row r="71" spans="1:18" ht="15.5" x14ac:dyDescent="0.35">
      <c r="A71" s="85"/>
      <c r="B71" s="86"/>
      <c r="C71" s="87"/>
      <c r="D71" s="87"/>
      <c r="E71" s="87"/>
      <c r="F71" s="87"/>
      <c r="G71" s="87"/>
      <c r="H71" s="87">
        <f>H8+H9+H11+H12+H14+H18+H20+H23+H24+H25+H26+H27+H28+H29+H32+H33+H34+H45+H46+H47</f>
        <v>963197.41999999993</v>
      </c>
      <c r="I71" s="87"/>
      <c r="J71" s="87"/>
      <c r="K71" s="87"/>
      <c r="L71" s="87"/>
      <c r="M71" s="87"/>
      <c r="N71" s="87"/>
      <c r="O71" s="87"/>
      <c r="P71" s="88"/>
      <c r="Q71" s="86"/>
      <c r="R71" s="256">
        <f>H70-I70-J70</f>
        <v>0</v>
      </c>
    </row>
    <row r="72" spans="1:18" ht="15.65" customHeight="1" x14ac:dyDescent="0.35">
      <c r="A72" s="85"/>
      <c r="B72" s="86"/>
      <c r="C72" s="87"/>
      <c r="D72" s="87"/>
      <c r="E72" s="87"/>
      <c r="F72" s="87"/>
      <c r="G72" s="87"/>
      <c r="H72" s="87"/>
      <c r="I72" s="87"/>
      <c r="J72" s="87"/>
      <c r="K72" s="87"/>
      <c r="L72" s="87"/>
      <c r="M72" s="87"/>
      <c r="N72" s="87"/>
      <c r="O72" s="87"/>
      <c r="P72" s="88"/>
      <c r="Q72" s="86"/>
      <c r="R72" s="84"/>
    </row>
    <row r="73" spans="1:18" ht="63.75" customHeight="1" x14ac:dyDescent="0.35">
      <c r="A73" s="10" t="s">
        <v>168</v>
      </c>
      <c r="B73" s="89" t="s">
        <v>169</v>
      </c>
      <c r="C73" s="90">
        <v>130000</v>
      </c>
      <c r="D73" s="90">
        <v>212176</v>
      </c>
      <c r="E73" s="91"/>
      <c r="F73" s="92">
        <f>SUM(C73:E73)</f>
        <v>342176</v>
      </c>
      <c r="G73" s="264">
        <v>400000</v>
      </c>
      <c r="H73" s="92">
        <v>200000</v>
      </c>
      <c r="I73" s="254">
        <v>0</v>
      </c>
      <c r="J73" s="255">
        <v>140000</v>
      </c>
      <c r="K73" s="93"/>
      <c r="L73" s="364">
        <v>222656</v>
      </c>
      <c r="M73" s="364"/>
      <c r="N73" s="344">
        <v>629176.51</v>
      </c>
      <c r="O73" s="344">
        <v>175170.38999999998</v>
      </c>
      <c r="P73" s="94"/>
      <c r="Q73" s="95"/>
      <c r="R73" s="71"/>
    </row>
    <row r="74" spans="1:18" ht="69.75" customHeight="1" x14ac:dyDescent="0.35">
      <c r="A74" s="10" t="s">
        <v>170</v>
      </c>
      <c r="B74" s="8" t="s">
        <v>171</v>
      </c>
      <c r="C74" s="90">
        <v>20000</v>
      </c>
      <c r="D74" s="90">
        <v>20000</v>
      </c>
      <c r="E74" s="91"/>
      <c r="F74" s="92">
        <f>SUM(C74:E74)</f>
        <v>40000</v>
      </c>
      <c r="G74" s="264"/>
      <c r="H74" s="92"/>
      <c r="I74" s="254"/>
      <c r="J74" s="255">
        <v>20000</v>
      </c>
      <c r="K74" s="93"/>
      <c r="L74" s="365"/>
      <c r="M74" s="365"/>
      <c r="N74" s="344">
        <v>14341</v>
      </c>
      <c r="O74" s="344">
        <v>0</v>
      </c>
      <c r="P74" s="94"/>
      <c r="Q74" s="95"/>
      <c r="R74" s="71"/>
    </row>
    <row r="75" spans="1:18" ht="57" customHeight="1" x14ac:dyDescent="0.35">
      <c r="A75" s="10" t="s">
        <v>172</v>
      </c>
      <c r="B75" s="96"/>
      <c r="C75" s="90">
        <v>165000</v>
      </c>
      <c r="D75" s="90">
        <v>125000</v>
      </c>
      <c r="E75" s="91"/>
      <c r="F75" s="92">
        <f>SUM(C75:E75)</f>
        <v>290000</v>
      </c>
      <c r="G75" s="264"/>
      <c r="H75" s="92"/>
      <c r="I75" s="254"/>
      <c r="J75" s="255">
        <v>40000</v>
      </c>
      <c r="K75" s="93"/>
      <c r="L75" s="364">
        <v>65912</v>
      </c>
      <c r="M75" s="364"/>
      <c r="N75" s="344">
        <v>204118.68999999997</v>
      </c>
      <c r="O75" s="344">
        <v>77594.649999999994</v>
      </c>
      <c r="P75" s="94"/>
      <c r="Q75" s="95"/>
      <c r="R75" s="71"/>
    </row>
    <row r="76" spans="1:18" ht="65.25" customHeight="1" x14ac:dyDescent="0.35">
      <c r="A76" s="97" t="s">
        <v>173</v>
      </c>
      <c r="B76" s="98"/>
      <c r="C76" s="90"/>
      <c r="D76" s="90">
        <v>80000</v>
      </c>
      <c r="E76" s="91"/>
      <c r="F76" s="92">
        <f>SUM(C76:E76)</f>
        <v>80000</v>
      </c>
      <c r="G76" s="264"/>
      <c r="H76" s="92"/>
      <c r="I76" s="254"/>
      <c r="J76" s="255"/>
      <c r="K76" s="93"/>
      <c r="L76" s="365"/>
      <c r="M76" s="365"/>
      <c r="N76" s="344">
        <v>4176.72</v>
      </c>
      <c r="O76" s="344">
        <v>0</v>
      </c>
      <c r="P76" s="94"/>
      <c r="Q76" s="95"/>
      <c r="R76" s="71"/>
    </row>
    <row r="77" spans="1:18" ht="21.75" customHeight="1" x14ac:dyDescent="0.35">
      <c r="A77" s="85"/>
      <c r="B77" s="99" t="s">
        <v>174</v>
      </c>
      <c r="C77" s="100">
        <f t="shared" ref="C77:J77" si="24">SUM(C73:C76)</f>
        <v>315000</v>
      </c>
      <c r="D77" s="100">
        <f t="shared" si="24"/>
        <v>437176</v>
      </c>
      <c r="E77" s="101">
        <f t="shared" si="24"/>
        <v>0</v>
      </c>
      <c r="F77" s="102">
        <f t="shared" si="24"/>
        <v>752176</v>
      </c>
      <c r="G77" s="102">
        <f t="shared" si="24"/>
        <v>400000</v>
      </c>
      <c r="H77" s="265">
        <f t="shared" si="24"/>
        <v>200000</v>
      </c>
      <c r="I77" s="101">
        <f t="shared" si="24"/>
        <v>0</v>
      </c>
      <c r="J77" s="101">
        <f t="shared" si="24"/>
        <v>200000</v>
      </c>
      <c r="K77" s="103"/>
      <c r="L77" s="102">
        <f>SUM(L73:L76)</f>
        <v>288568</v>
      </c>
      <c r="M77" s="102">
        <f>SUM(M73:M76)</f>
        <v>0</v>
      </c>
      <c r="N77" s="102">
        <f t="shared" ref="N77:O77" si="25">SUM(N73:N76)</f>
        <v>851812.91999999993</v>
      </c>
      <c r="O77" s="102">
        <f t="shared" si="25"/>
        <v>252765.03999999998</v>
      </c>
      <c r="P77" s="104"/>
      <c r="Q77" s="98"/>
      <c r="R77" s="105"/>
    </row>
    <row r="78" spans="1:18" ht="15.75" customHeight="1" x14ac:dyDescent="0.35">
      <c r="A78" s="85"/>
      <c r="B78" s="86"/>
      <c r="C78" s="87"/>
      <c r="D78" s="87"/>
      <c r="E78" s="87"/>
      <c r="F78" s="87"/>
      <c r="G78" s="87"/>
      <c r="H78" s="87"/>
      <c r="I78" s="87"/>
      <c r="J78" s="87"/>
      <c r="K78" s="87"/>
      <c r="L78" s="102">
        <f t="shared" ref="L78:M78" si="26">L70</f>
        <v>996768</v>
      </c>
      <c r="M78" s="102">
        <f t="shared" si="26"/>
        <v>0</v>
      </c>
      <c r="N78" s="102">
        <f>N70</f>
        <v>1005038.31</v>
      </c>
      <c r="O78" s="102">
        <f>O70</f>
        <v>474145.94</v>
      </c>
      <c r="P78" s="88"/>
      <c r="Q78" s="86"/>
      <c r="R78" s="105"/>
    </row>
    <row r="79" spans="1:18" ht="15.75" customHeight="1" x14ac:dyDescent="0.35">
      <c r="A79" s="85"/>
      <c r="B79" s="86"/>
      <c r="C79" s="87"/>
      <c r="D79" s="87">
        <f>D75-40000</f>
        <v>85000</v>
      </c>
      <c r="E79" s="87"/>
      <c r="F79" s="87"/>
      <c r="G79" s="87"/>
      <c r="H79" s="87"/>
      <c r="I79" s="87"/>
      <c r="J79" s="87"/>
      <c r="K79" s="87"/>
      <c r="L79" s="102">
        <f t="shared" ref="L79:M79" si="27">L77+L78</f>
        <v>1285336</v>
      </c>
      <c r="M79" s="102">
        <f t="shared" si="27"/>
        <v>0</v>
      </c>
      <c r="N79" s="102">
        <f>N77+N78</f>
        <v>1856851.23</v>
      </c>
      <c r="O79" s="102">
        <f>O77+O78</f>
        <v>726910.98</v>
      </c>
      <c r="P79" s="88"/>
      <c r="Q79" s="86"/>
      <c r="R79" s="105"/>
    </row>
    <row r="80" spans="1:18" ht="15.75" customHeight="1" x14ac:dyDescent="0.35">
      <c r="A80" s="85"/>
      <c r="B80" s="86"/>
      <c r="C80" s="87"/>
      <c r="D80" s="87"/>
      <c r="E80" s="87"/>
      <c r="F80" s="87"/>
      <c r="G80" s="87"/>
      <c r="H80" s="87"/>
      <c r="I80" s="87"/>
      <c r="J80" s="87"/>
      <c r="K80" s="87"/>
      <c r="L80" s="87"/>
      <c r="M80" s="87"/>
      <c r="N80" s="87"/>
      <c r="O80" s="87"/>
      <c r="P80" s="88"/>
      <c r="Q80" s="86"/>
      <c r="R80" s="105"/>
    </row>
    <row r="81" spans="1:18" ht="15.75" customHeight="1" x14ac:dyDescent="0.35">
      <c r="A81" s="85"/>
      <c r="B81" s="86"/>
      <c r="C81" s="87"/>
      <c r="D81" s="87"/>
      <c r="E81" s="87"/>
      <c r="F81" s="87"/>
      <c r="G81" s="87"/>
      <c r="H81" s="87"/>
      <c r="I81" s="87"/>
      <c r="J81" s="87"/>
      <c r="K81" s="87"/>
      <c r="L81" s="87"/>
      <c r="M81" s="87"/>
      <c r="N81" s="87"/>
      <c r="O81" s="87"/>
      <c r="P81" s="88"/>
      <c r="Q81" s="86"/>
      <c r="R81" s="105"/>
    </row>
    <row r="82" spans="1:18" ht="15.75" customHeight="1" x14ac:dyDescent="0.35">
      <c r="A82" s="85"/>
      <c r="B82" s="86"/>
      <c r="C82" s="87"/>
      <c r="D82" s="87"/>
      <c r="E82" s="87"/>
      <c r="F82" s="87"/>
      <c r="G82" s="87"/>
      <c r="H82" s="87"/>
      <c r="I82" s="87"/>
      <c r="J82" s="87"/>
      <c r="K82" s="87"/>
      <c r="L82" s="87"/>
      <c r="M82" s="87"/>
      <c r="N82" s="87"/>
      <c r="O82" s="87"/>
      <c r="P82" s="88"/>
      <c r="Q82" s="86"/>
      <c r="R82" s="105"/>
    </row>
    <row r="83" spans="1:18" ht="15.75" customHeight="1" x14ac:dyDescent="0.35">
      <c r="A83" s="85"/>
      <c r="B83" s="86"/>
      <c r="C83" s="87"/>
      <c r="D83" s="87"/>
      <c r="E83" s="87"/>
      <c r="F83" s="87"/>
      <c r="G83" s="87"/>
      <c r="H83" s="87"/>
      <c r="I83" s="87"/>
      <c r="J83" s="87"/>
      <c r="K83" s="87"/>
      <c r="L83" s="87"/>
      <c r="M83" s="87"/>
      <c r="N83" s="87"/>
      <c r="O83" s="87"/>
      <c r="P83" s="88"/>
      <c r="Q83" s="86"/>
      <c r="R83" s="105"/>
    </row>
    <row r="84" spans="1:18" ht="15.75" customHeight="1" thickBot="1" x14ac:dyDescent="0.4">
      <c r="A84" s="85"/>
      <c r="B84" s="86"/>
      <c r="C84" s="87"/>
      <c r="D84" s="87"/>
      <c r="E84" s="87"/>
      <c r="F84" s="87"/>
      <c r="G84" s="87"/>
      <c r="H84" s="87"/>
      <c r="I84" s="87"/>
      <c r="J84" s="87"/>
      <c r="K84" s="87"/>
      <c r="L84" s="87"/>
      <c r="M84" s="87"/>
      <c r="N84" s="87"/>
      <c r="O84" s="87"/>
      <c r="P84" s="88"/>
      <c r="Q84" s="86"/>
      <c r="R84" s="105"/>
    </row>
    <row r="85" spans="1:18" ht="26" x14ac:dyDescent="0.35">
      <c r="A85" s="85"/>
      <c r="B85" s="418" t="s">
        <v>175</v>
      </c>
      <c r="C85" s="419"/>
      <c r="D85" s="419"/>
      <c r="E85" s="419"/>
      <c r="F85" s="420"/>
      <c r="G85" s="258"/>
      <c r="H85" s="11" t="s">
        <v>176</v>
      </c>
      <c r="I85" s="168" t="s">
        <v>10</v>
      </c>
      <c r="J85" s="168" t="s">
        <v>11</v>
      </c>
      <c r="K85" s="168" t="s">
        <v>177</v>
      </c>
      <c r="L85" s="168"/>
      <c r="M85" s="168"/>
      <c r="N85" s="168"/>
      <c r="O85" s="393"/>
      <c r="P85" s="88"/>
      <c r="Q85" s="86"/>
    </row>
    <row r="86" spans="1:18" ht="40.5" customHeight="1" x14ac:dyDescent="0.35">
      <c r="A86" s="85"/>
      <c r="B86" s="421"/>
      <c r="C86" s="423" t="str">
        <f>C4</f>
        <v>Recipient Organization  1   
UN Women</v>
      </c>
      <c r="D86" s="423" t="str">
        <f>D4</f>
        <v>Recipient Organization 2
UNDP</v>
      </c>
      <c r="E86" s="445" t="str">
        <f>E4</f>
        <v>Budget description</v>
      </c>
      <c r="F86" s="447" t="s">
        <v>179</v>
      </c>
      <c r="G86" s="120"/>
      <c r="H86" s="107"/>
      <c r="I86" s="107"/>
      <c r="J86" s="107"/>
      <c r="K86" s="86"/>
      <c r="L86" s="86"/>
      <c r="M86" s="86"/>
      <c r="N86" s="86"/>
      <c r="O86" s="86"/>
      <c r="P86" s="88"/>
      <c r="Q86" s="86"/>
    </row>
    <row r="87" spans="1:18" ht="24.75" customHeight="1" x14ac:dyDescent="0.35">
      <c r="A87" s="85"/>
      <c r="B87" s="422"/>
      <c r="C87" s="424"/>
      <c r="D87" s="424"/>
      <c r="E87" s="446"/>
      <c r="F87" s="448"/>
      <c r="G87" s="120"/>
      <c r="H87" s="107"/>
      <c r="I87" s="107"/>
      <c r="J87" s="107"/>
      <c r="K87" s="98" t="s">
        <v>180</v>
      </c>
      <c r="L87" s="98"/>
      <c r="M87" s="98"/>
      <c r="N87" s="98"/>
      <c r="O87" s="98"/>
      <c r="P87" s="94" t="s">
        <v>319</v>
      </c>
      <c r="Q87" s="193"/>
    </row>
    <row r="88" spans="1:18" ht="41.25" customHeight="1" x14ac:dyDescent="0.35">
      <c r="A88" s="465"/>
      <c r="B88" s="109" t="s">
        <v>181</v>
      </c>
      <c r="C88" s="110">
        <f>C70+C77</f>
        <v>2107428</v>
      </c>
      <c r="D88" s="110">
        <f>D70+D77</f>
        <v>2565469.5</v>
      </c>
      <c r="E88" s="110"/>
      <c r="F88" s="111">
        <f>SUM(C88:D88)</f>
        <v>4672897.5</v>
      </c>
      <c r="G88" s="111"/>
      <c r="H88" s="269">
        <f>H77+H70</f>
        <v>1373197.42</v>
      </c>
      <c r="I88" s="210">
        <f>I77+I70</f>
        <v>647762.91999999993</v>
      </c>
      <c r="J88" s="210">
        <f>J77+J70</f>
        <v>725434.5</v>
      </c>
      <c r="K88" s="194"/>
      <c r="L88" s="346">
        <f>L77+L69+L38</f>
        <v>1285336</v>
      </c>
      <c r="M88" s="346">
        <f>M77+M69+M38</f>
        <v>0</v>
      </c>
      <c r="N88" s="346">
        <f>N77+N69+N38</f>
        <v>1856851.23</v>
      </c>
      <c r="O88" s="346">
        <f>O77+O69+O38</f>
        <v>726910.98</v>
      </c>
      <c r="P88" s="195"/>
      <c r="Q88" s="193"/>
    </row>
    <row r="89" spans="1:18" ht="31.5" customHeight="1" x14ac:dyDescent="0.35">
      <c r="A89" s="465"/>
      <c r="B89" s="109" t="s">
        <v>182</v>
      </c>
      <c r="C89" s="110">
        <f>C88*0.07</f>
        <v>147519.96000000002</v>
      </c>
      <c r="D89" s="110">
        <f>D88*0.07</f>
        <v>179582.86500000002</v>
      </c>
      <c r="E89" s="110"/>
      <c r="F89" s="169">
        <f>SUM(C89:D89)</f>
        <v>327102.82500000007</v>
      </c>
      <c r="G89" s="169"/>
      <c r="H89" s="170">
        <f>'DPC MPTF total'!C6</f>
        <v>108619.91592200001</v>
      </c>
      <c r="I89" s="210">
        <f>'DPC MPTF UNWomen'!C6</f>
        <v>51238.046971999996</v>
      </c>
      <c r="J89" s="210">
        <f>'DPC MPTF UNDP'!C6</f>
        <v>57381.868950000004</v>
      </c>
      <c r="K89" s="171"/>
      <c r="L89" s="364">
        <v>92074</v>
      </c>
      <c r="M89" s="364"/>
      <c r="N89" s="344">
        <v>151146.91000000003</v>
      </c>
      <c r="O89" s="344">
        <v>56137.560000000005</v>
      </c>
      <c r="P89" s="94"/>
      <c r="Q89" s="86"/>
    </row>
    <row r="90" spans="1:18" ht="31.5" customHeight="1" x14ac:dyDescent="0.35">
      <c r="A90" s="465"/>
      <c r="B90" s="119" t="s">
        <v>183</v>
      </c>
      <c r="C90" s="169"/>
      <c r="D90" s="169"/>
      <c r="E90" s="117"/>
      <c r="F90" s="169"/>
      <c r="G90" s="169"/>
      <c r="H90" s="170">
        <f>'DPC MPTF total'!C18</f>
        <v>178515.66460000002</v>
      </c>
      <c r="I90" s="210">
        <f>'DPC MPTF UNWomen'!C18</f>
        <v>84209.179600000003</v>
      </c>
      <c r="J90" s="210">
        <f>'DPC MPTF UNDP'!C18</f>
        <v>94306.485000000001</v>
      </c>
      <c r="K90" s="171"/>
      <c r="L90" s="366"/>
      <c r="M90" s="366"/>
      <c r="N90" s="344">
        <v>295142.51</v>
      </c>
      <c r="O90" s="344">
        <v>94306.48000000001</v>
      </c>
      <c r="P90" s="94"/>
      <c r="Q90" s="86"/>
    </row>
    <row r="91" spans="1:18" ht="28.5" customHeight="1" x14ac:dyDescent="0.35">
      <c r="A91" s="465"/>
      <c r="B91" s="403" t="s">
        <v>184</v>
      </c>
      <c r="C91" s="116">
        <f>SUM(C88:C89)</f>
        <v>2254947.96</v>
      </c>
      <c r="D91" s="116">
        <f>SUM(D88:D89)</f>
        <v>2745052.3650000002</v>
      </c>
      <c r="E91" s="117"/>
      <c r="F91" s="116">
        <f>SUM(C91:D91)</f>
        <v>5000000.3250000002</v>
      </c>
      <c r="G91" s="259"/>
      <c r="H91" s="113"/>
      <c r="I91" s="113"/>
      <c r="J91" s="113"/>
      <c r="K91" s="118"/>
      <c r="L91" s="116">
        <f>SUM(L88:L90)</f>
        <v>1377410</v>
      </c>
      <c r="M91" s="116">
        <f>SUM(M88:M90)</f>
        <v>0</v>
      </c>
      <c r="N91" s="116">
        <f>SUM(N88:N90)</f>
        <v>2303140.6500000004</v>
      </c>
      <c r="O91" s="116">
        <f>SUM(O88:O90)</f>
        <v>877355.02</v>
      </c>
      <c r="P91" s="415">
        <f>L91+N91</f>
        <v>3680550.6500000004</v>
      </c>
      <c r="Q91" s="378"/>
    </row>
    <row r="92" spans="1:18" ht="28" customHeight="1" x14ac:dyDescent="0.35">
      <c r="A92" s="465"/>
      <c r="B92" s="172" t="s">
        <v>185</v>
      </c>
      <c r="C92" s="173">
        <v>783210.146572</v>
      </c>
      <c r="D92" s="173">
        <v>877122.85395000002</v>
      </c>
      <c r="E92" s="117"/>
      <c r="F92" s="169">
        <f>SUM(C92:D92)</f>
        <v>1660333.000522</v>
      </c>
      <c r="G92" s="170">
        <f>G77+G70</f>
        <v>1260333.5</v>
      </c>
      <c r="H92" s="173">
        <f>H88+H89+H90</f>
        <v>1660333.000522</v>
      </c>
      <c r="I92" s="173">
        <f t="shared" ref="I92:J92" si="28">I88+I89+I90</f>
        <v>783210.146572</v>
      </c>
      <c r="J92" s="173">
        <f t="shared" si="28"/>
        <v>877122.85395000002</v>
      </c>
      <c r="K92" s="94">
        <v>1660333</v>
      </c>
      <c r="L92" s="355"/>
      <c r="M92" s="355"/>
      <c r="N92" s="169"/>
      <c r="O92" s="169"/>
      <c r="P92" s="94">
        <v>287135.58</v>
      </c>
      <c r="Q92" s="114"/>
    </row>
    <row r="93" spans="1:18" ht="41.15" customHeight="1" thickBot="1" x14ac:dyDescent="0.4">
      <c r="A93" s="465"/>
      <c r="B93" s="121" t="s">
        <v>179</v>
      </c>
      <c r="C93" s="122">
        <f>C92+C91</f>
        <v>3038158.1065719998</v>
      </c>
      <c r="D93" s="122">
        <f>D92+D91</f>
        <v>3622175.2189500001</v>
      </c>
      <c r="E93" s="122"/>
      <c r="F93" s="122">
        <f>F92+F91</f>
        <v>6660333.325522</v>
      </c>
      <c r="G93" s="120"/>
      <c r="H93" s="120"/>
      <c r="I93" s="120"/>
      <c r="J93" s="120"/>
      <c r="K93" s="120"/>
      <c r="L93" s="120"/>
      <c r="M93" s="120"/>
      <c r="N93" s="120"/>
      <c r="O93" s="120"/>
      <c r="P93" s="120"/>
      <c r="Q93" s="114"/>
    </row>
    <row r="94" spans="1:18" ht="42" customHeight="1" x14ac:dyDescent="0.35">
      <c r="A94" s="112"/>
      <c r="B94" s="124"/>
      <c r="C94" s="124"/>
      <c r="D94" s="124"/>
      <c r="E94" s="124"/>
      <c r="F94" s="124"/>
      <c r="G94" s="124"/>
      <c r="H94" s="342"/>
      <c r="I94" s="124"/>
      <c r="J94" s="257"/>
      <c r="K94" s="124"/>
      <c r="L94" s="124"/>
      <c r="M94" s="124"/>
      <c r="N94" s="124"/>
      <c r="O94" s="124"/>
      <c r="P94" s="125"/>
      <c r="Q94" s="126"/>
      <c r="R94" s="127"/>
    </row>
    <row r="95" spans="1:18" s="72" customFormat="1" ht="29.25" customHeight="1" thickBot="1" x14ac:dyDescent="0.4">
      <c r="A95" s="86"/>
      <c r="B95" s="85"/>
      <c r="C95" s="128"/>
      <c r="D95" s="128"/>
      <c r="E95" s="128"/>
      <c r="F95" s="128"/>
      <c r="G95" s="128"/>
      <c r="H95" s="128"/>
      <c r="I95" s="128"/>
      <c r="J95" s="128"/>
      <c r="K95" s="128"/>
      <c r="L95" s="128"/>
      <c r="M95" s="128"/>
      <c r="N95" s="128"/>
      <c r="O95" s="128"/>
      <c r="P95" s="129"/>
      <c r="Q95" s="106"/>
      <c r="R95" s="130"/>
    </row>
    <row r="96" spans="1:18" ht="23.25" customHeight="1" x14ac:dyDescent="0.35">
      <c r="A96" s="114"/>
      <c r="B96" s="454" t="s">
        <v>186</v>
      </c>
      <c r="C96" s="455"/>
      <c r="D96" s="455"/>
      <c r="E96" s="455"/>
      <c r="F96" s="455"/>
      <c r="G96" s="455"/>
      <c r="H96" s="455"/>
      <c r="I96" s="455"/>
      <c r="J96" s="455"/>
      <c r="K96" s="456"/>
      <c r="L96" s="348"/>
      <c r="M96" s="348"/>
      <c r="N96" s="348"/>
      <c r="O96" s="348"/>
      <c r="P96" s="129"/>
      <c r="Q96" s="114"/>
    </row>
    <row r="97" spans="1:18" ht="41.25" customHeight="1" x14ac:dyDescent="0.35">
      <c r="A97" s="114"/>
      <c r="B97" s="131"/>
      <c r="C97" s="457" t="str">
        <f>C4</f>
        <v>Recipient Organization  1   
UN Women</v>
      </c>
      <c r="D97" s="457" t="str">
        <f>D4</f>
        <v>Recipient Organization 2
UNDP</v>
      </c>
      <c r="E97" s="459" t="str">
        <f>E4</f>
        <v>Budget description</v>
      </c>
      <c r="F97" s="461" t="s">
        <v>179</v>
      </c>
      <c r="G97" s="260"/>
      <c r="H97" s="132"/>
      <c r="I97" s="132"/>
      <c r="J97" s="132"/>
      <c r="K97" s="463" t="s">
        <v>187</v>
      </c>
      <c r="L97" s="348"/>
      <c r="M97" s="348"/>
      <c r="N97" s="348"/>
      <c r="O97" s="348"/>
      <c r="P97" s="129"/>
      <c r="Q97" s="114"/>
    </row>
    <row r="98" spans="1:18" ht="27.75" customHeight="1" x14ac:dyDescent="0.35">
      <c r="A98" s="114"/>
      <c r="B98" s="131"/>
      <c r="C98" s="458"/>
      <c r="D98" s="458"/>
      <c r="E98" s="460"/>
      <c r="F98" s="462"/>
      <c r="G98" s="261"/>
      <c r="H98" s="133"/>
      <c r="I98" s="133"/>
      <c r="J98" s="133"/>
      <c r="K98" s="464"/>
      <c r="L98" s="348"/>
      <c r="M98" s="348"/>
      <c r="N98" s="348"/>
      <c r="O98" s="348"/>
      <c r="P98" s="134"/>
      <c r="Q98" s="114"/>
    </row>
    <row r="99" spans="1:18" ht="33.75" customHeight="1" x14ac:dyDescent="0.35">
      <c r="A99" s="114"/>
      <c r="B99" s="135" t="s">
        <v>188</v>
      </c>
      <c r="C99" s="136">
        <f>SUM(C91)*0.3</f>
        <v>676484.38799999992</v>
      </c>
      <c r="D99" s="137">
        <f>D91*0.3</f>
        <v>823515.7095</v>
      </c>
      <c r="E99" s="137">
        <f>$E$93*K99</f>
        <v>0</v>
      </c>
      <c r="F99" s="137">
        <f>SUM(C99:D99)</f>
        <v>1500000.0974999999</v>
      </c>
      <c r="G99" s="137"/>
      <c r="H99" s="137"/>
      <c r="I99" s="137"/>
      <c r="J99" s="137"/>
      <c r="K99" s="138">
        <v>0.3</v>
      </c>
      <c r="L99" s="349"/>
      <c r="M99" s="349"/>
      <c r="N99" s="349"/>
      <c r="O99" s="349"/>
      <c r="P99" s="134"/>
      <c r="Q99" s="114"/>
    </row>
    <row r="100" spans="1:18" ht="32.25" customHeight="1" x14ac:dyDescent="0.35">
      <c r="A100" s="449"/>
      <c r="B100" s="115" t="s">
        <v>189</v>
      </c>
      <c r="C100" s="136">
        <f>C91*0.4</f>
        <v>901979.18400000001</v>
      </c>
      <c r="D100" s="137">
        <f>D91*0.4</f>
        <v>1098020.9460000002</v>
      </c>
      <c r="E100" s="137">
        <f>$E$93*K100</f>
        <v>0</v>
      </c>
      <c r="F100" s="139">
        <f>SUM(C100:D100)</f>
        <v>2000000.1300000004</v>
      </c>
      <c r="G100" s="139"/>
      <c r="H100" s="139"/>
      <c r="I100" s="139"/>
      <c r="J100" s="139"/>
      <c r="K100" s="140">
        <v>0.4</v>
      </c>
      <c r="L100" s="349"/>
      <c r="M100" s="349"/>
      <c r="N100" s="349"/>
      <c r="O100" s="349"/>
      <c r="P100" s="134"/>
      <c r="Q100" s="124"/>
    </row>
    <row r="101" spans="1:18" ht="23.25" customHeight="1" x14ac:dyDescent="0.35">
      <c r="A101" s="449"/>
      <c r="B101" s="115" t="s">
        <v>190</v>
      </c>
      <c r="C101" s="136">
        <f>C91*0.3</f>
        <v>676484.38799999992</v>
      </c>
      <c r="D101" s="137">
        <f>D91*0.3</f>
        <v>823515.7095</v>
      </c>
      <c r="E101" s="137">
        <f>$E$93*K101</f>
        <v>0</v>
      </c>
      <c r="F101" s="139">
        <f>SUM(C101:E101)</f>
        <v>1500000.0974999999</v>
      </c>
      <c r="G101" s="139"/>
      <c r="H101" s="139"/>
      <c r="I101" s="139"/>
      <c r="J101" s="139"/>
      <c r="K101" s="141">
        <v>0.3</v>
      </c>
      <c r="L101" s="350"/>
      <c r="M101" s="350"/>
      <c r="N101" s="350"/>
      <c r="O101" s="350"/>
      <c r="P101" s="129"/>
      <c r="Q101" s="124"/>
    </row>
    <row r="102" spans="1:18" ht="38.25" customHeight="1" thickBot="1" x14ac:dyDescent="0.4">
      <c r="A102" s="449"/>
      <c r="B102" s="121" t="s">
        <v>191</v>
      </c>
      <c r="C102" s="122">
        <f>SUM(C99:C101)</f>
        <v>2254947.96</v>
      </c>
      <c r="D102" s="122">
        <f>SUM(D99:D101)</f>
        <v>2745052.3650000002</v>
      </c>
      <c r="E102" s="122">
        <f>SUM(E99:E101)</f>
        <v>0</v>
      </c>
      <c r="F102" s="122">
        <f>SUM(F99:F101)</f>
        <v>5000000.3250000002</v>
      </c>
      <c r="G102" s="142"/>
      <c r="H102" s="142"/>
      <c r="I102" s="142"/>
      <c r="J102" s="142"/>
      <c r="K102" s="143">
        <f>SUM(K99:K101)</f>
        <v>1</v>
      </c>
      <c r="L102" s="351"/>
      <c r="M102" s="351"/>
      <c r="N102" s="351"/>
      <c r="O102" s="351"/>
      <c r="P102" s="125"/>
      <c r="Q102" s="124"/>
    </row>
    <row r="103" spans="1:18" ht="21.75" customHeight="1" thickBot="1" x14ac:dyDescent="0.4">
      <c r="A103" s="449"/>
      <c r="B103" s="144"/>
      <c r="C103" s="145"/>
      <c r="D103" s="145"/>
      <c r="E103" s="145"/>
      <c r="F103" s="145"/>
      <c r="G103" s="145"/>
      <c r="H103" s="145"/>
      <c r="I103" s="145"/>
      <c r="J103" s="145"/>
      <c r="K103" s="145"/>
      <c r="L103" s="145"/>
      <c r="M103" s="145"/>
      <c r="N103" s="145"/>
      <c r="O103" s="145"/>
      <c r="P103" s="125"/>
      <c r="Q103" s="124"/>
    </row>
    <row r="104" spans="1:18" ht="49.5" customHeight="1" x14ac:dyDescent="0.35">
      <c r="A104" s="449"/>
      <c r="B104" s="146" t="s">
        <v>192</v>
      </c>
      <c r="C104" s="147">
        <f>K70+F89</f>
        <v>4247824.3250000002</v>
      </c>
      <c r="D104" s="128">
        <v>4247824.3250000002</v>
      </c>
      <c r="E104" s="128"/>
      <c r="F104" s="128"/>
      <c r="G104" s="128"/>
      <c r="H104" s="128"/>
      <c r="I104" s="128"/>
      <c r="J104" s="128"/>
      <c r="K104" s="148" t="s">
        <v>193</v>
      </c>
      <c r="L104" s="352"/>
      <c r="M104" s="352"/>
      <c r="N104" s="352"/>
      <c r="O104" s="394"/>
      <c r="P104" s="149"/>
      <c r="Q104" s="124"/>
    </row>
    <row r="105" spans="1:18" ht="28.5" customHeight="1" thickBot="1" x14ac:dyDescent="0.4">
      <c r="A105" s="449"/>
      <c r="B105" s="150" t="s">
        <v>194</v>
      </c>
      <c r="C105" s="151">
        <f>C104/(C88+D88)</f>
        <v>0.90903434646276748</v>
      </c>
      <c r="D105" s="152"/>
      <c r="E105" s="152"/>
      <c r="F105" s="152"/>
      <c r="G105" s="152"/>
      <c r="H105" s="152"/>
      <c r="I105" s="152"/>
      <c r="J105" s="152"/>
      <c r="K105" s="153" t="s">
        <v>195</v>
      </c>
      <c r="L105" s="353"/>
      <c r="M105" s="353"/>
      <c r="N105" s="353"/>
      <c r="O105" s="395"/>
      <c r="P105" s="154"/>
      <c r="Q105" s="124"/>
    </row>
    <row r="106" spans="1:18" ht="28.5" customHeight="1" x14ac:dyDescent="0.35">
      <c r="A106" s="449"/>
      <c r="B106" s="450"/>
      <c r="C106" s="451"/>
      <c r="D106" s="85"/>
      <c r="E106" s="155"/>
      <c r="F106" s="85"/>
      <c r="G106" s="85"/>
      <c r="H106" s="155"/>
      <c r="I106" s="155"/>
      <c r="J106" s="155"/>
      <c r="K106" s="124"/>
      <c r="L106" s="124"/>
      <c r="M106" s="124"/>
      <c r="N106" s="124"/>
      <c r="O106" s="124"/>
      <c r="P106" s="123"/>
      <c r="Q106" s="124"/>
    </row>
    <row r="107" spans="1:18" ht="32.25" customHeight="1" x14ac:dyDescent="0.35">
      <c r="A107" s="449"/>
      <c r="B107" s="150" t="s">
        <v>196</v>
      </c>
      <c r="C107" s="156">
        <f>F75+F76+((F75+F76)*0.07)</f>
        <v>395900</v>
      </c>
      <c r="D107" s="157"/>
      <c r="E107" s="157"/>
      <c r="F107" s="157"/>
      <c r="G107" s="157"/>
      <c r="H107" s="157"/>
      <c r="I107" s="157"/>
      <c r="J107" s="157"/>
      <c r="K107" s="124"/>
      <c r="L107" s="124"/>
      <c r="M107" s="124"/>
      <c r="N107" s="124"/>
      <c r="O107" s="124"/>
      <c r="P107" s="123"/>
      <c r="Q107" s="124"/>
    </row>
    <row r="108" spans="1:18" ht="23.25" customHeight="1" x14ac:dyDescent="0.35">
      <c r="A108" s="449"/>
      <c r="B108" s="150" t="s">
        <v>197</v>
      </c>
      <c r="C108" s="151">
        <f>C107/F91</f>
        <v>7.9179994853300337E-2</v>
      </c>
      <c r="D108" s="157"/>
      <c r="E108" s="157"/>
      <c r="F108" s="157"/>
      <c r="G108" s="157"/>
      <c r="H108" s="157"/>
      <c r="I108" s="157"/>
      <c r="J108" s="157"/>
      <c r="K108" s="124"/>
      <c r="L108" s="124"/>
      <c r="M108" s="124"/>
      <c r="N108" s="124"/>
      <c r="O108" s="124"/>
      <c r="P108" s="123"/>
      <c r="Q108" s="124"/>
    </row>
    <row r="109" spans="1:18" ht="66.75" customHeight="1" thickBot="1" x14ac:dyDescent="0.4">
      <c r="A109" s="449"/>
      <c r="B109" s="452" t="s">
        <v>198</v>
      </c>
      <c r="C109" s="453"/>
      <c r="D109" s="108"/>
      <c r="E109" s="158"/>
      <c r="F109" s="108"/>
      <c r="G109" s="108"/>
      <c r="H109" s="158"/>
      <c r="I109" s="158"/>
      <c r="J109" s="158"/>
      <c r="K109" s="124"/>
      <c r="L109" s="124"/>
      <c r="M109" s="124"/>
      <c r="N109" s="124"/>
      <c r="O109" s="124"/>
      <c r="P109" s="123"/>
      <c r="Q109" s="124"/>
    </row>
    <row r="110" spans="1:18" ht="55.5" customHeight="1" x14ac:dyDescent="0.35">
      <c r="A110" s="449"/>
      <c r="B110" s="124"/>
      <c r="C110" s="124"/>
      <c r="D110" s="124"/>
      <c r="E110" s="124"/>
      <c r="F110" s="124"/>
      <c r="G110" s="124"/>
      <c r="H110" s="124"/>
      <c r="I110" s="124"/>
      <c r="J110" s="124"/>
      <c r="K110" s="124"/>
      <c r="L110" s="124"/>
      <c r="M110" s="124"/>
      <c r="N110" s="124"/>
      <c r="O110" s="124"/>
      <c r="P110" s="123"/>
      <c r="Q110" s="124"/>
      <c r="R110" s="72"/>
    </row>
    <row r="111" spans="1:18" ht="42.75" customHeight="1" x14ac:dyDescent="0.35">
      <c r="A111" s="449"/>
      <c r="B111" s="124"/>
      <c r="C111" s="124"/>
      <c r="D111" s="124"/>
      <c r="E111" s="124"/>
      <c r="F111" s="124"/>
      <c r="G111" s="124"/>
      <c r="H111" s="124"/>
      <c r="I111" s="124"/>
      <c r="J111" s="124"/>
      <c r="K111" s="124"/>
      <c r="L111" s="124"/>
      <c r="M111" s="124"/>
      <c r="N111" s="124"/>
      <c r="O111" s="124"/>
      <c r="P111" s="123"/>
      <c r="Q111" s="124"/>
    </row>
    <row r="112" spans="1:18" ht="21.75" customHeight="1" x14ac:dyDescent="0.35">
      <c r="A112" s="449"/>
      <c r="B112" s="124"/>
      <c r="C112" s="124"/>
      <c r="D112" s="124"/>
      <c r="E112" s="124"/>
      <c r="F112" s="124"/>
      <c r="G112" s="124"/>
      <c r="H112" s="124"/>
      <c r="I112" s="124"/>
      <c r="J112" s="124"/>
      <c r="K112" s="124"/>
      <c r="L112" s="124"/>
      <c r="M112" s="124"/>
      <c r="N112" s="124"/>
      <c r="O112" s="124"/>
      <c r="P112" s="123"/>
      <c r="Q112" s="124"/>
    </row>
    <row r="113" spans="1:17" ht="21.75" customHeight="1" x14ac:dyDescent="0.35">
      <c r="A113" s="449"/>
      <c r="B113" s="124"/>
      <c r="C113" s="124"/>
      <c r="D113" s="124"/>
      <c r="E113" s="124"/>
      <c r="F113" s="124"/>
      <c r="G113" s="124"/>
      <c r="H113" s="124"/>
      <c r="I113" s="124"/>
      <c r="J113" s="124"/>
      <c r="K113" s="124"/>
      <c r="L113" s="124"/>
      <c r="M113" s="124"/>
      <c r="N113" s="124"/>
      <c r="O113" s="124"/>
      <c r="P113" s="123"/>
      <c r="Q113" s="124"/>
    </row>
    <row r="114" spans="1:17" ht="23.25" customHeight="1" x14ac:dyDescent="0.35">
      <c r="A114" s="449"/>
      <c r="B114" s="124"/>
      <c r="C114" s="124"/>
      <c r="D114" s="124"/>
      <c r="E114" s="124"/>
      <c r="F114" s="124"/>
      <c r="G114" s="124"/>
      <c r="H114" s="124"/>
      <c r="I114" s="124"/>
      <c r="J114" s="124"/>
      <c r="K114" s="124"/>
      <c r="L114" s="124"/>
      <c r="M114" s="124"/>
      <c r="N114" s="124"/>
      <c r="O114" s="124"/>
      <c r="P114" s="123"/>
      <c r="Q114" s="124"/>
    </row>
    <row r="115" spans="1:17" ht="23.25" customHeight="1" x14ac:dyDescent="0.35"/>
    <row r="116" spans="1:17" ht="21.75" customHeight="1" x14ac:dyDescent="0.35"/>
    <row r="117" spans="1:17" ht="16.5" customHeight="1" x14ac:dyDescent="0.35"/>
    <row r="118" spans="1:17" ht="29.25" customHeight="1" x14ac:dyDescent="0.35"/>
    <row r="119" spans="1:17" ht="24.75" customHeight="1" x14ac:dyDescent="0.35"/>
    <row r="120" spans="1:17" ht="33" customHeight="1" x14ac:dyDescent="0.35"/>
    <row r="122" spans="1:17" ht="15" customHeight="1" x14ac:dyDescent="0.35"/>
    <row r="123" spans="1:17" ht="25.5" customHeight="1" x14ac:dyDescent="0.35"/>
  </sheetData>
  <sheetProtection formatCells="0" formatColumns="0" formatRows="0"/>
  <mergeCells count="28">
    <mergeCell ref="E86:E87"/>
    <mergeCell ref="F86:F87"/>
    <mergeCell ref="A100:A114"/>
    <mergeCell ref="B106:C106"/>
    <mergeCell ref="B109:C109"/>
    <mergeCell ref="B96:K96"/>
    <mergeCell ref="C97:C98"/>
    <mergeCell ref="D97:D98"/>
    <mergeCell ref="E97:E98"/>
    <mergeCell ref="F97:F98"/>
    <mergeCell ref="K97:K98"/>
    <mergeCell ref="A88:A93"/>
    <mergeCell ref="B85:F85"/>
    <mergeCell ref="B86:B87"/>
    <mergeCell ref="C86:C87"/>
    <mergeCell ref="B62:Q62"/>
    <mergeCell ref="A1:D1"/>
    <mergeCell ref="A2:D2"/>
    <mergeCell ref="B5:Q5"/>
    <mergeCell ref="B6:Q6"/>
    <mergeCell ref="B17:Q17"/>
    <mergeCell ref="B22:Q22"/>
    <mergeCell ref="B31:Q31"/>
    <mergeCell ref="B40:Q40"/>
    <mergeCell ref="B41:Q41"/>
    <mergeCell ref="B49:Q49"/>
    <mergeCell ref="B55:Q55"/>
    <mergeCell ref="D86:D87"/>
  </mergeCells>
  <conditionalFormatting sqref="C105">
    <cfRule type="cellIs" dxfId="46" priority="3" operator="lessThan">
      <formula>0.15</formula>
    </cfRule>
  </conditionalFormatting>
  <conditionalFormatting sqref="C108">
    <cfRule type="cellIs" dxfId="45" priority="2" operator="lessThan">
      <formula>0.05</formula>
    </cfRule>
  </conditionalFormatting>
  <conditionalFormatting sqref="P101 K102:O102">
    <cfRule type="cellIs" dxfId="44" priority="1" operator="greaterThan">
      <formula>1</formula>
    </cfRule>
  </conditionalFormatting>
  <dataValidations xWindow="992" yWindow="565" count="6">
    <dataValidation allowBlank="1" showInputMessage="1" showErrorMessage="1" prompt="Insert *text* description of Output here" sqref="B6:B8 B17 B22 B31 B41 B49 B55 B62" xr:uid="{34957842-EFEA-4C51-8150-898D82C83C17}"/>
    <dataValidation allowBlank="1" showInputMessage="1" showErrorMessage="1" prompt="Insert *text* description of Activity here" sqref="B9:B10 B18:B19 B23 B32 B42:B43 B50 B63 B56:B57" xr:uid="{AAC90101-B810-484E-A9F6-CF00BA11B234}"/>
    <dataValidation allowBlank="1" showInputMessage="1" showErrorMessage="1" prompt="% Towards Gender Equality and Women's Empowerment Must be Higher than 15%_x000a_" sqref="C105:J105" xr:uid="{5B429492-C2D1-44C7-AF5B-C6748A27677C}"/>
    <dataValidation allowBlank="1" showInputMessage="1" showErrorMessage="1" prompt="M&amp;E Budget Cannot be Less than 5%_x000a_" sqref="C108:J108" xr:uid="{BC20AB17-90F7-4712-9618-CEA2AEB84B69}"/>
    <dataValidation allowBlank="1" showErrorMessage="1" prompt="% Towards Gender Equality and Women's Empowerment Must be Higher than 15%_x000a_" sqref="C107:J107" xr:uid="{96403C45-9A0C-4A7E-9F20-F303F874B09E}"/>
    <dataValidation allowBlank="1" showInputMessage="1" showErrorMessage="1" prompt="Insert *text* description of Outcome here" sqref="B40:Q40 B5:Q5" xr:uid="{D55B49A1-1458-44FF-B690-75023F5197AE}"/>
  </dataValidations>
  <pageMargins left="0.7" right="0.7" top="0.75" bottom="0.75" header="0.3" footer="0.3"/>
  <pageSetup scale="74" orientation="landscape" r:id="rId1"/>
  <rowBreaks count="1" manualBreakCount="1">
    <brk id="4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E78A-057F-4B87-B492-38E0A729F85E}">
  <dimension ref="B2:O19"/>
  <sheetViews>
    <sheetView topLeftCell="C1" zoomScale="80" zoomScaleNormal="80" workbookViewId="0">
      <selection activeCell="J15" sqref="J15"/>
    </sheetView>
  </sheetViews>
  <sheetFormatPr defaultColWidth="8.7265625" defaultRowHeight="12" x14ac:dyDescent="0.3"/>
  <cols>
    <col min="1" max="1" width="2.453125" style="380" customWidth="1"/>
    <col min="2" max="2" width="42.1796875" style="380" bestFit="1" customWidth="1"/>
    <col min="3" max="3" width="10" style="380" bestFit="1" customWidth="1"/>
    <col min="4" max="5" width="11.1796875" style="380" bestFit="1" customWidth="1"/>
    <col min="6" max="7" width="8.7265625" style="380"/>
    <col min="8" max="8" width="42.1796875" style="380" bestFit="1" customWidth="1"/>
    <col min="9" max="9" width="9.81640625" style="380" bestFit="1" customWidth="1"/>
    <col min="10" max="10" width="11.453125" style="380" customWidth="1"/>
    <col min="11" max="11" width="10.54296875" style="380" bestFit="1" customWidth="1"/>
    <col min="12" max="12" width="8.7265625" style="380"/>
    <col min="13" max="13" width="9.08984375" style="380" bestFit="1" customWidth="1"/>
    <col min="14" max="14" width="9.36328125" style="380" bestFit="1" customWidth="1"/>
    <col min="15" max="16384" width="8.7265625" style="380"/>
  </cols>
  <sheetData>
    <row r="2" spans="2:15" x14ac:dyDescent="0.3">
      <c r="B2" s="379" t="s">
        <v>250</v>
      </c>
    </row>
    <row r="3" spans="2:15" ht="14.5" x14ac:dyDescent="0.35">
      <c r="B3" s="392" t="s">
        <v>295</v>
      </c>
      <c r="H3" s="392" t="s">
        <v>252</v>
      </c>
    </row>
    <row r="4" spans="2:15" x14ac:dyDescent="0.3">
      <c r="B4" s="391" t="s">
        <v>297</v>
      </c>
      <c r="H4" s="391" t="s">
        <v>296</v>
      </c>
    </row>
    <row r="5" spans="2:15" ht="55.15" customHeight="1" x14ac:dyDescent="0.3">
      <c r="B5" s="396" t="s">
        <v>290</v>
      </c>
      <c r="C5" s="396" t="s">
        <v>291</v>
      </c>
      <c r="D5" s="398" t="s">
        <v>299</v>
      </c>
      <c r="E5" s="398" t="s">
        <v>298</v>
      </c>
      <c r="F5" s="397"/>
      <c r="G5" s="397"/>
      <c r="H5" s="396" t="s">
        <v>290</v>
      </c>
      <c r="I5" s="396" t="s">
        <v>291</v>
      </c>
      <c r="J5" s="398" t="s">
        <v>299</v>
      </c>
      <c r="K5" s="396" t="s">
        <v>293</v>
      </c>
    </row>
    <row r="6" spans="2:15" ht="19.899999999999999" customHeight="1" x14ac:dyDescent="0.3">
      <c r="B6" s="382" t="s">
        <v>203</v>
      </c>
      <c r="C6" s="383">
        <f>'2) By Category PBF'!E212</f>
        <v>568224.57000000007</v>
      </c>
      <c r="D6" s="384">
        <v>586295.97000000009</v>
      </c>
      <c r="E6" s="384">
        <f>C6-D6</f>
        <v>-18071.400000000023</v>
      </c>
      <c r="H6" s="382" t="s">
        <v>203</v>
      </c>
      <c r="I6" s="383">
        <f>'2) By Category MPTF'!E212</f>
        <v>171449.61724999998</v>
      </c>
      <c r="J6" s="384">
        <v>185852.77999999997</v>
      </c>
      <c r="K6" s="384">
        <f>I6-J6</f>
        <v>-14403.162749999989</v>
      </c>
    </row>
    <row r="7" spans="2:15" ht="19.899999999999999" customHeight="1" x14ac:dyDescent="0.3">
      <c r="B7" s="382" t="s">
        <v>204</v>
      </c>
      <c r="C7" s="383">
        <f>'2) By Category PBF'!E213</f>
        <v>21282.935000000001</v>
      </c>
      <c r="D7" s="384">
        <v>-168.3</v>
      </c>
      <c r="E7" s="384">
        <f t="shared" ref="E7:E14" si="0">C7-D7</f>
        <v>21451.235000000001</v>
      </c>
      <c r="H7" s="382" t="s">
        <v>204</v>
      </c>
      <c r="I7" s="383">
        <f>'2) By Category MPTF'!E213</f>
        <v>5254.3450000000003</v>
      </c>
      <c r="J7" s="384">
        <v>242.89000000000001</v>
      </c>
      <c r="K7" s="384">
        <f t="shared" ref="K7:K14" si="1">I7-J7</f>
        <v>5011.4549999999999</v>
      </c>
    </row>
    <row r="8" spans="2:15" x14ac:dyDescent="0.3">
      <c r="B8" s="385" t="s">
        <v>205</v>
      </c>
      <c r="C8" s="383">
        <f>'2) By Category PBF'!E214</f>
        <v>42565.87</v>
      </c>
      <c r="D8" s="384">
        <v>20855</v>
      </c>
      <c r="E8" s="384">
        <f t="shared" si="0"/>
        <v>21710.870000000003</v>
      </c>
      <c r="H8" s="385" t="s">
        <v>205</v>
      </c>
      <c r="I8" s="383">
        <f>'2) By Category MPTF'!E214</f>
        <v>10508.69</v>
      </c>
      <c r="J8" s="384">
        <v>51745.95</v>
      </c>
      <c r="K8" s="384">
        <f t="shared" si="1"/>
        <v>-41237.259999999995</v>
      </c>
      <c r="N8" s="390"/>
    </row>
    <row r="9" spans="2:15" ht="19.899999999999999" customHeight="1" x14ac:dyDescent="0.3">
      <c r="B9" s="382" t="s">
        <v>206</v>
      </c>
      <c r="C9" s="383">
        <f>'2) By Category PBF'!E215</f>
        <v>1328312.2200000002</v>
      </c>
      <c r="D9" s="384">
        <v>775623.64999999991</v>
      </c>
      <c r="E9" s="384">
        <f t="shared" si="0"/>
        <v>552688.5700000003</v>
      </c>
      <c r="H9" s="382" t="s">
        <v>206</v>
      </c>
      <c r="I9" s="383">
        <f>'2) By Category MPTF'!E215</f>
        <v>323225.94</v>
      </c>
      <c r="J9" s="384">
        <v>231750.25999999995</v>
      </c>
      <c r="K9" s="384">
        <f t="shared" si="1"/>
        <v>91475.680000000051</v>
      </c>
    </row>
    <row r="10" spans="2:15" ht="19.899999999999999" customHeight="1" x14ac:dyDescent="0.3">
      <c r="B10" s="382" t="s">
        <v>207</v>
      </c>
      <c r="C10" s="383">
        <f>'2) By Category PBF'!E216</f>
        <v>156414.67499999999</v>
      </c>
      <c r="D10" s="384">
        <v>126925.51000000001</v>
      </c>
      <c r="E10" s="384">
        <f t="shared" si="0"/>
        <v>29489.164999999979</v>
      </c>
      <c r="H10" s="382" t="s">
        <v>207</v>
      </c>
      <c r="I10" s="383">
        <f>'2) By Category MPTF'!E216</f>
        <v>76271.725000000006</v>
      </c>
      <c r="J10" s="384">
        <v>55475.69</v>
      </c>
      <c r="K10" s="384">
        <f t="shared" si="1"/>
        <v>20796.035000000003</v>
      </c>
    </row>
    <row r="11" spans="2:15" ht="19.899999999999999" customHeight="1" x14ac:dyDescent="0.3">
      <c r="B11" s="382" t="s">
        <v>208</v>
      </c>
      <c r="C11" s="383">
        <f>'2) By Category PBF'!E217</f>
        <v>63848.804999999993</v>
      </c>
      <c r="D11" s="384"/>
      <c r="E11" s="384">
        <f t="shared" si="0"/>
        <v>63848.804999999993</v>
      </c>
      <c r="H11" s="382" t="s">
        <v>208</v>
      </c>
      <c r="I11" s="383">
        <f>'2) By Category MPTF'!E217</f>
        <v>15763.035</v>
      </c>
      <c r="J11" s="384"/>
      <c r="K11" s="384">
        <f t="shared" si="1"/>
        <v>15763.035</v>
      </c>
    </row>
    <row r="12" spans="2:15" ht="19.899999999999999" customHeight="1" x14ac:dyDescent="0.3">
      <c r="B12" s="382" t="s">
        <v>231</v>
      </c>
      <c r="C12" s="383">
        <f>'2) By Category PBF'!E218</f>
        <v>384820.42499999993</v>
      </c>
      <c r="D12" s="384">
        <v>829451.01</v>
      </c>
      <c r="E12" s="384">
        <f t="shared" si="0"/>
        <v>-444630.58500000008</v>
      </c>
      <c r="H12" s="382" t="s">
        <v>231</v>
      </c>
      <c r="I12" s="383">
        <f>'2) By Category MPTF'!E218</f>
        <v>217267.63274999999</v>
      </c>
      <c r="J12" s="384">
        <v>294891.45</v>
      </c>
      <c r="K12" s="384">
        <f t="shared" si="1"/>
        <v>-77623.817250000022</v>
      </c>
    </row>
    <row r="13" spans="2:15" ht="19.899999999999999" customHeight="1" x14ac:dyDescent="0.3">
      <c r="B13" s="386" t="s">
        <v>232</v>
      </c>
      <c r="C13" s="387">
        <f>SUM(C6:C12)</f>
        <v>2565469.5</v>
      </c>
      <c r="D13" s="388">
        <f>SUM(D6:D12)</f>
        <v>2338982.84</v>
      </c>
      <c r="E13" s="388">
        <f t="shared" si="0"/>
        <v>226486.66000000015</v>
      </c>
      <c r="H13" s="386" t="s">
        <v>232</v>
      </c>
      <c r="I13" s="388">
        <f>SUM(I6:I12)</f>
        <v>819740.98499999999</v>
      </c>
      <c r="J13" s="388">
        <f>SUM(J6:J12)</f>
        <v>819959.02</v>
      </c>
      <c r="K13" s="388">
        <f t="shared" si="1"/>
        <v>-218.0350000000326</v>
      </c>
      <c r="M13" s="390"/>
      <c r="N13" s="416"/>
      <c r="O13" s="390"/>
    </row>
    <row r="14" spans="2:15" ht="19.899999999999999" customHeight="1" x14ac:dyDescent="0.3">
      <c r="B14" s="382" t="s">
        <v>233</v>
      </c>
      <c r="C14" s="383">
        <f>'2) By Category PBF'!E220</f>
        <v>179582.86500000002</v>
      </c>
      <c r="D14" s="384">
        <f>D13*0.07</f>
        <v>163728.79880000002</v>
      </c>
      <c r="E14" s="384">
        <f t="shared" si="0"/>
        <v>15854.066200000001</v>
      </c>
      <c r="H14" s="382" t="s">
        <v>233</v>
      </c>
      <c r="I14" s="383">
        <f>'2) By Category MPTF'!E220</f>
        <v>57381.868950000004</v>
      </c>
      <c r="J14" s="384">
        <f>J13*0.07</f>
        <v>57397.131400000006</v>
      </c>
      <c r="K14" s="384">
        <f t="shared" si="1"/>
        <v>-15.262450000001991</v>
      </c>
      <c r="M14" s="390"/>
      <c r="N14" s="390"/>
      <c r="O14" s="390"/>
    </row>
    <row r="15" spans="2:15" ht="19.899999999999999" customHeight="1" x14ac:dyDescent="0.3">
      <c r="B15" s="381" t="s">
        <v>234</v>
      </c>
      <c r="C15" s="389">
        <f>C13+C14</f>
        <v>2745052.3650000002</v>
      </c>
      <c r="D15" s="389">
        <f t="shared" ref="D15:E15" si="2">D13+D14</f>
        <v>2502711.6387999998</v>
      </c>
      <c r="E15" s="389">
        <f t="shared" si="2"/>
        <v>242340.72620000015</v>
      </c>
      <c r="H15" s="381" t="s">
        <v>234</v>
      </c>
      <c r="I15" s="389">
        <f>I13+I14</f>
        <v>877122.85395000002</v>
      </c>
      <c r="J15" s="389">
        <f t="shared" ref="J15:K15" si="3">J13+J14</f>
        <v>877356.15139999997</v>
      </c>
      <c r="K15" s="389">
        <f t="shared" si="3"/>
        <v>-233.29745000003459</v>
      </c>
      <c r="M15" s="417"/>
      <c r="N15" s="417"/>
      <c r="O15" s="390"/>
    </row>
    <row r="16" spans="2:15" x14ac:dyDescent="0.3">
      <c r="D16" s="390"/>
      <c r="K16" s="416"/>
    </row>
    <row r="17" spans="4:11" x14ac:dyDescent="0.3">
      <c r="E17" s="399"/>
      <c r="K17" s="416"/>
    </row>
    <row r="18" spans="4:11" x14ac:dyDescent="0.3">
      <c r="D18" s="390"/>
    </row>
    <row r="19" spans="4:11" x14ac:dyDescent="0.3">
      <c r="D19" s="39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6472-E234-4CB4-A4BD-3D6A7871D148}">
  <dimension ref="B3:U42"/>
  <sheetViews>
    <sheetView tabSelected="1" zoomScale="89" zoomScaleNormal="89" zoomScaleSheetLayoutView="100" workbookViewId="0">
      <selection activeCell="F10" sqref="F10"/>
    </sheetView>
  </sheetViews>
  <sheetFormatPr defaultRowHeight="14.5" x14ac:dyDescent="0.35"/>
  <cols>
    <col min="1" max="1" width="2.453125" customWidth="1"/>
    <col min="2" max="2" width="50.7265625" customWidth="1"/>
    <col min="3" max="3" width="17.81640625" customWidth="1"/>
    <col min="4" max="5" width="26.1796875" customWidth="1"/>
    <col min="6" max="6" width="24.26953125" customWidth="1"/>
    <col min="7" max="7" width="20" customWidth="1"/>
    <col min="8" max="10" width="22.26953125" customWidth="1"/>
    <col min="11" max="11" width="19.1796875" customWidth="1"/>
    <col min="12" max="19" width="9.1796875" customWidth="1"/>
    <col min="20" max="20" width="48.81640625" customWidth="1"/>
    <col min="21" max="21" width="22.453125" style="200" customWidth="1"/>
  </cols>
  <sheetData>
    <row r="3" spans="2:21" ht="26" x14ac:dyDescent="0.6">
      <c r="C3" s="478" t="s">
        <v>321</v>
      </c>
      <c r="D3" s="478"/>
      <c r="E3" s="479"/>
      <c r="F3" s="479"/>
      <c r="T3">
        <v>2022</v>
      </c>
    </row>
    <row r="4" spans="2:21" x14ac:dyDescent="0.35">
      <c r="T4" t="s">
        <v>304</v>
      </c>
      <c r="U4" t="s">
        <v>305</v>
      </c>
    </row>
    <row r="5" spans="2:21" x14ac:dyDescent="0.35">
      <c r="T5" s="404" t="s">
        <v>306</v>
      </c>
      <c r="U5">
        <v>103464.51999999999</v>
      </c>
    </row>
    <row r="6" spans="2:21" x14ac:dyDescent="0.35">
      <c r="T6" s="404" t="s">
        <v>307</v>
      </c>
      <c r="U6">
        <v>5106.33</v>
      </c>
    </row>
    <row r="7" spans="2:21" ht="15.5" x14ac:dyDescent="0.35">
      <c r="B7" s="367" t="s">
        <v>279</v>
      </c>
      <c r="T7" s="404" t="s">
        <v>308</v>
      </c>
      <c r="U7">
        <v>135288.77000000002</v>
      </c>
    </row>
    <row r="8" spans="2:21" ht="34.5" customHeight="1" x14ac:dyDescent="0.35">
      <c r="B8" s="367" t="s">
        <v>280</v>
      </c>
      <c r="C8" s="367" t="s">
        <v>320</v>
      </c>
      <c r="D8" s="368"/>
      <c r="E8" s="405"/>
      <c r="F8" s="405"/>
      <c r="T8" s="404" t="s">
        <v>309</v>
      </c>
      <c r="U8">
        <v>98448.840000000011</v>
      </c>
    </row>
    <row r="9" spans="2:21" ht="15.5" x14ac:dyDescent="0.35">
      <c r="B9" s="367" t="s">
        <v>281</v>
      </c>
      <c r="C9" s="368" t="s">
        <v>282</v>
      </c>
      <c r="T9" s="404" t="s">
        <v>310</v>
      </c>
      <c r="U9">
        <v>329</v>
      </c>
    </row>
    <row r="10" spans="2:21" ht="15.5" x14ac:dyDescent="0.35">
      <c r="B10" s="367" t="s">
        <v>283</v>
      </c>
      <c r="C10" s="406" t="s">
        <v>284</v>
      </c>
      <c r="T10" s="404" t="s">
        <v>311</v>
      </c>
      <c r="U10">
        <v>62014.879999999997</v>
      </c>
    </row>
    <row r="11" spans="2:21" ht="23.25" customHeight="1" x14ac:dyDescent="0.35">
      <c r="B11" s="367" t="s">
        <v>285</v>
      </c>
      <c r="C11" s="369" t="s">
        <v>286</v>
      </c>
      <c r="T11" s="404" t="s">
        <v>219</v>
      </c>
      <c r="U11">
        <v>404652.34</v>
      </c>
    </row>
    <row r="12" spans="2:21" ht="22.5" customHeight="1" x14ac:dyDescent="0.35">
      <c r="B12" s="367" t="s">
        <v>287</v>
      </c>
      <c r="C12" s="367" t="s">
        <v>288</v>
      </c>
      <c r="D12" s="367"/>
      <c r="E12" s="402"/>
      <c r="F12" s="402"/>
    </row>
    <row r="14" spans="2:21" ht="15.5" x14ac:dyDescent="0.35">
      <c r="B14" s="367" t="s">
        <v>289</v>
      </c>
    </row>
    <row r="15" spans="2:21" ht="55" customHeight="1" x14ac:dyDescent="0.35">
      <c r="B15" s="370" t="s">
        <v>290</v>
      </c>
      <c r="C15" s="370" t="s">
        <v>291</v>
      </c>
      <c r="D15" s="370" t="s">
        <v>312</v>
      </c>
      <c r="E15" s="370" t="s">
        <v>313</v>
      </c>
      <c r="F15" s="407" t="s">
        <v>314</v>
      </c>
      <c r="G15" s="370" t="s">
        <v>292</v>
      </c>
      <c r="H15" s="370" t="s">
        <v>315</v>
      </c>
      <c r="I15" s="370" t="s">
        <v>316</v>
      </c>
      <c r="J15" s="370" t="s">
        <v>179</v>
      </c>
      <c r="K15" s="370" t="s">
        <v>293</v>
      </c>
      <c r="T15" t="s">
        <v>304</v>
      </c>
      <c r="U15" t="s">
        <v>317</v>
      </c>
    </row>
    <row r="16" spans="2:21" ht="20.149999999999999" customHeight="1" x14ac:dyDescent="0.35">
      <c r="B16" s="371" t="s">
        <v>203</v>
      </c>
      <c r="C16" s="372">
        <v>494334.16000000003</v>
      </c>
      <c r="D16" s="373">
        <v>98448.840000000011</v>
      </c>
      <c r="E16" s="373">
        <v>106444.45</v>
      </c>
      <c r="F16" s="373">
        <f>D16+E16</f>
        <v>204893.29</v>
      </c>
      <c r="G16" s="373">
        <v>0</v>
      </c>
      <c r="H16" s="373">
        <v>0</v>
      </c>
      <c r="I16" s="373">
        <v>0</v>
      </c>
      <c r="J16" s="373">
        <f>F16+G16+H16+I16</f>
        <v>204893.29</v>
      </c>
      <c r="K16" s="373">
        <f t="shared" ref="K16:K25" si="0">C16-J16</f>
        <v>289440.87</v>
      </c>
      <c r="T16" s="404" t="s">
        <v>306</v>
      </c>
      <c r="U16" s="377">
        <v>45547.65</v>
      </c>
    </row>
    <row r="17" spans="2:21" ht="20.149999999999999" customHeight="1" x14ac:dyDescent="0.35">
      <c r="B17" s="371" t="s">
        <v>204</v>
      </c>
      <c r="C17" s="372">
        <v>17924.28</v>
      </c>
      <c r="D17" s="373">
        <v>329</v>
      </c>
      <c r="E17" s="373">
        <v>0</v>
      </c>
      <c r="F17" s="373">
        <f t="shared" ref="F17:F22" si="1">D17+E17</f>
        <v>329</v>
      </c>
      <c r="G17" s="373">
        <v>0</v>
      </c>
      <c r="H17" s="373">
        <v>0</v>
      </c>
      <c r="I17" s="373">
        <v>0</v>
      </c>
      <c r="J17" s="373">
        <f t="shared" ref="J17:J22" si="2">F17+G17+H17+I17</f>
        <v>329</v>
      </c>
      <c r="K17" s="373">
        <f t="shared" si="0"/>
        <v>17595.28</v>
      </c>
      <c r="T17" s="404" t="s">
        <v>307</v>
      </c>
      <c r="U17" s="377">
        <v>32260.44</v>
      </c>
    </row>
    <row r="18" spans="2:21" ht="20.149999999999999" customHeight="1" x14ac:dyDescent="0.35">
      <c r="B18" s="371" t="s">
        <v>205</v>
      </c>
      <c r="C18" s="372">
        <v>35848.559999999998</v>
      </c>
      <c r="D18" s="373">
        <v>5106.33</v>
      </c>
      <c r="E18" s="373">
        <v>0</v>
      </c>
      <c r="F18" s="373">
        <f t="shared" si="1"/>
        <v>5106.33</v>
      </c>
      <c r="G18" s="373">
        <v>0</v>
      </c>
      <c r="H18" s="408">
        <v>0</v>
      </c>
      <c r="I18" s="373">
        <v>2846.85</v>
      </c>
      <c r="J18" s="373">
        <f t="shared" si="2"/>
        <v>7953.18</v>
      </c>
      <c r="K18" s="373">
        <f t="shared" si="0"/>
        <v>27895.379999999997</v>
      </c>
      <c r="T18" s="404" t="s">
        <v>308</v>
      </c>
      <c r="U18" s="377">
        <v>20337.760000000002</v>
      </c>
    </row>
    <row r="19" spans="2:21" ht="20.149999999999999" customHeight="1" x14ac:dyDescent="0.35">
      <c r="B19" s="371" t="s">
        <v>206</v>
      </c>
      <c r="C19" s="372">
        <v>1049812.56</v>
      </c>
      <c r="D19" s="373">
        <v>103464.51999999999</v>
      </c>
      <c r="E19" s="373">
        <v>101522.83</v>
      </c>
      <c r="F19" s="373">
        <f t="shared" si="1"/>
        <v>204987.34999999998</v>
      </c>
      <c r="G19" s="373">
        <v>0</v>
      </c>
      <c r="H19" s="373">
        <v>12236</v>
      </c>
      <c r="I19" s="373">
        <v>0</v>
      </c>
      <c r="J19" s="373">
        <f t="shared" si="2"/>
        <v>217223.34999999998</v>
      </c>
      <c r="K19" s="373">
        <f t="shared" si="0"/>
        <v>832589.21000000008</v>
      </c>
      <c r="T19" s="404" t="s">
        <v>309</v>
      </c>
      <c r="U19" s="377">
        <v>17938.169999999998</v>
      </c>
    </row>
    <row r="20" spans="2:21" ht="20.149999999999999" customHeight="1" x14ac:dyDescent="0.35">
      <c r="B20" s="371" t="s">
        <v>207</v>
      </c>
      <c r="C20" s="372">
        <v>139621.4</v>
      </c>
      <c r="D20" s="373">
        <v>62014.879999999997</v>
      </c>
      <c r="E20" s="373">
        <v>17214.830000000002</v>
      </c>
      <c r="F20" s="373">
        <f t="shared" si="1"/>
        <v>79229.709999999992</v>
      </c>
      <c r="G20" s="373">
        <v>0</v>
      </c>
      <c r="H20" s="373">
        <v>820</v>
      </c>
      <c r="I20" s="373">
        <v>0</v>
      </c>
      <c r="J20" s="373">
        <f>F20+G20+H20+I20-0.5</f>
        <v>80049.209999999992</v>
      </c>
      <c r="K20" s="373">
        <f t="shared" si="0"/>
        <v>59572.19</v>
      </c>
      <c r="T20" s="404" t="s">
        <v>318</v>
      </c>
      <c r="U20" s="377">
        <v>26900</v>
      </c>
    </row>
    <row r="21" spans="2:21" ht="20.149999999999999" customHeight="1" x14ac:dyDescent="0.35">
      <c r="B21" s="371" t="s">
        <v>208</v>
      </c>
      <c r="C21" s="372">
        <v>53772.840000000004</v>
      </c>
      <c r="D21" s="408">
        <v>120157.27</v>
      </c>
      <c r="E21" s="373">
        <v>160546.01999999999</v>
      </c>
      <c r="F21" s="373">
        <f t="shared" si="1"/>
        <v>280703.28999999998</v>
      </c>
      <c r="G21" s="373">
        <v>431288.1</v>
      </c>
      <c r="H21" s="373">
        <v>0</v>
      </c>
      <c r="I21" s="373">
        <v>0</v>
      </c>
      <c r="J21" s="373">
        <f t="shared" si="2"/>
        <v>711991.3899999999</v>
      </c>
      <c r="K21" s="373">
        <f t="shared" si="0"/>
        <v>-658218.54999999993</v>
      </c>
      <c r="T21" s="404" t="s">
        <v>311</v>
      </c>
      <c r="U21" s="377">
        <v>9564</v>
      </c>
    </row>
    <row r="22" spans="2:21" ht="20.149999999999999" customHeight="1" x14ac:dyDescent="0.35">
      <c r="B22" s="371" t="s">
        <v>231</v>
      </c>
      <c r="C22" s="372">
        <v>316114.2</v>
      </c>
      <c r="D22" s="373">
        <v>15131.5</v>
      </c>
      <c r="E22" s="373">
        <v>66509.75</v>
      </c>
      <c r="F22" s="373">
        <f t="shared" si="1"/>
        <v>81641.25</v>
      </c>
      <c r="G22" s="373">
        <v>0</v>
      </c>
      <c r="H22" s="373">
        <v>11256.5</v>
      </c>
      <c r="I22" s="373">
        <v>0</v>
      </c>
      <c r="J22" s="373">
        <f t="shared" si="2"/>
        <v>92897.75</v>
      </c>
      <c r="K22" s="373">
        <f t="shared" si="0"/>
        <v>223216.45</v>
      </c>
      <c r="T22" s="404" t="s">
        <v>219</v>
      </c>
      <c r="U22">
        <v>152548.02000000002</v>
      </c>
    </row>
    <row r="23" spans="2:21" ht="20.149999999999999" customHeight="1" x14ac:dyDescent="0.35">
      <c r="B23" s="409" t="s">
        <v>232</v>
      </c>
      <c r="C23" s="410">
        <f>SUM(C16:C22)</f>
        <v>2107428</v>
      </c>
      <c r="D23" s="411">
        <f>SUM(D16:D22)</f>
        <v>404652.34</v>
      </c>
      <c r="E23" s="411">
        <f t="shared" ref="E23:F23" si="3">SUM(E16:E22)</f>
        <v>452237.88</v>
      </c>
      <c r="F23" s="411">
        <f t="shared" si="3"/>
        <v>856890.22</v>
      </c>
      <c r="G23" s="411">
        <f>SUM(G16:G22)</f>
        <v>431288.1</v>
      </c>
      <c r="H23" s="411">
        <f>SUM(H16:H22)</f>
        <v>24312.5</v>
      </c>
      <c r="I23" s="411">
        <f>SUM(I16:I22)</f>
        <v>2846.85</v>
      </c>
      <c r="J23" s="411">
        <f>SUM(J16:J22)</f>
        <v>1315337.17</v>
      </c>
      <c r="K23" s="411">
        <f t="shared" si="0"/>
        <v>792090.83000000007</v>
      </c>
      <c r="U23"/>
    </row>
    <row r="24" spans="2:21" ht="20.149999999999999" customHeight="1" x14ac:dyDescent="0.35">
      <c r="B24" s="371" t="s">
        <v>233</v>
      </c>
      <c r="C24" s="372">
        <v>147519.96000000002</v>
      </c>
      <c r="D24" s="373">
        <f>D23*0.07</f>
        <v>28325.663800000006</v>
      </c>
      <c r="E24" s="373">
        <f t="shared" ref="E24:F24" si="4">E23*0.07</f>
        <v>31656.651600000005</v>
      </c>
      <c r="F24" s="373">
        <f t="shared" si="4"/>
        <v>59982.315400000007</v>
      </c>
      <c r="G24" s="373">
        <f>G23*0.07</f>
        <v>30190.167000000001</v>
      </c>
      <c r="H24" s="373">
        <f>H23*0.07</f>
        <v>1701.8750000000002</v>
      </c>
      <c r="I24" s="373">
        <f>I23*0.07</f>
        <v>199.27950000000001</v>
      </c>
      <c r="J24" s="373">
        <f>J23*0.07</f>
        <v>92073.601900000009</v>
      </c>
      <c r="K24" s="373">
        <f t="shared" si="0"/>
        <v>55446.358100000012</v>
      </c>
      <c r="U24"/>
    </row>
    <row r="25" spans="2:21" ht="20.149999999999999" customHeight="1" x14ac:dyDescent="0.35">
      <c r="B25" s="370" t="s">
        <v>234</v>
      </c>
      <c r="C25" s="374">
        <f>C23+C24</f>
        <v>2254947.96</v>
      </c>
      <c r="D25" s="375">
        <f>D23+D24</f>
        <v>432978.00380000001</v>
      </c>
      <c r="E25" s="375">
        <f t="shared" ref="E25" si="5">E23+E24</f>
        <v>483894.53159999999</v>
      </c>
      <c r="F25" s="375">
        <f>F23+F24</f>
        <v>916872.53539999994</v>
      </c>
      <c r="G25" s="375">
        <f>G23+G24</f>
        <v>461478.26699999999</v>
      </c>
      <c r="H25" s="375">
        <f>H23+H24</f>
        <v>26014.375</v>
      </c>
      <c r="I25" s="375">
        <f>I23+I24</f>
        <v>3046.1295</v>
      </c>
      <c r="J25" s="375">
        <f>J23+J24</f>
        <v>1407410.7719000001</v>
      </c>
      <c r="K25" s="376">
        <f t="shared" si="0"/>
        <v>847537.18809999991</v>
      </c>
      <c r="T25" t="s">
        <v>304</v>
      </c>
      <c r="U25" t="s">
        <v>317</v>
      </c>
    </row>
    <row r="26" spans="2:21" x14ac:dyDescent="0.35">
      <c r="D26" s="377"/>
      <c r="E26" s="377"/>
      <c r="F26" s="377"/>
      <c r="J26" s="377"/>
      <c r="T26" s="404" t="s">
        <v>292</v>
      </c>
      <c r="U26" s="377">
        <v>468661.44</v>
      </c>
    </row>
    <row r="27" spans="2:21" x14ac:dyDescent="0.35">
      <c r="B27" s="466" t="s">
        <v>294</v>
      </c>
      <c r="C27" s="466"/>
      <c r="D27" s="466"/>
      <c r="E27" s="466"/>
      <c r="F27" s="466"/>
      <c r="G27" s="466"/>
      <c r="H27" s="466"/>
      <c r="I27" s="466"/>
      <c r="J27" s="466"/>
      <c r="K27" s="466"/>
      <c r="T27" s="404" t="s">
        <v>316</v>
      </c>
      <c r="U27" s="377">
        <v>11958.57</v>
      </c>
    </row>
    <row r="28" spans="2:21" ht="33.65" customHeight="1" x14ac:dyDescent="0.35">
      <c r="B28" s="466"/>
      <c r="C28" s="466"/>
      <c r="D28" s="466"/>
      <c r="E28" s="466"/>
      <c r="F28" s="466"/>
      <c r="G28" s="466"/>
      <c r="H28" s="466"/>
      <c r="I28" s="466"/>
      <c r="J28" s="466"/>
      <c r="K28" s="466"/>
      <c r="T28" s="404" t="s">
        <v>219</v>
      </c>
      <c r="U28">
        <v>480620.01</v>
      </c>
    </row>
    <row r="29" spans="2:21" x14ac:dyDescent="0.35">
      <c r="U29"/>
    </row>
    <row r="30" spans="2:21" x14ac:dyDescent="0.35">
      <c r="H30" s="377"/>
      <c r="I30" s="377"/>
      <c r="U30"/>
    </row>
    <row r="31" spans="2:21" x14ac:dyDescent="0.35">
      <c r="D31" s="412"/>
      <c r="E31" s="412"/>
      <c r="F31" s="412"/>
      <c r="H31" s="377"/>
      <c r="I31" s="377"/>
      <c r="U31"/>
    </row>
    <row r="32" spans="2:21" x14ac:dyDescent="0.35">
      <c r="D32" s="412"/>
      <c r="E32" s="412"/>
      <c r="F32" s="412"/>
      <c r="K32" s="377"/>
      <c r="U32"/>
    </row>
    <row r="33" spans="4:21" x14ac:dyDescent="0.35">
      <c r="D33" s="413"/>
      <c r="E33" s="413"/>
      <c r="F33" s="414"/>
      <c r="H33" s="377"/>
      <c r="I33" s="377"/>
      <c r="U33"/>
    </row>
    <row r="34" spans="4:21" x14ac:dyDescent="0.35">
      <c r="U34"/>
    </row>
    <row r="35" spans="4:21" x14ac:dyDescent="0.35">
      <c r="D35" s="377"/>
      <c r="E35" s="377"/>
      <c r="F35" s="377"/>
    </row>
    <row r="37" spans="4:21" x14ac:dyDescent="0.35">
      <c r="U37" s="377"/>
    </row>
    <row r="38" spans="4:21" x14ac:dyDescent="0.35">
      <c r="J38" s="377"/>
      <c r="U38"/>
    </row>
    <row r="39" spans="4:21" x14ac:dyDescent="0.35">
      <c r="U39"/>
    </row>
    <row r="40" spans="4:21" x14ac:dyDescent="0.35">
      <c r="U40"/>
    </row>
    <row r="41" spans="4:21" hidden="1" x14ac:dyDescent="0.35">
      <c r="U41"/>
    </row>
    <row r="42" spans="4:21" x14ac:dyDescent="0.35">
      <c r="U42"/>
    </row>
  </sheetData>
  <mergeCells count="1">
    <mergeCell ref="B27:K28"/>
  </mergeCells>
  <pageMargins left="0.7" right="0.7" top="0.75" bottom="0.75" header="0.3" footer="0.3"/>
  <pageSetup scale="56" orientation="landscape"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1EC6-3F01-4C48-9638-A685F96B8104}">
  <sheetPr>
    <tabColor theme="5" tint="0.39997558519241921"/>
  </sheetPr>
  <dimension ref="B1:N258"/>
  <sheetViews>
    <sheetView showGridLines="0" showZeros="0" zoomScale="80" zoomScaleNormal="80" workbookViewId="0">
      <pane ySplit="4" topLeftCell="A218" activePane="bottomLeft" state="frozen"/>
      <selection pane="bottomLeft" activeCell="D8" sqref="D8"/>
    </sheetView>
  </sheetViews>
  <sheetFormatPr defaultColWidth="9.1796875" defaultRowHeight="15.5" x14ac:dyDescent="0.35"/>
  <cols>
    <col min="1" max="1" width="4.453125" style="174" customWidth="1"/>
    <col min="2" max="2" width="3.26953125" style="174" customWidth="1"/>
    <col min="3" max="3" width="51.453125" style="174" customWidth="1"/>
    <col min="4" max="4" width="34.26953125" style="214" customWidth="1"/>
    <col min="5" max="5" width="35" style="214" customWidth="1"/>
    <col min="6" max="6" width="36.453125" style="214" customWidth="1"/>
    <col min="7" max="7" width="25.54296875" style="174" customWidth="1"/>
    <col min="8" max="8" width="21.453125" style="174" customWidth="1"/>
    <col min="9" max="9" width="16.81640625" style="174" customWidth="1"/>
    <col min="10" max="10" width="19.453125" style="174" customWidth="1"/>
    <col min="11" max="11" width="19" style="174" customWidth="1"/>
    <col min="12" max="12" width="26" style="174" customWidth="1"/>
    <col min="13" max="13" width="21.1796875" style="174" customWidth="1"/>
    <col min="14" max="14" width="7" style="174" customWidth="1"/>
    <col min="15" max="15" width="24.26953125" style="174" customWidth="1"/>
    <col min="16" max="16" width="26.453125" style="174" customWidth="1"/>
    <col min="17" max="17" width="30.1796875" style="174" customWidth="1"/>
    <col min="18" max="18" width="33" style="174" customWidth="1"/>
    <col min="19" max="20" width="22.54296875" style="174" customWidth="1"/>
    <col min="21" max="21" width="23.453125" style="174" customWidth="1"/>
    <col min="22" max="22" width="32.1796875" style="174" customWidth="1"/>
    <col min="23" max="23" width="9.1796875" style="174"/>
    <col min="24" max="24" width="17.54296875" style="174" customWidth="1"/>
    <col min="25" max="25" width="26.453125" style="174" customWidth="1"/>
    <col min="26" max="26" width="22.453125" style="174" customWidth="1"/>
    <col min="27" max="27" width="29.54296875" style="174" customWidth="1"/>
    <col min="28" max="28" width="23.453125" style="174" customWidth="1"/>
    <col min="29" max="29" width="18.453125" style="174" customWidth="1"/>
    <col min="30" max="30" width="17.453125" style="174" customWidth="1"/>
    <col min="31" max="31" width="25.1796875" style="174" customWidth="1"/>
    <col min="32" max="16384" width="9.1796875" style="174"/>
  </cols>
  <sheetData>
    <row r="1" spans="2:13" ht="31.5" customHeight="1" x14ac:dyDescent="1">
      <c r="C1" s="428" t="s">
        <v>0</v>
      </c>
      <c r="D1" s="428"/>
      <c r="E1" s="428"/>
      <c r="F1" s="428"/>
      <c r="G1" s="2"/>
      <c r="H1" s="3"/>
      <c r="I1" s="3"/>
      <c r="L1" s="178"/>
      <c r="M1" s="179"/>
    </row>
    <row r="2" spans="2:13" ht="24" customHeight="1" x14ac:dyDescent="0.45">
      <c r="C2" s="429" t="s">
        <v>199</v>
      </c>
      <c r="D2" s="429"/>
      <c r="E2" s="429"/>
      <c r="F2" s="211"/>
      <c r="L2" s="178"/>
      <c r="M2" s="179"/>
    </row>
    <row r="3" spans="2:13" ht="24" customHeight="1" x14ac:dyDescent="0.35">
      <c r="C3" s="175"/>
      <c r="D3" s="175"/>
      <c r="E3" s="175"/>
      <c r="F3" s="175"/>
      <c r="L3" s="178"/>
      <c r="M3" s="179"/>
    </row>
    <row r="4" spans="2:13" ht="24" customHeight="1" x14ac:dyDescent="0.35">
      <c r="C4" s="175"/>
      <c r="D4" s="176" t="s">
        <v>4</v>
      </c>
      <c r="E4" s="176" t="s">
        <v>5</v>
      </c>
      <c r="F4" s="176" t="s">
        <v>6</v>
      </c>
      <c r="G4" s="177" t="s">
        <v>179</v>
      </c>
      <c r="L4" s="178"/>
      <c r="M4" s="179"/>
    </row>
    <row r="5" spans="2:13" ht="24" customHeight="1" x14ac:dyDescent="0.35">
      <c r="B5" s="474" t="s">
        <v>200</v>
      </c>
      <c r="C5" s="475"/>
      <c r="D5" s="475"/>
      <c r="E5" s="475"/>
      <c r="F5" s="475"/>
      <c r="G5" s="476"/>
      <c r="L5" s="178"/>
      <c r="M5" s="179"/>
    </row>
    <row r="6" spans="2:13" ht="22.5" customHeight="1" x14ac:dyDescent="0.35">
      <c r="C6" s="474" t="s">
        <v>201</v>
      </c>
      <c r="D6" s="475"/>
      <c r="E6" s="475"/>
      <c r="F6" s="475"/>
      <c r="G6" s="476"/>
      <c r="L6" s="178"/>
      <c r="M6" s="179"/>
    </row>
    <row r="7" spans="2:13" ht="24.75" customHeight="1" thickBot="1" x14ac:dyDescent="0.4">
      <c r="C7" s="180" t="s">
        <v>202</v>
      </c>
      <c r="D7" s="181">
        <v>509948</v>
      </c>
      <c r="E7" s="181">
        <v>285000</v>
      </c>
      <c r="F7" s="181" t="e">
        <f>#REF!</f>
        <v>#REF!</v>
      </c>
      <c r="G7" s="182">
        <f>SUM(D7:E7)</f>
        <v>794948</v>
      </c>
      <c r="L7" s="178"/>
      <c r="M7" s="179"/>
    </row>
    <row r="8" spans="2:13" ht="21.75" customHeight="1" x14ac:dyDescent="0.35">
      <c r="C8" s="183" t="s">
        <v>203</v>
      </c>
      <c r="D8" s="184">
        <f>D7*0.22</f>
        <v>112188.56</v>
      </c>
      <c r="E8" s="184">
        <f>E7*0.22</f>
        <v>62700</v>
      </c>
      <c r="F8" s="212"/>
      <c r="G8" s="185">
        <f t="shared" ref="G8:G15" si="0">SUM(D8:F8)</f>
        <v>174888.56</v>
      </c>
      <c r="I8" s="174">
        <v>22</v>
      </c>
    </row>
    <row r="9" spans="2:13" x14ac:dyDescent="0.35">
      <c r="C9" s="186" t="s">
        <v>204</v>
      </c>
      <c r="D9" s="187">
        <f>D7*0.01</f>
        <v>5099.4800000000005</v>
      </c>
      <c r="E9" s="187">
        <f>E7*0.01</f>
        <v>2850</v>
      </c>
      <c r="F9" s="213"/>
      <c r="G9" s="188">
        <f t="shared" si="0"/>
        <v>7949.4800000000005</v>
      </c>
      <c r="I9" s="174">
        <v>1</v>
      </c>
    </row>
    <row r="10" spans="2:13" ht="15.75" customHeight="1" x14ac:dyDescent="0.35">
      <c r="C10" s="186" t="s">
        <v>205</v>
      </c>
      <c r="D10" s="187">
        <f>D7*0.02</f>
        <v>10198.960000000001</v>
      </c>
      <c r="E10" s="187">
        <f>E7*0.02</f>
        <v>5700</v>
      </c>
      <c r="F10" s="187"/>
      <c r="G10" s="188">
        <f t="shared" si="0"/>
        <v>15898.960000000001</v>
      </c>
      <c r="I10" s="174">
        <v>2</v>
      </c>
    </row>
    <row r="11" spans="2:13" x14ac:dyDescent="0.35">
      <c r="C11" s="189" t="s">
        <v>206</v>
      </c>
      <c r="D11" s="187">
        <f>D7*0.52</f>
        <v>265172.96000000002</v>
      </c>
      <c r="E11" s="187">
        <f>E7*0.52</f>
        <v>148200</v>
      </c>
      <c r="F11" s="187"/>
      <c r="G11" s="188"/>
      <c r="I11" s="174">
        <v>52</v>
      </c>
    </row>
    <row r="12" spans="2:13" x14ac:dyDescent="0.35">
      <c r="C12" s="186" t="s">
        <v>207</v>
      </c>
      <c r="D12" s="187">
        <f>D7*0.05</f>
        <v>25497.4</v>
      </c>
      <c r="E12" s="187">
        <f>E7*0.05</f>
        <v>14250</v>
      </c>
      <c r="F12" s="187"/>
      <c r="G12" s="188">
        <f t="shared" si="0"/>
        <v>39747.4</v>
      </c>
      <c r="I12" s="174">
        <v>5</v>
      </c>
    </row>
    <row r="13" spans="2:13" ht="21.75" customHeight="1" x14ac:dyDescent="0.35">
      <c r="C13" s="186" t="s">
        <v>208</v>
      </c>
      <c r="D13" s="187">
        <f>D7*0.03</f>
        <v>15298.439999999999</v>
      </c>
      <c r="E13" s="187">
        <f>E7*0.03</f>
        <v>8550</v>
      </c>
      <c r="F13" s="187"/>
      <c r="G13" s="188">
        <f t="shared" si="0"/>
        <v>23848.44</v>
      </c>
      <c r="I13" s="174">
        <v>3</v>
      </c>
    </row>
    <row r="14" spans="2:13" ht="21.75" customHeight="1" x14ac:dyDescent="0.35">
      <c r="C14" s="186" t="s">
        <v>209</v>
      </c>
      <c r="D14" s="187">
        <f>D7*0.15</f>
        <v>76492.2</v>
      </c>
      <c r="E14" s="187">
        <f>E7*0.15</f>
        <v>42750</v>
      </c>
      <c r="F14" s="187"/>
      <c r="G14" s="188">
        <f t="shared" si="0"/>
        <v>119242.2</v>
      </c>
      <c r="I14" s="174">
        <v>15</v>
      </c>
    </row>
    <row r="15" spans="2:13" ht="15.75" customHeight="1" x14ac:dyDescent="0.35">
      <c r="C15" s="190" t="s">
        <v>210</v>
      </c>
      <c r="D15" s="191">
        <f>SUM(D8:D14)</f>
        <v>509948.00000000006</v>
      </c>
      <c r="E15" s="191">
        <f>SUM(E8:E14)</f>
        <v>285000</v>
      </c>
      <c r="F15" s="191">
        <f>SUM(F8:F14)</f>
        <v>0</v>
      </c>
      <c r="G15" s="192">
        <f t="shared" si="0"/>
        <v>794948</v>
      </c>
      <c r="I15" s="5">
        <f>SUM(I8:I14)</f>
        <v>100</v>
      </c>
    </row>
    <row r="16" spans="2:13" s="214" customFormat="1" x14ac:dyDescent="0.35">
      <c r="C16" s="215"/>
      <c r="D16" s="216"/>
      <c r="E16" s="216"/>
      <c r="F16" s="216"/>
      <c r="G16" s="217"/>
    </row>
    <row r="17" spans="3:7" x14ac:dyDescent="0.35">
      <c r="C17" s="474" t="s">
        <v>211</v>
      </c>
      <c r="D17" s="475"/>
      <c r="E17" s="475"/>
      <c r="F17" s="475"/>
      <c r="G17" s="476"/>
    </row>
    <row r="18" spans="3:7" ht="27" customHeight="1" thickBot="1" x14ac:dyDescent="0.4">
      <c r="C18" s="180" t="s">
        <v>202</v>
      </c>
      <c r="D18" s="181">
        <v>0</v>
      </c>
      <c r="E18" s="181">
        <v>258000</v>
      </c>
      <c r="F18" s="181" t="e">
        <f>#REF!</f>
        <v>#REF!</v>
      </c>
      <c r="G18" s="182">
        <f>SUM(D18:E18)</f>
        <v>258000</v>
      </c>
    </row>
    <row r="19" spans="3:7" x14ac:dyDescent="0.35">
      <c r="C19" s="183" t="s">
        <v>203</v>
      </c>
      <c r="D19" s="184">
        <f>D18*0.22</f>
        <v>0</v>
      </c>
      <c r="E19" s="184">
        <f>E18*0.22</f>
        <v>56760</v>
      </c>
      <c r="F19" s="212"/>
      <c r="G19" s="185">
        <f t="shared" ref="G19:G26" si="1">SUM(D19:F19)</f>
        <v>56760</v>
      </c>
    </row>
    <row r="20" spans="3:7" x14ac:dyDescent="0.35">
      <c r="C20" s="186" t="s">
        <v>204</v>
      </c>
      <c r="D20" s="187">
        <f>D18*0.01</f>
        <v>0</v>
      </c>
      <c r="E20" s="187">
        <f>E18*0.01</f>
        <v>2580</v>
      </c>
      <c r="F20" s="213"/>
      <c r="G20" s="188">
        <f t="shared" si="1"/>
        <v>2580</v>
      </c>
    </row>
    <row r="21" spans="3:7" ht="31" x14ac:dyDescent="0.35">
      <c r="C21" s="186" t="s">
        <v>205</v>
      </c>
      <c r="D21" s="187">
        <f>D18*0.02</f>
        <v>0</v>
      </c>
      <c r="E21" s="187">
        <f>E18*0.02</f>
        <v>5160</v>
      </c>
      <c r="F21" s="187"/>
      <c r="G21" s="188">
        <f t="shared" si="1"/>
        <v>5160</v>
      </c>
    </row>
    <row r="22" spans="3:7" x14ac:dyDescent="0.35">
      <c r="C22" s="189" t="s">
        <v>206</v>
      </c>
      <c r="D22" s="187">
        <f>D18*0.52</f>
        <v>0</v>
      </c>
      <c r="E22" s="187">
        <f>E18*0.52</f>
        <v>134160</v>
      </c>
      <c r="F22" s="187"/>
      <c r="G22" s="188">
        <f t="shared" si="1"/>
        <v>134160</v>
      </c>
    </row>
    <row r="23" spans="3:7" x14ac:dyDescent="0.35">
      <c r="C23" s="186" t="s">
        <v>207</v>
      </c>
      <c r="D23" s="187">
        <f>D18*0.05</f>
        <v>0</v>
      </c>
      <c r="E23" s="187">
        <f>E18*0.05</f>
        <v>12900</v>
      </c>
      <c r="F23" s="187"/>
      <c r="G23" s="188">
        <f t="shared" si="1"/>
        <v>12900</v>
      </c>
    </row>
    <row r="24" spans="3:7" x14ac:dyDescent="0.35">
      <c r="C24" s="186" t="s">
        <v>208</v>
      </c>
      <c r="D24" s="187">
        <f>D18*0.03</f>
        <v>0</v>
      </c>
      <c r="E24" s="187">
        <f>E18*0.03</f>
        <v>7740</v>
      </c>
      <c r="F24" s="187"/>
      <c r="G24" s="188">
        <f t="shared" si="1"/>
        <v>7740</v>
      </c>
    </row>
    <row r="25" spans="3:7" x14ac:dyDescent="0.35">
      <c r="C25" s="186" t="s">
        <v>209</v>
      </c>
      <c r="D25" s="187">
        <f>D18*0.15</f>
        <v>0</v>
      </c>
      <c r="E25" s="187">
        <f>E18*0.15</f>
        <v>38700</v>
      </c>
      <c r="F25" s="187"/>
      <c r="G25" s="188">
        <f t="shared" si="1"/>
        <v>38700</v>
      </c>
    </row>
    <row r="26" spans="3:7" x14ac:dyDescent="0.35">
      <c r="C26" s="190" t="s">
        <v>210</v>
      </c>
      <c r="D26" s="191">
        <f>SUM(D19:D25)</f>
        <v>0</v>
      </c>
      <c r="E26" s="191">
        <f>SUM(E19:E25)</f>
        <v>258000</v>
      </c>
      <c r="F26" s="191">
        <f>SUM(F19:F25)</f>
        <v>0</v>
      </c>
      <c r="G26" s="188">
        <f t="shared" si="1"/>
        <v>258000</v>
      </c>
    </row>
    <row r="27" spans="3:7" s="214" customFormat="1" x14ac:dyDescent="0.35">
      <c r="C27" s="215"/>
      <c r="D27" s="216"/>
      <c r="E27" s="216"/>
      <c r="F27" s="216"/>
      <c r="G27" s="218"/>
    </row>
    <row r="28" spans="3:7" x14ac:dyDescent="0.35">
      <c r="C28" s="474" t="s">
        <v>212</v>
      </c>
      <c r="D28" s="475"/>
      <c r="E28" s="475"/>
      <c r="F28" s="475"/>
      <c r="G28" s="476"/>
    </row>
    <row r="29" spans="3:7" ht="21.75" customHeight="1" thickBot="1" x14ac:dyDescent="0.4">
      <c r="C29" s="180" t="s">
        <v>202</v>
      </c>
      <c r="D29" s="181">
        <v>536500</v>
      </c>
      <c r="E29" s="181">
        <v>90000</v>
      </c>
      <c r="F29" s="181" t="e">
        <f>#REF!</f>
        <v>#REF!</v>
      </c>
      <c r="G29" s="182">
        <f>SUM(D29:E29)</f>
        <v>626500</v>
      </c>
    </row>
    <row r="30" spans="3:7" x14ac:dyDescent="0.35">
      <c r="C30" s="183" t="s">
        <v>203</v>
      </c>
      <c r="D30" s="184">
        <f>D29*0.22</f>
        <v>118030</v>
      </c>
      <c r="E30" s="184">
        <f>E29*0.22</f>
        <v>19800</v>
      </c>
      <c r="F30" s="212"/>
      <c r="G30" s="185">
        <f t="shared" ref="G30:G37" si="2">SUM(D30:F30)</f>
        <v>137830</v>
      </c>
    </row>
    <row r="31" spans="3:7" s="214" customFormat="1" ht="15.75" customHeight="1" x14ac:dyDescent="0.35">
      <c r="C31" s="186" t="s">
        <v>204</v>
      </c>
      <c r="D31" s="187">
        <f>D29*0.01</f>
        <v>5365</v>
      </c>
      <c r="E31" s="187">
        <f>E29*0.01</f>
        <v>900</v>
      </c>
      <c r="F31" s="213"/>
      <c r="G31" s="188">
        <f t="shared" si="2"/>
        <v>6265</v>
      </c>
    </row>
    <row r="32" spans="3:7" s="214" customFormat="1" ht="31" x14ac:dyDescent="0.35">
      <c r="C32" s="186" t="s">
        <v>205</v>
      </c>
      <c r="D32" s="187">
        <f>D29*0.02</f>
        <v>10730</v>
      </c>
      <c r="E32" s="187">
        <f>E29*0.02</f>
        <v>1800</v>
      </c>
      <c r="F32" s="187"/>
      <c r="G32" s="188">
        <f t="shared" si="2"/>
        <v>12530</v>
      </c>
    </row>
    <row r="33" spans="3:7" s="214" customFormat="1" x14ac:dyDescent="0.35">
      <c r="C33" s="189" t="s">
        <v>206</v>
      </c>
      <c r="D33" s="187">
        <f>D29*0.52</f>
        <v>278980</v>
      </c>
      <c r="E33" s="187">
        <f>E29*0.52</f>
        <v>46800</v>
      </c>
      <c r="F33" s="187"/>
      <c r="G33" s="188">
        <f t="shared" si="2"/>
        <v>325780</v>
      </c>
    </row>
    <row r="34" spans="3:7" x14ac:dyDescent="0.35">
      <c r="C34" s="186" t="s">
        <v>207</v>
      </c>
      <c r="D34" s="187">
        <f>D29*0.05</f>
        <v>26825</v>
      </c>
      <c r="E34" s="187">
        <f>E29*0.05</f>
        <v>4500</v>
      </c>
      <c r="F34" s="187"/>
      <c r="G34" s="188">
        <f t="shared" si="2"/>
        <v>31325</v>
      </c>
    </row>
    <row r="35" spans="3:7" x14ac:dyDescent="0.35">
      <c r="C35" s="186" t="s">
        <v>208</v>
      </c>
      <c r="D35" s="187">
        <f>D29*0.03</f>
        <v>16095</v>
      </c>
      <c r="E35" s="187">
        <f>E29*0.03</f>
        <v>2700</v>
      </c>
      <c r="F35" s="187"/>
      <c r="G35" s="188">
        <f t="shared" si="2"/>
        <v>18795</v>
      </c>
    </row>
    <row r="36" spans="3:7" x14ac:dyDescent="0.35">
      <c r="C36" s="186" t="s">
        <v>209</v>
      </c>
      <c r="D36" s="187">
        <f>D29*0.15</f>
        <v>80475</v>
      </c>
      <c r="E36" s="187">
        <f>E29*0.15</f>
        <v>13500</v>
      </c>
      <c r="F36" s="187"/>
      <c r="G36" s="188">
        <f t="shared" si="2"/>
        <v>93975</v>
      </c>
    </row>
    <row r="37" spans="3:7" x14ac:dyDescent="0.35">
      <c r="C37" s="190" t="s">
        <v>210</v>
      </c>
      <c r="D37" s="191">
        <f>SUM(D30:D36)</f>
        <v>536500</v>
      </c>
      <c r="E37" s="191">
        <f>SUM(E30:E36)</f>
        <v>90000</v>
      </c>
      <c r="F37" s="191">
        <f>SUM(F30:F36)</f>
        <v>0</v>
      </c>
      <c r="G37" s="188">
        <f t="shared" si="2"/>
        <v>626500</v>
      </c>
    </row>
    <row r="38" spans="3:7" x14ac:dyDescent="0.35">
      <c r="C38" s="474" t="s">
        <v>213</v>
      </c>
      <c r="D38" s="475"/>
      <c r="E38" s="475"/>
      <c r="F38" s="475"/>
      <c r="G38" s="476"/>
    </row>
    <row r="39" spans="3:7" s="214" customFormat="1" x14ac:dyDescent="0.35">
      <c r="C39" s="219"/>
      <c r="D39" s="220"/>
      <c r="E39" s="220"/>
      <c r="F39" s="220"/>
      <c r="G39" s="221"/>
    </row>
    <row r="40" spans="3:7" ht="20.25" customHeight="1" thickBot="1" x14ac:dyDescent="0.4">
      <c r="C40" s="180" t="s">
        <v>202</v>
      </c>
      <c r="D40" s="181">
        <v>300000</v>
      </c>
      <c r="E40" s="181">
        <v>120000</v>
      </c>
      <c r="F40" s="181" t="e">
        <f>#REF!</f>
        <v>#REF!</v>
      </c>
      <c r="G40" s="182">
        <f>SUM(D40:E40)</f>
        <v>420000</v>
      </c>
    </row>
    <row r="41" spans="3:7" x14ac:dyDescent="0.35">
      <c r="C41" s="183" t="s">
        <v>203</v>
      </c>
      <c r="D41" s="184">
        <f>D40*0.22</f>
        <v>66000</v>
      </c>
      <c r="E41" s="184">
        <f>E40*0.22</f>
        <v>26400</v>
      </c>
      <c r="F41" s="212"/>
      <c r="G41" s="185">
        <f t="shared" ref="G41:G48" si="3">SUM(D41:F41)</f>
        <v>92400</v>
      </c>
    </row>
    <row r="42" spans="3:7" ht="15.75" customHeight="1" x14ac:dyDescent="0.35">
      <c r="C42" s="186" t="s">
        <v>204</v>
      </c>
      <c r="D42" s="187">
        <f>D40*0.01</f>
        <v>3000</v>
      </c>
      <c r="E42" s="187">
        <f>E40*0.01</f>
        <v>1200</v>
      </c>
      <c r="F42" s="213"/>
      <c r="G42" s="188">
        <f t="shared" si="3"/>
        <v>4200</v>
      </c>
    </row>
    <row r="43" spans="3:7" ht="32.25" customHeight="1" x14ac:dyDescent="0.35">
      <c r="C43" s="186" t="s">
        <v>205</v>
      </c>
      <c r="D43" s="187">
        <f>D40*0.02</f>
        <v>6000</v>
      </c>
      <c r="E43" s="187">
        <f>E40*0.02</f>
        <v>2400</v>
      </c>
      <c r="F43" s="187"/>
      <c r="G43" s="188">
        <f t="shared" si="3"/>
        <v>8400</v>
      </c>
    </row>
    <row r="44" spans="3:7" s="214" customFormat="1" x14ac:dyDescent="0.35">
      <c r="C44" s="189" t="s">
        <v>206</v>
      </c>
      <c r="D44" s="187">
        <f>D40*0.52</f>
        <v>156000</v>
      </c>
      <c r="E44" s="187">
        <f>E40*0.52</f>
        <v>62400</v>
      </c>
      <c r="F44" s="187"/>
      <c r="G44" s="188">
        <f t="shared" si="3"/>
        <v>218400</v>
      </c>
    </row>
    <row r="45" spans="3:7" x14ac:dyDescent="0.35">
      <c r="C45" s="186" t="s">
        <v>207</v>
      </c>
      <c r="D45" s="187">
        <f>D40*0.05</f>
        <v>15000</v>
      </c>
      <c r="E45" s="187">
        <f>E40*0.05</f>
        <v>6000</v>
      </c>
      <c r="F45" s="187"/>
      <c r="G45" s="188">
        <f t="shared" si="3"/>
        <v>21000</v>
      </c>
    </row>
    <row r="46" spans="3:7" x14ac:dyDescent="0.35">
      <c r="C46" s="186" t="s">
        <v>208</v>
      </c>
      <c r="D46" s="187">
        <f>D40*0.03</f>
        <v>9000</v>
      </c>
      <c r="E46" s="187">
        <f>E40*0.03</f>
        <v>3600</v>
      </c>
      <c r="F46" s="187"/>
      <c r="G46" s="188">
        <f t="shared" si="3"/>
        <v>12600</v>
      </c>
    </row>
    <row r="47" spans="3:7" x14ac:dyDescent="0.35">
      <c r="C47" s="186" t="s">
        <v>209</v>
      </c>
      <c r="D47" s="187">
        <f>D40*0.15</f>
        <v>45000</v>
      </c>
      <c r="E47" s="187">
        <f>E40*0.15</f>
        <v>18000</v>
      </c>
      <c r="F47" s="187"/>
      <c r="G47" s="188">
        <f t="shared" si="3"/>
        <v>63000</v>
      </c>
    </row>
    <row r="48" spans="3:7" ht="21" customHeight="1" x14ac:dyDescent="0.35">
      <c r="C48" s="190" t="s">
        <v>210</v>
      </c>
      <c r="D48" s="191">
        <f>SUM(D41:D47)</f>
        <v>300000</v>
      </c>
      <c r="E48" s="191">
        <f>SUM(E41:E47)</f>
        <v>120000</v>
      </c>
      <c r="F48" s="191">
        <f>SUM(F41:F47)</f>
        <v>0</v>
      </c>
      <c r="G48" s="188">
        <f t="shared" si="3"/>
        <v>420000</v>
      </c>
    </row>
    <row r="49" spans="2:9" s="214" customFormat="1" ht="22.5" customHeight="1" x14ac:dyDescent="0.35">
      <c r="C49" s="222" t="s">
        <v>214</v>
      </c>
      <c r="D49" s="223">
        <f>D48+D37+D26+D15</f>
        <v>1346448</v>
      </c>
      <c r="E49" s="223">
        <f>E48+E37+E26+E15</f>
        <v>753000</v>
      </c>
      <c r="F49" s="223"/>
      <c r="G49" s="223">
        <f>G48+G37+G26+G15</f>
        <v>2099448</v>
      </c>
    </row>
    <row r="50" spans="2:9" x14ac:dyDescent="0.35">
      <c r="B50" s="474" t="s">
        <v>215</v>
      </c>
      <c r="C50" s="475"/>
      <c r="D50" s="475"/>
      <c r="E50" s="475"/>
      <c r="F50" s="475"/>
      <c r="G50" s="476"/>
    </row>
    <row r="51" spans="2:9" x14ac:dyDescent="0.35">
      <c r="C51" s="474" t="s">
        <v>104</v>
      </c>
      <c r="D51" s="475"/>
      <c r="E51" s="475"/>
      <c r="F51" s="475"/>
      <c r="G51" s="476"/>
    </row>
    <row r="52" spans="2:9" ht="24" customHeight="1" thickBot="1" x14ac:dyDescent="0.4">
      <c r="C52" s="180" t="s">
        <v>202</v>
      </c>
      <c r="D52" s="181">
        <v>97293</v>
      </c>
      <c r="E52" s="181">
        <v>484586</v>
      </c>
      <c r="F52" s="181" t="e">
        <f>#REF!</f>
        <v>#REF!</v>
      </c>
      <c r="G52" s="182">
        <f>SUM(D52:E52)</f>
        <v>581879</v>
      </c>
    </row>
    <row r="53" spans="2:9" ht="15.75" customHeight="1" x14ac:dyDescent="0.35">
      <c r="C53" s="183" t="s">
        <v>203</v>
      </c>
      <c r="D53" s="184">
        <f>D52*0.22</f>
        <v>21404.46</v>
      </c>
      <c r="E53" s="184">
        <f>E52*0.22</f>
        <v>106608.92</v>
      </c>
      <c r="F53" s="212"/>
      <c r="G53" s="185">
        <f t="shared" ref="G53:G60" si="4">SUM(D53:F53)</f>
        <v>128013.38</v>
      </c>
    </row>
    <row r="54" spans="2:9" ht="15.75" customHeight="1" x14ac:dyDescent="0.35">
      <c r="C54" s="186" t="s">
        <v>204</v>
      </c>
      <c r="D54" s="187">
        <f>D52*0.01</f>
        <v>972.93000000000006</v>
      </c>
      <c r="E54" s="187">
        <f>E52*0.01</f>
        <v>4845.8599999999997</v>
      </c>
      <c r="F54" s="213"/>
      <c r="G54" s="188">
        <f t="shared" si="4"/>
        <v>5818.79</v>
      </c>
      <c r="I54" s="224"/>
    </row>
    <row r="55" spans="2:9" ht="15.75" customHeight="1" x14ac:dyDescent="0.35">
      <c r="C55" s="186" t="s">
        <v>205</v>
      </c>
      <c r="D55" s="187">
        <f>D52*0.02</f>
        <v>1945.8600000000001</v>
      </c>
      <c r="E55" s="187">
        <f>E52*0.02</f>
        <v>9691.7199999999993</v>
      </c>
      <c r="F55" s="187"/>
      <c r="G55" s="188">
        <f t="shared" si="4"/>
        <v>11637.58</v>
      </c>
    </row>
    <row r="56" spans="2:9" ht="18.75" customHeight="1" x14ac:dyDescent="0.35">
      <c r="C56" s="189" t="s">
        <v>206</v>
      </c>
      <c r="D56" s="187">
        <f>D52*0.52</f>
        <v>50592.36</v>
      </c>
      <c r="E56" s="187">
        <f>E52*0.52</f>
        <v>251984.72</v>
      </c>
      <c r="F56" s="187"/>
      <c r="G56" s="188">
        <f t="shared" si="4"/>
        <v>302577.08</v>
      </c>
    </row>
    <row r="57" spans="2:9" x14ac:dyDescent="0.35">
      <c r="C57" s="186" t="s">
        <v>207</v>
      </c>
      <c r="D57" s="187">
        <f>D52*0.05</f>
        <v>4864.6500000000005</v>
      </c>
      <c r="E57" s="187">
        <f>E52*0.05</f>
        <v>24229.300000000003</v>
      </c>
      <c r="F57" s="187"/>
      <c r="G57" s="188">
        <f t="shared" si="4"/>
        <v>29093.950000000004</v>
      </c>
    </row>
    <row r="58" spans="2:9" s="214" customFormat="1" ht="21.75" customHeight="1" x14ac:dyDescent="0.35">
      <c r="B58" s="174"/>
      <c r="C58" s="186" t="s">
        <v>208</v>
      </c>
      <c r="D58" s="187">
        <f>D52*0.03</f>
        <v>2918.79</v>
      </c>
      <c r="E58" s="187">
        <f>E52*0.03</f>
        <v>14537.58</v>
      </c>
      <c r="F58" s="187"/>
      <c r="G58" s="188">
        <f t="shared" si="4"/>
        <v>17456.37</v>
      </c>
    </row>
    <row r="59" spans="2:9" s="214" customFormat="1" x14ac:dyDescent="0.35">
      <c r="B59" s="174"/>
      <c r="C59" s="186" t="s">
        <v>209</v>
      </c>
      <c r="D59" s="187">
        <f>D52*0.15</f>
        <v>14593.949999999999</v>
      </c>
      <c r="E59" s="187">
        <f>E52*0.15</f>
        <v>72687.899999999994</v>
      </c>
      <c r="F59" s="187"/>
      <c r="G59" s="188">
        <f t="shared" si="4"/>
        <v>87281.849999999991</v>
      </c>
    </row>
    <row r="60" spans="2:9" x14ac:dyDescent="0.35">
      <c r="C60" s="190" t="s">
        <v>210</v>
      </c>
      <c r="D60" s="191">
        <f>SUM(D53:D59)</f>
        <v>97292.999999999985</v>
      </c>
      <c r="E60" s="191">
        <f>SUM(E53:E59)</f>
        <v>484586</v>
      </c>
      <c r="F60" s="191">
        <f>SUM(F53:F59)</f>
        <v>0</v>
      </c>
      <c r="G60" s="188">
        <f t="shared" si="4"/>
        <v>581879</v>
      </c>
      <c r="H60" s="224">
        <f>E52-G60</f>
        <v>-97293</v>
      </c>
      <c r="I60" s="224"/>
    </row>
    <row r="61" spans="2:9" s="214" customFormat="1" x14ac:dyDescent="0.35">
      <c r="C61" s="215"/>
      <c r="D61" s="216"/>
      <c r="E61" s="216"/>
      <c r="F61" s="216"/>
      <c r="G61" s="218"/>
    </row>
    <row r="62" spans="2:9" x14ac:dyDescent="0.35">
      <c r="B62" s="214"/>
      <c r="C62" s="474" t="s">
        <v>127</v>
      </c>
      <c r="D62" s="475"/>
      <c r="E62" s="475"/>
      <c r="F62" s="475"/>
      <c r="G62" s="476"/>
    </row>
    <row r="63" spans="2:9" ht="21.75" customHeight="1" thickBot="1" x14ac:dyDescent="0.4">
      <c r="C63" s="180" t="s">
        <v>202</v>
      </c>
      <c r="D63" s="181">
        <v>0</v>
      </c>
      <c r="E63" s="181">
        <v>521879</v>
      </c>
      <c r="F63" s="181" t="e">
        <f>#REF!</f>
        <v>#REF!</v>
      </c>
      <c r="G63" s="182">
        <f>SUM(D63:E63)</f>
        <v>521879</v>
      </c>
    </row>
    <row r="64" spans="2:9" ht="15.75" customHeight="1" x14ac:dyDescent="0.35">
      <c r="C64" s="183" t="s">
        <v>203</v>
      </c>
      <c r="D64" s="184">
        <f>D63*0.22</f>
        <v>0</v>
      </c>
      <c r="E64" s="184">
        <f>E63*0.22</f>
        <v>114813.38</v>
      </c>
      <c r="F64" s="212"/>
      <c r="G64" s="185">
        <f t="shared" ref="G64:G71" si="5">SUM(D64:F64)</f>
        <v>114813.38</v>
      </c>
    </row>
    <row r="65" spans="2:7" ht="15.75" customHeight="1" x14ac:dyDescent="0.35">
      <c r="C65" s="186" t="s">
        <v>204</v>
      </c>
      <c r="D65" s="187">
        <f>D63*0.01</f>
        <v>0</v>
      </c>
      <c r="E65" s="187">
        <f>E63*0.01</f>
        <v>5218.79</v>
      </c>
      <c r="F65" s="213"/>
      <c r="G65" s="188">
        <f t="shared" si="5"/>
        <v>5218.79</v>
      </c>
    </row>
    <row r="66" spans="2:7" ht="15.75" customHeight="1" x14ac:dyDescent="0.35">
      <c r="C66" s="186" t="s">
        <v>205</v>
      </c>
      <c r="D66" s="187">
        <f>D63*0.02</f>
        <v>0</v>
      </c>
      <c r="E66" s="187">
        <f>E63*0.02</f>
        <v>10437.58</v>
      </c>
      <c r="F66" s="187"/>
      <c r="G66" s="188">
        <f t="shared" si="5"/>
        <v>10437.58</v>
      </c>
    </row>
    <row r="67" spans="2:7" x14ac:dyDescent="0.35">
      <c r="C67" s="189" t="s">
        <v>206</v>
      </c>
      <c r="D67" s="187">
        <f>D63*0.52</f>
        <v>0</v>
      </c>
      <c r="E67" s="187">
        <f>E63*0.52</f>
        <v>271377.08</v>
      </c>
      <c r="F67" s="187"/>
      <c r="G67" s="188">
        <f t="shared" si="5"/>
        <v>271377.08</v>
      </c>
    </row>
    <row r="68" spans="2:7" x14ac:dyDescent="0.35">
      <c r="C68" s="186" t="s">
        <v>207</v>
      </c>
      <c r="D68" s="187">
        <f>D63*0.05</f>
        <v>0</v>
      </c>
      <c r="E68" s="187">
        <f>E63*0.05</f>
        <v>26093.95</v>
      </c>
      <c r="F68" s="187"/>
      <c r="G68" s="188">
        <f t="shared" si="5"/>
        <v>26093.95</v>
      </c>
    </row>
    <row r="69" spans="2:7" x14ac:dyDescent="0.35">
      <c r="C69" s="186" t="s">
        <v>208</v>
      </c>
      <c r="D69" s="187">
        <f>D63*0.03</f>
        <v>0</v>
      </c>
      <c r="E69" s="187">
        <f>E63*0.03</f>
        <v>15656.369999999999</v>
      </c>
      <c r="F69" s="187"/>
      <c r="G69" s="188">
        <f t="shared" si="5"/>
        <v>15656.369999999999</v>
      </c>
    </row>
    <row r="70" spans="2:7" x14ac:dyDescent="0.35">
      <c r="C70" s="186" t="s">
        <v>209</v>
      </c>
      <c r="D70" s="187">
        <f>D63*0.15</f>
        <v>0</v>
      </c>
      <c r="E70" s="187">
        <f>E63*0.15</f>
        <v>78281.849999999991</v>
      </c>
      <c r="F70" s="187"/>
      <c r="G70" s="188">
        <f t="shared" si="5"/>
        <v>78281.849999999991</v>
      </c>
    </row>
    <row r="71" spans="2:7" x14ac:dyDescent="0.35">
      <c r="C71" s="190" t="s">
        <v>210</v>
      </c>
      <c r="D71" s="191">
        <f>SUM(D64:D70)</f>
        <v>0</v>
      </c>
      <c r="E71" s="191">
        <f>SUM(E64:E70)</f>
        <v>521879</v>
      </c>
      <c r="F71" s="191">
        <f>SUM(F64:F70)</f>
        <v>0</v>
      </c>
      <c r="G71" s="188">
        <f t="shared" si="5"/>
        <v>521879</v>
      </c>
    </row>
    <row r="72" spans="2:7" s="214" customFormat="1" x14ac:dyDescent="0.35">
      <c r="C72" s="215"/>
      <c r="D72" s="216"/>
      <c r="E72" s="216"/>
      <c r="F72" s="216"/>
      <c r="G72" s="218"/>
    </row>
    <row r="73" spans="2:7" x14ac:dyDescent="0.35">
      <c r="C73" s="474" t="s">
        <v>138</v>
      </c>
      <c r="D73" s="475"/>
      <c r="E73" s="475"/>
      <c r="F73" s="475"/>
      <c r="G73" s="476"/>
    </row>
    <row r="74" spans="2:7" ht="21.75" customHeight="1" thickBot="1" x14ac:dyDescent="0.4">
      <c r="B74" s="214"/>
      <c r="C74" s="180" t="s">
        <v>202</v>
      </c>
      <c r="D74" s="181">
        <v>348687</v>
      </c>
      <c r="E74" s="181">
        <v>0</v>
      </c>
      <c r="F74" s="181" t="e">
        <f>#REF!</f>
        <v>#REF!</v>
      </c>
      <c r="G74" s="182">
        <f>SUM(D74:E74)</f>
        <v>348687</v>
      </c>
    </row>
    <row r="75" spans="2:7" ht="18" customHeight="1" x14ac:dyDescent="0.35">
      <c r="C75" s="183" t="s">
        <v>203</v>
      </c>
      <c r="D75" s="184">
        <f>D74*0.22</f>
        <v>76711.14</v>
      </c>
      <c r="E75" s="184">
        <f>E74*0.22</f>
        <v>0</v>
      </c>
      <c r="F75" s="212"/>
      <c r="G75" s="185">
        <f t="shared" ref="G75:G82" si="6">SUM(D75:F75)</f>
        <v>76711.14</v>
      </c>
    </row>
    <row r="76" spans="2:7" ht="15.75" customHeight="1" x14ac:dyDescent="0.35">
      <c r="C76" s="186" t="s">
        <v>204</v>
      </c>
      <c r="D76" s="187">
        <f>D74*0.01</f>
        <v>3486.87</v>
      </c>
      <c r="E76" s="187">
        <f>E74*0.01</f>
        <v>0</v>
      </c>
      <c r="F76" s="213"/>
      <c r="G76" s="188">
        <f t="shared" si="6"/>
        <v>3486.87</v>
      </c>
    </row>
    <row r="77" spans="2:7" s="214" customFormat="1" ht="15.75" customHeight="1" x14ac:dyDescent="0.35">
      <c r="B77" s="174"/>
      <c r="C77" s="186" t="s">
        <v>205</v>
      </c>
      <c r="D77" s="187">
        <f>D74*0.02</f>
        <v>6973.74</v>
      </c>
      <c r="E77" s="187">
        <f>E74*0.02</f>
        <v>0</v>
      </c>
      <c r="F77" s="187"/>
      <c r="G77" s="188">
        <f t="shared" si="6"/>
        <v>6973.74</v>
      </c>
    </row>
    <row r="78" spans="2:7" x14ac:dyDescent="0.35">
      <c r="B78" s="214"/>
      <c r="C78" s="189" t="s">
        <v>206</v>
      </c>
      <c r="D78" s="187">
        <f>D74*0.52</f>
        <v>181317.24000000002</v>
      </c>
      <c r="E78" s="187">
        <f>E74*0.52</f>
        <v>0</v>
      </c>
      <c r="F78" s="187"/>
      <c r="G78" s="188">
        <f t="shared" si="6"/>
        <v>181317.24000000002</v>
      </c>
    </row>
    <row r="79" spans="2:7" x14ac:dyDescent="0.35">
      <c r="B79" s="214"/>
      <c r="C79" s="186" t="s">
        <v>207</v>
      </c>
      <c r="D79" s="187">
        <f>D74*0.05</f>
        <v>17434.350000000002</v>
      </c>
      <c r="E79" s="187">
        <f>E74*0.05</f>
        <v>0</v>
      </c>
      <c r="F79" s="187"/>
      <c r="G79" s="188">
        <f t="shared" si="6"/>
        <v>17434.350000000002</v>
      </c>
    </row>
    <row r="80" spans="2:7" x14ac:dyDescent="0.35">
      <c r="B80" s="214"/>
      <c r="C80" s="186" t="s">
        <v>208</v>
      </c>
      <c r="D80" s="187">
        <f>D74*0.03</f>
        <v>10460.609999999999</v>
      </c>
      <c r="E80" s="187">
        <f>E74*0.03</f>
        <v>0</v>
      </c>
      <c r="F80" s="187"/>
      <c r="G80" s="188">
        <f t="shared" si="6"/>
        <v>10460.609999999999</v>
      </c>
    </row>
    <row r="81" spans="3:7" x14ac:dyDescent="0.35">
      <c r="C81" s="186" t="s">
        <v>209</v>
      </c>
      <c r="D81" s="187">
        <f>D74*0.15</f>
        <v>52303.049999999996</v>
      </c>
      <c r="E81" s="187">
        <f>E74*0.15</f>
        <v>0</v>
      </c>
      <c r="F81" s="187"/>
      <c r="G81" s="188">
        <f t="shared" si="6"/>
        <v>52303.049999999996</v>
      </c>
    </row>
    <row r="82" spans="3:7" x14ac:dyDescent="0.35">
      <c r="C82" s="190" t="s">
        <v>210</v>
      </c>
      <c r="D82" s="191">
        <f>SUM(D75:D81)</f>
        <v>348686.99999999994</v>
      </c>
      <c r="E82" s="191">
        <f>SUM(E75:E81)</f>
        <v>0</v>
      </c>
      <c r="F82" s="191">
        <f>SUM(F75:F81)</f>
        <v>0</v>
      </c>
      <c r="G82" s="188">
        <f t="shared" si="6"/>
        <v>348686.99999999994</v>
      </c>
    </row>
    <row r="83" spans="3:7" x14ac:dyDescent="0.35">
      <c r="D83" s="174"/>
      <c r="E83" s="174"/>
      <c r="F83" s="174"/>
    </row>
    <row r="84" spans="3:7" s="214" customFormat="1" x14ac:dyDescent="0.35">
      <c r="C84" s="474" t="s">
        <v>152</v>
      </c>
      <c r="D84" s="475"/>
      <c r="E84" s="475"/>
      <c r="F84" s="475"/>
      <c r="G84" s="476"/>
    </row>
    <row r="85" spans="3:7" ht="20.25" customHeight="1" thickBot="1" x14ac:dyDescent="0.4">
      <c r="C85" s="180" t="s">
        <v>202</v>
      </c>
      <c r="D85" s="181">
        <v>0</v>
      </c>
      <c r="E85" s="181">
        <v>368828.5</v>
      </c>
      <c r="F85" s="181" t="e">
        <f>#REF!</f>
        <v>#REF!</v>
      </c>
      <c r="G85" s="182">
        <f>SUM(D85:E85)</f>
        <v>368828.5</v>
      </c>
    </row>
    <row r="86" spans="3:7" x14ac:dyDescent="0.35">
      <c r="C86" s="183" t="s">
        <v>203</v>
      </c>
      <c r="D86" s="184">
        <f>D85*0.22</f>
        <v>0</v>
      </c>
      <c r="E86" s="184">
        <f>E85*0.22</f>
        <v>81142.27</v>
      </c>
      <c r="F86" s="212"/>
      <c r="G86" s="185">
        <f t="shared" ref="G86:G92" si="7">SUM(D86:F86)</f>
        <v>81142.27</v>
      </c>
    </row>
    <row r="87" spans="3:7" ht="15.75" customHeight="1" x14ac:dyDescent="0.35">
      <c r="C87" s="186" t="s">
        <v>204</v>
      </c>
      <c r="D87" s="187">
        <f>D85*0.01</f>
        <v>0</v>
      </c>
      <c r="E87" s="187">
        <f>E85*0.01</f>
        <v>3688.2849999999999</v>
      </c>
      <c r="F87" s="213"/>
      <c r="G87" s="188">
        <f t="shared" si="7"/>
        <v>3688.2849999999999</v>
      </c>
    </row>
    <row r="88" spans="3:7" ht="32.25" customHeight="1" x14ac:dyDescent="0.35">
      <c r="C88" s="186" t="s">
        <v>205</v>
      </c>
      <c r="D88" s="187">
        <f>D85*0.02</f>
        <v>0</v>
      </c>
      <c r="E88" s="187">
        <f>E85*0.02</f>
        <v>7376.57</v>
      </c>
      <c r="F88" s="187"/>
      <c r="G88" s="188">
        <f t="shared" si="7"/>
        <v>7376.57</v>
      </c>
    </row>
    <row r="89" spans="3:7" s="214" customFormat="1" x14ac:dyDescent="0.35">
      <c r="C89" s="189" t="s">
        <v>206</v>
      </c>
      <c r="D89" s="187">
        <f>D85*0.52</f>
        <v>0</v>
      </c>
      <c r="E89" s="187">
        <f>E85*0.52</f>
        <v>191790.82</v>
      </c>
      <c r="F89" s="187"/>
      <c r="G89" s="188">
        <f t="shared" si="7"/>
        <v>191790.82</v>
      </c>
    </row>
    <row r="90" spans="3:7" x14ac:dyDescent="0.35">
      <c r="C90" s="186" t="s">
        <v>207</v>
      </c>
      <c r="D90" s="187">
        <f>D85*0.05</f>
        <v>0</v>
      </c>
      <c r="E90" s="187">
        <f>E85*0.05</f>
        <v>18441.424999999999</v>
      </c>
      <c r="F90" s="187"/>
      <c r="G90" s="188">
        <f t="shared" si="7"/>
        <v>18441.424999999999</v>
      </c>
    </row>
    <row r="91" spans="3:7" x14ac:dyDescent="0.35">
      <c r="C91" s="186" t="s">
        <v>208</v>
      </c>
      <c r="D91" s="187">
        <f>D85*0.03</f>
        <v>0</v>
      </c>
      <c r="E91" s="187">
        <f>E85*0.03</f>
        <v>11064.855</v>
      </c>
      <c r="F91" s="187"/>
      <c r="G91" s="188">
        <f t="shared" si="7"/>
        <v>11064.855</v>
      </c>
    </row>
    <row r="92" spans="3:7" x14ac:dyDescent="0.35">
      <c r="C92" s="186" t="s">
        <v>209</v>
      </c>
      <c r="D92" s="187">
        <f>D85*0.15</f>
        <v>0</v>
      </c>
      <c r="E92" s="187">
        <f>E85*0.15</f>
        <v>55324.275000000001</v>
      </c>
      <c r="F92" s="187"/>
      <c r="G92" s="188">
        <f t="shared" si="7"/>
        <v>55324.275000000001</v>
      </c>
    </row>
    <row r="93" spans="3:7" ht="21" customHeight="1" x14ac:dyDescent="0.35">
      <c r="C93" s="190" t="s">
        <v>210</v>
      </c>
      <c r="D93" s="191">
        <f>SUM(D86:D92)</f>
        <v>0</v>
      </c>
      <c r="E93" s="191">
        <f>SUM(E86:E92)</f>
        <v>368828.5</v>
      </c>
      <c r="F93" s="191">
        <f t="shared" ref="F93:G93" si="8">SUM(F86:F92)</f>
        <v>0</v>
      </c>
      <c r="G93" s="188">
        <f t="shared" si="8"/>
        <v>368828.5</v>
      </c>
    </row>
    <row r="94" spans="3:7" s="214" customFormat="1" ht="22.5" customHeight="1" x14ac:dyDescent="0.35">
      <c r="C94" s="222" t="s">
        <v>216</v>
      </c>
      <c r="D94" s="223">
        <f>D60+D71+D82+D93</f>
        <v>445979.99999999994</v>
      </c>
      <c r="E94" s="223">
        <f>E60+E71+E82+E93</f>
        <v>1375293.5</v>
      </c>
      <c r="F94" s="223"/>
      <c r="G94" s="223">
        <f>G60+G71+G82+G93</f>
        <v>1821273.5</v>
      </c>
    </row>
    <row r="95" spans="3:7" s="214" customFormat="1" ht="22.5" customHeight="1" x14ac:dyDescent="0.35">
      <c r="C95" s="225"/>
      <c r="D95" s="216"/>
      <c r="E95" s="216"/>
      <c r="F95" s="216"/>
      <c r="G95" s="216"/>
    </row>
    <row r="96" spans="3:7" s="214" customFormat="1" x14ac:dyDescent="0.35">
      <c r="C96" s="474" t="s">
        <v>217</v>
      </c>
      <c r="D96" s="475"/>
      <c r="E96" s="475"/>
      <c r="F96" s="475"/>
      <c r="G96" s="476"/>
    </row>
    <row r="97" spans="2:9" ht="20.25" customHeight="1" thickBot="1" x14ac:dyDescent="0.4">
      <c r="C97" s="180" t="s">
        <v>218</v>
      </c>
      <c r="D97" s="181">
        <v>315000</v>
      </c>
      <c r="E97" s="181">
        <v>437176</v>
      </c>
      <c r="F97" s="181" t="e">
        <f>#REF!</f>
        <v>#REF!</v>
      </c>
      <c r="G97" s="182">
        <f>SUM(D97:E97)</f>
        <v>752176</v>
      </c>
    </row>
    <row r="98" spans="2:9" x14ac:dyDescent="0.35">
      <c r="C98" s="183" t="s">
        <v>203</v>
      </c>
      <c r="D98" s="184">
        <v>100000</v>
      </c>
      <c r="E98" s="184">
        <v>100000</v>
      </c>
      <c r="F98" s="212"/>
      <c r="G98" s="185">
        <f t="shared" ref="G98:G104" si="9">SUM(D98:F98)</f>
        <v>200000</v>
      </c>
    </row>
    <row r="99" spans="2:9" ht="15.75" customHeight="1" x14ac:dyDescent="0.35">
      <c r="C99" s="186" t="s">
        <v>204</v>
      </c>
      <c r="D99" s="187"/>
      <c r="E99" s="187"/>
      <c r="F99" s="213"/>
      <c r="G99" s="188">
        <f t="shared" si="9"/>
        <v>0</v>
      </c>
    </row>
    <row r="100" spans="2:9" ht="32.25" customHeight="1" x14ac:dyDescent="0.35">
      <c r="C100" s="186" t="s">
        <v>205</v>
      </c>
      <c r="D100" s="187"/>
      <c r="E100" s="187"/>
      <c r="F100" s="187"/>
      <c r="G100" s="188">
        <f t="shared" si="9"/>
        <v>0</v>
      </c>
    </row>
    <row r="101" spans="2:9" s="214" customFormat="1" x14ac:dyDescent="0.35">
      <c r="C101" s="189" t="s">
        <v>206</v>
      </c>
      <c r="D101" s="187">
        <v>117750</v>
      </c>
      <c r="E101" s="187">
        <v>221599.6</v>
      </c>
      <c r="F101" s="187"/>
      <c r="G101" s="188">
        <f t="shared" si="9"/>
        <v>339349.6</v>
      </c>
    </row>
    <row r="102" spans="2:9" x14ac:dyDescent="0.35">
      <c r="C102" s="186" t="s">
        <v>207</v>
      </c>
      <c r="D102" s="187">
        <v>50000</v>
      </c>
      <c r="E102" s="187">
        <v>50000</v>
      </c>
      <c r="F102" s="187"/>
      <c r="G102" s="188">
        <f t="shared" si="9"/>
        <v>100000</v>
      </c>
    </row>
    <row r="103" spans="2:9" x14ac:dyDescent="0.35">
      <c r="C103" s="186" t="s">
        <v>208</v>
      </c>
      <c r="D103" s="187"/>
      <c r="E103" s="187"/>
      <c r="F103" s="187"/>
      <c r="G103" s="188">
        <f t="shared" si="9"/>
        <v>0</v>
      </c>
    </row>
    <row r="104" spans="2:9" x14ac:dyDescent="0.35">
      <c r="C104" s="186" t="s">
        <v>209</v>
      </c>
      <c r="D104" s="187">
        <f>D97*0.15</f>
        <v>47250</v>
      </c>
      <c r="E104" s="187">
        <f>E97*0.15</f>
        <v>65576.399999999994</v>
      </c>
      <c r="F104" s="187"/>
      <c r="G104" s="188">
        <f t="shared" si="9"/>
        <v>112826.4</v>
      </c>
      <c r="H104" s="224"/>
      <c r="I104" s="224"/>
    </row>
    <row r="105" spans="2:9" ht="21" customHeight="1" x14ac:dyDescent="0.35">
      <c r="C105" s="190" t="s">
        <v>210</v>
      </c>
      <c r="D105" s="226">
        <f>SUM(D98:D104)</f>
        <v>315000</v>
      </c>
      <c r="E105" s="226">
        <f>SUM(E98:E104)</f>
        <v>437176</v>
      </c>
      <c r="F105" s="191">
        <f t="shared" ref="F105:G105" si="10">SUM(F98:F104)</f>
        <v>0</v>
      </c>
      <c r="G105" s="188">
        <f t="shared" si="10"/>
        <v>752176</v>
      </c>
      <c r="H105" s="224">
        <f>E97-E105</f>
        <v>0</v>
      </c>
      <c r="I105" s="224">
        <f>E101+H105</f>
        <v>221599.6</v>
      </c>
    </row>
    <row r="106" spans="2:9" s="214" customFormat="1" x14ac:dyDescent="0.35">
      <c r="C106" s="227" t="s">
        <v>219</v>
      </c>
      <c r="D106" s="228">
        <f>D94+D49+D105</f>
        <v>2107428</v>
      </c>
      <c r="E106" s="228">
        <f>E94+E49+E105</f>
        <v>2565469.5</v>
      </c>
      <c r="F106" s="228"/>
      <c r="G106" s="228">
        <f>G94+G49+G105</f>
        <v>4672897.5</v>
      </c>
    </row>
    <row r="107" spans="2:9" ht="25.5" customHeight="1" x14ac:dyDescent="0.35">
      <c r="D107" s="174"/>
      <c r="E107" s="174"/>
      <c r="F107" s="174"/>
    </row>
    <row r="108" spans="2:9" hidden="1" x14ac:dyDescent="0.35">
      <c r="B108" s="474" t="s">
        <v>220</v>
      </c>
      <c r="C108" s="475"/>
      <c r="D108" s="475"/>
      <c r="E108" s="475"/>
      <c r="F108" s="475"/>
      <c r="G108" s="476"/>
    </row>
    <row r="109" spans="2:9" hidden="1" x14ac:dyDescent="0.35">
      <c r="C109" s="474" t="s">
        <v>221</v>
      </c>
      <c r="D109" s="475"/>
      <c r="E109" s="475"/>
      <c r="F109" s="475"/>
      <c r="G109" s="476"/>
    </row>
    <row r="110" spans="2:9" ht="22.5" hidden="1" customHeight="1" thickBot="1" x14ac:dyDescent="0.4">
      <c r="C110" s="180" t="s">
        <v>202</v>
      </c>
      <c r="D110" s="181" t="e">
        <f>#REF!</f>
        <v>#REF!</v>
      </c>
      <c r="E110" s="181" t="e">
        <f>#REF!</f>
        <v>#REF!</v>
      </c>
      <c r="F110" s="181" t="e">
        <f>#REF!</f>
        <v>#REF!</v>
      </c>
      <c r="G110" s="182" t="e">
        <f>SUM(D110:F110)</f>
        <v>#REF!</v>
      </c>
    </row>
    <row r="111" spans="2:9" hidden="1" x14ac:dyDescent="0.35">
      <c r="C111" s="183" t="s">
        <v>203</v>
      </c>
      <c r="D111" s="184"/>
      <c r="E111" s="212"/>
      <c r="F111" s="212"/>
      <c r="G111" s="185">
        <f t="shared" ref="G111:G118" si="11">SUM(D111:F111)</f>
        <v>0</v>
      </c>
    </row>
    <row r="112" spans="2:9" hidden="1" x14ac:dyDescent="0.35">
      <c r="C112" s="186" t="s">
        <v>204</v>
      </c>
      <c r="D112" s="187"/>
      <c r="E112" s="213"/>
      <c r="F112" s="213"/>
      <c r="G112" s="188">
        <f t="shared" si="11"/>
        <v>0</v>
      </c>
    </row>
    <row r="113" spans="3:7" ht="15.75" hidden="1" customHeight="1" x14ac:dyDescent="0.35">
      <c r="C113" s="186" t="s">
        <v>205</v>
      </c>
      <c r="D113" s="187"/>
      <c r="E113" s="187"/>
      <c r="F113" s="187"/>
      <c r="G113" s="188">
        <f t="shared" si="11"/>
        <v>0</v>
      </c>
    </row>
    <row r="114" spans="3:7" hidden="1" x14ac:dyDescent="0.35">
      <c r="C114" s="189" t="s">
        <v>206</v>
      </c>
      <c r="D114" s="187"/>
      <c r="E114" s="187"/>
      <c r="F114" s="187"/>
      <c r="G114" s="188">
        <f t="shared" si="11"/>
        <v>0</v>
      </c>
    </row>
    <row r="115" spans="3:7" hidden="1" x14ac:dyDescent="0.35">
      <c r="C115" s="186" t="s">
        <v>207</v>
      </c>
      <c r="D115" s="187"/>
      <c r="E115" s="187"/>
      <c r="F115" s="187"/>
      <c r="G115" s="188">
        <f t="shared" si="11"/>
        <v>0</v>
      </c>
    </row>
    <row r="116" spans="3:7" hidden="1" x14ac:dyDescent="0.35">
      <c r="C116" s="186" t="s">
        <v>208</v>
      </c>
      <c r="D116" s="187"/>
      <c r="E116" s="187"/>
      <c r="F116" s="187"/>
      <c r="G116" s="188">
        <f t="shared" si="11"/>
        <v>0</v>
      </c>
    </row>
    <row r="117" spans="3:7" hidden="1" x14ac:dyDescent="0.35">
      <c r="C117" s="186" t="s">
        <v>209</v>
      </c>
      <c r="D117" s="187"/>
      <c r="E117" s="187"/>
      <c r="F117" s="187"/>
      <c r="G117" s="188">
        <f t="shared" si="11"/>
        <v>0</v>
      </c>
    </row>
    <row r="118" spans="3:7" hidden="1" x14ac:dyDescent="0.35">
      <c r="C118" s="190" t="s">
        <v>210</v>
      </c>
      <c r="D118" s="191">
        <f>SUM(D111:D117)</f>
        <v>0</v>
      </c>
      <c r="E118" s="191">
        <f>SUM(E111:E117)</f>
        <v>0</v>
      </c>
      <c r="F118" s="191">
        <f>SUM(F111:F117)</f>
        <v>0</v>
      </c>
      <c r="G118" s="188">
        <f t="shared" si="11"/>
        <v>0</v>
      </c>
    </row>
    <row r="119" spans="3:7" s="214" customFormat="1" hidden="1" x14ac:dyDescent="0.35">
      <c r="C119" s="215"/>
      <c r="D119" s="216"/>
      <c r="E119" s="216"/>
      <c r="F119" s="216"/>
      <c r="G119" s="218"/>
    </row>
    <row r="120" spans="3:7" ht="15.75" hidden="1" customHeight="1" x14ac:dyDescent="0.35">
      <c r="C120" s="474" t="s">
        <v>222</v>
      </c>
      <c r="D120" s="475"/>
      <c r="E120" s="475"/>
      <c r="F120" s="475"/>
      <c r="G120" s="476"/>
    </row>
    <row r="121" spans="3:7" ht="21.75" hidden="1" customHeight="1" thickBot="1" x14ac:dyDescent="0.4">
      <c r="C121" s="180" t="s">
        <v>202</v>
      </c>
      <c r="D121" s="181" t="e">
        <f>#REF!</f>
        <v>#REF!</v>
      </c>
      <c r="E121" s="181" t="e">
        <f>#REF!</f>
        <v>#REF!</v>
      </c>
      <c r="F121" s="181" t="e">
        <f>#REF!</f>
        <v>#REF!</v>
      </c>
      <c r="G121" s="182" t="e">
        <f t="shared" ref="G121:G129" si="12">SUM(D121:F121)</f>
        <v>#REF!</v>
      </c>
    </row>
    <row r="122" spans="3:7" hidden="1" x14ac:dyDescent="0.35">
      <c r="C122" s="183" t="s">
        <v>203</v>
      </c>
      <c r="D122" s="184"/>
      <c r="E122" s="212"/>
      <c r="F122" s="212"/>
      <c r="G122" s="185">
        <f t="shared" si="12"/>
        <v>0</v>
      </c>
    </row>
    <row r="123" spans="3:7" hidden="1" x14ac:dyDescent="0.35">
      <c r="C123" s="186" t="s">
        <v>204</v>
      </c>
      <c r="D123" s="187"/>
      <c r="E123" s="213"/>
      <c r="F123" s="213"/>
      <c r="G123" s="188">
        <f t="shared" si="12"/>
        <v>0</v>
      </c>
    </row>
    <row r="124" spans="3:7" ht="31" hidden="1" x14ac:dyDescent="0.35">
      <c r="C124" s="186" t="s">
        <v>205</v>
      </c>
      <c r="D124" s="187"/>
      <c r="E124" s="187"/>
      <c r="F124" s="187"/>
      <c r="G124" s="188">
        <f t="shared" si="12"/>
        <v>0</v>
      </c>
    </row>
    <row r="125" spans="3:7" hidden="1" x14ac:dyDescent="0.35">
      <c r="C125" s="189" t="s">
        <v>206</v>
      </c>
      <c r="D125" s="187"/>
      <c r="E125" s="187"/>
      <c r="F125" s="187"/>
      <c r="G125" s="188">
        <f t="shared" si="12"/>
        <v>0</v>
      </c>
    </row>
    <row r="126" spans="3:7" hidden="1" x14ac:dyDescent="0.35">
      <c r="C126" s="186" t="s">
        <v>207</v>
      </c>
      <c r="D126" s="187"/>
      <c r="E126" s="187"/>
      <c r="F126" s="187"/>
      <c r="G126" s="188">
        <f t="shared" si="12"/>
        <v>0</v>
      </c>
    </row>
    <row r="127" spans="3:7" hidden="1" x14ac:dyDescent="0.35">
      <c r="C127" s="186" t="s">
        <v>208</v>
      </c>
      <c r="D127" s="187"/>
      <c r="E127" s="187"/>
      <c r="F127" s="187"/>
      <c r="G127" s="188">
        <f t="shared" si="12"/>
        <v>0</v>
      </c>
    </row>
    <row r="128" spans="3:7" hidden="1" x14ac:dyDescent="0.35">
      <c r="C128" s="186" t="s">
        <v>209</v>
      </c>
      <c r="D128" s="187"/>
      <c r="E128" s="187"/>
      <c r="F128" s="187"/>
      <c r="G128" s="188">
        <f t="shared" si="12"/>
        <v>0</v>
      </c>
    </row>
    <row r="129" spans="3:7" hidden="1" x14ac:dyDescent="0.35">
      <c r="C129" s="190" t="s">
        <v>210</v>
      </c>
      <c r="D129" s="191">
        <f>SUM(D122:D128)</f>
        <v>0</v>
      </c>
      <c r="E129" s="191">
        <f>SUM(E122:E128)</f>
        <v>0</v>
      </c>
      <c r="F129" s="191">
        <f>SUM(F122:F128)</f>
        <v>0</v>
      </c>
      <c r="G129" s="188">
        <f t="shared" si="12"/>
        <v>0</v>
      </c>
    </row>
    <row r="130" spans="3:7" s="214" customFormat="1" hidden="1" x14ac:dyDescent="0.35">
      <c r="C130" s="215"/>
      <c r="D130" s="216"/>
      <c r="E130" s="216"/>
      <c r="F130" s="216"/>
      <c r="G130" s="218"/>
    </row>
    <row r="131" spans="3:7" hidden="1" x14ac:dyDescent="0.35">
      <c r="C131" s="474" t="s">
        <v>223</v>
      </c>
      <c r="D131" s="475"/>
      <c r="E131" s="475"/>
      <c r="F131" s="475"/>
      <c r="G131" s="476"/>
    </row>
    <row r="132" spans="3:7" ht="21" hidden="1" customHeight="1" thickBot="1" x14ac:dyDescent="0.4">
      <c r="C132" s="180" t="s">
        <v>202</v>
      </c>
      <c r="D132" s="181" t="e">
        <f>#REF!</f>
        <v>#REF!</v>
      </c>
      <c r="E132" s="181" t="e">
        <f>#REF!</f>
        <v>#REF!</v>
      </c>
      <c r="F132" s="181" t="e">
        <f>#REF!</f>
        <v>#REF!</v>
      </c>
      <c r="G132" s="182" t="e">
        <f t="shared" ref="G132:G140" si="13">SUM(D132:F132)</f>
        <v>#REF!</v>
      </c>
    </row>
    <row r="133" spans="3:7" hidden="1" x14ac:dyDescent="0.35">
      <c r="C133" s="183" t="s">
        <v>203</v>
      </c>
      <c r="D133" s="184"/>
      <c r="E133" s="212"/>
      <c r="F133" s="212"/>
      <c r="G133" s="185">
        <f t="shared" si="13"/>
        <v>0</v>
      </c>
    </row>
    <row r="134" spans="3:7" hidden="1" x14ac:dyDescent="0.35">
      <c r="C134" s="186" t="s">
        <v>204</v>
      </c>
      <c r="D134" s="187"/>
      <c r="E134" s="213"/>
      <c r="F134" s="213"/>
      <c r="G134" s="188">
        <f t="shared" si="13"/>
        <v>0</v>
      </c>
    </row>
    <row r="135" spans="3:7" ht="31" hidden="1" x14ac:dyDescent="0.35">
      <c r="C135" s="186" t="s">
        <v>205</v>
      </c>
      <c r="D135" s="187"/>
      <c r="E135" s="187"/>
      <c r="F135" s="187"/>
      <c r="G135" s="188">
        <f t="shared" si="13"/>
        <v>0</v>
      </c>
    </row>
    <row r="136" spans="3:7" hidden="1" x14ac:dyDescent="0.35">
      <c r="C136" s="189" t="s">
        <v>206</v>
      </c>
      <c r="D136" s="187"/>
      <c r="E136" s="187"/>
      <c r="F136" s="187"/>
      <c r="G136" s="188">
        <f t="shared" si="13"/>
        <v>0</v>
      </c>
    </row>
    <row r="137" spans="3:7" hidden="1" x14ac:dyDescent="0.35">
      <c r="C137" s="186" t="s">
        <v>207</v>
      </c>
      <c r="D137" s="187"/>
      <c r="E137" s="187"/>
      <c r="F137" s="187"/>
      <c r="G137" s="188">
        <f t="shared" si="13"/>
        <v>0</v>
      </c>
    </row>
    <row r="138" spans="3:7" hidden="1" x14ac:dyDescent="0.35">
      <c r="C138" s="186" t="s">
        <v>208</v>
      </c>
      <c r="D138" s="187"/>
      <c r="E138" s="187"/>
      <c r="F138" s="187"/>
      <c r="G138" s="188">
        <f t="shared" si="13"/>
        <v>0</v>
      </c>
    </row>
    <row r="139" spans="3:7" hidden="1" x14ac:dyDescent="0.35">
      <c r="C139" s="186" t="s">
        <v>209</v>
      </c>
      <c r="D139" s="187"/>
      <c r="E139" s="187"/>
      <c r="F139" s="187"/>
      <c r="G139" s="188">
        <f t="shared" si="13"/>
        <v>0</v>
      </c>
    </row>
    <row r="140" spans="3:7" hidden="1" x14ac:dyDescent="0.35">
      <c r="C140" s="190" t="s">
        <v>210</v>
      </c>
      <c r="D140" s="191">
        <f>SUM(D133:D139)</f>
        <v>0</v>
      </c>
      <c r="E140" s="191">
        <f>SUM(E133:E139)</f>
        <v>0</v>
      </c>
      <c r="F140" s="191">
        <f>SUM(F133:F139)</f>
        <v>0</v>
      </c>
      <c r="G140" s="188">
        <f t="shared" si="13"/>
        <v>0</v>
      </c>
    </row>
    <row r="141" spans="3:7" s="214" customFormat="1" hidden="1" x14ac:dyDescent="0.35">
      <c r="C141" s="215"/>
      <c r="D141" s="216"/>
      <c r="E141" s="216"/>
      <c r="F141" s="216"/>
      <c r="G141" s="218"/>
    </row>
    <row r="142" spans="3:7" hidden="1" x14ac:dyDescent="0.35">
      <c r="C142" s="474" t="s">
        <v>224</v>
      </c>
      <c r="D142" s="475"/>
      <c r="E142" s="475"/>
      <c r="F142" s="475"/>
      <c r="G142" s="476"/>
    </row>
    <row r="143" spans="3:7" ht="24" hidden="1" customHeight="1" thickBot="1" x14ac:dyDescent="0.4">
      <c r="C143" s="180" t="s">
        <v>202</v>
      </c>
      <c r="D143" s="181" t="e">
        <f>#REF!</f>
        <v>#REF!</v>
      </c>
      <c r="E143" s="181" t="e">
        <f>#REF!</f>
        <v>#REF!</v>
      </c>
      <c r="F143" s="181" t="e">
        <f>#REF!</f>
        <v>#REF!</v>
      </c>
      <c r="G143" s="182" t="e">
        <f t="shared" ref="G143:G151" si="14">SUM(D143:F143)</f>
        <v>#REF!</v>
      </c>
    </row>
    <row r="144" spans="3:7" ht="15.75" hidden="1" customHeight="1" x14ac:dyDescent="0.35">
      <c r="C144" s="183" t="s">
        <v>203</v>
      </c>
      <c r="D144" s="184"/>
      <c r="E144" s="212"/>
      <c r="F144" s="212"/>
      <c r="G144" s="185">
        <f t="shared" si="14"/>
        <v>0</v>
      </c>
    </row>
    <row r="145" spans="2:7" hidden="1" x14ac:dyDescent="0.35">
      <c r="C145" s="186" t="s">
        <v>204</v>
      </c>
      <c r="D145" s="187"/>
      <c r="E145" s="213"/>
      <c r="F145" s="213"/>
      <c r="G145" s="188">
        <f t="shared" si="14"/>
        <v>0</v>
      </c>
    </row>
    <row r="146" spans="2:7" ht="15.75" hidden="1" customHeight="1" x14ac:dyDescent="0.35">
      <c r="C146" s="186" t="s">
        <v>205</v>
      </c>
      <c r="D146" s="187"/>
      <c r="E146" s="187"/>
      <c r="F146" s="187"/>
      <c r="G146" s="188">
        <f t="shared" si="14"/>
        <v>0</v>
      </c>
    </row>
    <row r="147" spans="2:7" hidden="1" x14ac:dyDescent="0.35">
      <c r="C147" s="189" t="s">
        <v>206</v>
      </c>
      <c r="D147" s="187"/>
      <c r="E147" s="187"/>
      <c r="F147" s="187"/>
      <c r="G147" s="188">
        <f t="shared" si="14"/>
        <v>0</v>
      </c>
    </row>
    <row r="148" spans="2:7" hidden="1" x14ac:dyDescent="0.35">
      <c r="C148" s="186" t="s">
        <v>207</v>
      </c>
      <c r="D148" s="187"/>
      <c r="E148" s="187"/>
      <c r="F148" s="187"/>
      <c r="G148" s="188">
        <f t="shared" si="14"/>
        <v>0</v>
      </c>
    </row>
    <row r="149" spans="2:7" ht="15.75" hidden="1" customHeight="1" x14ac:dyDescent="0.35">
      <c r="C149" s="186" t="s">
        <v>208</v>
      </c>
      <c r="D149" s="187"/>
      <c r="E149" s="187"/>
      <c r="F149" s="187"/>
      <c r="G149" s="188">
        <f t="shared" si="14"/>
        <v>0</v>
      </c>
    </row>
    <row r="150" spans="2:7" hidden="1" x14ac:dyDescent="0.35">
      <c r="C150" s="186" t="s">
        <v>209</v>
      </c>
      <c r="D150" s="187"/>
      <c r="E150" s="187"/>
      <c r="F150" s="187"/>
      <c r="G150" s="188">
        <f t="shared" si="14"/>
        <v>0</v>
      </c>
    </row>
    <row r="151" spans="2:7" hidden="1" x14ac:dyDescent="0.35">
      <c r="C151" s="190" t="s">
        <v>210</v>
      </c>
      <c r="D151" s="191">
        <f>SUM(D144:D150)</f>
        <v>0</v>
      </c>
      <c r="E151" s="191">
        <f>SUM(E144:E150)</f>
        <v>0</v>
      </c>
      <c r="F151" s="191">
        <f>SUM(F144:F150)</f>
        <v>0</v>
      </c>
      <c r="G151" s="188">
        <f t="shared" si="14"/>
        <v>0</v>
      </c>
    </row>
    <row r="152" spans="2:7" hidden="1" x14ac:dyDescent="0.35"/>
    <row r="153" spans="2:7" hidden="1" x14ac:dyDescent="0.35">
      <c r="B153" s="474" t="s">
        <v>225</v>
      </c>
      <c r="C153" s="475"/>
      <c r="D153" s="475"/>
      <c r="E153" s="475"/>
      <c r="F153" s="475"/>
      <c r="G153" s="476"/>
    </row>
    <row r="154" spans="2:7" hidden="1" x14ac:dyDescent="0.35">
      <c r="C154" s="474" t="s">
        <v>226</v>
      </c>
      <c r="D154" s="475"/>
      <c r="E154" s="475"/>
      <c r="F154" s="475"/>
      <c r="G154" s="476"/>
    </row>
    <row r="155" spans="2:7" ht="24" hidden="1" customHeight="1" thickBot="1" x14ac:dyDescent="0.4">
      <c r="C155" s="180" t="s">
        <v>202</v>
      </c>
      <c r="D155" s="181" t="e">
        <f>#REF!</f>
        <v>#REF!</v>
      </c>
      <c r="E155" s="181" t="e">
        <f>#REF!</f>
        <v>#REF!</v>
      </c>
      <c r="F155" s="181" t="e">
        <f>#REF!</f>
        <v>#REF!</v>
      </c>
      <c r="G155" s="182" t="e">
        <f>SUM(D155:F155)</f>
        <v>#REF!</v>
      </c>
    </row>
    <row r="156" spans="2:7" ht="24.75" hidden="1" customHeight="1" x14ac:dyDescent="0.35">
      <c r="C156" s="183" t="s">
        <v>203</v>
      </c>
      <c r="D156" s="184"/>
      <c r="E156" s="212"/>
      <c r="F156" s="212"/>
      <c r="G156" s="185">
        <f t="shared" ref="G156:G163" si="15">SUM(D156:F156)</f>
        <v>0</v>
      </c>
    </row>
    <row r="157" spans="2:7" ht="15.75" hidden="1" customHeight="1" x14ac:dyDescent="0.35">
      <c r="C157" s="186" t="s">
        <v>204</v>
      </c>
      <c r="D157" s="187"/>
      <c r="E157" s="213"/>
      <c r="F157" s="213"/>
      <c r="G157" s="188">
        <f t="shared" si="15"/>
        <v>0</v>
      </c>
    </row>
    <row r="158" spans="2:7" ht="15.75" hidden="1" customHeight="1" x14ac:dyDescent="0.35">
      <c r="C158" s="186" t="s">
        <v>205</v>
      </c>
      <c r="D158" s="187"/>
      <c r="E158" s="187"/>
      <c r="F158" s="187"/>
      <c r="G158" s="188">
        <f t="shared" si="15"/>
        <v>0</v>
      </c>
    </row>
    <row r="159" spans="2:7" ht="15.75" hidden="1" customHeight="1" x14ac:dyDescent="0.35">
      <c r="C159" s="189" t="s">
        <v>206</v>
      </c>
      <c r="D159" s="187"/>
      <c r="E159" s="187"/>
      <c r="F159" s="187"/>
      <c r="G159" s="188">
        <f t="shared" si="15"/>
        <v>0</v>
      </c>
    </row>
    <row r="160" spans="2:7" ht="15.75" hidden="1" customHeight="1" x14ac:dyDescent="0.35">
      <c r="C160" s="186" t="s">
        <v>207</v>
      </c>
      <c r="D160" s="187"/>
      <c r="E160" s="187"/>
      <c r="F160" s="187"/>
      <c r="G160" s="188">
        <f t="shared" si="15"/>
        <v>0</v>
      </c>
    </row>
    <row r="161" spans="3:7" ht="15.75" hidden="1" customHeight="1" x14ac:dyDescent="0.35">
      <c r="C161" s="186" t="s">
        <v>208</v>
      </c>
      <c r="D161" s="187"/>
      <c r="E161" s="187"/>
      <c r="F161" s="187"/>
      <c r="G161" s="188">
        <f t="shared" si="15"/>
        <v>0</v>
      </c>
    </row>
    <row r="162" spans="3:7" ht="15.75" hidden="1" customHeight="1" x14ac:dyDescent="0.35">
      <c r="C162" s="186" t="s">
        <v>209</v>
      </c>
      <c r="D162" s="187"/>
      <c r="E162" s="187"/>
      <c r="F162" s="187"/>
      <c r="G162" s="188">
        <f t="shared" si="15"/>
        <v>0</v>
      </c>
    </row>
    <row r="163" spans="3:7" ht="15.75" hidden="1" customHeight="1" x14ac:dyDescent="0.35">
      <c r="C163" s="190" t="s">
        <v>210</v>
      </c>
      <c r="D163" s="191">
        <f>SUM(D156:D162)</f>
        <v>0</v>
      </c>
      <c r="E163" s="191">
        <f>SUM(E156:E162)</f>
        <v>0</v>
      </c>
      <c r="F163" s="191">
        <f>SUM(F156:F162)</f>
        <v>0</v>
      </c>
      <c r="G163" s="188">
        <f t="shared" si="15"/>
        <v>0</v>
      </c>
    </row>
    <row r="164" spans="3:7" s="214" customFormat="1" ht="15.75" hidden="1" customHeight="1" x14ac:dyDescent="0.35">
      <c r="C164" s="215"/>
      <c r="D164" s="216"/>
      <c r="E164" s="216"/>
      <c r="F164" s="216"/>
      <c r="G164" s="218"/>
    </row>
    <row r="165" spans="3:7" ht="15.75" hidden="1" customHeight="1" x14ac:dyDescent="0.35">
      <c r="C165" s="474" t="s">
        <v>227</v>
      </c>
      <c r="D165" s="475"/>
      <c r="E165" s="475"/>
      <c r="F165" s="475"/>
      <c r="G165" s="476"/>
    </row>
    <row r="166" spans="3:7" ht="21" hidden="1" customHeight="1" thickBot="1" x14ac:dyDescent="0.4">
      <c r="C166" s="180" t="s">
        <v>202</v>
      </c>
      <c r="D166" s="181" t="e">
        <f>#REF!</f>
        <v>#REF!</v>
      </c>
      <c r="E166" s="181" t="e">
        <f>#REF!</f>
        <v>#REF!</v>
      </c>
      <c r="F166" s="181" t="e">
        <f>#REF!</f>
        <v>#REF!</v>
      </c>
      <c r="G166" s="182" t="e">
        <f t="shared" ref="G166:G174" si="16">SUM(D166:F166)</f>
        <v>#REF!</v>
      </c>
    </row>
    <row r="167" spans="3:7" ht="15.75" hidden="1" customHeight="1" x14ac:dyDescent="0.35">
      <c r="C167" s="183" t="s">
        <v>203</v>
      </c>
      <c r="D167" s="184"/>
      <c r="E167" s="212"/>
      <c r="F167" s="212"/>
      <c r="G167" s="185">
        <f t="shared" si="16"/>
        <v>0</v>
      </c>
    </row>
    <row r="168" spans="3:7" ht="15.75" hidden="1" customHeight="1" x14ac:dyDescent="0.35">
      <c r="C168" s="186" t="s">
        <v>204</v>
      </c>
      <c r="D168" s="187"/>
      <c r="E168" s="213"/>
      <c r="F168" s="213"/>
      <c r="G168" s="188">
        <f t="shared" si="16"/>
        <v>0</v>
      </c>
    </row>
    <row r="169" spans="3:7" ht="15.75" hidden="1" customHeight="1" x14ac:dyDescent="0.35">
      <c r="C169" s="186" t="s">
        <v>205</v>
      </c>
      <c r="D169" s="187"/>
      <c r="E169" s="187"/>
      <c r="F169" s="187"/>
      <c r="G169" s="188">
        <f t="shared" si="16"/>
        <v>0</v>
      </c>
    </row>
    <row r="170" spans="3:7" ht="15.75" hidden="1" customHeight="1" x14ac:dyDescent="0.35">
      <c r="C170" s="189" t="s">
        <v>206</v>
      </c>
      <c r="D170" s="187"/>
      <c r="E170" s="187"/>
      <c r="F170" s="187"/>
      <c r="G170" s="188">
        <f t="shared" si="16"/>
        <v>0</v>
      </c>
    </row>
    <row r="171" spans="3:7" ht="15.75" hidden="1" customHeight="1" x14ac:dyDescent="0.35">
      <c r="C171" s="186" t="s">
        <v>207</v>
      </c>
      <c r="D171" s="187"/>
      <c r="E171" s="187"/>
      <c r="F171" s="187"/>
      <c r="G171" s="188">
        <f t="shared" si="16"/>
        <v>0</v>
      </c>
    </row>
    <row r="172" spans="3:7" ht="15.75" hidden="1" customHeight="1" x14ac:dyDescent="0.35">
      <c r="C172" s="186" t="s">
        <v>208</v>
      </c>
      <c r="D172" s="187"/>
      <c r="E172" s="187"/>
      <c r="F172" s="187"/>
      <c r="G172" s="188">
        <f t="shared" si="16"/>
        <v>0</v>
      </c>
    </row>
    <row r="173" spans="3:7" ht="15.75" hidden="1" customHeight="1" x14ac:dyDescent="0.35">
      <c r="C173" s="186" t="s">
        <v>209</v>
      </c>
      <c r="D173" s="187"/>
      <c r="E173" s="187"/>
      <c r="F173" s="187"/>
      <c r="G173" s="188">
        <f t="shared" si="16"/>
        <v>0</v>
      </c>
    </row>
    <row r="174" spans="3:7" ht="15.75" hidden="1" customHeight="1" x14ac:dyDescent="0.35">
      <c r="C174" s="190" t="s">
        <v>210</v>
      </c>
      <c r="D174" s="191">
        <f>SUM(D167:D173)</f>
        <v>0</v>
      </c>
      <c r="E174" s="191">
        <f>SUM(E167:E173)</f>
        <v>0</v>
      </c>
      <c r="F174" s="191">
        <f>SUM(F167:F173)</f>
        <v>0</v>
      </c>
      <c r="G174" s="188">
        <f t="shared" si="16"/>
        <v>0</v>
      </c>
    </row>
    <row r="175" spans="3:7" s="214" customFormat="1" ht="15.75" hidden="1" customHeight="1" x14ac:dyDescent="0.35">
      <c r="C175" s="215"/>
      <c r="D175" s="216"/>
      <c r="E175" s="216"/>
      <c r="F175" s="216"/>
      <c r="G175" s="218"/>
    </row>
    <row r="176" spans="3:7" ht="15.75" hidden="1" customHeight="1" x14ac:dyDescent="0.35">
      <c r="C176" s="474" t="s">
        <v>228</v>
      </c>
      <c r="D176" s="475"/>
      <c r="E176" s="475"/>
      <c r="F176" s="475"/>
      <c r="G176" s="476"/>
    </row>
    <row r="177" spans="3:7" ht="19.5" hidden="1" customHeight="1" thickBot="1" x14ac:dyDescent="0.4">
      <c r="C177" s="180" t="s">
        <v>202</v>
      </c>
      <c r="D177" s="181" t="e">
        <f>#REF!</f>
        <v>#REF!</v>
      </c>
      <c r="E177" s="181" t="e">
        <f>#REF!</f>
        <v>#REF!</v>
      </c>
      <c r="F177" s="181" t="e">
        <f>#REF!</f>
        <v>#REF!</v>
      </c>
      <c r="G177" s="182" t="e">
        <f t="shared" ref="G177:G185" si="17">SUM(D177:F177)</f>
        <v>#REF!</v>
      </c>
    </row>
    <row r="178" spans="3:7" ht="15.75" hidden="1" customHeight="1" x14ac:dyDescent="0.35">
      <c r="C178" s="183" t="s">
        <v>203</v>
      </c>
      <c r="D178" s="184"/>
      <c r="E178" s="212"/>
      <c r="F178" s="212"/>
      <c r="G178" s="185">
        <f t="shared" si="17"/>
        <v>0</v>
      </c>
    </row>
    <row r="179" spans="3:7" ht="15.75" hidden="1" customHeight="1" x14ac:dyDescent="0.35">
      <c r="C179" s="186" t="s">
        <v>204</v>
      </c>
      <c r="D179" s="187"/>
      <c r="E179" s="213"/>
      <c r="F179" s="213"/>
      <c r="G179" s="188">
        <f t="shared" si="17"/>
        <v>0</v>
      </c>
    </row>
    <row r="180" spans="3:7" ht="15.75" hidden="1" customHeight="1" x14ac:dyDescent="0.35">
      <c r="C180" s="186" t="s">
        <v>205</v>
      </c>
      <c r="D180" s="187"/>
      <c r="E180" s="187"/>
      <c r="F180" s="187"/>
      <c r="G180" s="188">
        <f t="shared" si="17"/>
        <v>0</v>
      </c>
    </row>
    <row r="181" spans="3:7" ht="15.75" hidden="1" customHeight="1" x14ac:dyDescent="0.35">
      <c r="C181" s="189" t="s">
        <v>206</v>
      </c>
      <c r="D181" s="187"/>
      <c r="E181" s="187"/>
      <c r="F181" s="187"/>
      <c r="G181" s="188">
        <f t="shared" si="17"/>
        <v>0</v>
      </c>
    </row>
    <row r="182" spans="3:7" ht="15.75" hidden="1" customHeight="1" x14ac:dyDescent="0.35">
      <c r="C182" s="186" t="s">
        <v>207</v>
      </c>
      <c r="D182" s="187"/>
      <c r="E182" s="187"/>
      <c r="F182" s="187"/>
      <c r="G182" s="188">
        <f t="shared" si="17"/>
        <v>0</v>
      </c>
    </row>
    <row r="183" spans="3:7" ht="15.75" hidden="1" customHeight="1" x14ac:dyDescent="0.35">
      <c r="C183" s="186" t="s">
        <v>208</v>
      </c>
      <c r="D183" s="187"/>
      <c r="E183" s="187"/>
      <c r="F183" s="187"/>
      <c r="G183" s="188">
        <f t="shared" si="17"/>
        <v>0</v>
      </c>
    </row>
    <row r="184" spans="3:7" ht="15.75" hidden="1" customHeight="1" x14ac:dyDescent="0.35">
      <c r="C184" s="186" t="s">
        <v>209</v>
      </c>
      <c r="D184" s="187"/>
      <c r="E184" s="187"/>
      <c r="F184" s="187"/>
      <c r="G184" s="188">
        <f t="shared" si="17"/>
        <v>0</v>
      </c>
    </row>
    <row r="185" spans="3:7" ht="15.75" hidden="1" customHeight="1" x14ac:dyDescent="0.35">
      <c r="C185" s="190" t="s">
        <v>210</v>
      </c>
      <c r="D185" s="191">
        <f>SUM(D178:D184)</f>
        <v>0</v>
      </c>
      <c r="E185" s="191">
        <f>SUM(E178:E184)</f>
        <v>0</v>
      </c>
      <c r="F185" s="191">
        <f>SUM(F178:F184)</f>
        <v>0</v>
      </c>
      <c r="G185" s="188">
        <f t="shared" si="17"/>
        <v>0</v>
      </c>
    </row>
    <row r="186" spans="3:7" s="214" customFormat="1" ht="15.75" hidden="1" customHeight="1" x14ac:dyDescent="0.35">
      <c r="C186" s="215"/>
      <c r="D186" s="216"/>
      <c r="E186" s="216"/>
      <c r="F186" s="216"/>
      <c r="G186" s="218"/>
    </row>
    <row r="187" spans="3:7" ht="15.75" hidden="1" customHeight="1" x14ac:dyDescent="0.35">
      <c r="C187" s="474" t="s">
        <v>229</v>
      </c>
      <c r="D187" s="475"/>
      <c r="E187" s="475"/>
      <c r="F187" s="475"/>
      <c r="G187" s="476"/>
    </row>
    <row r="188" spans="3:7" ht="22.5" hidden="1" customHeight="1" thickBot="1" x14ac:dyDescent="0.4">
      <c r="C188" s="180" t="s">
        <v>202</v>
      </c>
      <c r="D188" s="181" t="e">
        <f>#REF!</f>
        <v>#REF!</v>
      </c>
      <c r="E188" s="181" t="e">
        <f>#REF!</f>
        <v>#REF!</v>
      </c>
      <c r="F188" s="181" t="e">
        <f>#REF!</f>
        <v>#REF!</v>
      </c>
      <c r="G188" s="182" t="e">
        <f t="shared" ref="G188:G196" si="18">SUM(D188:F188)</f>
        <v>#REF!</v>
      </c>
    </row>
    <row r="189" spans="3:7" ht="15.75" hidden="1" customHeight="1" x14ac:dyDescent="0.35">
      <c r="C189" s="183" t="s">
        <v>203</v>
      </c>
      <c r="D189" s="184"/>
      <c r="E189" s="212"/>
      <c r="F189" s="212"/>
      <c r="G189" s="185">
        <f t="shared" si="18"/>
        <v>0</v>
      </c>
    </row>
    <row r="190" spans="3:7" ht="15.75" hidden="1" customHeight="1" x14ac:dyDescent="0.35">
      <c r="C190" s="186" t="s">
        <v>204</v>
      </c>
      <c r="D190" s="187"/>
      <c r="E190" s="213"/>
      <c r="F190" s="213"/>
      <c r="G190" s="188">
        <f t="shared" si="18"/>
        <v>0</v>
      </c>
    </row>
    <row r="191" spans="3:7" ht="15.75" hidden="1" customHeight="1" x14ac:dyDescent="0.35">
      <c r="C191" s="186" t="s">
        <v>205</v>
      </c>
      <c r="D191" s="187"/>
      <c r="E191" s="187"/>
      <c r="F191" s="187"/>
      <c r="G191" s="188">
        <f t="shared" si="18"/>
        <v>0</v>
      </c>
    </row>
    <row r="192" spans="3:7" ht="15.75" hidden="1" customHeight="1" x14ac:dyDescent="0.35">
      <c r="C192" s="189" t="s">
        <v>206</v>
      </c>
      <c r="D192" s="187"/>
      <c r="E192" s="187"/>
      <c r="F192" s="187"/>
      <c r="G192" s="188">
        <f t="shared" si="18"/>
        <v>0</v>
      </c>
    </row>
    <row r="193" spans="3:7" ht="15.75" hidden="1" customHeight="1" x14ac:dyDescent="0.35">
      <c r="C193" s="186" t="s">
        <v>207</v>
      </c>
      <c r="D193" s="187"/>
      <c r="E193" s="187"/>
      <c r="F193" s="187"/>
      <c r="G193" s="188">
        <f t="shared" si="18"/>
        <v>0</v>
      </c>
    </row>
    <row r="194" spans="3:7" ht="15.75" hidden="1" customHeight="1" x14ac:dyDescent="0.35">
      <c r="C194" s="186" t="s">
        <v>208</v>
      </c>
      <c r="D194" s="187"/>
      <c r="E194" s="187"/>
      <c r="F194" s="187"/>
      <c r="G194" s="188">
        <f t="shared" si="18"/>
        <v>0</v>
      </c>
    </row>
    <row r="195" spans="3:7" ht="15.75" hidden="1" customHeight="1" x14ac:dyDescent="0.35">
      <c r="C195" s="186" t="s">
        <v>209</v>
      </c>
      <c r="D195" s="187"/>
      <c r="E195" s="187"/>
      <c r="F195" s="187"/>
      <c r="G195" s="188">
        <f t="shared" si="18"/>
        <v>0</v>
      </c>
    </row>
    <row r="196" spans="3:7" ht="15.75" hidden="1" customHeight="1" x14ac:dyDescent="0.35">
      <c r="C196" s="190" t="s">
        <v>210</v>
      </c>
      <c r="D196" s="191">
        <f>SUM(D189:D195)</f>
        <v>0</v>
      </c>
      <c r="E196" s="191">
        <f>SUM(E189:E195)</f>
        <v>0</v>
      </c>
      <c r="F196" s="191">
        <f>SUM(F189:F195)</f>
        <v>0</v>
      </c>
      <c r="G196" s="188">
        <f t="shared" si="18"/>
        <v>0</v>
      </c>
    </row>
    <row r="197" spans="3:7" ht="15.75" hidden="1" customHeight="1" x14ac:dyDescent="0.35"/>
    <row r="198" spans="3:7" ht="15.75" hidden="1" customHeight="1" x14ac:dyDescent="0.35">
      <c r="C198" s="474" t="s">
        <v>217</v>
      </c>
      <c r="D198" s="475"/>
      <c r="E198" s="475"/>
      <c r="F198" s="475"/>
      <c r="G198" s="476"/>
    </row>
    <row r="199" spans="3:7" ht="19.5" hidden="1" customHeight="1" thickBot="1" x14ac:dyDescent="0.4">
      <c r="C199" s="180" t="s">
        <v>230</v>
      </c>
      <c r="D199" s="181" t="e">
        <f>#REF!</f>
        <v>#REF!</v>
      </c>
      <c r="E199" s="181" t="e">
        <f>#REF!</f>
        <v>#REF!</v>
      </c>
      <c r="F199" s="181" t="e">
        <f>#REF!</f>
        <v>#REF!</v>
      </c>
      <c r="G199" s="182" t="e">
        <f t="shared" ref="G199:G207" si="19">SUM(D199:F199)</f>
        <v>#REF!</v>
      </c>
    </row>
    <row r="200" spans="3:7" ht="15.75" hidden="1" customHeight="1" x14ac:dyDescent="0.35">
      <c r="C200" s="183" t="s">
        <v>203</v>
      </c>
      <c r="D200" s="184"/>
      <c r="E200" s="212"/>
      <c r="F200" s="212"/>
      <c r="G200" s="185">
        <f t="shared" si="19"/>
        <v>0</v>
      </c>
    </row>
    <row r="201" spans="3:7" ht="15.75" hidden="1" customHeight="1" x14ac:dyDescent="0.35">
      <c r="C201" s="186" t="s">
        <v>204</v>
      </c>
      <c r="D201" s="187"/>
      <c r="E201" s="213"/>
      <c r="F201" s="213"/>
      <c r="G201" s="188">
        <f t="shared" si="19"/>
        <v>0</v>
      </c>
    </row>
    <row r="202" spans="3:7" ht="15.75" hidden="1" customHeight="1" x14ac:dyDescent="0.35">
      <c r="C202" s="186" t="s">
        <v>205</v>
      </c>
      <c r="D202" s="187"/>
      <c r="E202" s="187"/>
      <c r="F202" s="187"/>
      <c r="G202" s="188">
        <f t="shared" si="19"/>
        <v>0</v>
      </c>
    </row>
    <row r="203" spans="3:7" ht="15.75" hidden="1" customHeight="1" x14ac:dyDescent="0.35">
      <c r="C203" s="189" t="s">
        <v>206</v>
      </c>
      <c r="D203" s="187"/>
      <c r="E203" s="187"/>
      <c r="F203" s="187"/>
      <c r="G203" s="188">
        <f t="shared" si="19"/>
        <v>0</v>
      </c>
    </row>
    <row r="204" spans="3:7" ht="15.75" hidden="1" customHeight="1" x14ac:dyDescent="0.35">
      <c r="C204" s="186" t="s">
        <v>207</v>
      </c>
      <c r="D204" s="187"/>
      <c r="E204" s="187"/>
      <c r="F204" s="187"/>
      <c r="G204" s="188">
        <f t="shared" si="19"/>
        <v>0</v>
      </c>
    </row>
    <row r="205" spans="3:7" ht="15.75" hidden="1" customHeight="1" x14ac:dyDescent="0.35">
      <c r="C205" s="186" t="s">
        <v>208</v>
      </c>
      <c r="D205" s="187"/>
      <c r="E205" s="187"/>
      <c r="F205" s="187"/>
      <c r="G205" s="188">
        <f t="shared" si="19"/>
        <v>0</v>
      </c>
    </row>
    <row r="206" spans="3:7" ht="15.75" hidden="1" customHeight="1" x14ac:dyDescent="0.35">
      <c r="C206" s="186" t="s">
        <v>209</v>
      </c>
      <c r="D206" s="187"/>
      <c r="E206" s="187"/>
      <c r="F206" s="187"/>
      <c r="G206" s="188">
        <f t="shared" si="19"/>
        <v>0</v>
      </c>
    </row>
    <row r="207" spans="3:7" ht="15.75" hidden="1" customHeight="1" x14ac:dyDescent="0.35">
      <c r="C207" s="190" t="s">
        <v>210</v>
      </c>
      <c r="D207" s="191">
        <f>SUM(D200:D206)</f>
        <v>0</v>
      </c>
      <c r="E207" s="191">
        <f>SUM(E200:E206)</f>
        <v>0</v>
      </c>
      <c r="F207" s="191">
        <f>SUM(F200:F206)</f>
        <v>0</v>
      </c>
      <c r="G207" s="188">
        <f t="shared" si="19"/>
        <v>0</v>
      </c>
    </row>
    <row r="208" spans="3:7" ht="15.75" customHeight="1" thickBot="1" x14ac:dyDescent="0.4"/>
    <row r="209" spans="3:13" ht="19.5" customHeight="1" thickBot="1" x14ac:dyDescent="0.4">
      <c r="C209" s="467" t="s">
        <v>175</v>
      </c>
      <c r="D209" s="468"/>
      <c r="E209" s="468"/>
      <c r="F209" s="468"/>
      <c r="G209" s="469"/>
    </row>
    <row r="210" spans="3:13" ht="19.5" customHeight="1" x14ac:dyDescent="0.35">
      <c r="C210" s="229"/>
      <c r="D210" s="470" t="s">
        <v>4</v>
      </c>
      <c r="E210" s="470" t="s">
        <v>5</v>
      </c>
      <c r="F210" s="470" t="e">
        <f>#REF!</f>
        <v>#REF!</v>
      </c>
      <c r="G210" s="472" t="s">
        <v>175</v>
      </c>
    </row>
    <row r="211" spans="3:13" ht="19.5" customHeight="1" x14ac:dyDescent="0.35">
      <c r="C211" s="229"/>
      <c r="D211" s="471"/>
      <c r="E211" s="471"/>
      <c r="F211" s="471"/>
      <c r="G211" s="473"/>
    </row>
    <row r="212" spans="3:13" ht="19.5" customHeight="1" x14ac:dyDescent="0.35">
      <c r="C212" s="230" t="s">
        <v>203</v>
      </c>
      <c r="D212" s="231">
        <f>D41+D30+D19+D8+D86+D53+D64+D75+D98</f>
        <v>494334.16000000003</v>
      </c>
      <c r="E212" s="231">
        <f>E41+E30+E19+E8+E86+E53+E64+E75+E98</f>
        <v>568224.57000000007</v>
      </c>
      <c r="F212" s="231" t="e">
        <f>SUM(F189,F178,F167,F156,F144,F133,F122,F111,#REF!,F75,F64,F53,F41,F30,F19,F8,F200)</f>
        <v>#REF!</v>
      </c>
      <c r="G212" s="232">
        <f>D212+E212</f>
        <v>1062558.73</v>
      </c>
    </row>
    <row r="213" spans="3:13" ht="34.5" customHeight="1" x14ac:dyDescent="0.35">
      <c r="C213" s="230" t="s">
        <v>204</v>
      </c>
      <c r="D213" s="231">
        <f>D42+D31+D20+D9+D87+D54+D65+D76</f>
        <v>17924.28</v>
      </c>
      <c r="E213" s="231">
        <f>E42+E31+E20+E9+E87+E54+E65+E76</f>
        <v>21282.935000000001</v>
      </c>
      <c r="F213" s="231" t="e">
        <f>SUM(F190,F179,F168,F157,F145,F134,F123,F112,#REF!,F76,F65,F54,F42,F31,F20,F9,F201)</f>
        <v>#REF!</v>
      </c>
      <c r="G213" s="232">
        <f>D213+E213</f>
        <v>39207.214999999997</v>
      </c>
    </row>
    <row r="214" spans="3:13" ht="48" customHeight="1" x14ac:dyDescent="0.35">
      <c r="C214" s="230" t="s">
        <v>205</v>
      </c>
      <c r="D214" s="231">
        <f>D43+D32+D21+D10+D88+D55+D66+D77</f>
        <v>35848.559999999998</v>
      </c>
      <c r="E214" s="231">
        <f>E43+E32+E21+E10+E88+E55+E66+E77</f>
        <v>42565.87</v>
      </c>
      <c r="F214" s="231" t="e">
        <f>SUM(F191,F180,F169,F158,F146,F135,F124,F113,#REF!,F77,F66,F55,F43,F32,F21,F10,F202)</f>
        <v>#REF!</v>
      </c>
      <c r="G214" s="232">
        <f t="shared" ref="G214:G220" si="20">D214+E214</f>
        <v>78414.429999999993</v>
      </c>
    </row>
    <row r="215" spans="3:13" ht="33" customHeight="1" x14ac:dyDescent="0.35">
      <c r="C215" s="233" t="s">
        <v>206</v>
      </c>
      <c r="D215" s="231">
        <f>D44+D33+D22+D11+D89+D56+D67+D78+D101</f>
        <v>1049812.56</v>
      </c>
      <c r="E215" s="231">
        <f>E44+E33+E22+E11+E89+E56+E67+E78+E101</f>
        <v>1328312.2200000002</v>
      </c>
      <c r="F215" s="231" t="e">
        <f>SUM(F192,F181,F170,F159,F147,F136,F125,F114,#REF!,F78,F67,F56,F44,F33,F22,F11,F203)</f>
        <v>#REF!</v>
      </c>
      <c r="G215" s="232">
        <f t="shared" si="20"/>
        <v>2378124.7800000003</v>
      </c>
    </row>
    <row r="216" spans="3:13" ht="21" customHeight="1" x14ac:dyDescent="0.35">
      <c r="C216" s="230" t="s">
        <v>207</v>
      </c>
      <c r="D216" s="231">
        <f>D45+D34+D23+D12+D90+D57+D68+D79+D102</f>
        <v>139621.4</v>
      </c>
      <c r="E216" s="231">
        <f>E45+E34+E23+E12+E90+E57+E68+E79+E102</f>
        <v>156414.67499999999</v>
      </c>
      <c r="F216" s="231" t="e">
        <f>SUM(F193,F182,F171,F160,F148,F137,F126,F115,#REF!,F79,F68,F57,F45,F34,F23,F12,F204)</f>
        <v>#REF!</v>
      </c>
      <c r="G216" s="232">
        <f t="shared" si="20"/>
        <v>296036.07499999995</v>
      </c>
      <c r="K216" s="234"/>
      <c r="L216" s="234"/>
      <c r="M216" s="235"/>
    </row>
    <row r="217" spans="3:13" ht="39.75" customHeight="1" x14ac:dyDescent="0.35">
      <c r="C217" s="230" t="s">
        <v>208</v>
      </c>
      <c r="D217" s="231">
        <f>D46+D35+D24+D13+D91+D58+D69+D80</f>
        <v>53772.840000000004</v>
      </c>
      <c r="E217" s="231">
        <f>E46+E35+E24+E13+E91+E58+E69+E80</f>
        <v>63848.804999999993</v>
      </c>
      <c r="F217" s="231" t="e">
        <f>SUM(F194,F183,F172,F161,F149,F138,F127,F116,#REF!,F80,F69,F58,F46,F35,F24,F13,F205)</f>
        <v>#REF!</v>
      </c>
      <c r="G217" s="232">
        <f t="shared" si="20"/>
        <v>117621.64499999999</v>
      </c>
      <c r="K217" s="234"/>
      <c r="L217" s="234"/>
      <c r="M217" s="235"/>
    </row>
    <row r="218" spans="3:13" ht="30.65" customHeight="1" x14ac:dyDescent="0.35">
      <c r="C218" s="230" t="s">
        <v>231</v>
      </c>
      <c r="D218" s="236">
        <f>D14+D25+D36+D47+D92+D59+D70+D81+D104</f>
        <v>316114.2</v>
      </c>
      <c r="E218" s="236">
        <f>E14+E25+E36+E47+E92+E59+E70+E81+E104</f>
        <v>384820.42499999993</v>
      </c>
      <c r="F218" s="236" t="e">
        <f>SUM(F195,F184,F173,F162,F150,F139,F128,F117,#REF!,F81,F70,F59,F47,F36,F25,F14,F206)</f>
        <v>#REF!</v>
      </c>
      <c r="G218" s="232">
        <f t="shared" si="20"/>
        <v>700934.625</v>
      </c>
      <c r="K218" s="234"/>
      <c r="L218" s="234"/>
      <c r="M218" s="235"/>
    </row>
    <row r="219" spans="3:13" ht="22.5" customHeight="1" x14ac:dyDescent="0.35">
      <c r="C219" s="237" t="s">
        <v>232</v>
      </c>
      <c r="D219" s="238">
        <f>SUM(D212:D218)</f>
        <v>2107428</v>
      </c>
      <c r="E219" s="238">
        <f>SUM(E212:E218)</f>
        <v>2565469.5</v>
      </c>
      <c r="F219" s="239" t="e">
        <f>SUM(F212:F218)</f>
        <v>#REF!</v>
      </c>
      <c r="G219" s="240">
        <f t="shared" si="20"/>
        <v>4672897.5</v>
      </c>
      <c r="K219" s="234"/>
      <c r="L219" s="234"/>
      <c r="M219" s="235"/>
    </row>
    <row r="220" spans="3:13" ht="26.25" customHeight="1" thickBot="1" x14ac:dyDescent="0.4">
      <c r="C220" s="241" t="s">
        <v>233</v>
      </c>
      <c r="D220" s="242">
        <f>D219*0.07</f>
        <v>147519.96000000002</v>
      </c>
      <c r="E220" s="242">
        <f t="shared" ref="E220:F220" si="21">E219*0.07</f>
        <v>179582.86500000002</v>
      </c>
      <c r="F220" s="242" t="e">
        <f t="shared" si="21"/>
        <v>#REF!</v>
      </c>
      <c r="G220" s="232">
        <f t="shared" si="20"/>
        <v>327102.82500000007</v>
      </c>
      <c r="K220" s="243"/>
      <c r="L220" s="244"/>
      <c r="M220" s="214"/>
    </row>
    <row r="221" spans="3:13" ht="23.25" customHeight="1" thickBot="1" x14ac:dyDescent="0.4">
      <c r="C221" s="245" t="s">
        <v>234</v>
      </c>
      <c r="D221" s="246">
        <f>SUM(D219:D220)</f>
        <v>2254947.96</v>
      </c>
      <c r="E221" s="246">
        <f>SUM(E219:E220)</f>
        <v>2745052.3650000002</v>
      </c>
      <c r="F221" s="246" t="e">
        <f t="shared" ref="F221" si="22">SUM(F219:F220)</f>
        <v>#REF!</v>
      </c>
      <c r="G221" s="247">
        <f>E221+D221</f>
        <v>5000000.3250000002</v>
      </c>
      <c r="K221" s="243"/>
      <c r="L221" s="244"/>
      <c r="M221" s="214"/>
    </row>
    <row r="222" spans="3:13" ht="15.75" customHeight="1" x14ac:dyDescent="0.35">
      <c r="L222" s="248"/>
    </row>
    <row r="223" spans="3:13" ht="15.75" customHeight="1" x14ac:dyDescent="0.35">
      <c r="E223" s="343">
        <f>E221-728432</f>
        <v>2016620.3650000002</v>
      </c>
      <c r="H223" s="249"/>
      <c r="I223" s="249"/>
      <c r="L223" s="248"/>
    </row>
    <row r="224" spans="3:13" ht="15.75" customHeight="1" x14ac:dyDescent="0.35">
      <c r="H224" s="249"/>
      <c r="I224" s="249"/>
    </row>
    <row r="225" spans="3:13" ht="40.5" customHeight="1" x14ac:dyDescent="0.35">
      <c r="H225" s="249"/>
      <c r="I225" s="249"/>
      <c r="L225" s="250"/>
    </row>
    <row r="226" spans="3:13" ht="24.75" customHeight="1" x14ac:dyDescent="0.35">
      <c r="H226" s="249"/>
      <c r="I226" s="249"/>
      <c r="L226" s="250"/>
    </row>
    <row r="227" spans="3:13" ht="41.25" customHeight="1" x14ac:dyDescent="0.35">
      <c r="H227" s="251"/>
      <c r="I227" s="249"/>
      <c r="L227" s="250"/>
    </row>
    <row r="228" spans="3:13" ht="51.75" customHeight="1" x14ac:dyDescent="0.35">
      <c r="H228" s="251"/>
      <c r="I228" s="249"/>
      <c r="L228" s="250"/>
    </row>
    <row r="229" spans="3:13" ht="42" customHeight="1" x14ac:dyDescent="0.35">
      <c r="H229" s="249"/>
      <c r="I229" s="249"/>
      <c r="L229" s="250"/>
    </row>
    <row r="230" spans="3:13" s="214" customFormat="1" ht="42" customHeight="1" x14ac:dyDescent="0.35">
      <c r="C230" s="174"/>
      <c r="G230" s="174"/>
      <c r="H230" s="174"/>
      <c r="I230" s="249"/>
      <c r="J230" s="174"/>
      <c r="K230" s="174"/>
      <c r="L230" s="250"/>
      <c r="M230" s="174"/>
    </row>
    <row r="231" spans="3:13" s="214" customFormat="1" ht="42" customHeight="1" x14ac:dyDescent="0.35">
      <c r="C231" s="174"/>
      <c r="G231" s="174"/>
      <c r="H231" s="174"/>
      <c r="I231" s="249"/>
      <c r="J231" s="174"/>
      <c r="K231" s="174"/>
      <c r="L231" s="174"/>
      <c r="M231" s="174"/>
    </row>
    <row r="232" spans="3:13" s="214" customFormat="1" ht="63.75" customHeight="1" x14ac:dyDescent="0.35">
      <c r="C232" s="174"/>
      <c r="G232" s="174"/>
      <c r="H232" s="174"/>
      <c r="I232" s="248"/>
      <c r="J232" s="174"/>
      <c r="K232" s="174"/>
      <c r="L232" s="174"/>
      <c r="M232" s="174"/>
    </row>
    <row r="233" spans="3:13" s="214" customFormat="1" ht="42" customHeight="1" x14ac:dyDescent="0.35">
      <c r="C233" s="174"/>
      <c r="G233" s="174"/>
      <c r="H233" s="174"/>
      <c r="I233" s="174"/>
      <c r="J233" s="174"/>
      <c r="K233" s="174"/>
      <c r="L233" s="174"/>
      <c r="M233" s="248"/>
    </row>
    <row r="234" spans="3:13" ht="23.25" customHeight="1" x14ac:dyDescent="0.35"/>
    <row r="235" spans="3:13" ht="27.75" customHeight="1" x14ac:dyDescent="0.35"/>
    <row r="236" spans="3:13" ht="55.5" customHeight="1" x14ac:dyDescent="0.35"/>
    <row r="237" spans="3:13" ht="57.75" customHeight="1" x14ac:dyDescent="0.35"/>
    <row r="238" spans="3:13" ht="21.75" customHeight="1" x14ac:dyDescent="0.35"/>
    <row r="239" spans="3:13" ht="49.5" customHeight="1" x14ac:dyDescent="0.35"/>
    <row r="240" spans="3:13" ht="28.5" customHeight="1" x14ac:dyDescent="0.35"/>
    <row r="241" spans="14:14" ht="28.5" customHeight="1" x14ac:dyDescent="0.35"/>
    <row r="242" spans="14:14" ht="28.5" customHeight="1" x14ac:dyDescent="0.35"/>
    <row r="243" spans="14:14" ht="23.25" customHeight="1" x14ac:dyDescent="0.35">
      <c r="N243" s="248"/>
    </row>
    <row r="244" spans="14:14" ht="43.5" customHeight="1" x14ac:dyDescent="0.35">
      <c r="N244" s="248"/>
    </row>
    <row r="245" spans="14:14" ht="55.5" customHeight="1" x14ac:dyDescent="0.35"/>
    <row r="246" spans="14:14" ht="42.75" customHeight="1" x14ac:dyDescent="0.35">
      <c r="N246" s="248"/>
    </row>
    <row r="247" spans="14:14" ht="21.75" customHeight="1" x14ac:dyDescent="0.35">
      <c r="N247" s="248"/>
    </row>
    <row r="248" spans="14:14" ht="21.75" customHeight="1" x14ac:dyDescent="0.35">
      <c r="N248" s="248"/>
    </row>
    <row r="249" spans="14:14" ht="23.25" customHeight="1" x14ac:dyDescent="0.35"/>
    <row r="250" spans="14:14" ht="23.25" customHeight="1" x14ac:dyDescent="0.35"/>
    <row r="251" spans="14:14" ht="21.75" customHeight="1" x14ac:dyDescent="0.35"/>
    <row r="252" spans="14:14" ht="16.5" customHeight="1" x14ac:dyDescent="0.35"/>
    <row r="253" spans="14:14" ht="29.25" customHeight="1" x14ac:dyDescent="0.35"/>
    <row r="254" spans="14:14" ht="24.75" customHeight="1" x14ac:dyDescent="0.35"/>
    <row r="255" spans="14:14" ht="33" customHeight="1" x14ac:dyDescent="0.35"/>
    <row r="257" ht="15" customHeight="1" x14ac:dyDescent="0.35"/>
    <row r="258" ht="25.5" customHeight="1" x14ac:dyDescent="0.35"/>
  </sheetData>
  <sheetProtection insertColumns="0" insertRows="0" deleteRows="0"/>
  <mergeCells count="29">
    <mergeCell ref="C84:G84"/>
    <mergeCell ref="C1:F1"/>
    <mergeCell ref="C2:E2"/>
    <mergeCell ref="B5:G5"/>
    <mergeCell ref="C6:G6"/>
    <mergeCell ref="C17:G17"/>
    <mergeCell ref="C28:G28"/>
    <mergeCell ref="C38:G38"/>
    <mergeCell ref="B50:G50"/>
    <mergeCell ref="C51:G51"/>
    <mergeCell ref="C62:G62"/>
    <mergeCell ref="C73:G73"/>
    <mergeCell ref="C198:G198"/>
    <mergeCell ref="C96:G96"/>
    <mergeCell ref="B108:G108"/>
    <mergeCell ref="C109:G109"/>
    <mergeCell ref="C120:G120"/>
    <mergeCell ref="C131:G131"/>
    <mergeCell ref="C142:G142"/>
    <mergeCell ref="B153:G153"/>
    <mergeCell ref="C154:G154"/>
    <mergeCell ref="C165:G165"/>
    <mergeCell ref="C176:G176"/>
    <mergeCell ref="C187:G187"/>
    <mergeCell ref="C209:G209"/>
    <mergeCell ref="D210:D211"/>
    <mergeCell ref="E210:E211"/>
    <mergeCell ref="F210:F211"/>
    <mergeCell ref="G210:G211"/>
  </mergeCells>
  <conditionalFormatting sqref="G15">
    <cfRule type="cellIs" dxfId="39" priority="20" operator="notEqual">
      <formula>$G$7</formula>
    </cfRule>
  </conditionalFormatting>
  <conditionalFormatting sqref="G26">
    <cfRule type="cellIs" dxfId="38" priority="19" operator="notEqual">
      <formula>$G$18</formula>
    </cfRule>
  </conditionalFormatting>
  <conditionalFormatting sqref="G37">
    <cfRule type="cellIs" dxfId="37" priority="18" operator="notEqual">
      <formula>$G$29</formula>
    </cfRule>
  </conditionalFormatting>
  <conditionalFormatting sqref="G48">
    <cfRule type="cellIs" dxfId="36" priority="17" operator="notEqual">
      <formula>$G$40</formula>
    </cfRule>
  </conditionalFormatting>
  <conditionalFormatting sqref="G60">
    <cfRule type="cellIs" dxfId="35" priority="16" operator="notEqual">
      <formula>$G$52</formula>
    </cfRule>
  </conditionalFormatting>
  <conditionalFormatting sqref="G71">
    <cfRule type="cellIs" dxfId="34" priority="15" operator="notEqual">
      <formula>$G$63</formula>
    </cfRule>
  </conditionalFormatting>
  <conditionalFormatting sqref="G82 G84">
    <cfRule type="cellIs" dxfId="33" priority="14" operator="notEqual">
      <formula>$G$74</formula>
    </cfRule>
  </conditionalFormatting>
  <conditionalFormatting sqref="G93">
    <cfRule type="cellIs" dxfId="32" priority="3" operator="notEqual">
      <formula>$G$74</formula>
    </cfRule>
  </conditionalFormatting>
  <conditionalFormatting sqref="G96">
    <cfRule type="cellIs" dxfId="31" priority="2" operator="notEqual">
      <formula>$G$74</formula>
    </cfRule>
  </conditionalFormatting>
  <conditionalFormatting sqref="G105">
    <cfRule type="cellIs" dxfId="30" priority="1" operator="notEqual">
      <formula>$G$74</formula>
    </cfRule>
  </conditionalFormatting>
  <conditionalFormatting sqref="G118">
    <cfRule type="cellIs" dxfId="29" priority="13" operator="notEqual">
      <formula>$G$110</formula>
    </cfRule>
  </conditionalFormatting>
  <conditionalFormatting sqref="G129">
    <cfRule type="cellIs" dxfId="28" priority="12" operator="notEqual">
      <formula>$G$121</formula>
    </cfRule>
  </conditionalFormatting>
  <conditionalFormatting sqref="G140">
    <cfRule type="cellIs" dxfId="27" priority="11" operator="notEqual">
      <formula>$G$132</formula>
    </cfRule>
  </conditionalFormatting>
  <conditionalFormatting sqref="G151">
    <cfRule type="cellIs" dxfId="26" priority="10" operator="notEqual">
      <formula>$G$143</formula>
    </cfRule>
  </conditionalFormatting>
  <conditionalFormatting sqref="G163">
    <cfRule type="cellIs" dxfId="25" priority="9" operator="notEqual">
      <formula>$G$155</formula>
    </cfRule>
  </conditionalFormatting>
  <conditionalFormatting sqref="G174">
    <cfRule type="cellIs" dxfId="24" priority="8" operator="notEqual">
      <formula>$G$166</formula>
    </cfRule>
  </conditionalFormatting>
  <conditionalFormatting sqref="G185">
    <cfRule type="cellIs" dxfId="23" priority="7" operator="notEqual">
      <formula>$G$166</formula>
    </cfRule>
  </conditionalFormatting>
  <conditionalFormatting sqref="G196">
    <cfRule type="cellIs" dxfId="22" priority="6" operator="notEqual">
      <formula>$G$188</formula>
    </cfRule>
  </conditionalFormatting>
  <conditionalFormatting sqref="G207">
    <cfRule type="cellIs" dxfId="21" priority="5" operator="notEqual">
      <formula>$G$199</formula>
    </cfRule>
  </conditionalFormatting>
  <conditionalFormatting sqref="G221">
    <cfRule type="cellIs" dxfId="20" priority="4" operator="notEqual">
      <formula>#REF!</formula>
    </cfRule>
  </conditionalFormatting>
  <dataValidations count="8">
    <dataValidation allowBlank="1" showInputMessage="1" showErrorMessage="1" prompt="Output totals must match the original total from Table 1, and will show as red if not. " sqref="G15" xr:uid="{E6F7C867-8706-4874-8B84-83F51AFC4CF9}"/>
    <dataValidation allowBlank="1" showInputMessage="1" showErrorMessage="1" prompt="Includes all related staff and temporary staff costs including base salary, post adjustment and all staff entitlements." sqref="C8 C19 C30 C41 C53 C64 C75 C111 C122 C133 C144 C156 C167 C178 C189 C212 C200 C86 C98" xr:uid="{AFF533EE-4386-4354-B27C-E1B54E309666}"/>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112 C123 C134 C145 C157 C168 C179 C190 C213 C201 C87 C99" xr:uid="{A6C35CE9-01A3-465E-B755-061E78BF15BC}"/>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113 C124 C135 C146 C158 C169 C180 C191 C214 C202 C88 C100" xr:uid="{7CA67E97-53BC-4420-B84D-B5C5EC374FB3}"/>
    <dataValidation allowBlank="1" showInputMessage="1" showErrorMessage="1" prompt="Includes staff and non-staff travel paid for by the organization directly related to a project." sqref="C12 C23 C34 C45 C57 C68 C79 C115 C126 C137 C148 C160 C171 C182 C193 C216 C204 C90 C102" xr:uid="{943512DF-2903-4FFC-9DD8-293EAC923E13}"/>
    <dataValidation allowBlank="1" showInputMessage="1" showErrorMessage="1" prompt="Services contracted by an organization which follow the normal procurement processes." sqref="C11 C22 C33 C44 C56 C67 C78 C114 C125 C136 C147 C159 C170 C181 C192 C215 C203 C89 C101" xr:uid="{25EA6F76-20D9-47EE-881E-24668EDF6537}"/>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116 C127 C138 C149 C161 C172 C183 C194 C217 C205 C91 C103" xr:uid="{367290F8-2302-45FD-B204-A92F60D7B40C}"/>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117 C128 C139 C150 C162 C173 C184 C195 C218 C206 C92 C104" xr:uid="{88896945-C20B-4F04-912D-0458C4587904}"/>
  </dataValidations>
  <pageMargins left="0.7" right="0.7" top="0.75" bottom="0.75" header="0.3" footer="0.3"/>
  <pageSetup scale="74" orientation="landscape" r:id="rId1"/>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967F-1383-4DFA-8AB1-2BB56EE00DDC}">
  <sheetPr>
    <tabColor rgb="FFFF66CC"/>
  </sheetPr>
  <dimension ref="B1:N258"/>
  <sheetViews>
    <sheetView showGridLines="0" showZeros="0" zoomScale="80" zoomScaleNormal="80" workbookViewId="0">
      <pane ySplit="4" topLeftCell="A88" activePane="bottomLeft" state="frozen"/>
      <selection pane="bottomLeft" activeCell="E58" sqref="E58"/>
    </sheetView>
  </sheetViews>
  <sheetFormatPr defaultColWidth="9.1796875" defaultRowHeight="15.5" x14ac:dyDescent="0.35"/>
  <cols>
    <col min="1" max="1" width="4.453125" style="174" customWidth="1"/>
    <col min="2" max="2" width="3.26953125" style="174" customWidth="1"/>
    <col min="3" max="3" width="51.453125" style="174" customWidth="1"/>
    <col min="4" max="4" width="34.26953125" style="214" customWidth="1"/>
    <col min="5" max="5" width="35" style="214" customWidth="1"/>
    <col min="6" max="6" width="36.453125" style="214" customWidth="1"/>
    <col min="7" max="7" width="25.54296875" style="174" customWidth="1"/>
    <col min="8" max="8" width="21.453125" style="174" customWidth="1"/>
    <col min="9" max="9" width="16.81640625" style="174" customWidth="1"/>
    <col min="10" max="10" width="19.453125" style="174" customWidth="1"/>
    <col min="11" max="11" width="19" style="174" customWidth="1"/>
    <col min="12" max="12" width="26" style="174" customWidth="1"/>
    <col min="13" max="13" width="21.1796875" style="174" customWidth="1"/>
    <col min="14" max="14" width="7" style="174" customWidth="1"/>
    <col min="15" max="15" width="24.26953125" style="174" customWidth="1"/>
    <col min="16" max="16" width="26.453125" style="174" customWidth="1"/>
    <col min="17" max="17" width="30.1796875" style="174" customWidth="1"/>
    <col min="18" max="18" width="33" style="174" customWidth="1"/>
    <col min="19" max="20" width="22.54296875" style="174" customWidth="1"/>
    <col min="21" max="21" width="23.453125" style="174" customWidth="1"/>
    <col min="22" max="22" width="32.1796875" style="174" customWidth="1"/>
    <col min="23" max="23" width="9.1796875" style="174"/>
    <col min="24" max="24" width="17.54296875" style="174" customWidth="1"/>
    <col min="25" max="25" width="26.453125" style="174" customWidth="1"/>
    <col min="26" max="26" width="22.453125" style="174" customWidth="1"/>
    <col min="27" max="27" width="29.54296875" style="174" customWidth="1"/>
    <col min="28" max="28" width="23.453125" style="174" customWidth="1"/>
    <col min="29" max="29" width="18.453125" style="174" customWidth="1"/>
    <col min="30" max="30" width="17.453125" style="174" customWidth="1"/>
    <col min="31" max="31" width="25.1796875" style="174" customWidth="1"/>
    <col min="32" max="16384" width="9.1796875" style="174"/>
  </cols>
  <sheetData>
    <row r="1" spans="2:13" ht="31.5" customHeight="1" x14ac:dyDescent="1">
      <c r="C1" s="428" t="s">
        <v>0</v>
      </c>
      <c r="D1" s="428"/>
      <c r="E1" s="428"/>
      <c r="F1" s="428"/>
      <c r="G1" s="2"/>
      <c r="H1" s="3"/>
      <c r="I1" s="3"/>
      <c r="L1" s="178"/>
      <c r="M1" s="179"/>
    </row>
    <row r="2" spans="2:13" ht="24" customHeight="1" x14ac:dyDescent="0.45">
      <c r="C2" s="429" t="s">
        <v>199</v>
      </c>
      <c r="D2" s="429"/>
      <c r="E2" s="429"/>
      <c r="F2" s="211"/>
      <c r="L2" s="178"/>
      <c r="M2" s="179"/>
    </row>
    <row r="3" spans="2:13" ht="24" customHeight="1" x14ac:dyDescent="0.35">
      <c r="C3" s="175"/>
      <c r="D3" s="175"/>
      <c r="E3" s="175"/>
      <c r="F3" s="175"/>
      <c r="L3" s="178"/>
      <c r="M3" s="179"/>
    </row>
    <row r="4" spans="2:13" ht="24" customHeight="1" x14ac:dyDescent="0.35">
      <c r="C4" s="175"/>
      <c r="D4" s="176" t="s">
        <v>4</v>
      </c>
      <c r="E4" s="176" t="s">
        <v>5</v>
      </c>
      <c r="F4" s="176" t="s">
        <v>6</v>
      </c>
      <c r="G4" s="177" t="s">
        <v>179</v>
      </c>
      <c r="L4" s="178"/>
      <c r="M4" s="179"/>
    </row>
    <row r="5" spans="2:13" ht="24" customHeight="1" x14ac:dyDescent="0.35">
      <c r="B5" s="474" t="s">
        <v>200</v>
      </c>
      <c r="C5" s="475"/>
      <c r="D5" s="475"/>
      <c r="E5" s="475"/>
      <c r="F5" s="475"/>
      <c r="G5" s="476"/>
      <c r="L5" s="178"/>
      <c r="M5" s="179"/>
    </row>
    <row r="6" spans="2:13" ht="22.5" customHeight="1" x14ac:dyDescent="0.35">
      <c r="C6" s="474" t="s">
        <v>201</v>
      </c>
      <c r="D6" s="475"/>
      <c r="E6" s="475"/>
      <c r="F6" s="475"/>
      <c r="G6" s="476"/>
      <c r="L6" s="178"/>
      <c r="M6" s="179"/>
    </row>
    <row r="7" spans="2:13" ht="24.75" customHeight="1" thickBot="1" x14ac:dyDescent="0.4">
      <c r="C7" s="180" t="s">
        <v>202</v>
      </c>
      <c r="D7" s="181">
        <f>'1) Budget Table Report'!I16</f>
        <v>90000</v>
      </c>
      <c r="E7" s="181">
        <f>'1) Budget Table Report'!J16</f>
        <v>70000</v>
      </c>
      <c r="F7" s="181" t="e">
        <f>#REF!</f>
        <v>#REF!</v>
      </c>
      <c r="G7" s="182">
        <f>SUM(D7:E7)</f>
        <v>160000</v>
      </c>
      <c r="L7" s="178"/>
      <c r="M7" s="179"/>
    </row>
    <row r="8" spans="2:13" ht="21.75" customHeight="1" x14ac:dyDescent="0.35">
      <c r="C8" s="183" t="s">
        <v>203</v>
      </c>
      <c r="D8" s="184">
        <f>D7*0.22</f>
        <v>19800</v>
      </c>
      <c r="E8" s="184">
        <f>E7*0.22</f>
        <v>15400</v>
      </c>
      <c r="F8" s="212"/>
      <c r="G8" s="185">
        <f t="shared" ref="G8:G15" si="0">SUM(D8:F8)</f>
        <v>35200</v>
      </c>
      <c r="I8" s="174">
        <v>22</v>
      </c>
    </row>
    <row r="9" spans="2:13" x14ac:dyDescent="0.35">
      <c r="C9" s="186" t="s">
        <v>204</v>
      </c>
      <c r="D9" s="187">
        <f>D7*0.01</f>
        <v>900</v>
      </c>
      <c r="E9" s="187">
        <f>E7*0.01</f>
        <v>700</v>
      </c>
      <c r="F9" s="213"/>
      <c r="G9" s="188">
        <f t="shared" si="0"/>
        <v>1600</v>
      </c>
      <c r="I9" s="174">
        <v>1</v>
      </c>
    </row>
    <row r="10" spans="2:13" ht="15.75" customHeight="1" x14ac:dyDescent="0.35">
      <c r="C10" s="186" t="s">
        <v>205</v>
      </c>
      <c r="D10" s="187">
        <f>D7*0.02</f>
        <v>1800</v>
      </c>
      <c r="E10" s="187">
        <f>E7*0.02</f>
        <v>1400</v>
      </c>
      <c r="F10" s="187"/>
      <c r="G10" s="188">
        <f t="shared" si="0"/>
        <v>3200</v>
      </c>
      <c r="I10" s="174">
        <v>2</v>
      </c>
    </row>
    <row r="11" spans="2:13" x14ac:dyDescent="0.35">
      <c r="C11" s="189" t="s">
        <v>206</v>
      </c>
      <c r="D11" s="187">
        <f>D7*0.52</f>
        <v>46800</v>
      </c>
      <c r="E11" s="187">
        <f>E7*0.52</f>
        <v>36400</v>
      </c>
      <c r="F11" s="187"/>
      <c r="G11" s="188"/>
      <c r="I11" s="174">
        <v>52</v>
      </c>
    </row>
    <row r="12" spans="2:13" x14ac:dyDescent="0.35">
      <c r="C12" s="186" t="s">
        <v>207</v>
      </c>
      <c r="D12" s="187">
        <f>D7*0.05</f>
        <v>4500</v>
      </c>
      <c r="E12" s="187">
        <f>E7*0.05</f>
        <v>3500</v>
      </c>
      <c r="F12" s="187"/>
      <c r="G12" s="188">
        <f t="shared" si="0"/>
        <v>8000</v>
      </c>
      <c r="I12" s="174">
        <v>5</v>
      </c>
    </row>
    <row r="13" spans="2:13" ht="21.75" customHeight="1" x14ac:dyDescent="0.35">
      <c r="C13" s="186" t="s">
        <v>208</v>
      </c>
      <c r="D13" s="187">
        <f>D7*0.03</f>
        <v>2700</v>
      </c>
      <c r="E13" s="187">
        <f>E7*0.03</f>
        <v>2100</v>
      </c>
      <c r="F13" s="187"/>
      <c r="G13" s="188">
        <f t="shared" si="0"/>
        <v>4800</v>
      </c>
      <c r="I13" s="174">
        <v>3</v>
      </c>
    </row>
    <row r="14" spans="2:13" ht="21.75" customHeight="1" x14ac:dyDescent="0.35">
      <c r="C14" s="186" t="s">
        <v>209</v>
      </c>
      <c r="D14" s="187">
        <f>D7*0.15</f>
        <v>13500</v>
      </c>
      <c r="E14" s="187">
        <f>E7*0.15</f>
        <v>10500</v>
      </c>
      <c r="F14" s="187"/>
      <c r="G14" s="188">
        <f t="shared" si="0"/>
        <v>24000</v>
      </c>
      <c r="I14" s="174">
        <v>15</v>
      </c>
    </row>
    <row r="15" spans="2:13" ht="15.75" customHeight="1" x14ac:dyDescent="0.35">
      <c r="C15" s="190" t="s">
        <v>210</v>
      </c>
      <c r="D15" s="191">
        <f>SUM(D8:D14)</f>
        <v>90000</v>
      </c>
      <c r="E15" s="191">
        <f>SUM(E8:E14)</f>
        <v>70000</v>
      </c>
      <c r="F15" s="191">
        <f>SUM(F8:F14)</f>
        <v>0</v>
      </c>
      <c r="G15" s="192">
        <f t="shared" si="0"/>
        <v>160000</v>
      </c>
      <c r="I15" s="5">
        <f>SUM(I8:I14)</f>
        <v>100</v>
      </c>
    </row>
    <row r="16" spans="2:13" s="214" customFormat="1" x14ac:dyDescent="0.35">
      <c r="C16" s="215"/>
      <c r="D16" s="216"/>
      <c r="E16" s="216"/>
      <c r="F16" s="216"/>
      <c r="G16" s="217"/>
    </row>
    <row r="17" spans="3:7" x14ac:dyDescent="0.35">
      <c r="C17" s="474" t="s">
        <v>211</v>
      </c>
      <c r="D17" s="475"/>
      <c r="E17" s="475"/>
      <c r="F17" s="475"/>
      <c r="G17" s="476"/>
    </row>
    <row r="18" spans="3:7" ht="27" customHeight="1" thickBot="1" x14ac:dyDescent="0.4">
      <c r="C18" s="180" t="s">
        <v>202</v>
      </c>
      <c r="D18" s="181">
        <f>'1) Budget Table Report'!I21</f>
        <v>0</v>
      </c>
      <c r="E18" s="181">
        <f>'1) Budget Table Report'!J21</f>
        <v>70000</v>
      </c>
      <c r="F18" s="181" t="e">
        <f>#REF!</f>
        <v>#REF!</v>
      </c>
      <c r="G18" s="182">
        <f>SUM(D18:E18)</f>
        <v>70000</v>
      </c>
    </row>
    <row r="19" spans="3:7" x14ac:dyDescent="0.35">
      <c r="C19" s="183" t="s">
        <v>203</v>
      </c>
      <c r="D19" s="184">
        <f>D18*0.22</f>
        <v>0</v>
      </c>
      <c r="E19" s="184">
        <f>E18*0.22</f>
        <v>15400</v>
      </c>
      <c r="F19" s="212"/>
      <c r="G19" s="185">
        <f t="shared" ref="G19:G26" si="1">SUM(D19:F19)</f>
        <v>15400</v>
      </c>
    </row>
    <row r="20" spans="3:7" x14ac:dyDescent="0.35">
      <c r="C20" s="186" t="s">
        <v>204</v>
      </c>
      <c r="D20" s="187">
        <f>D18*0.01</f>
        <v>0</v>
      </c>
      <c r="E20" s="187">
        <f>E18*0.01</f>
        <v>700</v>
      </c>
      <c r="F20" s="213"/>
      <c r="G20" s="188">
        <f t="shared" si="1"/>
        <v>700</v>
      </c>
    </row>
    <row r="21" spans="3:7" ht="31" x14ac:dyDescent="0.35">
      <c r="C21" s="186" t="s">
        <v>205</v>
      </c>
      <c r="D21" s="187">
        <f>D18*0.02</f>
        <v>0</v>
      </c>
      <c r="E21" s="187">
        <f>E18*0.02</f>
        <v>1400</v>
      </c>
      <c r="F21" s="187"/>
      <c r="G21" s="188">
        <f t="shared" si="1"/>
        <v>1400</v>
      </c>
    </row>
    <row r="22" spans="3:7" x14ac:dyDescent="0.35">
      <c r="C22" s="189" t="s">
        <v>206</v>
      </c>
      <c r="D22" s="187">
        <f>D18*0.52</f>
        <v>0</v>
      </c>
      <c r="E22" s="187">
        <f>E18*0.52</f>
        <v>36400</v>
      </c>
      <c r="F22" s="187"/>
      <c r="G22" s="188">
        <f t="shared" si="1"/>
        <v>36400</v>
      </c>
    </row>
    <row r="23" spans="3:7" x14ac:dyDescent="0.35">
      <c r="C23" s="186" t="s">
        <v>207</v>
      </c>
      <c r="D23" s="187">
        <f>D18*0.05</f>
        <v>0</v>
      </c>
      <c r="E23" s="187">
        <f>E18*0.05</f>
        <v>3500</v>
      </c>
      <c r="F23" s="187"/>
      <c r="G23" s="188">
        <f t="shared" si="1"/>
        <v>3500</v>
      </c>
    </row>
    <row r="24" spans="3:7" x14ac:dyDescent="0.35">
      <c r="C24" s="186" t="s">
        <v>208</v>
      </c>
      <c r="D24" s="187">
        <f>D18*0.03</f>
        <v>0</v>
      </c>
      <c r="E24" s="187">
        <f>E18*0.03</f>
        <v>2100</v>
      </c>
      <c r="F24" s="187"/>
      <c r="G24" s="188">
        <f t="shared" si="1"/>
        <v>2100</v>
      </c>
    </row>
    <row r="25" spans="3:7" x14ac:dyDescent="0.35">
      <c r="C25" s="186" t="s">
        <v>209</v>
      </c>
      <c r="D25" s="187">
        <f>D18*0.15</f>
        <v>0</v>
      </c>
      <c r="E25" s="187">
        <f>E18*0.15</f>
        <v>10500</v>
      </c>
      <c r="F25" s="187"/>
      <c r="G25" s="188">
        <f t="shared" si="1"/>
        <v>10500</v>
      </c>
    </row>
    <row r="26" spans="3:7" x14ac:dyDescent="0.35">
      <c r="C26" s="190" t="s">
        <v>210</v>
      </c>
      <c r="D26" s="191">
        <f>SUM(D19:D25)</f>
        <v>0</v>
      </c>
      <c r="E26" s="191">
        <f>SUM(E19:E25)</f>
        <v>70000</v>
      </c>
      <c r="F26" s="191">
        <f>SUM(F19:F25)</f>
        <v>0</v>
      </c>
      <c r="G26" s="188">
        <f t="shared" si="1"/>
        <v>70000</v>
      </c>
    </row>
    <row r="27" spans="3:7" s="214" customFormat="1" x14ac:dyDescent="0.35">
      <c r="C27" s="215"/>
      <c r="D27" s="216"/>
      <c r="E27" s="216"/>
      <c r="F27" s="216"/>
      <c r="G27" s="218"/>
    </row>
    <row r="28" spans="3:7" x14ac:dyDescent="0.35">
      <c r="C28" s="474" t="s">
        <v>212</v>
      </c>
      <c r="D28" s="475"/>
      <c r="E28" s="475"/>
      <c r="F28" s="475"/>
      <c r="G28" s="476"/>
    </row>
    <row r="29" spans="3:7" ht="21.75" customHeight="1" thickBot="1" x14ac:dyDescent="0.4">
      <c r="C29" s="180" t="s">
        <v>202</v>
      </c>
      <c r="D29" s="181">
        <f>'1) Budget Table Report'!I30</f>
        <v>491762.92</v>
      </c>
      <c r="E29" s="181">
        <f>'1) Budget Table Report'!J30</f>
        <v>30000</v>
      </c>
      <c r="F29" s="181" t="e">
        <f>#REF!</f>
        <v>#REF!</v>
      </c>
      <c r="G29" s="182">
        <f>SUM(D29:E29)</f>
        <v>521762.92</v>
      </c>
    </row>
    <row r="30" spans="3:7" x14ac:dyDescent="0.35">
      <c r="C30" s="183" t="s">
        <v>203</v>
      </c>
      <c r="D30" s="184">
        <f>D29*0.22</f>
        <v>108187.84239999999</v>
      </c>
      <c r="E30" s="184">
        <f>E29*0.22</f>
        <v>6600</v>
      </c>
      <c r="F30" s="212"/>
      <c r="G30" s="185">
        <f t="shared" ref="G30:G37" si="2">SUM(D30:F30)</f>
        <v>114787.84239999999</v>
      </c>
    </row>
    <row r="31" spans="3:7" s="214" customFormat="1" ht="15.75" customHeight="1" x14ac:dyDescent="0.35">
      <c r="C31" s="186" t="s">
        <v>204</v>
      </c>
      <c r="D31" s="187">
        <f>D29*0.01</f>
        <v>4917.6292000000003</v>
      </c>
      <c r="E31" s="187">
        <f>E29*0.01</f>
        <v>300</v>
      </c>
      <c r="F31" s="213"/>
      <c r="G31" s="188">
        <f t="shared" si="2"/>
        <v>5217.6292000000003</v>
      </c>
    </row>
    <row r="32" spans="3:7" s="214" customFormat="1" ht="31" x14ac:dyDescent="0.35">
      <c r="C32" s="186" t="s">
        <v>205</v>
      </c>
      <c r="D32" s="187">
        <f>D29*0.02</f>
        <v>9835.2584000000006</v>
      </c>
      <c r="E32" s="187">
        <f>E29*0.02</f>
        <v>600</v>
      </c>
      <c r="F32" s="187"/>
      <c r="G32" s="188">
        <f t="shared" si="2"/>
        <v>10435.258400000001</v>
      </c>
    </row>
    <row r="33" spans="3:7" s="214" customFormat="1" x14ac:dyDescent="0.35">
      <c r="C33" s="189" t="s">
        <v>206</v>
      </c>
      <c r="D33" s="187">
        <f>D29*0.52</f>
        <v>255716.71840000001</v>
      </c>
      <c r="E33" s="187">
        <f>E29*0.52</f>
        <v>15600</v>
      </c>
      <c r="F33" s="187"/>
      <c r="G33" s="188">
        <f t="shared" si="2"/>
        <v>271316.71840000001</v>
      </c>
    </row>
    <row r="34" spans="3:7" x14ac:dyDescent="0.35">
      <c r="C34" s="186" t="s">
        <v>207</v>
      </c>
      <c r="D34" s="187">
        <f>D29*0.05</f>
        <v>24588.146000000001</v>
      </c>
      <c r="E34" s="187">
        <f>E29*0.05</f>
        <v>1500</v>
      </c>
      <c r="F34" s="187"/>
      <c r="G34" s="188">
        <f t="shared" si="2"/>
        <v>26088.146000000001</v>
      </c>
    </row>
    <row r="35" spans="3:7" x14ac:dyDescent="0.35">
      <c r="C35" s="186" t="s">
        <v>208</v>
      </c>
      <c r="D35" s="187">
        <f>D29*0.03</f>
        <v>14752.887599999998</v>
      </c>
      <c r="E35" s="187">
        <f>E29*0.03</f>
        <v>900</v>
      </c>
      <c r="F35" s="187"/>
      <c r="G35" s="188">
        <f t="shared" si="2"/>
        <v>15652.887599999998</v>
      </c>
    </row>
    <row r="36" spans="3:7" x14ac:dyDescent="0.35">
      <c r="C36" s="186" t="s">
        <v>209</v>
      </c>
      <c r="D36" s="187">
        <f>D29*0.15</f>
        <v>73764.437999999995</v>
      </c>
      <c r="E36" s="187">
        <f>E29*0.15</f>
        <v>4500</v>
      </c>
      <c r="F36" s="187"/>
      <c r="G36" s="188">
        <f t="shared" si="2"/>
        <v>78264.437999999995</v>
      </c>
    </row>
    <row r="37" spans="3:7" x14ac:dyDescent="0.35">
      <c r="C37" s="190" t="s">
        <v>210</v>
      </c>
      <c r="D37" s="191">
        <f>SUM(D30:D36)</f>
        <v>491762.92000000004</v>
      </c>
      <c r="E37" s="191">
        <f>SUM(E30:E36)</f>
        <v>30000</v>
      </c>
      <c r="F37" s="191">
        <f>SUM(F30:F36)</f>
        <v>0</v>
      </c>
      <c r="G37" s="188">
        <f t="shared" si="2"/>
        <v>521762.92000000004</v>
      </c>
    </row>
    <row r="38" spans="3:7" x14ac:dyDescent="0.35">
      <c r="C38" s="474" t="s">
        <v>213</v>
      </c>
      <c r="D38" s="475"/>
      <c r="E38" s="475"/>
      <c r="F38" s="475"/>
      <c r="G38" s="476"/>
    </row>
    <row r="39" spans="3:7" s="214" customFormat="1" x14ac:dyDescent="0.35">
      <c r="C39" s="219"/>
      <c r="D39" s="220"/>
      <c r="E39" s="220"/>
      <c r="F39" s="220"/>
      <c r="G39" s="221"/>
    </row>
    <row r="40" spans="3:7" ht="20.25" customHeight="1" thickBot="1" x14ac:dyDescent="0.4">
      <c r="C40" s="180" t="s">
        <v>202</v>
      </c>
      <c r="D40" s="181">
        <f>'1) Budget Table Report'!I36</f>
        <v>66000</v>
      </c>
      <c r="E40" s="181">
        <f>'1) Budget Table Report'!J36</f>
        <v>50000</v>
      </c>
      <c r="F40" s="181" t="e">
        <f>#REF!</f>
        <v>#REF!</v>
      </c>
      <c r="G40" s="182">
        <f>SUM(D40:E40)</f>
        <v>116000</v>
      </c>
    </row>
    <row r="41" spans="3:7" x14ac:dyDescent="0.35">
      <c r="C41" s="183" t="s">
        <v>203</v>
      </c>
      <c r="D41" s="184">
        <f>D40*0.22</f>
        <v>14520</v>
      </c>
      <c r="E41" s="184">
        <f>E40*0.22</f>
        <v>11000</v>
      </c>
      <c r="F41" s="212"/>
      <c r="G41" s="185">
        <f t="shared" ref="G41:G48" si="3">SUM(D41:F41)</f>
        <v>25520</v>
      </c>
    </row>
    <row r="42" spans="3:7" ht="15.75" customHeight="1" x14ac:dyDescent="0.35">
      <c r="C42" s="186" t="s">
        <v>204</v>
      </c>
      <c r="D42" s="187">
        <f>D40*0.01</f>
        <v>660</v>
      </c>
      <c r="E42" s="187">
        <f>E40*0.01</f>
        <v>500</v>
      </c>
      <c r="F42" s="213"/>
      <c r="G42" s="188">
        <f t="shared" si="3"/>
        <v>1160</v>
      </c>
    </row>
    <row r="43" spans="3:7" ht="32.25" customHeight="1" x14ac:dyDescent="0.35">
      <c r="C43" s="186" t="s">
        <v>205</v>
      </c>
      <c r="D43" s="187">
        <f>D40*0.02</f>
        <v>1320</v>
      </c>
      <c r="E43" s="187">
        <f>E40*0.02</f>
        <v>1000</v>
      </c>
      <c r="F43" s="187"/>
      <c r="G43" s="188">
        <f t="shared" si="3"/>
        <v>2320</v>
      </c>
    </row>
    <row r="44" spans="3:7" s="214" customFormat="1" x14ac:dyDescent="0.35">
      <c r="C44" s="189" t="s">
        <v>206</v>
      </c>
      <c r="D44" s="187">
        <f>D40*0.52</f>
        <v>34320</v>
      </c>
      <c r="E44" s="187">
        <f>E40*0.52</f>
        <v>26000</v>
      </c>
      <c r="F44" s="187"/>
      <c r="G44" s="188">
        <f t="shared" si="3"/>
        <v>60320</v>
      </c>
    </row>
    <row r="45" spans="3:7" x14ac:dyDescent="0.35">
      <c r="C45" s="186" t="s">
        <v>207</v>
      </c>
      <c r="D45" s="187">
        <f>D40*0.05</f>
        <v>3300</v>
      </c>
      <c r="E45" s="187">
        <f>E40*0.05</f>
        <v>2500</v>
      </c>
      <c r="F45" s="187"/>
      <c r="G45" s="188">
        <f t="shared" si="3"/>
        <v>5800</v>
      </c>
    </row>
    <row r="46" spans="3:7" x14ac:dyDescent="0.35">
      <c r="C46" s="186" t="s">
        <v>208</v>
      </c>
      <c r="D46" s="187">
        <f>D40*0.03</f>
        <v>1980</v>
      </c>
      <c r="E46" s="187">
        <f>E40*0.03</f>
        <v>1500</v>
      </c>
      <c r="F46" s="187"/>
      <c r="G46" s="188">
        <f t="shared" si="3"/>
        <v>3480</v>
      </c>
    </row>
    <row r="47" spans="3:7" x14ac:dyDescent="0.35">
      <c r="C47" s="186" t="s">
        <v>209</v>
      </c>
      <c r="D47" s="187">
        <f>D40*0.15</f>
        <v>9900</v>
      </c>
      <c r="E47" s="187">
        <f>E40*0.15</f>
        <v>7500</v>
      </c>
      <c r="F47" s="187"/>
      <c r="G47" s="188">
        <f t="shared" si="3"/>
        <v>17400</v>
      </c>
    </row>
    <row r="48" spans="3:7" ht="21" customHeight="1" x14ac:dyDescent="0.35">
      <c r="C48" s="190" t="s">
        <v>210</v>
      </c>
      <c r="D48" s="191">
        <f>SUM(D41:D47)</f>
        <v>66000</v>
      </c>
      <c r="E48" s="191">
        <f>SUM(E41:E47)</f>
        <v>50000</v>
      </c>
      <c r="F48" s="191">
        <f>SUM(F41:F47)</f>
        <v>0</v>
      </c>
      <c r="G48" s="188">
        <f t="shared" si="3"/>
        <v>116000</v>
      </c>
    </row>
    <row r="49" spans="2:9" s="214" customFormat="1" ht="22.5" customHeight="1" x14ac:dyDescent="0.35">
      <c r="C49" s="222" t="s">
        <v>214</v>
      </c>
      <c r="D49" s="223">
        <f>D48+D37+D26+D15</f>
        <v>647762.92000000004</v>
      </c>
      <c r="E49" s="223">
        <f>E48+E37+E26+E15</f>
        <v>220000</v>
      </c>
      <c r="F49" s="223"/>
      <c r="G49" s="223">
        <f>G48+G37+G26+G15</f>
        <v>867762.92</v>
      </c>
    </row>
    <row r="50" spans="2:9" x14ac:dyDescent="0.35">
      <c r="B50" s="474" t="s">
        <v>215</v>
      </c>
      <c r="C50" s="475"/>
      <c r="D50" s="475"/>
      <c r="E50" s="475"/>
      <c r="F50" s="475"/>
      <c r="G50" s="476"/>
    </row>
    <row r="51" spans="2:9" x14ac:dyDescent="0.35">
      <c r="C51" s="474" t="s">
        <v>104</v>
      </c>
      <c r="D51" s="475"/>
      <c r="E51" s="475"/>
      <c r="F51" s="475"/>
      <c r="G51" s="476"/>
    </row>
    <row r="52" spans="2:9" ht="24" customHeight="1" thickBot="1" x14ac:dyDescent="0.4">
      <c r="C52" s="180" t="s">
        <v>202</v>
      </c>
      <c r="D52" s="181">
        <f>'1) Budget Table Report'!I48</f>
        <v>0</v>
      </c>
      <c r="E52" s="181">
        <f>'1) Budget Table Report'!J48</f>
        <v>215434.5</v>
      </c>
      <c r="F52" s="181" t="e">
        <f>#REF!</f>
        <v>#REF!</v>
      </c>
      <c r="G52" s="182">
        <f>SUM(D52:E52)</f>
        <v>215434.5</v>
      </c>
    </row>
    <row r="53" spans="2:9" ht="15.75" customHeight="1" x14ac:dyDescent="0.35">
      <c r="C53" s="183" t="s">
        <v>203</v>
      </c>
      <c r="D53" s="184">
        <f>D52*0.22</f>
        <v>0</v>
      </c>
      <c r="E53" s="184">
        <f>E52*0.22</f>
        <v>47395.590000000004</v>
      </c>
      <c r="F53" s="212"/>
      <c r="G53" s="185">
        <f t="shared" ref="G53:G60" si="4">SUM(D53:F53)</f>
        <v>47395.590000000004</v>
      </c>
    </row>
    <row r="54" spans="2:9" ht="15.75" customHeight="1" x14ac:dyDescent="0.35">
      <c r="C54" s="186" t="s">
        <v>204</v>
      </c>
      <c r="D54" s="187">
        <f>D52*0.01</f>
        <v>0</v>
      </c>
      <c r="E54" s="187">
        <f>E52*0.01</f>
        <v>2154.3450000000003</v>
      </c>
      <c r="F54" s="213"/>
      <c r="G54" s="188">
        <f t="shared" si="4"/>
        <v>2154.3450000000003</v>
      </c>
      <c r="I54" s="224"/>
    </row>
    <row r="55" spans="2:9" ht="15.75" customHeight="1" x14ac:dyDescent="0.35">
      <c r="C55" s="186" t="s">
        <v>205</v>
      </c>
      <c r="D55" s="187">
        <f>D52*0.02</f>
        <v>0</v>
      </c>
      <c r="E55" s="187">
        <f>E52*0.02</f>
        <v>4308.6900000000005</v>
      </c>
      <c r="F55" s="187"/>
      <c r="G55" s="188">
        <f t="shared" si="4"/>
        <v>4308.6900000000005</v>
      </c>
    </row>
    <row r="56" spans="2:9" ht="18.75" customHeight="1" x14ac:dyDescent="0.35">
      <c r="C56" s="189" t="s">
        <v>206</v>
      </c>
      <c r="D56" s="187">
        <f>D52*0.52</f>
        <v>0</v>
      </c>
      <c r="E56" s="187">
        <f>E52*0.52</f>
        <v>112025.94</v>
      </c>
      <c r="F56" s="187"/>
      <c r="G56" s="188">
        <f t="shared" si="4"/>
        <v>112025.94</v>
      </c>
    </row>
    <row r="57" spans="2:9" x14ac:dyDescent="0.35">
      <c r="C57" s="186" t="s">
        <v>207</v>
      </c>
      <c r="D57" s="187">
        <f>D52*0.05</f>
        <v>0</v>
      </c>
      <c r="E57" s="187">
        <f>E52*0.05</f>
        <v>10771.725</v>
      </c>
      <c r="F57" s="187"/>
      <c r="G57" s="188">
        <f t="shared" si="4"/>
        <v>10771.725</v>
      </c>
    </row>
    <row r="58" spans="2:9" s="214" customFormat="1" ht="21.75" customHeight="1" x14ac:dyDescent="0.35">
      <c r="B58" s="174"/>
      <c r="C58" s="186" t="s">
        <v>208</v>
      </c>
      <c r="D58" s="187">
        <f>D52*0.03</f>
        <v>0</v>
      </c>
      <c r="E58" s="187">
        <f>E52*0.03</f>
        <v>6463.0349999999999</v>
      </c>
      <c r="F58" s="187"/>
      <c r="G58" s="188">
        <f t="shared" si="4"/>
        <v>6463.0349999999999</v>
      </c>
    </row>
    <row r="59" spans="2:9" s="214" customFormat="1" x14ac:dyDescent="0.35">
      <c r="B59" s="174"/>
      <c r="C59" s="186" t="s">
        <v>209</v>
      </c>
      <c r="D59" s="187">
        <f>D52*0.15</f>
        <v>0</v>
      </c>
      <c r="E59" s="187">
        <f>E52*0.15</f>
        <v>32315.174999999999</v>
      </c>
      <c r="F59" s="187"/>
      <c r="G59" s="188">
        <f t="shared" si="4"/>
        <v>32315.174999999999</v>
      </c>
    </row>
    <row r="60" spans="2:9" x14ac:dyDescent="0.35">
      <c r="C60" s="190" t="s">
        <v>210</v>
      </c>
      <c r="D60" s="191">
        <f>SUM(D53:D59)</f>
        <v>0</v>
      </c>
      <c r="E60" s="191">
        <f>SUM(E53:E59)</f>
        <v>215434.5</v>
      </c>
      <c r="F60" s="191">
        <f>SUM(F53:F59)</f>
        <v>0</v>
      </c>
      <c r="G60" s="188">
        <f t="shared" si="4"/>
        <v>215434.5</v>
      </c>
      <c r="H60" s="224">
        <f>E52-G60</f>
        <v>0</v>
      </c>
      <c r="I60" s="224"/>
    </row>
    <row r="61" spans="2:9" s="214" customFormat="1" x14ac:dyDescent="0.35">
      <c r="C61" s="215"/>
      <c r="D61" s="216"/>
      <c r="E61" s="216"/>
      <c r="F61" s="216"/>
      <c r="G61" s="218"/>
    </row>
    <row r="62" spans="2:9" x14ac:dyDescent="0.35">
      <c r="B62" s="214"/>
      <c r="C62" s="474" t="s">
        <v>127</v>
      </c>
      <c r="D62" s="475"/>
      <c r="E62" s="475"/>
      <c r="F62" s="475"/>
      <c r="G62" s="476"/>
    </row>
    <row r="63" spans="2:9" ht="21.75" customHeight="1" thickBot="1" x14ac:dyDescent="0.4">
      <c r="C63" s="180" t="s">
        <v>202</v>
      </c>
      <c r="D63" s="181">
        <f>'1) Budget Table Report'!I54</f>
        <v>0</v>
      </c>
      <c r="E63" s="181">
        <f>'1) Budget Table Report'!J54</f>
        <v>20000</v>
      </c>
      <c r="F63" s="181" t="e">
        <f>#REF!</f>
        <v>#REF!</v>
      </c>
      <c r="G63" s="182">
        <f>SUM(D63:E63)</f>
        <v>20000</v>
      </c>
    </row>
    <row r="64" spans="2:9" ht="15.75" customHeight="1" x14ac:dyDescent="0.35">
      <c r="C64" s="183" t="s">
        <v>203</v>
      </c>
      <c r="D64" s="184">
        <f>D63*0.22</f>
        <v>0</v>
      </c>
      <c r="E64" s="184">
        <f>E63*0.22</f>
        <v>4400</v>
      </c>
      <c r="F64" s="212"/>
      <c r="G64" s="185">
        <f t="shared" ref="G64:G71" si="5">SUM(D64:F64)</f>
        <v>4400</v>
      </c>
    </row>
    <row r="65" spans="2:7" ht="15.75" customHeight="1" x14ac:dyDescent="0.35">
      <c r="C65" s="186" t="s">
        <v>204</v>
      </c>
      <c r="D65" s="187">
        <f>D63*0.01</f>
        <v>0</v>
      </c>
      <c r="E65" s="187">
        <f>E63*0.01</f>
        <v>200</v>
      </c>
      <c r="F65" s="213"/>
      <c r="G65" s="188">
        <f t="shared" si="5"/>
        <v>200</v>
      </c>
    </row>
    <row r="66" spans="2:7" ht="15.75" customHeight="1" x14ac:dyDescent="0.35">
      <c r="C66" s="186" t="s">
        <v>205</v>
      </c>
      <c r="D66" s="187">
        <f>D63*0.02</f>
        <v>0</v>
      </c>
      <c r="E66" s="187">
        <f>E63*0.02</f>
        <v>400</v>
      </c>
      <c r="F66" s="187"/>
      <c r="G66" s="188">
        <f t="shared" si="5"/>
        <v>400</v>
      </c>
    </row>
    <row r="67" spans="2:7" x14ac:dyDescent="0.35">
      <c r="C67" s="189" t="s">
        <v>206</v>
      </c>
      <c r="D67" s="187">
        <f>D63*0.52</f>
        <v>0</v>
      </c>
      <c r="E67" s="187">
        <f>E63*0.52</f>
        <v>10400</v>
      </c>
      <c r="F67" s="187"/>
      <c r="G67" s="188">
        <f t="shared" si="5"/>
        <v>10400</v>
      </c>
    </row>
    <row r="68" spans="2:7" x14ac:dyDescent="0.35">
      <c r="C68" s="186" t="s">
        <v>207</v>
      </c>
      <c r="D68" s="187">
        <f>D63*0.05</f>
        <v>0</v>
      </c>
      <c r="E68" s="187">
        <f>E63*0.05</f>
        <v>1000</v>
      </c>
      <c r="F68" s="187"/>
      <c r="G68" s="188">
        <f t="shared" si="5"/>
        <v>1000</v>
      </c>
    </row>
    <row r="69" spans="2:7" x14ac:dyDescent="0.35">
      <c r="C69" s="186" t="s">
        <v>208</v>
      </c>
      <c r="D69" s="187">
        <f>D63*0.03</f>
        <v>0</v>
      </c>
      <c r="E69" s="187">
        <f>E63*0.03</f>
        <v>600</v>
      </c>
      <c r="F69" s="187"/>
      <c r="G69" s="188">
        <f t="shared" si="5"/>
        <v>600</v>
      </c>
    </row>
    <row r="70" spans="2:7" x14ac:dyDescent="0.35">
      <c r="C70" s="186" t="s">
        <v>209</v>
      </c>
      <c r="D70" s="187">
        <f>D63*0.15</f>
        <v>0</v>
      </c>
      <c r="E70" s="187">
        <f>E63*0.15</f>
        <v>3000</v>
      </c>
      <c r="F70" s="187"/>
      <c r="G70" s="188">
        <f t="shared" si="5"/>
        <v>3000</v>
      </c>
    </row>
    <row r="71" spans="2:7" x14ac:dyDescent="0.35">
      <c r="C71" s="190" t="s">
        <v>210</v>
      </c>
      <c r="D71" s="191">
        <f>SUM(D64:D70)</f>
        <v>0</v>
      </c>
      <c r="E71" s="191">
        <f>SUM(E64:E70)</f>
        <v>20000</v>
      </c>
      <c r="F71" s="191">
        <f>SUM(F64:F70)</f>
        <v>0</v>
      </c>
      <c r="G71" s="188">
        <f t="shared" si="5"/>
        <v>20000</v>
      </c>
    </row>
    <row r="72" spans="2:7" s="214" customFormat="1" x14ac:dyDescent="0.35">
      <c r="C72" s="215"/>
      <c r="D72" s="216"/>
      <c r="E72" s="216"/>
      <c r="F72" s="216"/>
      <c r="G72" s="218"/>
    </row>
    <row r="73" spans="2:7" x14ac:dyDescent="0.35">
      <c r="C73" s="474" t="s">
        <v>138</v>
      </c>
      <c r="D73" s="475"/>
      <c r="E73" s="475"/>
      <c r="F73" s="475"/>
      <c r="G73" s="476"/>
    </row>
    <row r="74" spans="2:7" ht="21.75" customHeight="1" thickBot="1" x14ac:dyDescent="0.4">
      <c r="B74" s="214"/>
      <c r="C74" s="180" t="s">
        <v>202</v>
      </c>
      <c r="D74" s="181">
        <f>'1) Budget Table Report'!I61</f>
        <v>0</v>
      </c>
      <c r="E74" s="181">
        <f>'1) Budget Table Report'!J61</f>
        <v>0</v>
      </c>
      <c r="F74" s="181" t="e">
        <f>#REF!</f>
        <v>#REF!</v>
      </c>
      <c r="G74" s="182">
        <f>SUM(D74:E74)</f>
        <v>0</v>
      </c>
    </row>
    <row r="75" spans="2:7" ht="18" customHeight="1" x14ac:dyDescent="0.35">
      <c r="C75" s="183" t="s">
        <v>203</v>
      </c>
      <c r="D75" s="184">
        <f>D74*0.22</f>
        <v>0</v>
      </c>
      <c r="E75" s="184">
        <f>E74*0.22</f>
        <v>0</v>
      </c>
      <c r="F75" s="212"/>
      <c r="G75" s="185">
        <f t="shared" ref="G75:G82" si="6">SUM(D75:F75)</f>
        <v>0</v>
      </c>
    </row>
    <row r="76" spans="2:7" ht="15.75" customHeight="1" x14ac:dyDescent="0.35">
      <c r="C76" s="186" t="s">
        <v>204</v>
      </c>
      <c r="D76" s="187">
        <f>D74*0.01</f>
        <v>0</v>
      </c>
      <c r="E76" s="187">
        <f>E74*0.01</f>
        <v>0</v>
      </c>
      <c r="F76" s="213"/>
      <c r="G76" s="188">
        <f t="shared" si="6"/>
        <v>0</v>
      </c>
    </row>
    <row r="77" spans="2:7" s="214" customFormat="1" ht="15.75" customHeight="1" x14ac:dyDescent="0.35">
      <c r="B77" s="174"/>
      <c r="C77" s="186" t="s">
        <v>205</v>
      </c>
      <c r="D77" s="187">
        <f>D74*0.02</f>
        <v>0</v>
      </c>
      <c r="E77" s="187">
        <f>E74*0.02</f>
        <v>0</v>
      </c>
      <c r="F77" s="187"/>
      <c r="G77" s="188">
        <f t="shared" si="6"/>
        <v>0</v>
      </c>
    </row>
    <row r="78" spans="2:7" x14ac:dyDescent="0.35">
      <c r="B78" s="214"/>
      <c r="C78" s="189" t="s">
        <v>206</v>
      </c>
      <c r="D78" s="187">
        <f>D74*0.52</f>
        <v>0</v>
      </c>
      <c r="E78" s="187">
        <f>E74*0.52</f>
        <v>0</v>
      </c>
      <c r="F78" s="187"/>
      <c r="G78" s="188">
        <f t="shared" si="6"/>
        <v>0</v>
      </c>
    </row>
    <row r="79" spans="2:7" x14ac:dyDescent="0.35">
      <c r="B79" s="214"/>
      <c r="C79" s="186" t="s">
        <v>207</v>
      </c>
      <c r="D79" s="187">
        <f>D74*0.05</f>
        <v>0</v>
      </c>
      <c r="E79" s="187">
        <f>E74*0.05</f>
        <v>0</v>
      </c>
      <c r="F79" s="187"/>
      <c r="G79" s="188">
        <f t="shared" si="6"/>
        <v>0</v>
      </c>
    </row>
    <row r="80" spans="2:7" x14ac:dyDescent="0.35">
      <c r="B80" s="214"/>
      <c r="C80" s="186" t="s">
        <v>208</v>
      </c>
      <c r="D80" s="187">
        <f>D74*0.03</f>
        <v>0</v>
      </c>
      <c r="E80" s="187">
        <f>E74*0.03</f>
        <v>0</v>
      </c>
      <c r="F80" s="187"/>
      <c r="G80" s="188">
        <f t="shared" si="6"/>
        <v>0</v>
      </c>
    </row>
    <row r="81" spans="3:7" x14ac:dyDescent="0.35">
      <c r="C81" s="186" t="s">
        <v>209</v>
      </c>
      <c r="D81" s="187">
        <f>D74*0.15</f>
        <v>0</v>
      </c>
      <c r="E81" s="187">
        <f>E74*0.15</f>
        <v>0</v>
      </c>
      <c r="F81" s="187"/>
      <c r="G81" s="188">
        <f t="shared" si="6"/>
        <v>0</v>
      </c>
    </row>
    <row r="82" spans="3:7" x14ac:dyDescent="0.35">
      <c r="C82" s="190" t="s">
        <v>210</v>
      </c>
      <c r="D82" s="191">
        <f>SUM(D75:D81)</f>
        <v>0</v>
      </c>
      <c r="E82" s="191">
        <f>SUM(E75:E81)</f>
        <v>0</v>
      </c>
      <c r="F82" s="191">
        <f>SUM(F75:F81)</f>
        <v>0</v>
      </c>
      <c r="G82" s="188">
        <f t="shared" si="6"/>
        <v>0</v>
      </c>
    </row>
    <row r="83" spans="3:7" x14ac:dyDescent="0.35">
      <c r="D83" s="174"/>
      <c r="E83" s="174"/>
      <c r="F83" s="174"/>
    </row>
    <row r="84" spans="3:7" s="214" customFormat="1" x14ac:dyDescent="0.35">
      <c r="C84" s="474" t="s">
        <v>152</v>
      </c>
      <c r="D84" s="475"/>
      <c r="E84" s="475"/>
      <c r="F84" s="475"/>
      <c r="G84" s="476"/>
    </row>
    <row r="85" spans="3:7" ht="20.25" customHeight="1" thickBot="1" x14ac:dyDescent="0.4">
      <c r="C85" s="180" t="s">
        <v>202</v>
      </c>
      <c r="D85" s="181">
        <f>'1) Budget Table Report'!I67</f>
        <v>0</v>
      </c>
      <c r="E85" s="181">
        <f>'1) Budget Table Report'!J67</f>
        <v>70000</v>
      </c>
      <c r="F85" s="181" t="e">
        <f>#REF!</f>
        <v>#REF!</v>
      </c>
      <c r="G85" s="182">
        <f>SUM(D85:E85)</f>
        <v>70000</v>
      </c>
    </row>
    <row r="86" spans="3:7" x14ac:dyDescent="0.35">
      <c r="C86" s="183" t="s">
        <v>203</v>
      </c>
      <c r="D86" s="184">
        <f>D85*0.22</f>
        <v>0</v>
      </c>
      <c r="E86" s="184">
        <f>E85*0.22</f>
        <v>15400</v>
      </c>
      <c r="F86" s="212"/>
      <c r="G86" s="185">
        <f t="shared" ref="G86:G92" si="7">SUM(D86:F86)</f>
        <v>15400</v>
      </c>
    </row>
    <row r="87" spans="3:7" ht="15.75" customHeight="1" x14ac:dyDescent="0.35">
      <c r="C87" s="186" t="s">
        <v>204</v>
      </c>
      <c r="D87" s="187">
        <f>D85*0.01</f>
        <v>0</v>
      </c>
      <c r="E87" s="187">
        <f>E85*0.01</f>
        <v>700</v>
      </c>
      <c r="F87" s="213"/>
      <c r="G87" s="188">
        <f t="shared" si="7"/>
        <v>700</v>
      </c>
    </row>
    <row r="88" spans="3:7" ht="32.25" customHeight="1" x14ac:dyDescent="0.35">
      <c r="C88" s="186" t="s">
        <v>205</v>
      </c>
      <c r="D88" s="187">
        <f>D85*0.02</f>
        <v>0</v>
      </c>
      <c r="E88" s="187">
        <f>E85*0.02</f>
        <v>1400</v>
      </c>
      <c r="F88" s="187"/>
      <c r="G88" s="188">
        <f t="shared" si="7"/>
        <v>1400</v>
      </c>
    </row>
    <row r="89" spans="3:7" s="214" customFormat="1" x14ac:dyDescent="0.35">
      <c r="C89" s="189" t="s">
        <v>206</v>
      </c>
      <c r="D89" s="187">
        <f>D85*0.52</f>
        <v>0</v>
      </c>
      <c r="E89" s="187">
        <f>E85*0.52</f>
        <v>36400</v>
      </c>
      <c r="F89" s="187"/>
      <c r="G89" s="188">
        <f t="shared" si="7"/>
        <v>36400</v>
      </c>
    </row>
    <row r="90" spans="3:7" x14ac:dyDescent="0.35">
      <c r="C90" s="186" t="s">
        <v>207</v>
      </c>
      <c r="D90" s="187">
        <f>D85*0.05</f>
        <v>0</v>
      </c>
      <c r="E90" s="187">
        <f>E85*0.05</f>
        <v>3500</v>
      </c>
      <c r="F90" s="187"/>
      <c r="G90" s="188">
        <f t="shared" si="7"/>
        <v>3500</v>
      </c>
    </row>
    <row r="91" spans="3:7" x14ac:dyDescent="0.35">
      <c r="C91" s="186" t="s">
        <v>208</v>
      </c>
      <c r="D91" s="187">
        <f>D85*0.03</f>
        <v>0</v>
      </c>
      <c r="E91" s="187">
        <f>E85*0.03</f>
        <v>2100</v>
      </c>
      <c r="F91" s="187"/>
      <c r="G91" s="188">
        <f t="shared" si="7"/>
        <v>2100</v>
      </c>
    </row>
    <row r="92" spans="3:7" x14ac:dyDescent="0.35">
      <c r="C92" s="186" t="s">
        <v>209</v>
      </c>
      <c r="D92" s="187">
        <f>D85*0.15</f>
        <v>0</v>
      </c>
      <c r="E92" s="187">
        <f>E85*0.15</f>
        <v>10500</v>
      </c>
      <c r="F92" s="187"/>
      <c r="G92" s="188">
        <f t="shared" si="7"/>
        <v>10500</v>
      </c>
    </row>
    <row r="93" spans="3:7" ht="21" customHeight="1" x14ac:dyDescent="0.35">
      <c r="C93" s="190" t="s">
        <v>210</v>
      </c>
      <c r="D93" s="191">
        <f>SUM(D86:D92)</f>
        <v>0</v>
      </c>
      <c r="E93" s="191">
        <f>SUM(E86:E92)</f>
        <v>70000</v>
      </c>
      <c r="F93" s="191">
        <f t="shared" ref="F93:G93" si="8">SUM(F86:F92)</f>
        <v>0</v>
      </c>
      <c r="G93" s="188">
        <f t="shared" si="8"/>
        <v>70000</v>
      </c>
    </row>
    <row r="94" spans="3:7" s="214" customFormat="1" ht="22.5" customHeight="1" x14ac:dyDescent="0.35">
      <c r="C94" s="222" t="s">
        <v>216</v>
      </c>
      <c r="D94" s="223">
        <f>D60+D71+D82+D93</f>
        <v>0</v>
      </c>
      <c r="E94" s="223">
        <f>E60+E71+E82+E93</f>
        <v>305434.5</v>
      </c>
      <c r="F94" s="223"/>
      <c r="G94" s="223">
        <f>G60+G71+G82+G93</f>
        <v>305434.5</v>
      </c>
    </row>
    <row r="95" spans="3:7" s="214" customFormat="1" ht="22.5" customHeight="1" x14ac:dyDescent="0.35">
      <c r="C95" s="225"/>
      <c r="D95" s="216"/>
      <c r="E95" s="216"/>
      <c r="F95" s="216"/>
      <c r="G95" s="216"/>
    </row>
    <row r="96" spans="3:7" s="214" customFormat="1" x14ac:dyDescent="0.35">
      <c r="C96" s="474" t="s">
        <v>217</v>
      </c>
      <c r="D96" s="475"/>
      <c r="E96" s="475"/>
      <c r="F96" s="475"/>
      <c r="G96" s="476"/>
    </row>
    <row r="97" spans="2:9" ht="20.25" customHeight="1" thickBot="1" x14ac:dyDescent="0.4">
      <c r="C97" s="180" t="s">
        <v>218</v>
      </c>
      <c r="D97" s="181">
        <f>'1) Budget Table Report'!I77+'1) Budget Table Report'!I90</f>
        <v>84209.179600000003</v>
      </c>
      <c r="E97" s="181">
        <f>'1) Budget Table Report'!J77+'1) Budget Table Report'!J90</f>
        <v>294306.48499999999</v>
      </c>
      <c r="F97" s="181" t="e">
        <f>#REF!</f>
        <v>#REF!</v>
      </c>
      <c r="G97" s="182">
        <f>SUM(D97:E97)</f>
        <v>378515.66460000002</v>
      </c>
    </row>
    <row r="98" spans="2:9" x14ac:dyDescent="0.35">
      <c r="C98" s="183" t="s">
        <v>203</v>
      </c>
      <c r="D98" s="184">
        <f>D97-D101-D102-D104</f>
        <v>-92631.376940000002</v>
      </c>
      <c r="E98" s="184">
        <f>E97-E101-E102-E104</f>
        <v>55854.027249999985</v>
      </c>
      <c r="F98" s="212"/>
      <c r="G98" s="185">
        <f t="shared" ref="G98:G104" si="9">SUM(D98:F98)</f>
        <v>-36777.349690000017</v>
      </c>
    </row>
    <row r="99" spans="2:9" ht="15.75" customHeight="1" x14ac:dyDescent="0.35">
      <c r="C99" s="186" t="s">
        <v>204</v>
      </c>
      <c r="D99" s="187"/>
      <c r="E99" s="187"/>
      <c r="F99" s="213"/>
      <c r="G99" s="188">
        <f t="shared" si="9"/>
        <v>0</v>
      </c>
    </row>
    <row r="100" spans="2:9" ht="32.25" customHeight="1" x14ac:dyDescent="0.35">
      <c r="C100" s="186" t="s">
        <v>205</v>
      </c>
      <c r="D100" s="187"/>
      <c r="E100" s="187"/>
      <c r="F100" s="187"/>
      <c r="G100" s="188">
        <f t="shared" si="9"/>
        <v>0</v>
      </c>
    </row>
    <row r="101" spans="2:9" s="214" customFormat="1" x14ac:dyDescent="0.35">
      <c r="C101" s="189" t="s">
        <v>206</v>
      </c>
      <c r="D101" s="187">
        <v>30000</v>
      </c>
      <c r="E101" s="187">
        <v>50000</v>
      </c>
      <c r="F101" s="187"/>
      <c r="G101" s="188">
        <f t="shared" si="9"/>
        <v>80000</v>
      </c>
    </row>
    <row r="102" spans="2:9" x14ac:dyDescent="0.35">
      <c r="C102" s="186" t="s">
        <v>207</v>
      </c>
      <c r="D102" s="187">
        <v>50000</v>
      </c>
      <c r="E102" s="187">
        <v>50000</v>
      </c>
      <c r="F102" s="187"/>
      <c r="G102" s="188">
        <f t="shared" si="9"/>
        <v>100000</v>
      </c>
    </row>
    <row r="103" spans="2:9" x14ac:dyDescent="0.35">
      <c r="C103" s="186" t="s">
        <v>208</v>
      </c>
      <c r="D103" s="187"/>
      <c r="E103" s="187"/>
      <c r="F103" s="187"/>
      <c r="G103" s="188">
        <f t="shared" si="9"/>
        <v>0</v>
      </c>
    </row>
    <row r="104" spans="2:9" x14ac:dyDescent="0.35">
      <c r="C104" s="186" t="s">
        <v>209</v>
      </c>
      <c r="D104" s="187">
        <f>(D97*0.15)+'1) Budget Table Report'!I90</f>
        <v>96840.556540000005</v>
      </c>
      <c r="E104" s="187">
        <f>(E97*0.15)+'1) Budget Table Report'!J90</f>
        <v>138452.45775</v>
      </c>
      <c r="F104" s="187"/>
      <c r="G104" s="188">
        <f t="shared" si="9"/>
        <v>235293.01429000002</v>
      </c>
      <c r="H104" s="224"/>
      <c r="I104" s="224"/>
    </row>
    <row r="105" spans="2:9" ht="21" customHeight="1" x14ac:dyDescent="0.35">
      <c r="C105" s="190" t="s">
        <v>210</v>
      </c>
      <c r="D105" s="226">
        <f>SUM(D98:D104)</f>
        <v>84209.179600000003</v>
      </c>
      <c r="E105" s="226">
        <f>SUM(E98:E104)</f>
        <v>294306.48499999999</v>
      </c>
      <c r="F105" s="191">
        <f t="shared" ref="F105:G105" si="10">SUM(F98:F104)</f>
        <v>0</v>
      </c>
      <c r="G105" s="188">
        <f t="shared" si="10"/>
        <v>378515.66460000002</v>
      </c>
      <c r="H105" s="224">
        <f>E97-E105</f>
        <v>0</v>
      </c>
      <c r="I105" s="224">
        <f>E101+H105</f>
        <v>50000</v>
      </c>
    </row>
    <row r="106" spans="2:9" s="214" customFormat="1" x14ac:dyDescent="0.35">
      <c r="C106" s="227" t="s">
        <v>219</v>
      </c>
      <c r="D106" s="228">
        <f>D94+D49+D105</f>
        <v>731972.09960000007</v>
      </c>
      <c r="E106" s="228">
        <f>E94+E49+E105</f>
        <v>819740.98499999999</v>
      </c>
      <c r="F106" s="228"/>
      <c r="G106" s="228">
        <f>G94+G49+G105</f>
        <v>1551713.0845999999</v>
      </c>
    </row>
    <row r="107" spans="2:9" ht="25.5" customHeight="1" x14ac:dyDescent="0.35">
      <c r="D107" s="174"/>
      <c r="E107" s="174"/>
      <c r="F107" s="174"/>
    </row>
    <row r="108" spans="2:9" hidden="1" x14ac:dyDescent="0.35">
      <c r="B108" s="474" t="s">
        <v>220</v>
      </c>
      <c r="C108" s="475"/>
      <c r="D108" s="475"/>
      <c r="E108" s="475"/>
      <c r="F108" s="475"/>
      <c r="G108" s="476"/>
    </row>
    <row r="109" spans="2:9" hidden="1" x14ac:dyDescent="0.35">
      <c r="C109" s="474" t="s">
        <v>221</v>
      </c>
      <c r="D109" s="475"/>
      <c r="E109" s="475"/>
      <c r="F109" s="475"/>
      <c r="G109" s="476"/>
    </row>
    <row r="110" spans="2:9" ht="22.5" hidden="1" customHeight="1" thickBot="1" x14ac:dyDescent="0.4">
      <c r="C110" s="180" t="s">
        <v>202</v>
      </c>
      <c r="D110" s="181" t="e">
        <f>#REF!</f>
        <v>#REF!</v>
      </c>
      <c r="E110" s="181" t="e">
        <f>#REF!</f>
        <v>#REF!</v>
      </c>
      <c r="F110" s="181" t="e">
        <f>#REF!</f>
        <v>#REF!</v>
      </c>
      <c r="G110" s="182" t="e">
        <f>SUM(D110:F110)</f>
        <v>#REF!</v>
      </c>
    </row>
    <row r="111" spans="2:9" hidden="1" x14ac:dyDescent="0.35">
      <c r="C111" s="183" t="s">
        <v>203</v>
      </c>
      <c r="D111" s="184"/>
      <c r="E111" s="212"/>
      <c r="F111" s="212"/>
      <c r="G111" s="185">
        <f t="shared" ref="G111:G118" si="11">SUM(D111:F111)</f>
        <v>0</v>
      </c>
    </row>
    <row r="112" spans="2:9" hidden="1" x14ac:dyDescent="0.35">
      <c r="C112" s="186" t="s">
        <v>204</v>
      </c>
      <c r="D112" s="187"/>
      <c r="E112" s="213"/>
      <c r="F112" s="213"/>
      <c r="G112" s="188">
        <f t="shared" si="11"/>
        <v>0</v>
      </c>
    </row>
    <row r="113" spans="3:7" ht="15.75" hidden="1" customHeight="1" x14ac:dyDescent="0.35">
      <c r="C113" s="186" t="s">
        <v>205</v>
      </c>
      <c r="D113" s="187"/>
      <c r="E113" s="187"/>
      <c r="F113" s="187"/>
      <c r="G113" s="188">
        <f t="shared" si="11"/>
        <v>0</v>
      </c>
    </row>
    <row r="114" spans="3:7" hidden="1" x14ac:dyDescent="0.35">
      <c r="C114" s="189" t="s">
        <v>206</v>
      </c>
      <c r="D114" s="187"/>
      <c r="E114" s="187"/>
      <c r="F114" s="187"/>
      <c r="G114" s="188">
        <f t="shared" si="11"/>
        <v>0</v>
      </c>
    </row>
    <row r="115" spans="3:7" hidden="1" x14ac:dyDescent="0.35">
      <c r="C115" s="186" t="s">
        <v>207</v>
      </c>
      <c r="D115" s="187"/>
      <c r="E115" s="187"/>
      <c r="F115" s="187"/>
      <c r="G115" s="188">
        <f t="shared" si="11"/>
        <v>0</v>
      </c>
    </row>
    <row r="116" spans="3:7" hidden="1" x14ac:dyDescent="0.35">
      <c r="C116" s="186" t="s">
        <v>208</v>
      </c>
      <c r="D116" s="187"/>
      <c r="E116" s="187"/>
      <c r="F116" s="187"/>
      <c r="G116" s="188">
        <f t="shared" si="11"/>
        <v>0</v>
      </c>
    </row>
    <row r="117" spans="3:7" hidden="1" x14ac:dyDescent="0.35">
      <c r="C117" s="186" t="s">
        <v>209</v>
      </c>
      <c r="D117" s="187"/>
      <c r="E117" s="187"/>
      <c r="F117" s="187"/>
      <c r="G117" s="188">
        <f t="shared" si="11"/>
        <v>0</v>
      </c>
    </row>
    <row r="118" spans="3:7" hidden="1" x14ac:dyDescent="0.35">
      <c r="C118" s="190" t="s">
        <v>210</v>
      </c>
      <c r="D118" s="191">
        <f>SUM(D111:D117)</f>
        <v>0</v>
      </c>
      <c r="E118" s="191">
        <f>SUM(E111:E117)</f>
        <v>0</v>
      </c>
      <c r="F118" s="191">
        <f>SUM(F111:F117)</f>
        <v>0</v>
      </c>
      <c r="G118" s="188">
        <f t="shared" si="11"/>
        <v>0</v>
      </c>
    </row>
    <row r="119" spans="3:7" s="214" customFormat="1" hidden="1" x14ac:dyDescent="0.35">
      <c r="C119" s="215"/>
      <c r="D119" s="216"/>
      <c r="E119" s="216"/>
      <c r="F119" s="216"/>
      <c r="G119" s="218"/>
    </row>
    <row r="120" spans="3:7" ht="15.75" hidden="1" customHeight="1" x14ac:dyDescent="0.35">
      <c r="C120" s="474" t="s">
        <v>222</v>
      </c>
      <c r="D120" s="475"/>
      <c r="E120" s="475"/>
      <c r="F120" s="475"/>
      <c r="G120" s="476"/>
    </row>
    <row r="121" spans="3:7" ht="21.75" hidden="1" customHeight="1" thickBot="1" x14ac:dyDescent="0.4">
      <c r="C121" s="180" t="s">
        <v>202</v>
      </c>
      <c r="D121" s="181" t="e">
        <f>#REF!</f>
        <v>#REF!</v>
      </c>
      <c r="E121" s="181" t="e">
        <f>#REF!</f>
        <v>#REF!</v>
      </c>
      <c r="F121" s="181" t="e">
        <f>#REF!</f>
        <v>#REF!</v>
      </c>
      <c r="G121" s="182" t="e">
        <f t="shared" ref="G121:G129" si="12">SUM(D121:F121)</f>
        <v>#REF!</v>
      </c>
    </row>
    <row r="122" spans="3:7" hidden="1" x14ac:dyDescent="0.35">
      <c r="C122" s="183" t="s">
        <v>203</v>
      </c>
      <c r="D122" s="184"/>
      <c r="E122" s="212"/>
      <c r="F122" s="212"/>
      <c r="G122" s="185">
        <f t="shared" si="12"/>
        <v>0</v>
      </c>
    </row>
    <row r="123" spans="3:7" hidden="1" x14ac:dyDescent="0.35">
      <c r="C123" s="186" t="s">
        <v>204</v>
      </c>
      <c r="D123" s="187"/>
      <c r="E123" s="213"/>
      <c r="F123" s="213"/>
      <c r="G123" s="188">
        <f t="shared" si="12"/>
        <v>0</v>
      </c>
    </row>
    <row r="124" spans="3:7" ht="31" hidden="1" x14ac:dyDescent="0.35">
      <c r="C124" s="186" t="s">
        <v>205</v>
      </c>
      <c r="D124" s="187"/>
      <c r="E124" s="187"/>
      <c r="F124" s="187"/>
      <c r="G124" s="188">
        <f t="shared" si="12"/>
        <v>0</v>
      </c>
    </row>
    <row r="125" spans="3:7" hidden="1" x14ac:dyDescent="0.35">
      <c r="C125" s="189" t="s">
        <v>206</v>
      </c>
      <c r="D125" s="187"/>
      <c r="E125" s="187"/>
      <c r="F125" s="187"/>
      <c r="G125" s="188">
        <f t="shared" si="12"/>
        <v>0</v>
      </c>
    </row>
    <row r="126" spans="3:7" hidden="1" x14ac:dyDescent="0.35">
      <c r="C126" s="186" t="s">
        <v>207</v>
      </c>
      <c r="D126" s="187"/>
      <c r="E126" s="187"/>
      <c r="F126" s="187"/>
      <c r="G126" s="188">
        <f t="shared" si="12"/>
        <v>0</v>
      </c>
    </row>
    <row r="127" spans="3:7" hidden="1" x14ac:dyDescent="0.35">
      <c r="C127" s="186" t="s">
        <v>208</v>
      </c>
      <c r="D127" s="187"/>
      <c r="E127" s="187"/>
      <c r="F127" s="187"/>
      <c r="G127" s="188">
        <f t="shared" si="12"/>
        <v>0</v>
      </c>
    </row>
    <row r="128" spans="3:7" hidden="1" x14ac:dyDescent="0.35">
      <c r="C128" s="186" t="s">
        <v>209</v>
      </c>
      <c r="D128" s="187"/>
      <c r="E128" s="187"/>
      <c r="F128" s="187"/>
      <c r="G128" s="188">
        <f t="shared" si="12"/>
        <v>0</v>
      </c>
    </row>
    <row r="129" spans="3:7" hidden="1" x14ac:dyDescent="0.35">
      <c r="C129" s="190" t="s">
        <v>210</v>
      </c>
      <c r="D129" s="191">
        <f>SUM(D122:D128)</f>
        <v>0</v>
      </c>
      <c r="E129" s="191">
        <f>SUM(E122:E128)</f>
        <v>0</v>
      </c>
      <c r="F129" s="191">
        <f>SUM(F122:F128)</f>
        <v>0</v>
      </c>
      <c r="G129" s="188">
        <f t="shared" si="12"/>
        <v>0</v>
      </c>
    </row>
    <row r="130" spans="3:7" s="214" customFormat="1" hidden="1" x14ac:dyDescent="0.35">
      <c r="C130" s="215"/>
      <c r="D130" s="216"/>
      <c r="E130" s="216"/>
      <c r="F130" s="216"/>
      <c r="G130" s="218"/>
    </row>
    <row r="131" spans="3:7" hidden="1" x14ac:dyDescent="0.35">
      <c r="C131" s="474" t="s">
        <v>223</v>
      </c>
      <c r="D131" s="475"/>
      <c r="E131" s="475"/>
      <c r="F131" s="475"/>
      <c r="G131" s="476"/>
    </row>
    <row r="132" spans="3:7" ht="21" hidden="1" customHeight="1" thickBot="1" x14ac:dyDescent="0.4">
      <c r="C132" s="180" t="s">
        <v>202</v>
      </c>
      <c r="D132" s="181" t="e">
        <f>#REF!</f>
        <v>#REF!</v>
      </c>
      <c r="E132" s="181" t="e">
        <f>#REF!</f>
        <v>#REF!</v>
      </c>
      <c r="F132" s="181" t="e">
        <f>#REF!</f>
        <v>#REF!</v>
      </c>
      <c r="G132" s="182" t="e">
        <f t="shared" ref="G132:G140" si="13">SUM(D132:F132)</f>
        <v>#REF!</v>
      </c>
    </row>
    <row r="133" spans="3:7" hidden="1" x14ac:dyDescent="0.35">
      <c r="C133" s="183" t="s">
        <v>203</v>
      </c>
      <c r="D133" s="184"/>
      <c r="E133" s="212"/>
      <c r="F133" s="212"/>
      <c r="G133" s="185">
        <f t="shared" si="13"/>
        <v>0</v>
      </c>
    </row>
    <row r="134" spans="3:7" hidden="1" x14ac:dyDescent="0.35">
      <c r="C134" s="186" t="s">
        <v>204</v>
      </c>
      <c r="D134" s="187"/>
      <c r="E134" s="213"/>
      <c r="F134" s="213"/>
      <c r="G134" s="188">
        <f t="shared" si="13"/>
        <v>0</v>
      </c>
    </row>
    <row r="135" spans="3:7" ht="31" hidden="1" x14ac:dyDescent="0.35">
      <c r="C135" s="186" t="s">
        <v>205</v>
      </c>
      <c r="D135" s="187"/>
      <c r="E135" s="187"/>
      <c r="F135" s="187"/>
      <c r="G135" s="188">
        <f t="shared" si="13"/>
        <v>0</v>
      </c>
    </row>
    <row r="136" spans="3:7" hidden="1" x14ac:dyDescent="0.35">
      <c r="C136" s="189" t="s">
        <v>206</v>
      </c>
      <c r="D136" s="187"/>
      <c r="E136" s="187"/>
      <c r="F136" s="187"/>
      <c r="G136" s="188">
        <f t="shared" si="13"/>
        <v>0</v>
      </c>
    </row>
    <row r="137" spans="3:7" hidden="1" x14ac:dyDescent="0.35">
      <c r="C137" s="186" t="s">
        <v>207</v>
      </c>
      <c r="D137" s="187"/>
      <c r="E137" s="187"/>
      <c r="F137" s="187"/>
      <c r="G137" s="188">
        <f t="shared" si="13"/>
        <v>0</v>
      </c>
    </row>
    <row r="138" spans="3:7" hidden="1" x14ac:dyDescent="0.35">
      <c r="C138" s="186" t="s">
        <v>208</v>
      </c>
      <c r="D138" s="187"/>
      <c r="E138" s="187"/>
      <c r="F138" s="187"/>
      <c r="G138" s="188">
        <f t="shared" si="13"/>
        <v>0</v>
      </c>
    </row>
    <row r="139" spans="3:7" hidden="1" x14ac:dyDescent="0.35">
      <c r="C139" s="186" t="s">
        <v>209</v>
      </c>
      <c r="D139" s="187"/>
      <c r="E139" s="187"/>
      <c r="F139" s="187"/>
      <c r="G139" s="188">
        <f t="shared" si="13"/>
        <v>0</v>
      </c>
    </row>
    <row r="140" spans="3:7" hidden="1" x14ac:dyDescent="0.35">
      <c r="C140" s="190" t="s">
        <v>210</v>
      </c>
      <c r="D140" s="191">
        <f>SUM(D133:D139)</f>
        <v>0</v>
      </c>
      <c r="E140" s="191">
        <f>SUM(E133:E139)</f>
        <v>0</v>
      </c>
      <c r="F140" s="191">
        <f>SUM(F133:F139)</f>
        <v>0</v>
      </c>
      <c r="G140" s="188">
        <f t="shared" si="13"/>
        <v>0</v>
      </c>
    </row>
    <row r="141" spans="3:7" s="214" customFormat="1" hidden="1" x14ac:dyDescent="0.35">
      <c r="C141" s="215"/>
      <c r="D141" s="216"/>
      <c r="E141" s="216"/>
      <c r="F141" s="216"/>
      <c r="G141" s="218"/>
    </row>
    <row r="142" spans="3:7" hidden="1" x14ac:dyDescent="0.35">
      <c r="C142" s="474" t="s">
        <v>224</v>
      </c>
      <c r="D142" s="475"/>
      <c r="E142" s="475"/>
      <c r="F142" s="475"/>
      <c r="G142" s="476"/>
    </row>
    <row r="143" spans="3:7" ht="24" hidden="1" customHeight="1" thickBot="1" x14ac:dyDescent="0.4">
      <c r="C143" s="180" t="s">
        <v>202</v>
      </c>
      <c r="D143" s="181" t="e">
        <f>#REF!</f>
        <v>#REF!</v>
      </c>
      <c r="E143" s="181" t="e">
        <f>#REF!</f>
        <v>#REF!</v>
      </c>
      <c r="F143" s="181" t="e">
        <f>#REF!</f>
        <v>#REF!</v>
      </c>
      <c r="G143" s="182" t="e">
        <f t="shared" ref="G143:G151" si="14">SUM(D143:F143)</f>
        <v>#REF!</v>
      </c>
    </row>
    <row r="144" spans="3:7" ht="15.75" hidden="1" customHeight="1" x14ac:dyDescent="0.35">
      <c r="C144" s="183" t="s">
        <v>203</v>
      </c>
      <c r="D144" s="184"/>
      <c r="E144" s="212"/>
      <c r="F144" s="212"/>
      <c r="G144" s="185">
        <f t="shared" si="14"/>
        <v>0</v>
      </c>
    </row>
    <row r="145" spans="2:7" hidden="1" x14ac:dyDescent="0.35">
      <c r="C145" s="186" t="s">
        <v>204</v>
      </c>
      <c r="D145" s="187"/>
      <c r="E145" s="213"/>
      <c r="F145" s="213"/>
      <c r="G145" s="188">
        <f t="shared" si="14"/>
        <v>0</v>
      </c>
    </row>
    <row r="146" spans="2:7" ht="15.75" hidden="1" customHeight="1" x14ac:dyDescent="0.35">
      <c r="C146" s="186" t="s">
        <v>205</v>
      </c>
      <c r="D146" s="187"/>
      <c r="E146" s="187"/>
      <c r="F146" s="187"/>
      <c r="G146" s="188">
        <f t="shared" si="14"/>
        <v>0</v>
      </c>
    </row>
    <row r="147" spans="2:7" hidden="1" x14ac:dyDescent="0.35">
      <c r="C147" s="189" t="s">
        <v>206</v>
      </c>
      <c r="D147" s="187"/>
      <c r="E147" s="187"/>
      <c r="F147" s="187"/>
      <c r="G147" s="188">
        <f t="shared" si="14"/>
        <v>0</v>
      </c>
    </row>
    <row r="148" spans="2:7" hidden="1" x14ac:dyDescent="0.35">
      <c r="C148" s="186" t="s">
        <v>207</v>
      </c>
      <c r="D148" s="187"/>
      <c r="E148" s="187"/>
      <c r="F148" s="187"/>
      <c r="G148" s="188">
        <f t="shared" si="14"/>
        <v>0</v>
      </c>
    </row>
    <row r="149" spans="2:7" ht="15.75" hidden="1" customHeight="1" x14ac:dyDescent="0.35">
      <c r="C149" s="186" t="s">
        <v>208</v>
      </c>
      <c r="D149" s="187"/>
      <c r="E149" s="187"/>
      <c r="F149" s="187"/>
      <c r="G149" s="188">
        <f t="shared" si="14"/>
        <v>0</v>
      </c>
    </row>
    <row r="150" spans="2:7" hidden="1" x14ac:dyDescent="0.35">
      <c r="C150" s="186" t="s">
        <v>209</v>
      </c>
      <c r="D150" s="187"/>
      <c r="E150" s="187"/>
      <c r="F150" s="187"/>
      <c r="G150" s="188">
        <f t="shared" si="14"/>
        <v>0</v>
      </c>
    </row>
    <row r="151" spans="2:7" hidden="1" x14ac:dyDescent="0.35">
      <c r="C151" s="190" t="s">
        <v>210</v>
      </c>
      <c r="D151" s="191">
        <f>SUM(D144:D150)</f>
        <v>0</v>
      </c>
      <c r="E151" s="191">
        <f>SUM(E144:E150)</f>
        <v>0</v>
      </c>
      <c r="F151" s="191">
        <f>SUM(F144:F150)</f>
        <v>0</v>
      </c>
      <c r="G151" s="188">
        <f t="shared" si="14"/>
        <v>0</v>
      </c>
    </row>
    <row r="152" spans="2:7" hidden="1" x14ac:dyDescent="0.35"/>
    <row r="153" spans="2:7" hidden="1" x14ac:dyDescent="0.35">
      <c r="B153" s="474" t="s">
        <v>225</v>
      </c>
      <c r="C153" s="475"/>
      <c r="D153" s="475"/>
      <c r="E153" s="475"/>
      <c r="F153" s="475"/>
      <c r="G153" s="476"/>
    </row>
    <row r="154" spans="2:7" hidden="1" x14ac:dyDescent="0.35">
      <c r="C154" s="474" t="s">
        <v>226</v>
      </c>
      <c r="D154" s="475"/>
      <c r="E154" s="475"/>
      <c r="F154" s="475"/>
      <c r="G154" s="476"/>
    </row>
    <row r="155" spans="2:7" ht="24" hidden="1" customHeight="1" thickBot="1" x14ac:dyDescent="0.4">
      <c r="C155" s="180" t="s">
        <v>202</v>
      </c>
      <c r="D155" s="181" t="e">
        <f>#REF!</f>
        <v>#REF!</v>
      </c>
      <c r="E155" s="181" t="e">
        <f>#REF!</f>
        <v>#REF!</v>
      </c>
      <c r="F155" s="181" t="e">
        <f>#REF!</f>
        <v>#REF!</v>
      </c>
      <c r="G155" s="182" t="e">
        <f>SUM(D155:F155)</f>
        <v>#REF!</v>
      </c>
    </row>
    <row r="156" spans="2:7" ht="24.75" hidden="1" customHeight="1" x14ac:dyDescent="0.35">
      <c r="C156" s="183" t="s">
        <v>203</v>
      </c>
      <c r="D156" s="184"/>
      <c r="E156" s="212"/>
      <c r="F156" s="212"/>
      <c r="G156" s="185">
        <f t="shared" ref="G156:G163" si="15">SUM(D156:F156)</f>
        <v>0</v>
      </c>
    </row>
    <row r="157" spans="2:7" ht="15.75" hidden="1" customHeight="1" x14ac:dyDescent="0.35">
      <c r="C157" s="186" t="s">
        <v>204</v>
      </c>
      <c r="D157" s="187"/>
      <c r="E157" s="213"/>
      <c r="F157" s="213"/>
      <c r="G157" s="188">
        <f t="shared" si="15"/>
        <v>0</v>
      </c>
    </row>
    <row r="158" spans="2:7" ht="15.75" hidden="1" customHeight="1" x14ac:dyDescent="0.35">
      <c r="C158" s="186" t="s">
        <v>205</v>
      </c>
      <c r="D158" s="187"/>
      <c r="E158" s="187"/>
      <c r="F158" s="187"/>
      <c r="G158" s="188">
        <f t="shared" si="15"/>
        <v>0</v>
      </c>
    </row>
    <row r="159" spans="2:7" ht="15.75" hidden="1" customHeight="1" x14ac:dyDescent="0.35">
      <c r="C159" s="189" t="s">
        <v>206</v>
      </c>
      <c r="D159" s="187"/>
      <c r="E159" s="187"/>
      <c r="F159" s="187"/>
      <c r="G159" s="188">
        <f t="shared" si="15"/>
        <v>0</v>
      </c>
    </row>
    <row r="160" spans="2:7" ht="15.75" hidden="1" customHeight="1" x14ac:dyDescent="0.35">
      <c r="C160" s="186" t="s">
        <v>207</v>
      </c>
      <c r="D160" s="187"/>
      <c r="E160" s="187"/>
      <c r="F160" s="187"/>
      <c r="G160" s="188">
        <f t="shared" si="15"/>
        <v>0</v>
      </c>
    </row>
    <row r="161" spans="3:7" ht="15.75" hidden="1" customHeight="1" x14ac:dyDescent="0.35">
      <c r="C161" s="186" t="s">
        <v>208</v>
      </c>
      <c r="D161" s="187"/>
      <c r="E161" s="187"/>
      <c r="F161" s="187"/>
      <c r="G161" s="188">
        <f t="shared" si="15"/>
        <v>0</v>
      </c>
    </row>
    <row r="162" spans="3:7" ht="15.75" hidden="1" customHeight="1" x14ac:dyDescent="0.35">
      <c r="C162" s="186" t="s">
        <v>209</v>
      </c>
      <c r="D162" s="187"/>
      <c r="E162" s="187"/>
      <c r="F162" s="187"/>
      <c r="G162" s="188">
        <f t="shared" si="15"/>
        <v>0</v>
      </c>
    </row>
    <row r="163" spans="3:7" ht="15.75" hidden="1" customHeight="1" x14ac:dyDescent="0.35">
      <c r="C163" s="190" t="s">
        <v>210</v>
      </c>
      <c r="D163" s="191">
        <f>SUM(D156:D162)</f>
        <v>0</v>
      </c>
      <c r="E163" s="191">
        <f>SUM(E156:E162)</f>
        <v>0</v>
      </c>
      <c r="F163" s="191">
        <f>SUM(F156:F162)</f>
        <v>0</v>
      </c>
      <c r="G163" s="188">
        <f t="shared" si="15"/>
        <v>0</v>
      </c>
    </row>
    <row r="164" spans="3:7" s="214" customFormat="1" ht="15.75" hidden="1" customHeight="1" x14ac:dyDescent="0.35">
      <c r="C164" s="215"/>
      <c r="D164" s="216"/>
      <c r="E164" s="216"/>
      <c r="F164" s="216"/>
      <c r="G164" s="218"/>
    </row>
    <row r="165" spans="3:7" ht="15.75" hidden="1" customHeight="1" x14ac:dyDescent="0.35">
      <c r="C165" s="474" t="s">
        <v>227</v>
      </c>
      <c r="D165" s="475"/>
      <c r="E165" s="475"/>
      <c r="F165" s="475"/>
      <c r="G165" s="476"/>
    </row>
    <row r="166" spans="3:7" ht="21" hidden="1" customHeight="1" thickBot="1" x14ac:dyDescent="0.4">
      <c r="C166" s="180" t="s">
        <v>202</v>
      </c>
      <c r="D166" s="181" t="e">
        <f>#REF!</f>
        <v>#REF!</v>
      </c>
      <c r="E166" s="181" t="e">
        <f>#REF!</f>
        <v>#REF!</v>
      </c>
      <c r="F166" s="181" t="e">
        <f>#REF!</f>
        <v>#REF!</v>
      </c>
      <c r="G166" s="182" t="e">
        <f t="shared" ref="G166:G174" si="16">SUM(D166:F166)</f>
        <v>#REF!</v>
      </c>
    </row>
    <row r="167" spans="3:7" ht="15.75" hidden="1" customHeight="1" x14ac:dyDescent="0.35">
      <c r="C167" s="183" t="s">
        <v>203</v>
      </c>
      <c r="D167" s="184"/>
      <c r="E167" s="212"/>
      <c r="F167" s="212"/>
      <c r="G167" s="185">
        <f t="shared" si="16"/>
        <v>0</v>
      </c>
    </row>
    <row r="168" spans="3:7" ht="15.75" hidden="1" customHeight="1" x14ac:dyDescent="0.35">
      <c r="C168" s="186" t="s">
        <v>204</v>
      </c>
      <c r="D168" s="187"/>
      <c r="E168" s="213"/>
      <c r="F168" s="213"/>
      <c r="G168" s="188">
        <f t="shared" si="16"/>
        <v>0</v>
      </c>
    </row>
    <row r="169" spans="3:7" ht="15.75" hidden="1" customHeight="1" x14ac:dyDescent="0.35">
      <c r="C169" s="186" t="s">
        <v>205</v>
      </c>
      <c r="D169" s="187"/>
      <c r="E169" s="187"/>
      <c r="F169" s="187"/>
      <c r="G169" s="188">
        <f t="shared" si="16"/>
        <v>0</v>
      </c>
    </row>
    <row r="170" spans="3:7" ht="15.75" hidden="1" customHeight="1" x14ac:dyDescent="0.35">
      <c r="C170" s="189" t="s">
        <v>206</v>
      </c>
      <c r="D170" s="187"/>
      <c r="E170" s="187"/>
      <c r="F170" s="187"/>
      <c r="G170" s="188">
        <f t="shared" si="16"/>
        <v>0</v>
      </c>
    </row>
    <row r="171" spans="3:7" ht="15.75" hidden="1" customHeight="1" x14ac:dyDescent="0.35">
      <c r="C171" s="186" t="s">
        <v>207</v>
      </c>
      <c r="D171" s="187"/>
      <c r="E171" s="187"/>
      <c r="F171" s="187"/>
      <c r="G171" s="188">
        <f t="shared" si="16"/>
        <v>0</v>
      </c>
    </row>
    <row r="172" spans="3:7" ht="15.75" hidden="1" customHeight="1" x14ac:dyDescent="0.35">
      <c r="C172" s="186" t="s">
        <v>208</v>
      </c>
      <c r="D172" s="187"/>
      <c r="E172" s="187"/>
      <c r="F172" s="187"/>
      <c r="G172" s="188">
        <f t="shared" si="16"/>
        <v>0</v>
      </c>
    </row>
    <row r="173" spans="3:7" ht="15.75" hidden="1" customHeight="1" x14ac:dyDescent="0.35">
      <c r="C173" s="186" t="s">
        <v>209</v>
      </c>
      <c r="D173" s="187"/>
      <c r="E173" s="187"/>
      <c r="F173" s="187"/>
      <c r="G173" s="188">
        <f t="shared" si="16"/>
        <v>0</v>
      </c>
    </row>
    <row r="174" spans="3:7" ht="15.75" hidden="1" customHeight="1" x14ac:dyDescent="0.35">
      <c r="C174" s="190" t="s">
        <v>210</v>
      </c>
      <c r="D174" s="191">
        <f>SUM(D167:D173)</f>
        <v>0</v>
      </c>
      <c r="E174" s="191">
        <f>SUM(E167:E173)</f>
        <v>0</v>
      </c>
      <c r="F174" s="191">
        <f>SUM(F167:F173)</f>
        <v>0</v>
      </c>
      <c r="G174" s="188">
        <f t="shared" si="16"/>
        <v>0</v>
      </c>
    </row>
    <row r="175" spans="3:7" s="214" customFormat="1" ht="15.75" hidden="1" customHeight="1" x14ac:dyDescent="0.35">
      <c r="C175" s="215"/>
      <c r="D175" s="216"/>
      <c r="E175" s="216"/>
      <c r="F175" s="216"/>
      <c r="G175" s="218"/>
    </row>
    <row r="176" spans="3:7" ht="15.75" hidden="1" customHeight="1" x14ac:dyDescent="0.35">
      <c r="C176" s="474" t="s">
        <v>228</v>
      </c>
      <c r="D176" s="475"/>
      <c r="E176" s="475"/>
      <c r="F176" s="475"/>
      <c r="G176" s="476"/>
    </row>
    <row r="177" spans="3:7" ht="19.5" hidden="1" customHeight="1" thickBot="1" x14ac:dyDescent="0.4">
      <c r="C177" s="180" t="s">
        <v>202</v>
      </c>
      <c r="D177" s="181" t="e">
        <f>#REF!</f>
        <v>#REF!</v>
      </c>
      <c r="E177" s="181" t="e">
        <f>#REF!</f>
        <v>#REF!</v>
      </c>
      <c r="F177" s="181" t="e">
        <f>#REF!</f>
        <v>#REF!</v>
      </c>
      <c r="G177" s="182" t="e">
        <f t="shared" ref="G177:G185" si="17">SUM(D177:F177)</f>
        <v>#REF!</v>
      </c>
    </row>
    <row r="178" spans="3:7" ht="15.75" hidden="1" customHeight="1" x14ac:dyDescent="0.35">
      <c r="C178" s="183" t="s">
        <v>203</v>
      </c>
      <c r="D178" s="184"/>
      <c r="E178" s="212"/>
      <c r="F178" s="212"/>
      <c r="G178" s="185">
        <f t="shared" si="17"/>
        <v>0</v>
      </c>
    </row>
    <row r="179" spans="3:7" ht="15.75" hidden="1" customHeight="1" x14ac:dyDescent="0.35">
      <c r="C179" s="186" t="s">
        <v>204</v>
      </c>
      <c r="D179" s="187"/>
      <c r="E179" s="213"/>
      <c r="F179" s="213"/>
      <c r="G179" s="188">
        <f t="shared" si="17"/>
        <v>0</v>
      </c>
    </row>
    <row r="180" spans="3:7" ht="15.75" hidden="1" customHeight="1" x14ac:dyDescent="0.35">
      <c r="C180" s="186" t="s">
        <v>205</v>
      </c>
      <c r="D180" s="187"/>
      <c r="E180" s="187"/>
      <c r="F180" s="187"/>
      <c r="G180" s="188">
        <f t="shared" si="17"/>
        <v>0</v>
      </c>
    </row>
    <row r="181" spans="3:7" ht="15.75" hidden="1" customHeight="1" x14ac:dyDescent="0.35">
      <c r="C181" s="189" t="s">
        <v>206</v>
      </c>
      <c r="D181" s="187"/>
      <c r="E181" s="187"/>
      <c r="F181" s="187"/>
      <c r="G181" s="188">
        <f t="shared" si="17"/>
        <v>0</v>
      </c>
    </row>
    <row r="182" spans="3:7" ht="15.75" hidden="1" customHeight="1" x14ac:dyDescent="0.35">
      <c r="C182" s="186" t="s">
        <v>207</v>
      </c>
      <c r="D182" s="187"/>
      <c r="E182" s="187"/>
      <c r="F182" s="187"/>
      <c r="G182" s="188">
        <f t="shared" si="17"/>
        <v>0</v>
      </c>
    </row>
    <row r="183" spans="3:7" ht="15.75" hidden="1" customHeight="1" x14ac:dyDescent="0.35">
      <c r="C183" s="186" t="s">
        <v>208</v>
      </c>
      <c r="D183" s="187"/>
      <c r="E183" s="187"/>
      <c r="F183" s="187"/>
      <c r="G183" s="188">
        <f t="shared" si="17"/>
        <v>0</v>
      </c>
    </row>
    <row r="184" spans="3:7" ht="15.75" hidden="1" customHeight="1" x14ac:dyDescent="0.35">
      <c r="C184" s="186" t="s">
        <v>209</v>
      </c>
      <c r="D184" s="187"/>
      <c r="E184" s="187"/>
      <c r="F184" s="187"/>
      <c r="G184" s="188">
        <f t="shared" si="17"/>
        <v>0</v>
      </c>
    </row>
    <row r="185" spans="3:7" ht="15.75" hidden="1" customHeight="1" x14ac:dyDescent="0.35">
      <c r="C185" s="190" t="s">
        <v>210</v>
      </c>
      <c r="D185" s="191">
        <f>SUM(D178:D184)</f>
        <v>0</v>
      </c>
      <c r="E185" s="191">
        <f>SUM(E178:E184)</f>
        <v>0</v>
      </c>
      <c r="F185" s="191">
        <f>SUM(F178:F184)</f>
        <v>0</v>
      </c>
      <c r="G185" s="188">
        <f t="shared" si="17"/>
        <v>0</v>
      </c>
    </row>
    <row r="186" spans="3:7" s="214" customFormat="1" ht="15.75" hidden="1" customHeight="1" x14ac:dyDescent="0.35">
      <c r="C186" s="215"/>
      <c r="D186" s="216"/>
      <c r="E186" s="216"/>
      <c r="F186" s="216"/>
      <c r="G186" s="218"/>
    </row>
    <row r="187" spans="3:7" ht="15.75" hidden="1" customHeight="1" x14ac:dyDescent="0.35">
      <c r="C187" s="474" t="s">
        <v>229</v>
      </c>
      <c r="D187" s="475"/>
      <c r="E187" s="475"/>
      <c r="F187" s="475"/>
      <c r="G187" s="476"/>
    </row>
    <row r="188" spans="3:7" ht="22.5" hidden="1" customHeight="1" thickBot="1" x14ac:dyDescent="0.4">
      <c r="C188" s="180" t="s">
        <v>202</v>
      </c>
      <c r="D188" s="181" t="e">
        <f>#REF!</f>
        <v>#REF!</v>
      </c>
      <c r="E188" s="181" t="e">
        <f>#REF!</f>
        <v>#REF!</v>
      </c>
      <c r="F188" s="181" t="e">
        <f>#REF!</f>
        <v>#REF!</v>
      </c>
      <c r="G188" s="182" t="e">
        <f t="shared" ref="G188:G196" si="18">SUM(D188:F188)</f>
        <v>#REF!</v>
      </c>
    </row>
    <row r="189" spans="3:7" ht="15.75" hidden="1" customHeight="1" x14ac:dyDescent="0.35">
      <c r="C189" s="183" t="s">
        <v>203</v>
      </c>
      <c r="D189" s="184"/>
      <c r="E189" s="212"/>
      <c r="F189" s="212"/>
      <c r="G189" s="185">
        <f t="shared" si="18"/>
        <v>0</v>
      </c>
    </row>
    <row r="190" spans="3:7" ht="15.75" hidden="1" customHeight="1" x14ac:dyDescent="0.35">
      <c r="C190" s="186" t="s">
        <v>204</v>
      </c>
      <c r="D190" s="187"/>
      <c r="E190" s="213"/>
      <c r="F190" s="213"/>
      <c r="G190" s="188">
        <f t="shared" si="18"/>
        <v>0</v>
      </c>
    </row>
    <row r="191" spans="3:7" ht="15.75" hidden="1" customHeight="1" x14ac:dyDescent="0.35">
      <c r="C191" s="186" t="s">
        <v>205</v>
      </c>
      <c r="D191" s="187"/>
      <c r="E191" s="187"/>
      <c r="F191" s="187"/>
      <c r="G191" s="188">
        <f t="shared" si="18"/>
        <v>0</v>
      </c>
    </row>
    <row r="192" spans="3:7" ht="15.75" hidden="1" customHeight="1" x14ac:dyDescent="0.35">
      <c r="C192" s="189" t="s">
        <v>206</v>
      </c>
      <c r="D192" s="187"/>
      <c r="E192" s="187"/>
      <c r="F192" s="187"/>
      <c r="G192" s="188">
        <f t="shared" si="18"/>
        <v>0</v>
      </c>
    </row>
    <row r="193" spans="3:7" ht="15.75" hidden="1" customHeight="1" x14ac:dyDescent="0.35">
      <c r="C193" s="186" t="s">
        <v>207</v>
      </c>
      <c r="D193" s="187"/>
      <c r="E193" s="187"/>
      <c r="F193" s="187"/>
      <c r="G193" s="188">
        <f t="shared" si="18"/>
        <v>0</v>
      </c>
    </row>
    <row r="194" spans="3:7" ht="15.75" hidden="1" customHeight="1" x14ac:dyDescent="0.35">
      <c r="C194" s="186" t="s">
        <v>208</v>
      </c>
      <c r="D194" s="187"/>
      <c r="E194" s="187"/>
      <c r="F194" s="187"/>
      <c r="G194" s="188">
        <f t="shared" si="18"/>
        <v>0</v>
      </c>
    </row>
    <row r="195" spans="3:7" ht="15.75" hidden="1" customHeight="1" x14ac:dyDescent="0.35">
      <c r="C195" s="186" t="s">
        <v>209</v>
      </c>
      <c r="D195" s="187"/>
      <c r="E195" s="187"/>
      <c r="F195" s="187"/>
      <c r="G195" s="188">
        <f t="shared" si="18"/>
        <v>0</v>
      </c>
    </row>
    <row r="196" spans="3:7" ht="15.75" hidden="1" customHeight="1" x14ac:dyDescent="0.35">
      <c r="C196" s="190" t="s">
        <v>210</v>
      </c>
      <c r="D196" s="191">
        <f>SUM(D189:D195)</f>
        <v>0</v>
      </c>
      <c r="E196" s="191">
        <f>SUM(E189:E195)</f>
        <v>0</v>
      </c>
      <c r="F196" s="191">
        <f>SUM(F189:F195)</f>
        <v>0</v>
      </c>
      <c r="G196" s="188">
        <f t="shared" si="18"/>
        <v>0</v>
      </c>
    </row>
    <row r="197" spans="3:7" ht="15.75" hidden="1" customHeight="1" x14ac:dyDescent="0.35"/>
    <row r="198" spans="3:7" ht="15.75" hidden="1" customHeight="1" x14ac:dyDescent="0.35">
      <c r="C198" s="474" t="s">
        <v>217</v>
      </c>
      <c r="D198" s="475"/>
      <c r="E198" s="475"/>
      <c r="F198" s="475"/>
      <c r="G198" s="476"/>
    </row>
    <row r="199" spans="3:7" ht="19.5" hidden="1" customHeight="1" thickBot="1" x14ac:dyDescent="0.4">
      <c r="C199" s="180" t="s">
        <v>230</v>
      </c>
      <c r="D199" s="181" t="e">
        <f>#REF!</f>
        <v>#REF!</v>
      </c>
      <c r="E199" s="181" t="e">
        <f>#REF!</f>
        <v>#REF!</v>
      </c>
      <c r="F199" s="181" t="e">
        <f>#REF!</f>
        <v>#REF!</v>
      </c>
      <c r="G199" s="182" t="e">
        <f t="shared" ref="G199:G207" si="19">SUM(D199:F199)</f>
        <v>#REF!</v>
      </c>
    </row>
    <row r="200" spans="3:7" ht="15.75" hidden="1" customHeight="1" x14ac:dyDescent="0.35">
      <c r="C200" s="183" t="s">
        <v>203</v>
      </c>
      <c r="D200" s="184"/>
      <c r="E200" s="212"/>
      <c r="F200" s="212"/>
      <c r="G200" s="185">
        <f t="shared" si="19"/>
        <v>0</v>
      </c>
    </row>
    <row r="201" spans="3:7" ht="15.75" hidden="1" customHeight="1" x14ac:dyDescent="0.35">
      <c r="C201" s="186" t="s">
        <v>204</v>
      </c>
      <c r="D201" s="187"/>
      <c r="E201" s="213"/>
      <c r="F201" s="213"/>
      <c r="G201" s="188">
        <f t="shared" si="19"/>
        <v>0</v>
      </c>
    </row>
    <row r="202" spans="3:7" ht="15.75" hidden="1" customHeight="1" x14ac:dyDescent="0.35">
      <c r="C202" s="186" t="s">
        <v>205</v>
      </c>
      <c r="D202" s="187"/>
      <c r="E202" s="187"/>
      <c r="F202" s="187"/>
      <c r="G202" s="188">
        <f t="shared" si="19"/>
        <v>0</v>
      </c>
    </row>
    <row r="203" spans="3:7" ht="15.75" hidden="1" customHeight="1" x14ac:dyDescent="0.35">
      <c r="C203" s="189" t="s">
        <v>206</v>
      </c>
      <c r="D203" s="187"/>
      <c r="E203" s="187"/>
      <c r="F203" s="187"/>
      <c r="G203" s="188">
        <f t="shared" si="19"/>
        <v>0</v>
      </c>
    </row>
    <row r="204" spans="3:7" ht="15.75" hidden="1" customHeight="1" x14ac:dyDescent="0.35">
      <c r="C204" s="186" t="s">
        <v>207</v>
      </c>
      <c r="D204" s="187"/>
      <c r="E204" s="187"/>
      <c r="F204" s="187"/>
      <c r="G204" s="188">
        <f t="shared" si="19"/>
        <v>0</v>
      </c>
    </row>
    <row r="205" spans="3:7" ht="15.75" hidden="1" customHeight="1" x14ac:dyDescent="0.35">
      <c r="C205" s="186" t="s">
        <v>208</v>
      </c>
      <c r="D205" s="187"/>
      <c r="E205" s="187"/>
      <c r="F205" s="187"/>
      <c r="G205" s="188">
        <f t="shared" si="19"/>
        <v>0</v>
      </c>
    </row>
    <row r="206" spans="3:7" ht="15.75" hidden="1" customHeight="1" x14ac:dyDescent="0.35">
      <c r="C206" s="186" t="s">
        <v>209</v>
      </c>
      <c r="D206" s="187"/>
      <c r="E206" s="187"/>
      <c r="F206" s="187"/>
      <c r="G206" s="188">
        <f t="shared" si="19"/>
        <v>0</v>
      </c>
    </row>
    <row r="207" spans="3:7" ht="15.75" hidden="1" customHeight="1" x14ac:dyDescent="0.35">
      <c r="C207" s="190" t="s">
        <v>210</v>
      </c>
      <c r="D207" s="191">
        <f>SUM(D200:D206)</f>
        <v>0</v>
      </c>
      <c r="E207" s="191">
        <f>SUM(E200:E206)</f>
        <v>0</v>
      </c>
      <c r="F207" s="191">
        <f>SUM(F200:F206)</f>
        <v>0</v>
      </c>
      <c r="G207" s="188">
        <f t="shared" si="19"/>
        <v>0</v>
      </c>
    </row>
    <row r="208" spans="3:7" ht="15.75" customHeight="1" thickBot="1" x14ac:dyDescent="0.4"/>
    <row r="209" spans="3:13" ht="19.5" customHeight="1" thickBot="1" x14ac:dyDescent="0.4">
      <c r="C209" s="467" t="s">
        <v>175</v>
      </c>
      <c r="D209" s="468"/>
      <c r="E209" s="468"/>
      <c r="F209" s="468"/>
      <c r="G209" s="469"/>
    </row>
    <row r="210" spans="3:13" ht="19.5" customHeight="1" x14ac:dyDescent="0.35">
      <c r="C210" s="229"/>
      <c r="D210" s="470" t="s">
        <v>4</v>
      </c>
      <c r="E210" s="470" t="s">
        <v>5</v>
      </c>
      <c r="F210" s="470" t="e">
        <f>#REF!</f>
        <v>#REF!</v>
      </c>
      <c r="G210" s="472" t="s">
        <v>175</v>
      </c>
    </row>
    <row r="211" spans="3:13" ht="19.5" customHeight="1" x14ac:dyDescent="0.35">
      <c r="C211" s="229"/>
      <c r="D211" s="471"/>
      <c r="E211" s="471"/>
      <c r="F211" s="471"/>
      <c r="G211" s="473"/>
    </row>
    <row r="212" spans="3:13" ht="19.5" customHeight="1" x14ac:dyDescent="0.35">
      <c r="C212" s="230" t="s">
        <v>203</v>
      </c>
      <c r="D212" s="231">
        <f>D41+D30+D19+D8+D86+D53+D64+D75+D98</f>
        <v>49876.465459999992</v>
      </c>
      <c r="E212" s="231">
        <f>E41+E30+E19+E8+E86+E53+E64+E75+E98</f>
        <v>171449.61724999998</v>
      </c>
      <c r="F212" s="231" t="e">
        <f>SUM(F189,F178,F167,F156,F144,F133,F122,F111,#REF!,F75,F64,F53,F41,F30,F19,F8,F200)</f>
        <v>#REF!</v>
      </c>
      <c r="G212" s="232">
        <f>D212+E212</f>
        <v>221326.08270999999</v>
      </c>
    </row>
    <row r="213" spans="3:13" ht="34.5" customHeight="1" x14ac:dyDescent="0.35">
      <c r="C213" s="230" t="s">
        <v>204</v>
      </c>
      <c r="D213" s="231">
        <f>D42+D31+D20+D9+D87+D54+D65+D76</f>
        <v>6477.6292000000003</v>
      </c>
      <c r="E213" s="231">
        <f>E42+E31+E20+E9+E87+E54+E65+E76</f>
        <v>5254.3450000000003</v>
      </c>
      <c r="F213" s="231" t="e">
        <f>SUM(F190,F179,F168,F157,F145,F134,F123,F112,#REF!,F76,F65,F54,F42,F31,F20,F9,F201)</f>
        <v>#REF!</v>
      </c>
      <c r="G213" s="232">
        <f>D213+E213</f>
        <v>11731.974200000001</v>
      </c>
    </row>
    <row r="214" spans="3:13" ht="48" customHeight="1" x14ac:dyDescent="0.35">
      <c r="C214" s="230" t="s">
        <v>205</v>
      </c>
      <c r="D214" s="231">
        <f>D43+D32+D21+D10+D88+D55+D66+D77</f>
        <v>12955.258400000001</v>
      </c>
      <c r="E214" s="231">
        <f>E43+E32+E21+E10+E88+E55+E66+E77</f>
        <v>10508.69</v>
      </c>
      <c r="F214" s="231" t="e">
        <f>SUM(F191,F180,F169,F158,F146,F135,F124,F113,#REF!,F77,F66,F55,F43,F32,F21,F10,F202)</f>
        <v>#REF!</v>
      </c>
      <c r="G214" s="232">
        <f t="shared" ref="G214:G220" si="20">D214+E214</f>
        <v>23463.948400000001</v>
      </c>
    </row>
    <row r="215" spans="3:13" ht="33" customHeight="1" x14ac:dyDescent="0.35">
      <c r="C215" s="233" t="s">
        <v>206</v>
      </c>
      <c r="D215" s="231">
        <f>D44+D33+D22+D11+D89+D56+D67+D78+D101</f>
        <v>366836.71840000001</v>
      </c>
      <c r="E215" s="231">
        <f>E44+E33+E22+E11+E89+E56+E67+E78+E101</f>
        <v>323225.94</v>
      </c>
      <c r="F215" s="231" t="e">
        <f>SUM(F192,F181,F170,F159,F147,F136,F125,F114,#REF!,F78,F67,F56,F44,F33,F22,F11,F203)</f>
        <v>#REF!</v>
      </c>
      <c r="G215" s="232">
        <f t="shared" si="20"/>
        <v>690062.65840000007</v>
      </c>
    </row>
    <row r="216" spans="3:13" ht="21" customHeight="1" x14ac:dyDescent="0.35">
      <c r="C216" s="230" t="s">
        <v>207</v>
      </c>
      <c r="D216" s="231">
        <f>D45+D34+D23+D12+D90+D57+D68+D79+D102</f>
        <v>82388.146000000008</v>
      </c>
      <c r="E216" s="231">
        <f>E45+E34+E23+E12+E90+E57+E68+E79+E102</f>
        <v>76271.725000000006</v>
      </c>
      <c r="F216" s="231" t="e">
        <f>SUM(F193,F182,F171,F160,F148,F137,F126,F115,#REF!,F79,F68,F57,F45,F34,F23,F12,F204)</f>
        <v>#REF!</v>
      </c>
      <c r="G216" s="232">
        <f t="shared" si="20"/>
        <v>158659.87100000001</v>
      </c>
      <c r="K216" s="234"/>
      <c r="L216" s="234"/>
      <c r="M216" s="235"/>
    </row>
    <row r="217" spans="3:13" ht="39.75" customHeight="1" x14ac:dyDescent="0.35">
      <c r="C217" s="230" t="s">
        <v>208</v>
      </c>
      <c r="D217" s="231">
        <f>D46+D35+D24+D13+D91+D58+D69+D80</f>
        <v>19432.887599999998</v>
      </c>
      <c r="E217" s="231">
        <f>E46+E35+E24+E13+E91+E58+E69+E80</f>
        <v>15763.035</v>
      </c>
      <c r="F217" s="231" t="e">
        <f>SUM(F194,F183,F172,F161,F149,F138,F127,F116,#REF!,F80,F69,F58,F46,F35,F24,F13,F205)</f>
        <v>#REF!</v>
      </c>
      <c r="G217" s="232">
        <f t="shared" si="20"/>
        <v>35195.922599999998</v>
      </c>
      <c r="K217" s="234"/>
      <c r="L217" s="234"/>
      <c r="M217" s="235"/>
    </row>
    <row r="218" spans="3:13" ht="30.65" customHeight="1" x14ac:dyDescent="0.35">
      <c r="C218" s="230" t="s">
        <v>231</v>
      </c>
      <c r="D218" s="236">
        <f>D14+D25+D36+D47+D92+D59+D70+D81+D104</f>
        <v>194004.99453999999</v>
      </c>
      <c r="E218" s="236">
        <f>E14+E25+E36+E47+E92+E59+E70+E81+E104</f>
        <v>217267.63274999999</v>
      </c>
      <c r="F218" s="236" t="e">
        <f>SUM(F195,F184,F173,F162,F150,F139,F128,F117,#REF!,F81,F70,F59,F47,F36,F25,F14,F206)</f>
        <v>#REF!</v>
      </c>
      <c r="G218" s="232">
        <f t="shared" si="20"/>
        <v>411272.62728999997</v>
      </c>
      <c r="K218" s="234"/>
      <c r="L218" s="234"/>
      <c r="M218" s="235"/>
    </row>
    <row r="219" spans="3:13" ht="22.5" customHeight="1" x14ac:dyDescent="0.35">
      <c r="C219" s="237" t="s">
        <v>232</v>
      </c>
      <c r="D219" s="238">
        <f>SUM(D212:D218)</f>
        <v>731972.09959999996</v>
      </c>
      <c r="E219" s="238">
        <f>SUM(E212:E218)</f>
        <v>819740.98499999999</v>
      </c>
      <c r="F219" s="239" t="e">
        <f>SUM(F212:F218)</f>
        <v>#REF!</v>
      </c>
      <c r="G219" s="240">
        <f t="shared" si="20"/>
        <v>1551713.0845999999</v>
      </c>
      <c r="K219" s="234"/>
      <c r="L219" s="234"/>
      <c r="M219" s="235"/>
    </row>
    <row r="220" spans="3:13" ht="26.25" customHeight="1" thickBot="1" x14ac:dyDescent="0.4">
      <c r="C220" s="241" t="s">
        <v>233</v>
      </c>
      <c r="D220" s="242">
        <f>D219*0.07</f>
        <v>51238.046972000004</v>
      </c>
      <c r="E220" s="242">
        <f t="shared" ref="E220:F220" si="21">E219*0.07</f>
        <v>57381.868950000004</v>
      </c>
      <c r="F220" s="242" t="e">
        <f t="shared" si="21"/>
        <v>#REF!</v>
      </c>
      <c r="G220" s="232">
        <f t="shared" si="20"/>
        <v>108619.91592200001</v>
      </c>
      <c r="K220" s="243"/>
      <c r="L220" s="244"/>
      <c r="M220" s="214"/>
    </row>
    <row r="221" spans="3:13" ht="23.25" customHeight="1" thickBot="1" x14ac:dyDescent="0.4">
      <c r="C221" s="245" t="s">
        <v>234</v>
      </c>
      <c r="D221" s="246">
        <f>SUM(D219:D220)</f>
        <v>783210.146572</v>
      </c>
      <c r="E221" s="246">
        <f>SUM(E219:E220)</f>
        <v>877122.85395000002</v>
      </c>
      <c r="F221" s="246" t="e">
        <f t="shared" ref="F221" si="22">SUM(F219:F220)</f>
        <v>#REF!</v>
      </c>
      <c r="G221" s="247">
        <f>E221+D221</f>
        <v>1660333.000522</v>
      </c>
      <c r="K221" s="243"/>
      <c r="L221" s="244"/>
      <c r="M221" s="214"/>
    </row>
    <row r="222" spans="3:13" ht="15.75" customHeight="1" x14ac:dyDescent="0.35">
      <c r="L222" s="248"/>
    </row>
    <row r="223" spans="3:13" ht="15.75" customHeight="1" x14ac:dyDescent="0.35">
      <c r="H223" s="249"/>
      <c r="I223" s="249"/>
      <c r="L223" s="248"/>
    </row>
    <row r="224" spans="3:13" ht="15.75" customHeight="1" x14ac:dyDescent="0.35">
      <c r="H224" s="249"/>
      <c r="I224" s="249"/>
    </row>
    <row r="225" spans="3:13" ht="40.5" customHeight="1" x14ac:dyDescent="0.35">
      <c r="H225" s="249"/>
      <c r="I225" s="249"/>
      <c r="L225" s="250"/>
    </row>
    <row r="226" spans="3:13" ht="24.75" customHeight="1" x14ac:dyDescent="0.35">
      <c r="H226" s="249"/>
      <c r="I226" s="249"/>
      <c r="L226" s="250"/>
    </row>
    <row r="227" spans="3:13" ht="41.25" customHeight="1" x14ac:dyDescent="0.35">
      <c r="H227" s="251"/>
      <c r="I227" s="249"/>
      <c r="L227" s="250"/>
    </row>
    <row r="228" spans="3:13" ht="51.75" customHeight="1" x14ac:dyDescent="0.35">
      <c r="H228" s="251"/>
      <c r="I228" s="249"/>
      <c r="L228" s="250"/>
    </row>
    <row r="229" spans="3:13" ht="42" customHeight="1" x14ac:dyDescent="0.35">
      <c r="H229" s="249"/>
      <c r="I229" s="249"/>
      <c r="L229" s="250"/>
    </row>
    <row r="230" spans="3:13" s="214" customFormat="1" ht="42" customHeight="1" x14ac:dyDescent="0.35">
      <c r="C230" s="174"/>
      <c r="G230" s="174"/>
      <c r="H230" s="174"/>
      <c r="I230" s="249"/>
      <c r="J230" s="174"/>
      <c r="K230" s="174"/>
      <c r="L230" s="250"/>
      <c r="M230" s="174"/>
    </row>
    <row r="231" spans="3:13" s="214" customFormat="1" ht="42" customHeight="1" x14ac:dyDescent="0.35">
      <c r="C231" s="174"/>
      <c r="G231" s="174"/>
      <c r="H231" s="174"/>
      <c r="I231" s="249"/>
      <c r="J231" s="174"/>
      <c r="K231" s="174"/>
      <c r="L231" s="174"/>
      <c r="M231" s="174"/>
    </row>
    <row r="232" spans="3:13" s="214" customFormat="1" ht="63.75" customHeight="1" x14ac:dyDescent="0.35">
      <c r="C232" s="174"/>
      <c r="G232" s="174"/>
      <c r="H232" s="174"/>
      <c r="I232" s="248"/>
      <c r="J232" s="174"/>
      <c r="K232" s="174"/>
      <c r="L232" s="174"/>
      <c r="M232" s="174"/>
    </row>
    <row r="233" spans="3:13" s="214" customFormat="1" ht="42" customHeight="1" x14ac:dyDescent="0.35">
      <c r="C233" s="174"/>
      <c r="G233" s="174"/>
      <c r="H233" s="174"/>
      <c r="I233" s="174"/>
      <c r="J233" s="174"/>
      <c r="K233" s="174"/>
      <c r="L233" s="174"/>
      <c r="M233" s="248"/>
    </row>
    <row r="234" spans="3:13" ht="23.25" customHeight="1" x14ac:dyDescent="0.35"/>
    <row r="235" spans="3:13" ht="27.75" customHeight="1" x14ac:dyDescent="0.35"/>
    <row r="236" spans="3:13" ht="55.5" customHeight="1" x14ac:dyDescent="0.35"/>
    <row r="237" spans="3:13" ht="57.75" customHeight="1" x14ac:dyDescent="0.35"/>
    <row r="238" spans="3:13" ht="21.75" customHeight="1" x14ac:dyDescent="0.35"/>
    <row r="239" spans="3:13" ht="49.5" customHeight="1" x14ac:dyDescent="0.35"/>
    <row r="240" spans="3:13" ht="28.5" customHeight="1" x14ac:dyDescent="0.35"/>
    <row r="241" spans="14:14" ht="28.5" customHeight="1" x14ac:dyDescent="0.35"/>
    <row r="242" spans="14:14" ht="28.5" customHeight="1" x14ac:dyDescent="0.35"/>
    <row r="243" spans="14:14" ht="23.25" customHeight="1" x14ac:dyDescent="0.35">
      <c r="N243" s="248"/>
    </row>
    <row r="244" spans="14:14" ht="43.5" customHeight="1" x14ac:dyDescent="0.35">
      <c r="N244" s="248"/>
    </row>
    <row r="245" spans="14:14" ht="55.5" customHeight="1" x14ac:dyDescent="0.35"/>
    <row r="246" spans="14:14" ht="42.75" customHeight="1" x14ac:dyDescent="0.35">
      <c r="N246" s="248"/>
    </row>
    <row r="247" spans="14:14" ht="21.75" customHeight="1" x14ac:dyDescent="0.35">
      <c r="N247" s="248"/>
    </row>
    <row r="248" spans="14:14" ht="21.75" customHeight="1" x14ac:dyDescent="0.35">
      <c r="N248" s="248"/>
    </row>
    <row r="249" spans="14:14" ht="23.25" customHeight="1" x14ac:dyDescent="0.35"/>
    <row r="250" spans="14:14" ht="23.25" customHeight="1" x14ac:dyDescent="0.35"/>
    <row r="251" spans="14:14" ht="21.75" customHeight="1" x14ac:dyDescent="0.35"/>
    <row r="252" spans="14:14" ht="16.5" customHeight="1" x14ac:dyDescent="0.35"/>
    <row r="253" spans="14:14" ht="29.25" customHeight="1" x14ac:dyDescent="0.35"/>
    <row r="254" spans="14:14" ht="24.75" customHeight="1" x14ac:dyDescent="0.35"/>
    <row r="255" spans="14:14" ht="33" customHeight="1" x14ac:dyDescent="0.35"/>
    <row r="257" ht="15" customHeight="1" x14ac:dyDescent="0.35"/>
    <row r="258" ht="25.5" customHeight="1" x14ac:dyDescent="0.35"/>
  </sheetData>
  <sheetProtection insertColumns="0" insertRows="0" deleteRows="0"/>
  <mergeCells count="29">
    <mergeCell ref="C84:G84"/>
    <mergeCell ref="C1:F1"/>
    <mergeCell ref="C2:E2"/>
    <mergeCell ref="B5:G5"/>
    <mergeCell ref="C6:G6"/>
    <mergeCell ref="C17:G17"/>
    <mergeCell ref="C28:G28"/>
    <mergeCell ref="C38:G38"/>
    <mergeCell ref="B50:G50"/>
    <mergeCell ref="C51:G51"/>
    <mergeCell ref="C62:G62"/>
    <mergeCell ref="C73:G73"/>
    <mergeCell ref="C198:G198"/>
    <mergeCell ref="C96:G96"/>
    <mergeCell ref="B108:G108"/>
    <mergeCell ref="C109:G109"/>
    <mergeCell ref="C120:G120"/>
    <mergeCell ref="C131:G131"/>
    <mergeCell ref="C142:G142"/>
    <mergeCell ref="B153:G153"/>
    <mergeCell ref="C154:G154"/>
    <mergeCell ref="C165:G165"/>
    <mergeCell ref="C176:G176"/>
    <mergeCell ref="C187:G187"/>
    <mergeCell ref="C209:G209"/>
    <mergeCell ref="D210:D211"/>
    <mergeCell ref="E210:E211"/>
    <mergeCell ref="F210:F211"/>
    <mergeCell ref="G210:G211"/>
  </mergeCells>
  <conditionalFormatting sqref="G15">
    <cfRule type="cellIs" dxfId="19" priority="20" operator="notEqual">
      <formula>$G$7</formula>
    </cfRule>
  </conditionalFormatting>
  <conditionalFormatting sqref="G26">
    <cfRule type="cellIs" dxfId="18" priority="19" operator="notEqual">
      <formula>$G$18</formula>
    </cfRule>
  </conditionalFormatting>
  <conditionalFormatting sqref="G37">
    <cfRule type="cellIs" dxfId="17" priority="18" operator="notEqual">
      <formula>$G$29</formula>
    </cfRule>
  </conditionalFormatting>
  <conditionalFormatting sqref="G48">
    <cfRule type="cellIs" dxfId="16" priority="17" operator="notEqual">
      <formula>$G$40</formula>
    </cfRule>
  </conditionalFormatting>
  <conditionalFormatting sqref="G60">
    <cfRule type="cellIs" dxfId="15" priority="16" operator="notEqual">
      <formula>$G$52</formula>
    </cfRule>
  </conditionalFormatting>
  <conditionalFormatting sqref="G71">
    <cfRule type="cellIs" dxfId="14" priority="15" operator="notEqual">
      <formula>$G$63</formula>
    </cfRule>
  </conditionalFormatting>
  <conditionalFormatting sqref="G82 G84">
    <cfRule type="cellIs" dxfId="13" priority="14" operator="notEqual">
      <formula>$G$74</formula>
    </cfRule>
  </conditionalFormatting>
  <conditionalFormatting sqref="G93">
    <cfRule type="cellIs" dxfId="12" priority="3" operator="notEqual">
      <formula>$G$74</formula>
    </cfRule>
  </conditionalFormatting>
  <conditionalFormatting sqref="G96">
    <cfRule type="cellIs" dxfId="11" priority="2" operator="notEqual">
      <formula>$G$74</formula>
    </cfRule>
  </conditionalFormatting>
  <conditionalFormatting sqref="G105">
    <cfRule type="cellIs" dxfId="10" priority="1" operator="notEqual">
      <formula>$G$74</formula>
    </cfRule>
  </conditionalFormatting>
  <conditionalFormatting sqref="G118">
    <cfRule type="cellIs" dxfId="9" priority="13" operator="notEqual">
      <formula>$G$110</formula>
    </cfRule>
  </conditionalFormatting>
  <conditionalFormatting sqref="G129">
    <cfRule type="cellIs" dxfId="8" priority="12" operator="notEqual">
      <formula>$G$121</formula>
    </cfRule>
  </conditionalFormatting>
  <conditionalFormatting sqref="G140">
    <cfRule type="cellIs" dxfId="7" priority="11" operator="notEqual">
      <formula>$G$132</formula>
    </cfRule>
  </conditionalFormatting>
  <conditionalFormatting sqref="G151">
    <cfRule type="cellIs" dxfId="6" priority="10" operator="notEqual">
      <formula>$G$143</formula>
    </cfRule>
  </conditionalFormatting>
  <conditionalFormatting sqref="G163">
    <cfRule type="cellIs" dxfId="5" priority="9" operator="notEqual">
      <formula>$G$155</formula>
    </cfRule>
  </conditionalFormatting>
  <conditionalFormatting sqref="G174">
    <cfRule type="cellIs" dxfId="4" priority="8" operator="notEqual">
      <formula>$G$166</formula>
    </cfRule>
  </conditionalFormatting>
  <conditionalFormatting sqref="G185">
    <cfRule type="cellIs" dxfId="3" priority="7" operator="notEqual">
      <formula>$G$166</formula>
    </cfRule>
  </conditionalFormatting>
  <conditionalFormatting sqref="G196">
    <cfRule type="cellIs" dxfId="2" priority="6" operator="notEqual">
      <formula>$G$188</formula>
    </cfRule>
  </conditionalFormatting>
  <conditionalFormatting sqref="G207">
    <cfRule type="cellIs" dxfId="1" priority="5" operator="notEqual">
      <formula>$G$199</formula>
    </cfRule>
  </conditionalFormatting>
  <conditionalFormatting sqref="G221">
    <cfRule type="cellIs" dxfId="0" priority="4" operator="notEqual">
      <formula>#REF!</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117 C128 C139 C150 C162 C173 C184 C195 C218 C206 C92 C104" xr:uid="{F8EAF368-042C-4EBD-A9E1-07FCD177318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116 C127 C138 C149 C161 C172 C183 C194 C217 C205 C91 C103" xr:uid="{02296DDB-6D43-4975-91F4-3EA310A2DD3F}"/>
    <dataValidation allowBlank="1" showInputMessage="1" showErrorMessage="1" prompt="Services contracted by an organization which follow the normal procurement processes." sqref="C11 C22 C33 C44 C56 C67 C78 C114 C125 C136 C147 C159 C170 C181 C192 C215 C203 C89 C101" xr:uid="{C9643824-A68B-4BFC-B788-39C25B8D7516}"/>
    <dataValidation allowBlank="1" showInputMessage="1" showErrorMessage="1" prompt="Includes staff and non-staff travel paid for by the organization directly related to a project." sqref="C12 C23 C34 C45 C57 C68 C79 C115 C126 C137 C148 C160 C171 C182 C193 C216 C204 C90 C102" xr:uid="{065A7651-FB58-42C5-A48C-386499885E84}"/>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113 C124 C135 C146 C158 C169 C180 C191 C214 C202 C88 C100" xr:uid="{FA2D4ED8-B2C6-4960-B232-A17F73855FD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112 C123 C134 C145 C157 C168 C179 C190 C213 C201 C87 C99" xr:uid="{F3C54D09-FF62-40B6-B8A3-3DCA409141C2}"/>
    <dataValidation allowBlank="1" showInputMessage="1" showErrorMessage="1" prompt="Includes all related staff and temporary staff costs including base salary, post adjustment and all staff entitlements." sqref="C8 C19 C30 C41 C53 C64 C75 C111 C122 C133 C144 C156 C167 C178 C189 C212 C200 C86 C98" xr:uid="{EED406BB-50C3-4770-AD60-ABEB79236B85}"/>
    <dataValidation allowBlank="1" showInputMessage="1" showErrorMessage="1" prompt="Output totals must match the original total from Table 1, and will show as red if not. " sqref="G15" xr:uid="{76A260DF-BC55-43D3-BB65-65BA0ACF4887}"/>
  </dataValidations>
  <pageMargins left="0.7" right="0.7" top="0.75" bottom="0.75" header="0.3" footer="0.3"/>
  <pageSetup scale="74" orientation="landscape" r:id="rId1"/>
  <rowBreaks count="1" manualBreakCount="1">
    <brk id="6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DB17-6298-427F-BFB1-1FDAA6146E83}">
  <sheetPr>
    <tabColor rgb="FFFF66CC"/>
  </sheetPr>
  <dimension ref="A1:E32"/>
  <sheetViews>
    <sheetView zoomScale="80" zoomScaleNormal="80" workbookViewId="0">
      <selection activeCell="D20" sqref="D20"/>
    </sheetView>
  </sheetViews>
  <sheetFormatPr defaultRowHeight="14.5" x14ac:dyDescent="0.35"/>
  <cols>
    <col min="1" max="1" width="36.26953125" customWidth="1"/>
    <col min="3" max="5" width="13.81640625" bestFit="1" customWidth="1"/>
  </cols>
  <sheetData>
    <row r="1" spans="1:5" x14ac:dyDescent="0.35">
      <c r="A1" s="196" t="s">
        <v>235</v>
      </c>
      <c r="B1" s="197"/>
      <c r="C1" s="197"/>
      <c r="D1" s="197"/>
      <c r="E1" s="197"/>
    </row>
    <row r="2" spans="1:5" x14ac:dyDescent="0.35">
      <c r="A2" s="199" t="s">
        <v>236</v>
      </c>
      <c r="B2" s="200"/>
      <c r="C2" s="200"/>
      <c r="D2" s="200"/>
      <c r="E2" s="200"/>
    </row>
    <row r="3" spans="1:5" x14ac:dyDescent="0.35">
      <c r="A3" s="200"/>
      <c r="B3" s="200"/>
      <c r="C3" s="201" t="s">
        <v>237</v>
      </c>
      <c r="D3" s="201" t="s">
        <v>238</v>
      </c>
      <c r="E3" s="201" t="s">
        <v>234</v>
      </c>
    </row>
    <row r="4" spans="1:5" x14ac:dyDescent="0.35">
      <c r="A4" s="202" t="s">
        <v>239</v>
      </c>
      <c r="B4" s="200"/>
      <c r="C4" s="200">
        <f>E20*0.48</f>
        <v>106236.5197008</v>
      </c>
      <c r="D4" s="200">
        <f>E20*0.52</f>
        <v>115089.56300919999</v>
      </c>
      <c r="E4" s="200">
        <f>C4+D4</f>
        <v>221326.08270999999</v>
      </c>
    </row>
    <row r="5" spans="1:5" x14ac:dyDescent="0.35">
      <c r="A5" s="202" t="s">
        <v>240</v>
      </c>
      <c r="B5" s="200"/>
      <c r="C5" s="200">
        <f t="shared" ref="C5:C10" si="0">E21*0.48</f>
        <v>5631.347616</v>
      </c>
      <c r="D5" s="200">
        <f t="shared" ref="D5:D10" si="1">E21*0.52</f>
        <v>6100.6265840000005</v>
      </c>
      <c r="E5" s="200">
        <f t="shared" ref="E5:E10" si="2">C5+D5</f>
        <v>11731.974200000001</v>
      </c>
    </row>
    <row r="6" spans="1:5" ht="29" x14ac:dyDescent="0.35">
      <c r="A6" s="203" t="s">
        <v>241</v>
      </c>
      <c r="B6" s="200"/>
      <c r="C6" s="200">
        <f t="shared" si="0"/>
        <v>11262.695232</v>
      </c>
      <c r="D6" s="200">
        <f t="shared" si="1"/>
        <v>12201.253168000001</v>
      </c>
      <c r="E6" s="200">
        <f t="shared" si="2"/>
        <v>23463.948400000001</v>
      </c>
    </row>
    <row r="7" spans="1:5" x14ac:dyDescent="0.35">
      <c r="A7" s="202" t="s">
        <v>242</v>
      </c>
      <c r="B7" s="200"/>
      <c r="C7" s="200">
        <f t="shared" si="0"/>
        <v>331230.07603200001</v>
      </c>
      <c r="D7" s="200">
        <f t="shared" si="1"/>
        <v>358832.58236800006</v>
      </c>
      <c r="E7" s="200">
        <f t="shared" si="2"/>
        <v>690062.65840000007</v>
      </c>
    </row>
    <row r="8" spans="1:5" x14ac:dyDescent="0.35">
      <c r="A8" s="202" t="s">
        <v>243</v>
      </c>
      <c r="B8" s="200"/>
      <c r="C8" s="200">
        <f t="shared" si="0"/>
        <v>76156.73808000001</v>
      </c>
      <c r="D8" s="200">
        <f t="shared" si="1"/>
        <v>82503.132920000004</v>
      </c>
      <c r="E8" s="200">
        <f t="shared" si="2"/>
        <v>158659.87100000001</v>
      </c>
    </row>
    <row r="9" spans="1:5" x14ac:dyDescent="0.35">
      <c r="A9" s="202" t="s">
        <v>244</v>
      </c>
      <c r="B9" s="200"/>
      <c r="C9" s="200">
        <f t="shared" si="0"/>
        <v>16894.042847999997</v>
      </c>
      <c r="D9" s="200">
        <f t="shared" si="1"/>
        <v>18301.879752000001</v>
      </c>
      <c r="E9" s="200">
        <f t="shared" si="2"/>
        <v>35195.922599999998</v>
      </c>
    </row>
    <row r="10" spans="1:5" x14ac:dyDescent="0.35">
      <c r="A10" s="202" t="s">
        <v>245</v>
      </c>
      <c r="B10" s="200"/>
      <c r="C10" s="200">
        <f t="shared" si="0"/>
        <v>197410.86109919997</v>
      </c>
      <c r="D10" s="200">
        <f t="shared" si="1"/>
        <v>213861.7661908</v>
      </c>
      <c r="E10" s="200">
        <f t="shared" si="2"/>
        <v>411272.62728999997</v>
      </c>
    </row>
    <row r="11" spans="1:5" x14ac:dyDescent="0.35">
      <c r="A11" s="201" t="s">
        <v>246</v>
      </c>
      <c r="B11" s="200"/>
      <c r="C11" s="201">
        <f>SUM(C4:C10)</f>
        <v>744822.280608</v>
      </c>
      <c r="D11" s="201">
        <f>SUM(D4:D10)</f>
        <v>806890.80399200006</v>
      </c>
      <c r="E11" s="201">
        <f>SUM(E4:E10)</f>
        <v>1551713.0845999999</v>
      </c>
    </row>
    <row r="12" spans="1:5" x14ac:dyDescent="0.35">
      <c r="A12" s="204" t="s">
        <v>247</v>
      </c>
      <c r="B12" s="200"/>
      <c r="C12" s="200">
        <f>C11*0.07</f>
        <v>52137.559642560002</v>
      </c>
      <c r="D12" s="200">
        <f>D11*0.07</f>
        <v>56482.356279440006</v>
      </c>
      <c r="E12" s="200">
        <f>E11*0.07</f>
        <v>108619.915922</v>
      </c>
    </row>
    <row r="13" spans="1:5" x14ac:dyDescent="0.35">
      <c r="A13" s="201" t="s">
        <v>179</v>
      </c>
      <c r="B13" s="200"/>
      <c r="C13" s="201">
        <f>SUM(C11:C12)</f>
        <v>796959.84025055997</v>
      </c>
      <c r="D13" s="201">
        <f>SUM(D11:D12)</f>
        <v>863373.16027144005</v>
      </c>
      <c r="E13" s="201">
        <f>SUM(E11:E12)</f>
        <v>1660333.000522</v>
      </c>
    </row>
    <row r="14" spans="1:5" x14ac:dyDescent="0.35">
      <c r="A14" s="198"/>
      <c r="B14" s="198"/>
      <c r="C14" s="198"/>
      <c r="D14" s="198"/>
    </row>
    <row r="15" spans="1:5" x14ac:dyDescent="0.35">
      <c r="A15" s="200"/>
      <c r="B15" s="200"/>
      <c r="C15" s="200"/>
      <c r="D15" s="200"/>
      <c r="E15" s="200"/>
    </row>
    <row r="16" spans="1:5" x14ac:dyDescent="0.35">
      <c r="A16" s="200"/>
      <c r="B16" s="200"/>
      <c r="C16" s="200"/>
      <c r="D16" s="200"/>
      <c r="E16" s="200"/>
    </row>
    <row r="17" spans="1:5" x14ac:dyDescent="0.35">
      <c r="A17" s="205" t="s">
        <v>248</v>
      </c>
      <c r="B17" s="206"/>
      <c r="C17" s="206"/>
      <c r="D17" s="206"/>
      <c r="E17" s="206"/>
    </row>
    <row r="18" spans="1:5" x14ac:dyDescent="0.35">
      <c r="A18" s="200" t="s">
        <v>236</v>
      </c>
      <c r="B18" s="200"/>
      <c r="C18" s="200"/>
      <c r="D18" s="200"/>
      <c r="E18" s="200"/>
    </row>
    <row r="19" spans="1:5" x14ac:dyDescent="0.35">
      <c r="A19" s="200"/>
      <c r="B19" s="200"/>
      <c r="C19" s="209" t="s">
        <v>249</v>
      </c>
      <c r="D19" s="209" t="s">
        <v>250</v>
      </c>
      <c r="E19" s="209" t="s">
        <v>234</v>
      </c>
    </row>
    <row r="20" spans="1:5" x14ac:dyDescent="0.35">
      <c r="A20" s="202" t="s">
        <v>239</v>
      </c>
      <c r="B20" s="200"/>
      <c r="C20" s="200">
        <f>'2) By Category MPTF'!D212</f>
        <v>49876.465459999992</v>
      </c>
      <c r="D20" s="200">
        <f>'2) By Category MPTF'!E212</f>
        <v>171449.61724999998</v>
      </c>
      <c r="E20" s="200">
        <f>C20+D20</f>
        <v>221326.08270999999</v>
      </c>
    </row>
    <row r="21" spans="1:5" x14ac:dyDescent="0.35">
      <c r="A21" s="202" t="s">
        <v>240</v>
      </c>
      <c r="B21" s="200"/>
      <c r="C21" s="200">
        <f>'2) By Category MPTF'!D213</f>
        <v>6477.6292000000003</v>
      </c>
      <c r="D21" s="200">
        <f>'2) By Category MPTF'!E213</f>
        <v>5254.3450000000003</v>
      </c>
      <c r="E21" s="200">
        <f t="shared" ref="E21:E26" si="3">C21+D21</f>
        <v>11731.974200000001</v>
      </c>
    </row>
    <row r="22" spans="1:5" ht="29" x14ac:dyDescent="0.35">
      <c r="A22" s="203" t="s">
        <v>241</v>
      </c>
      <c r="B22" s="200"/>
      <c r="C22" s="200">
        <f>'2) By Category MPTF'!D214</f>
        <v>12955.258400000001</v>
      </c>
      <c r="D22" s="200">
        <f>'2) By Category MPTF'!E214</f>
        <v>10508.69</v>
      </c>
      <c r="E22" s="200">
        <f t="shared" si="3"/>
        <v>23463.948400000001</v>
      </c>
    </row>
    <row r="23" spans="1:5" x14ac:dyDescent="0.35">
      <c r="A23" s="202" t="s">
        <v>242</v>
      </c>
      <c r="B23" s="200"/>
      <c r="C23" s="200">
        <f>'2) By Category MPTF'!D215</f>
        <v>366836.71840000001</v>
      </c>
      <c r="D23" s="200">
        <f>'2) By Category MPTF'!E215</f>
        <v>323225.94</v>
      </c>
      <c r="E23" s="200">
        <f t="shared" si="3"/>
        <v>690062.65840000007</v>
      </c>
    </row>
    <row r="24" spans="1:5" x14ac:dyDescent="0.35">
      <c r="A24" s="202" t="s">
        <v>243</v>
      </c>
      <c r="B24" s="200"/>
      <c r="C24" s="200">
        <f>'2) By Category MPTF'!D216</f>
        <v>82388.146000000008</v>
      </c>
      <c r="D24" s="200">
        <f>'2) By Category MPTF'!E216</f>
        <v>76271.725000000006</v>
      </c>
      <c r="E24" s="200">
        <f t="shared" si="3"/>
        <v>158659.87100000001</v>
      </c>
    </row>
    <row r="25" spans="1:5" x14ac:dyDescent="0.35">
      <c r="A25" s="202" t="s">
        <v>244</v>
      </c>
      <c r="B25" s="200"/>
      <c r="C25" s="200">
        <f>'2) By Category MPTF'!D217</f>
        <v>19432.887599999998</v>
      </c>
      <c r="D25" s="200">
        <f>'2) By Category MPTF'!E217</f>
        <v>15763.035</v>
      </c>
      <c r="E25" s="200">
        <f t="shared" si="3"/>
        <v>35195.922599999998</v>
      </c>
    </row>
    <row r="26" spans="1:5" x14ac:dyDescent="0.35">
      <c r="A26" s="202" t="s">
        <v>245</v>
      </c>
      <c r="B26" s="204"/>
      <c r="C26" s="200">
        <f>'2) By Category MPTF'!D218</f>
        <v>194004.99453999999</v>
      </c>
      <c r="D26" s="200">
        <f>'2) By Category MPTF'!E218</f>
        <v>217267.63274999999</v>
      </c>
      <c r="E26" s="200">
        <f t="shared" si="3"/>
        <v>411272.62728999997</v>
      </c>
    </row>
    <row r="27" spans="1:5" x14ac:dyDescent="0.35">
      <c r="A27" s="201" t="s">
        <v>246</v>
      </c>
      <c r="B27" s="201"/>
      <c r="C27" s="201">
        <f t="shared" ref="C27:D27" si="4">SUM(C20:C26)</f>
        <v>731972.09959999996</v>
      </c>
      <c r="D27" s="201">
        <f t="shared" si="4"/>
        <v>819740.98499999999</v>
      </c>
      <c r="E27" s="201">
        <f>SUM(E20:E26)</f>
        <v>1551713.0845999999</v>
      </c>
    </row>
    <row r="28" spans="1:5" x14ac:dyDescent="0.35">
      <c r="A28" s="204" t="s">
        <v>247</v>
      </c>
      <c r="B28" s="204"/>
      <c r="C28" s="204">
        <f t="shared" ref="C28:D28" si="5">C27*0.07</f>
        <v>51238.046972000004</v>
      </c>
      <c r="D28" s="204">
        <f t="shared" si="5"/>
        <v>57381.868950000004</v>
      </c>
      <c r="E28" s="204">
        <f>E27*0.07</f>
        <v>108619.915922</v>
      </c>
    </row>
    <row r="29" spans="1:5" x14ac:dyDescent="0.35">
      <c r="A29" s="201" t="s">
        <v>179</v>
      </c>
      <c r="B29" s="201"/>
      <c r="C29" s="201">
        <f t="shared" ref="C29:D29" si="6">SUM(C27:C28)</f>
        <v>783210.146572</v>
      </c>
      <c r="D29" s="201">
        <f t="shared" si="6"/>
        <v>877122.85395000002</v>
      </c>
      <c r="E29" s="201">
        <f>SUM(E27:E28)</f>
        <v>1660333.000522</v>
      </c>
    </row>
    <row r="30" spans="1:5" x14ac:dyDescent="0.35">
      <c r="A30" s="201"/>
      <c r="B30" s="201"/>
      <c r="C30" s="201"/>
      <c r="D30" s="201"/>
      <c r="E30" s="201"/>
    </row>
    <row r="31" spans="1:5" x14ac:dyDescent="0.35">
      <c r="A31" s="201"/>
      <c r="B31" s="201"/>
      <c r="C31" s="201"/>
      <c r="D31" s="201"/>
      <c r="E31" s="207"/>
    </row>
    <row r="32" spans="1:5" x14ac:dyDescent="0.35">
      <c r="E32" s="208"/>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E835-1D18-4742-B896-4506CBE91F98}">
  <dimension ref="A1:S42"/>
  <sheetViews>
    <sheetView zoomScale="80" zoomScaleNormal="80" workbookViewId="0">
      <selection activeCell="J16" sqref="J16"/>
    </sheetView>
  </sheetViews>
  <sheetFormatPr defaultColWidth="9.1796875" defaultRowHeight="14.5" x14ac:dyDescent="0.35"/>
  <cols>
    <col min="1" max="1" width="22.81640625" style="286" customWidth="1"/>
    <col min="2" max="2" width="9.1796875" style="284"/>
    <col min="3" max="3" width="17" style="287" customWidth="1"/>
    <col min="4" max="4" width="4.26953125" style="286" customWidth="1"/>
    <col min="5" max="5" width="14.26953125" style="286" bestFit="1" customWidth="1"/>
    <col min="6" max="6" width="12.1796875" style="286" customWidth="1"/>
    <col min="7" max="8" width="9.1796875" style="286"/>
    <col min="9" max="9" width="12" style="286" bestFit="1" customWidth="1"/>
    <col min="10" max="10" width="19.1796875" style="287" bestFit="1" customWidth="1"/>
    <col min="11" max="11" width="14" style="286" customWidth="1"/>
    <col min="12" max="12" width="25.81640625" style="286" bestFit="1" customWidth="1"/>
    <col min="13" max="13" width="13.54296875" style="286" customWidth="1"/>
    <col min="14" max="14" width="9.1796875" style="286"/>
    <col min="15" max="15" width="9.81640625" style="286" customWidth="1"/>
    <col min="16" max="16" width="11.54296875" style="286" customWidth="1"/>
    <col min="17" max="17" width="11" style="286" customWidth="1"/>
    <col min="18" max="18" width="10.54296875" style="286" customWidth="1"/>
    <col min="19" max="19" width="10.54296875" style="286" bestFit="1" customWidth="1"/>
    <col min="20" max="16384" width="9.1796875" style="286"/>
  </cols>
  <sheetData>
    <row r="1" spans="1:15" s="280" customFormat="1" x14ac:dyDescent="0.35">
      <c r="A1" s="280" t="s">
        <v>251</v>
      </c>
      <c r="B1" s="281"/>
      <c r="C1" s="282"/>
      <c r="J1" s="282"/>
    </row>
    <row r="2" spans="1:15" ht="16" x14ac:dyDescent="0.5">
      <c r="A2" s="283" t="s">
        <v>252</v>
      </c>
      <c r="C2" s="285" t="s">
        <v>253</v>
      </c>
      <c r="K2" s="287"/>
      <c r="L2" s="287"/>
      <c r="M2" s="288"/>
    </row>
    <row r="3" spans="1:15" x14ac:dyDescent="0.35">
      <c r="A3" s="286" t="s">
        <v>254</v>
      </c>
      <c r="C3" s="289">
        <f>J19</f>
        <v>1660333.000522</v>
      </c>
      <c r="E3" s="477" t="s">
        <v>255</v>
      </c>
      <c r="F3" s="477"/>
      <c r="G3" s="477"/>
      <c r="H3" s="477"/>
      <c r="I3" s="477"/>
      <c r="K3" s="287"/>
      <c r="L3" s="287"/>
      <c r="M3" s="288"/>
    </row>
    <row r="4" spans="1:15" x14ac:dyDescent="0.35">
      <c r="A4" s="290" t="s">
        <v>256</v>
      </c>
      <c r="C4" s="291"/>
      <c r="E4" s="292"/>
      <c r="F4" s="292"/>
      <c r="G4" s="292"/>
      <c r="H4" s="292"/>
      <c r="I4" s="292"/>
      <c r="K4" s="287"/>
      <c r="L4" s="287"/>
      <c r="M4" s="288"/>
    </row>
    <row r="5" spans="1:15" x14ac:dyDescent="0.35">
      <c r="A5" s="293"/>
      <c r="C5" s="294">
        <f>C3-C4</f>
        <v>1660333.000522</v>
      </c>
      <c r="E5" s="292"/>
      <c r="F5" s="292"/>
      <c r="G5" s="292"/>
      <c r="H5" s="292"/>
      <c r="I5" s="292"/>
      <c r="J5" s="286"/>
      <c r="K5" s="295"/>
      <c r="L5" s="287"/>
      <c r="M5" s="288"/>
    </row>
    <row r="6" spans="1:15" ht="16" x14ac:dyDescent="0.5">
      <c r="A6" s="296" t="s">
        <v>257</v>
      </c>
      <c r="B6" s="297">
        <v>7.0000000000000007E-2</v>
      </c>
      <c r="C6" s="298">
        <f>C5*B6/(1+B6)</f>
        <v>108619.91592200001</v>
      </c>
      <c r="E6" s="299" t="s">
        <v>258</v>
      </c>
      <c r="J6" s="286"/>
      <c r="K6" s="287"/>
      <c r="L6" s="287"/>
      <c r="M6" s="288"/>
    </row>
    <row r="7" spans="1:15" x14ac:dyDescent="0.35">
      <c r="A7" s="286" t="s">
        <v>259</v>
      </c>
      <c r="C7" s="287">
        <f>C3-C6</f>
        <v>1551713.0845999999</v>
      </c>
      <c r="E7" s="300">
        <f>C7*B6</f>
        <v>108619.915922</v>
      </c>
      <c r="F7" s="300">
        <f>C6-E7</f>
        <v>0</v>
      </c>
      <c r="J7" s="286"/>
      <c r="K7" s="301"/>
      <c r="L7" s="287"/>
      <c r="M7" s="288"/>
    </row>
    <row r="8" spans="1:15" x14ac:dyDescent="0.35">
      <c r="A8" s="302" t="s">
        <v>260</v>
      </c>
      <c r="E8" s="287">
        <f>C7/(1+B14)</f>
        <v>1373197.4200000002</v>
      </c>
      <c r="G8" s="286" t="s">
        <v>261</v>
      </c>
      <c r="J8" s="286"/>
      <c r="L8" s="287"/>
      <c r="M8" s="288"/>
    </row>
    <row r="9" spans="1:15" x14ac:dyDescent="0.35">
      <c r="A9" s="296" t="s">
        <v>262</v>
      </c>
      <c r="B9" s="303">
        <v>0.04</v>
      </c>
      <c r="C9" s="304">
        <f>B9*$C$7/(1+$B$14)</f>
        <v>54927.896800000002</v>
      </c>
      <c r="E9" s="287">
        <f t="shared" ref="E9:E14" si="0">$E$8*B9</f>
        <v>54927.89680000001</v>
      </c>
      <c r="F9" s="300">
        <f t="shared" ref="F9:F14" si="1">C9-E9</f>
        <v>0</v>
      </c>
      <c r="G9" s="305">
        <f t="shared" ref="G9:G14" si="2">E9/$E$8</f>
        <v>0.04</v>
      </c>
      <c r="H9" s="306">
        <f t="shared" ref="H9:H14" si="3">B9-G9</f>
        <v>0</v>
      </c>
      <c r="K9" s="301"/>
      <c r="L9" s="287"/>
      <c r="M9" s="288"/>
    </row>
    <row r="10" spans="1:15" x14ac:dyDescent="0.35">
      <c r="A10" s="296" t="s">
        <v>263</v>
      </c>
      <c r="B10" s="303">
        <v>0.01</v>
      </c>
      <c r="C10" s="304">
        <f>B10*$C$7/(1+$B$14)</f>
        <v>13731.974200000001</v>
      </c>
      <c r="E10" s="287">
        <f t="shared" si="0"/>
        <v>13731.974200000002</v>
      </c>
      <c r="F10" s="300">
        <f t="shared" si="1"/>
        <v>0</v>
      </c>
      <c r="G10" s="305">
        <f t="shared" si="2"/>
        <v>0.01</v>
      </c>
      <c r="H10" s="306">
        <f t="shared" si="3"/>
        <v>0</v>
      </c>
      <c r="K10" s="301"/>
      <c r="L10" s="287"/>
      <c r="M10" s="288"/>
    </row>
    <row r="11" spans="1:15" x14ac:dyDescent="0.35">
      <c r="A11" s="296" t="s">
        <v>264</v>
      </c>
      <c r="B11" s="303">
        <v>0.01</v>
      </c>
      <c r="C11" s="304">
        <f>B11*$C$7/(1+$B$14)</f>
        <v>13731.974200000001</v>
      </c>
      <c r="E11" s="287">
        <f t="shared" si="0"/>
        <v>13731.974200000002</v>
      </c>
      <c r="F11" s="300">
        <f t="shared" si="1"/>
        <v>0</v>
      </c>
      <c r="G11" s="305">
        <f t="shared" si="2"/>
        <v>0.01</v>
      </c>
      <c r="H11" s="306">
        <f t="shared" si="3"/>
        <v>0</v>
      </c>
      <c r="L11" s="287"/>
      <c r="M11" s="301"/>
    </row>
    <row r="12" spans="1:15" x14ac:dyDescent="0.35">
      <c r="A12" s="296" t="s">
        <v>265</v>
      </c>
      <c r="B12" s="303">
        <v>0.03</v>
      </c>
      <c r="C12" s="304">
        <f>B12*$C$7/(1+$B$14)</f>
        <v>41195.922600000005</v>
      </c>
      <c r="E12" s="287">
        <f t="shared" si="0"/>
        <v>41195.922600000005</v>
      </c>
      <c r="F12" s="300">
        <f t="shared" si="1"/>
        <v>0</v>
      </c>
      <c r="G12" s="305">
        <f t="shared" si="2"/>
        <v>0.03</v>
      </c>
      <c r="H12" s="306">
        <f t="shared" si="3"/>
        <v>0</v>
      </c>
      <c r="K12" s="301"/>
      <c r="L12" s="287"/>
    </row>
    <row r="13" spans="1:15" x14ac:dyDescent="0.35">
      <c r="A13" s="296" t="s">
        <v>266</v>
      </c>
      <c r="B13" s="307">
        <v>0.04</v>
      </c>
      <c r="C13" s="308">
        <f>B13*$C$7/(1+$B$14)</f>
        <v>54927.896800000002</v>
      </c>
      <c r="E13" s="287">
        <f t="shared" si="0"/>
        <v>54927.89680000001</v>
      </c>
      <c r="F13" s="300">
        <f t="shared" si="1"/>
        <v>0</v>
      </c>
      <c r="G13" s="305">
        <f t="shared" si="2"/>
        <v>0.04</v>
      </c>
      <c r="H13" s="306">
        <f t="shared" si="3"/>
        <v>0</v>
      </c>
      <c r="K13" s="301"/>
      <c r="L13" s="287"/>
    </row>
    <row r="14" spans="1:15" s="280" customFormat="1" x14ac:dyDescent="0.35">
      <c r="A14" s="309" t="s">
        <v>267</v>
      </c>
      <c r="B14" s="310">
        <f>SUM(B9:B13)</f>
        <v>0.13</v>
      </c>
      <c r="C14" s="311">
        <f>SUM(C9:C13)</f>
        <v>178515.66460000002</v>
      </c>
      <c r="E14" s="287">
        <f t="shared" si="0"/>
        <v>178515.66460000002</v>
      </c>
      <c r="F14" s="300">
        <f t="shared" si="1"/>
        <v>0</v>
      </c>
      <c r="G14" s="305">
        <f t="shared" si="2"/>
        <v>0.13</v>
      </c>
      <c r="H14" s="306">
        <f t="shared" si="3"/>
        <v>0</v>
      </c>
      <c r="J14" s="282"/>
      <c r="K14" s="282"/>
      <c r="O14" s="312"/>
    </row>
    <row r="15" spans="1:15" s="280" customFormat="1" x14ac:dyDescent="0.35">
      <c r="A15" s="313" t="s">
        <v>268</v>
      </c>
      <c r="B15" s="314"/>
      <c r="C15" s="315"/>
      <c r="E15" s="287"/>
      <c r="F15" s="300"/>
      <c r="G15" s="305"/>
      <c r="H15" s="306"/>
      <c r="J15" s="316">
        <f>'1) Budget Table Report'!H88</f>
        <v>1373197.42</v>
      </c>
      <c r="K15" s="282" t="s">
        <v>178</v>
      </c>
      <c r="O15" s="312"/>
    </row>
    <row r="16" spans="1:15" s="280" customFormat="1" x14ac:dyDescent="0.35">
      <c r="A16" s="296" t="s">
        <v>269</v>
      </c>
      <c r="B16" s="303">
        <v>0.7</v>
      </c>
      <c r="C16" s="304">
        <f>C14*B16</f>
        <v>124960.96522</v>
      </c>
      <c r="E16" s="287"/>
      <c r="F16" s="300"/>
      <c r="G16" s="305"/>
      <c r="H16" s="306"/>
      <c r="I16" s="317" t="s">
        <v>270</v>
      </c>
      <c r="J16" s="301">
        <f>J15*B14</f>
        <v>178515.66459999999</v>
      </c>
      <c r="K16" s="282"/>
      <c r="O16" s="312"/>
    </row>
    <row r="17" spans="1:19" s="280" customFormat="1" x14ac:dyDescent="0.35">
      <c r="A17" s="318" t="s">
        <v>271</v>
      </c>
      <c r="B17" s="319">
        <v>0.3</v>
      </c>
      <c r="C17" s="320">
        <f>C14*B17</f>
        <v>53554.699380000005</v>
      </c>
      <c r="E17" s="287"/>
      <c r="F17" s="300"/>
      <c r="G17" s="305"/>
      <c r="H17" s="306"/>
      <c r="I17" s="286"/>
      <c r="J17" s="287">
        <f>SUM(J15:J16)</f>
        <v>1551713.0845999999</v>
      </c>
      <c r="K17" s="286"/>
      <c r="L17" s="286"/>
      <c r="O17" s="312"/>
      <c r="S17" s="312"/>
    </row>
    <row r="18" spans="1:19" s="280" customFormat="1" x14ac:dyDescent="0.35">
      <c r="A18" s="321"/>
      <c r="B18" s="322" t="s">
        <v>179</v>
      </c>
      <c r="C18" s="323">
        <f>SUM(C16:C17)</f>
        <v>178515.66460000002</v>
      </c>
      <c r="E18" s="324">
        <f>C18+C20+C6</f>
        <v>1660333.000522</v>
      </c>
      <c r="F18" s="300" t="s">
        <v>272</v>
      </c>
      <c r="G18" s="305"/>
      <c r="I18" s="325" t="s">
        <v>273</v>
      </c>
      <c r="J18" s="287">
        <f>J17*B6</f>
        <v>108619.915922</v>
      </c>
      <c r="K18" s="286"/>
      <c r="L18" s="287">
        <f>J15+J18</f>
        <v>1481817.335922</v>
      </c>
      <c r="O18" s="312"/>
    </row>
    <row r="19" spans="1:19" x14ac:dyDescent="0.35">
      <c r="H19" s="325"/>
      <c r="J19" s="289">
        <f>J17+J18</f>
        <v>1660333.000522</v>
      </c>
      <c r="K19" s="287"/>
      <c r="L19" s="305"/>
    </row>
    <row r="20" spans="1:19" x14ac:dyDescent="0.35">
      <c r="A20" s="326" t="s">
        <v>274</v>
      </c>
      <c r="B20" s="327"/>
      <c r="C20" s="328">
        <f>C7-C14</f>
        <v>1373197.42</v>
      </c>
      <c r="E20" s="329">
        <f>C6+C14</f>
        <v>287135.58052200003</v>
      </c>
      <c r="F20" s="286" t="s">
        <v>275</v>
      </c>
      <c r="H20" s="325"/>
      <c r="J20" s="330">
        <f>(J15+J18)*0.01</f>
        <v>14818.17335922</v>
      </c>
      <c r="K20" s="331" t="s">
        <v>276</v>
      </c>
      <c r="L20" s="332"/>
      <c r="M20" s="301"/>
      <c r="P20" s="301"/>
      <c r="Q20" s="301"/>
      <c r="R20" s="301"/>
    </row>
    <row r="21" spans="1:19" x14ac:dyDescent="0.35">
      <c r="H21" s="325"/>
      <c r="J21" s="287">
        <f>SUM(J19:J20)</f>
        <v>1675151.1738812199</v>
      </c>
      <c r="M21" s="301"/>
      <c r="P21" s="301"/>
      <c r="Q21" s="301"/>
      <c r="R21" s="301"/>
    </row>
    <row r="22" spans="1:19" x14ac:dyDescent="0.35">
      <c r="E22" s="287"/>
      <c r="H22" s="325"/>
    </row>
    <row r="23" spans="1:19" x14ac:dyDescent="0.35">
      <c r="K23" s="287">
        <f>J19*0.01</f>
        <v>16603.330005219999</v>
      </c>
    </row>
    <row r="24" spans="1:19" x14ac:dyDescent="0.35">
      <c r="E24" s="301"/>
      <c r="K24" s="301">
        <f>J19+K23</f>
        <v>1676936.3305272199</v>
      </c>
    </row>
    <row r="25" spans="1:19" ht="16" x14ac:dyDescent="0.5">
      <c r="A25" s="333" t="s">
        <v>277</v>
      </c>
      <c r="C25" s="285" t="s">
        <v>253</v>
      </c>
    </row>
    <row r="26" spans="1:19" x14ac:dyDescent="0.35">
      <c r="A26" s="286" t="s">
        <v>254</v>
      </c>
      <c r="C26" s="289">
        <f>J42</f>
        <v>46540.18</v>
      </c>
      <c r="E26" s="477" t="s">
        <v>255</v>
      </c>
      <c r="F26" s="477"/>
      <c r="G26" s="477"/>
      <c r="H26" s="477"/>
      <c r="I26" s="477"/>
      <c r="K26" s="305"/>
      <c r="M26" s="334"/>
    </row>
    <row r="27" spans="1:19" ht="16" x14ac:dyDescent="0.5">
      <c r="A27" s="296" t="s">
        <v>273</v>
      </c>
      <c r="B27" s="335">
        <v>0</v>
      </c>
      <c r="C27" s="336">
        <f>C26*B27/(1+B27)</f>
        <v>0</v>
      </c>
      <c r="E27" s="299" t="s">
        <v>258</v>
      </c>
    </row>
    <row r="28" spans="1:19" x14ac:dyDescent="0.35">
      <c r="A28" s="286" t="s">
        <v>259</v>
      </c>
      <c r="C28" s="287">
        <f>C26-C27</f>
        <v>46540.18</v>
      </c>
      <c r="E28" s="300">
        <f>C28*B27</f>
        <v>0</v>
      </c>
      <c r="F28" s="300">
        <f>C27-E28</f>
        <v>0</v>
      </c>
    </row>
    <row r="29" spans="1:19" x14ac:dyDescent="0.35">
      <c r="A29" s="302" t="s">
        <v>260</v>
      </c>
      <c r="E29" s="287">
        <f>C28/(1+B35)</f>
        <v>41186.000000000007</v>
      </c>
      <c r="G29" s="286" t="s">
        <v>261</v>
      </c>
    </row>
    <row r="30" spans="1:19" x14ac:dyDescent="0.35">
      <c r="A30" s="296" t="s">
        <v>262</v>
      </c>
      <c r="B30" s="303">
        <v>0.04</v>
      </c>
      <c r="C30" s="304">
        <f>B30*$C$28/(1+$B$35)</f>
        <v>1647.4400000000003</v>
      </c>
      <c r="E30" s="287">
        <f t="shared" ref="E30:E35" si="4">$E$8*B30</f>
        <v>54927.89680000001</v>
      </c>
      <c r="F30" s="300">
        <f t="shared" ref="F30:F35" si="5">C30-E30</f>
        <v>-53280.456800000007</v>
      </c>
      <c r="G30" s="305">
        <f t="shared" ref="G30:G35" si="6">E30/$E$8</f>
        <v>0.04</v>
      </c>
      <c r="H30" s="306">
        <f t="shared" ref="H30:H35" si="7">B30-G30</f>
        <v>0</v>
      </c>
      <c r="K30" s="301"/>
    </row>
    <row r="31" spans="1:19" x14ac:dyDescent="0.35">
      <c r="A31" s="296" t="s">
        <v>263</v>
      </c>
      <c r="B31" s="303">
        <v>0.01</v>
      </c>
      <c r="C31" s="304">
        <f>B31*$C$28/(1+$B$35)</f>
        <v>411.86000000000007</v>
      </c>
      <c r="E31" s="287">
        <f t="shared" si="4"/>
        <v>13731.974200000002</v>
      </c>
      <c r="F31" s="300">
        <f t="shared" si="5"/>
        <v>-13320.114200000002</v>
      </c>
      <c r="G31" s="305">
        <f t="shared" si="6"/>
        <v>0.01</v>
      </c>
      <c r="H31" s="306">
        <f t="shared" si="7"/>
        <v>0</v>
      </c>
      <c r="K31" s="301"/>
    </row>
    <row r="32" spans="1:19" x14ac:dyDescent="0.35">
      <c r="A32" s="296" t="s">
        <v>264</v>
      </c>
      <c r="B32" s="303">
        <v>0.01</v>
      </c>
      <c r="C32" s="304">
        <f>B32*$C28/(1+$B$35)</f>
        <v>411.86000000000007</v>
      </c>
      <c r="E32" s="287">
        <f t="shared" si="4"/>
        <v>13731.974200000002</v>
      </c>
      <c r="F32" s="300">
        <f t="shared" si="5"/>
        <v>-13320.114200000002</v>
      </c>
      <c r="G32" s="305">
        <f t="shared" si="6"/>
        <v>0.01</v>
      </c>
      <c r="H32" s="306">
        <f t="shared" si="7"/>
        <v>0</v>
      </c>
      <c r="K32" s="301"/>
    </row>
    <row r="33" spans="1:12" x14ac:dyDescent="0.35">
      <c r="A33" s="296" t="s">
        <v>265</v>
      </c>
      <c r="B33" s="303">
        <v>0.03</v>
      </c>
      <c r="C33" s="304">
        <f>B33*$C$28/(1+$B$35)</f>
        <v>1235.5800000000002</v>
      </c>
      <c r="E33" s="287">
        <f t="shared" si="4"/>
        <v>41195.922600000005</v>
      </c>
      <c r="F33" s="300">
        <f t="shared" si="5"/>
        <v>-39960.342600000004</v>
      </c>
      <c r="G33" s="305">
        <f t="shared" si="6"/>
        <v>0.03</v>
      </c>
      <c r="H33" s="306">
        <f t="shared" si="7"/>
        <v>0</v>
      </c>
      <c r="K33" s="301"/>
    </row>
    <row r="34" spans="1:12" x14ac:dyDescent="0.35">
      <c r="A34" s="296" t="s">
        <v>266</v>
      </c>
      <c r="B34" s="307">
        <v>0.04</v>
      </c>
      <c r="C34" s="308">
        <f>B34*$C$28/(1+$B$35)</f>
        <v>1647.4400000000003</v>
      </c>
      <c r="E34" s="287">
        <f t="shared" si="4"/>
        <v>54927.89680000001</v>
      </c>
      <c r="F34" s="300">
        <f t="shared" si="5"/>
        <v>-53280.456800000007</v>
      </c>
      <c r="G34" s="305">
        <f t="shared" si="6"/>
        <v>0.04</v>
      </c>
      <c r="H34" s="306">
        <f t="shared" si="7"/>
        <v>0</v>
      </c>
      <c r="K34" s="301"/>
    </row>
    <row r="35" spans="1:12" x14ac:dyDescent="0.35">
      <c r="A35" s="309" t="s">
        <v>267</v>
      </c>
      <c r="B35" s="310">
        <f>SUM(B30:B34)</f>
        <v>0.13</v>
      </c>
      <c r="C35" s="311">
        <f>SUM(C30:C34)</f>
        <v>5354.1800000000012</v>
      </c>
      <c r="D35" s="280"/>
      <c r="E35" s="287">
        <f t="shared" si="4"/>
        <v>178515.66460000002</v>
      </c>
      <c r="F35" s="300">
        <f t="shared" si="5"/>
        <v>-173161.48460000003</v>
      </c>
      <c r="G35" s="305">
        <f t="shared" si="6"/>
        <v>0.13</v>
      </c>
      <c r="H35" s="306">
        <f t="shared" si="7"/>
        <v>0</v>
      </c>
      <c r="I35" s="280"/>
      <c r="J35" s="282"/>
      <c r="K35" s="282"/>
      <c r="L35" s="280"/>
    </row>
    <row r="36" spans="1:12" x14ac:dyDescent="0.35">
      <c r="A36" s="337" t="s">
        <v>268</v>
      </c>
      <c r="B36" s="314"/>
      <c r="C36" s="315"/>
      <c r="D36" s="280"/>
      <c r="E36" s="287"/>
      <c r="F36" s="300"/>
      <c r="G36" s="305"/>
      <c r="H36" s="306"/>
      <c r="I36" s="280"/>
      <c r="J36" s="282"/>
      <c r="K36" s="282"/>
      <c r="L36" s="280"/>
    </row>
    <row r="37" spans="1:12" x14ac:dyDescent="0.35">
      <c r="A37" s="296" t="s">
        <v>269</v>
      </c>
      <c r="B37" s="303">
        <v>0.7</v>
      </c>
      <c r="C37" s="304">
        <f>C35*B37</f>
        <v>3747.9260000000004</v>
      </c>
      <c r="D37" s="280"/>
      <c r="E37" s="287"/>
      <c r="F37" s="300"/>
      <c r="G37" s="305"/>
      <c r="H37" s="306"/>
      <c r="I37" s="280"/>
      <c r="J37" s="282"/>
      <c r="K37" s="282"/>
      <c r="L37" s="280"/>
    </row>
    <row r="38" spans="1:12" x14ac:dyDescent="0.35">
      <c r="A38" s="318" t="s">
        <v>271</v>
      </c>
      <c r="B38" s="319">
        <v>0.3</v>
      </c>
      <c r="C38" s="320">
        <f>C35*B38</f>
        <v>1606.2540000000004</v>
      </c>
      <c r="D38" s="280"/>
      <c r="E38" s="287"/>
      <c r="F38" s="300"/>
      <c r="G38" s="305"/>
      <c r="H38" s="306"/>
      <c r="I38" s="280"/>
      <c r="J38" s="338">
        <v>41186</v>
      </c>
      <c r="K38" s="282" t="s">
        <v>278</v>
      </c>
      <c r="L38" s="280"/>
    </row>
    <row r="39" spans="1:12" x14ac:dyDescent="0.35">
      <c r="A39" s="321"/>
      <c r="B39" s="322" t="s">
        <v>179</v>
      </c>
      <c r="C39" s="339">
        <f>SUM(C37:C38)</f>
        <v>5354.18</v>
      </c>
      <c r="D39" s="280"/>
      <c r="E39" s="340">
        <f>C39+C41+C27</f>
        <v>46540.18</v>
      </c>
      <c r="F39" s="300" t="s">
        <v>272</v>
      </c>
      <c r="G39" s="305"/>
      <c r="H39" s="280"/>
      <c r="I39" s="317" t="s">
        <v>270</v>
      </c>
      <c r="J39" s="301">
        <f>J38*B35</f>
        <v>5354.18</v>
      </c>
      <c r="K39" s="282"/>
      <c r="L39" s="280"/>
    </row>
    <row r="40" spans="1:12" x14ac:dyDescent="0.35">
      <c r="H40" s="325"/>
      <c r="J40" s="287">
        <f>SUM(J38:J39)</f>
        <v>46540.18</v>
      </c>
    </row>
    <row r="41" spans="1:12" x14ac:dyDescent="0.35">
      <c r="A41" s="326" t="s">
        <v>274</v>
      </c>
      <c r="B41" s="327"/>
      <c r="C41" s="341">
        <f>C28-C35</f>
        <v>41186</v>
      </c>
      <c r="H41" s="325"/>
      <c r="I41" s="325" t="s">
        <v>273</v>
      </c>
      <c r="J41" s="287">
        <f>J40*B27</f>
        <v>0</v>
      </c>
    </row>
    <row r="42" spans="1:12" x14ac:dyDescent="0.35">
      <c r="H42" s="325"/>
      <c r="J42" s="282">
        <f>J40+J41</f>
        <v>46540.18</v>
      </c>
    </row>
  </sheetData>
  <mergeCells count="2">
    <mergeCell ref="E3:I3"/>
    <mergeCell ref="E26:I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D8A4-E41C-4512-9AD1-6F237827C828}">
  <dimension ref="A1:S42"/>
  <sheetViews>
    <sheetView zoomScale="80" zoomScaleNormal="80" workbookViewId="0">
      <selection activeCell="J16" sqref="J16"/>
    </sheetView>
  </sheetViews>
  <sheetFormatPr defaultColWidth="9.1796875" defaultRowHeight="14.5" x14ac:dyDescent="0.35"/>
  <cols>
    <col min="1" max="1" width="22.81640625" style="286" customWidth="1"/>
    <col min="2" max="2" width="9.1796875" style="284"/>
    <col min="3" max="3" width="17" style="287" customWidth="1"/>
    <col min="4" max="4" width="4.26953125" style="286" customWidth="1"/>
    <col min="5" max="5" width="14.26953125" style="286" bestFit="1" customWidth="1"/>
    <col min="6" max="6" width="12.1796875" style="286" customWidth="1"/>
    <col min="7" max="8" width="9.1796875" style="286"/>
    <col min="9" max="9" width="12" style="286" bestFit="1" customWidth="1"/>
    <col min="10" max="10" width="19.1796875" style="287" bestFit="1" customWidth="1"/>
    <col min="11" max="11" width="14" style="286" customWidth="1"/>
    <col min="12" max="12" width="25.81640625" style="286" bestFit="1" customWidth="1"/>
    <col min="13" max="13" width="13.54296875" style="286" customWidth="1"/>
    <col min="14" max="14" width="9.1796875" style="286"/>
    <col min="15" max="15" width="9.81640625" style="286" customWidth="1"/>
    <col min="16" max="16" width="11.54296875" style="286" customWidth="1"/>
    <col min="17" max="17" width="11" style="286" customWidth="1"/>
    <col min="18" max="18" width="10.54296875" style="286" customWidth="1"/>
    <col min="19" max="19" width="10.54296875" style="286" bestFit="1" customWidth="1"/>
    <col min="20" max="16384" width="9.1796875" style="286"/>
  </cols>
  <sheetData>
    <row r="1" spans="1:15" s="280" customFormat="1" x14ac:dyDescent="0.35">
      <c r="A1" s="280" t="s">
        <v>251</v>
      </c>
      <c r="B1" s="281"/>
      <c r="C1" s="282"/>
      <c r="J1" s="282"/>
    </row>
    <row r="2" spans="1:15" ht="16" x14ac:dyDescent="0.5">
      <c r="A2" s="283" t="s">
        <v>252</v>
      </c>
      <c r="C2" s="285" t="s">
        <v>253</v>
      </c>
      <c r="K2" s="287"/>
      <c r="L2" s="287"/>
      <c r="M2" s="288"/>
    </row>
    <row r="3" spans="1:15" x14ac:dyDescent="0.35">
      <c r="A3" s="286" t="s">
        <v>254</v>
      </c>
      <c r="C3" s="289">
        <f>J19</f>
        <v>783210.146572</v>
      </c>
      <c r="E3" s="477" t="s">
        <v>255</v>
      </c>
      <c r="F3" s="477"/>
      <c r="G3" s="477"/>
      <c r="H3" s="477"/>
      <c r="I3" s="477"/>
      <c r="K3" s="287"/>
      <c r="L3" s="287"/>
      <c r="M3" s="288"/>
    </row>
    <row r="4" spans="1:15" x14ac:dyDescent="0.35">
      <c r="A4" s="290" t="s">
        <v>256</v>
      </c>
      <c r="C4" s="291"/>
      <c r="E4" s="292"/>
      <c r="F4" s="292"/>
      <c r="G4" s="292"/>
      <c r="H4" s="292"/>
      <c r="I4" s="292"/>
      <c r="K4" s="287"/>
      <c r="L4" s="287"/>
      <c r="M4" s="288"/>
    </row>
    <row r="5" spans="1:15" x14ac:dyDescent="0.35">
      <c r="A5" s="293"/>
      <c r="C5" s="294">
        <f>C3-C4</f>
        <v>783210.146572</v>
      </c>
      <c r="E5" s="292"/>
      <c r="F5" s="292"/>
      <c r="G5" s="292"/>
      <c r="H5" s="292"/>
      <c r="I5" s="292"/>
      <c r="J5" s="286"/>
      <c r="K5" s="295"/>
      <c r="L5" s="287"/>
      <c r="M5" s="288"/>
    </row>
    <row r="6" spans="1:15" ht="16" x14ac:dyDescent="0.5">
      <c r="A6" s="296" t="s">
        <v>257</v>
      </c>
      <c r="B6" s="297">
        <v>7.0000000000000007E-2</v>
      </c>
      <c r="C6" s="298">
        <f>C5*B6/(1+B6)</f>
        <v>51238.046971999996</v>
      </c>
      <c r="E6" s="299" t="s">
        <v>258</v>
      </c>
      <c r="J6" s="286"/>
      <c r="K6" s="287"/>
      <c r="L6" s="287"/>
      <c r="M6" s="288"/>
    </row>
    <row r="7" spans="1:15" x14ac:dyDescent="0.35">
      <c r="A7" s="286" t="s">
        <v>259</v>
      </c>
      <c r="C7" s="287">
        <f>C3-C6</f>
        <v>731972.09959999996</v>
      </c>
      <c r="E7" s="300">
        <f>C7*B6</f>
        <v>51238.046972000004</v>
      </c>
      <c r="F7" s="300">
        <f>C6-E7</f>
        <v>0</v>
      </c>
      <c r="J7" s="286"/>
      <c r="K7" s="301"/>
      <c r="L7" s="287"/>
      <c r="M7" s="288"/>
    </row>
    <row r="8" spans="1:15" x14ac:dyDescent="0.35">
      <c r="A8" s="302" t="s">
        <v>260</v>
      </c>
      <c r="E8" s="287">
        <f>C7/(1+B14)</f>
        <v>647762.92000000004</v>
      </c>
      <c r="G8" s="286" t="s">
        <v>261</v>
      </c>
      <c r="J8" s="286"/>
      <c r="L8" s="287"/>
      <c r="M8" s="288"/>
    </row>
    <row r="9" spans="1:15" x14ac:dyDescent="0.35">
      <c r="A9" s="296" t="s">
        <v>262</v>
      </c>
      <c r="B9" s="303">
        <v>0.04</v>
      </c>
      <c r="C9" s="304">
        <f>B9*$C$7/(1+$B$14)</f>
        <v>25910.516800000001</v>
      </c>
      <c r="E9" s="287">
        <f t="shared" ref="E9:E14" si="0">$E$8*B9</f>
        <v>25910.516800000001</v>
      </c>
      <c r="F9" s="300">
        <f t="shared" ref="F9:F14" si="1">C9-E9</f>
        <v>0</v>
      </c>
      <c r="G9" s="305">
        <f t="shared" ref="G9:G14" si="2">E9/$E$8</f>
        <v>0.04</v>
      </c>
      <c r="H9" s="306">
        <f t="shared" ref="H9:H14" si="3">B9-G9</f>
        <v>0</v>
      </c>
      <c r="K9" s="301"/>
      <c r="L9" s="287"/>
      <c r="M9" s="288"/>
    </row>
    <row r="10" spans="1:15" x14ac:dyDescent="0.35">
      <c r="A10" s="296" t="s">
        <v>263</v>
      </c>
      <c r="B10" s="303">
        <v>0.01</v>
      </c>
      <c r="C10" s="304">
        <f>B10*$C$7/(1+$B$14)</f>
        <v>6477.6292000000003</v>
      </c>
      <c r="E10" s="287">
        <f t="shared" si="0"/>
        <v>6477.6292000000003</v>
      </c>
      <c r="F10" s="300">
        <f t="shared" si="1"/>
        <v>0</v>
      </c>
      <c r="G10" s="305">
        <f t="shared" si="2"/>
        <v>0.01</v>
      </c>
      <c r="H10" s="306">
        <f t="shared" si="3"/>
        <v>0</v>
      </c>
      <c r="K10" s="301"/>
      <c r="L10" s="287"/>
      <c r="M10" s="288"/>
    </row>
    <row r="11" spans="1:15" x14ac:dyDescent="0.35">
      <c r="A11" s="296" t="s">
        <v>264</v>
      </c>
      <c r="B11" s="303">
        <v>0.01</v>
      </c>
      <c r="C11" s="304">
        <f>B11*$C$7/(1+$B$14)</f>
        <v>6477.6292000000003</v>
      </c>
      <c r="E11" s="287">
        <f t="shared" si="0"/>
        <v>6477.6292000000003</v>
      </c>
      <c r="F11" s="300">
        <f t="shared" si="1"/>
        <v>0</v>
      </c>
      <c r="G11" s="305">
        <f t="shared" si="2"/>
        <v>0.01</v>
      </c>
      <c r="H11" s="306">
        <f t="shared" si="3"/>
        <v>0</v>
      </c>
      <c r="L11" s="287"/>
      <c r="M11" s="301"/>
    </row>
    <row r="12" spans="1:15" x14ac:dyDescent="0.35">
      <c r="A12" s="296" t="s">
        <v>265</v>
      </c>
      <c r="B12" s="303">
        <v>0.03</v>
      </c>
      <c r="C12" s="304">
        <f>B12*$C$7/(1+$B$14)</f>
        <v>19432.887599999998</v>
      </c>
      <c r="E12" s="287">
        <f t="shared" si="0"/>
        <v>19432.887600000002</v>
      </c>
      <c r="F12" s="300">
        <f t="shared" si="1"/>
        <v>0</v>
      </c>
      <c r="G12" s="305">
        <f t="shared" si="2"/>
        <v>3.0000000000000002E-2</v>
      </c>
      <c r="H12" s="306">
        <f t="shared" si="3"/>
        <v>0</v>
      </c>
      <c r="K12" s="301"/>
      <c r="L12" s="287"/>
    </row>
    <row r="13" spans="1:15" x14ac:dyDescent="0.35">
      <c r="A13" s="296" t="s">
        <v>266</v>
      </c>
      <c r="B13" s="307">
        <v>0.04</v>
      </c>
      <c r="C13" s="308">
        <f>B13*$C$7/(1+$B$14)</f>
        <v>25910.516800000001</v>
      </c>
      <c r="E13" s="287">
        <f t="shared" si="0"/>
        <v>25910.516800000001</v>
      </c>
      <c r="F13" s="300">
        <f t="shared" si="1"/>
        <v>0</v>
      </c>
      <c r="G13" s="305">
        <f t="shared" si="2"/>
        <v>0.04</v>
      </c>
      <c r="H13" s="306">
        <f t="shared" si="3"/>
        <v>0</v>
      </c>
      <c r="K13" s="301"/>
      <c r="L13" s="287"/>
    </row>
    <row r="14" spans="1:15" s="280" customFormat="1" x14ac:dyDescent="0.35">
      <c r="A14" s="309" t="s">
        <v>267</v>
      </c>
      <c r="B14" s="310">
        <f>SUM(B9:B13)</f>
        <v>0.13</v>
      </c>
      <c r="C14" s="311">
        <f>SUM(C9:C13)</f>
        <v>84209.179600000003</v>
      </c>
      <c r="E14" s="287">
        <f t="shared" si="0"/>
        <v>84209.179600000003</v>
      </c>
      <c r="F14" s="300">
        <f t="shared" si="1"/>
        <v>0</v>
      </c>
      <c r="G14" s="305">
        <f t="shared" si="2"/>
        <v>0.13</v>
      </c>
      <c r="H14" s="306">
        <f t="shared" si="3"/>
        <v>0</v>
      </c>
      <c r="J14" s="282"/>
      <c r="K14" s="282"/>
      <c r="O14" s="312"/>
    </row>
    <row r="15" spans="1:15" s="280" customFormat="1" x14ac:dyDescent="0.35">
      <c r="A15" s="313" t="s">
        <v>268</v>
      </c>
      <c r="B15" s="314"/>
      <c r="C15" s="315"/>
      <c r="E15" s="287"/>
      <c r="F15" s="300"/>
      <c r="G15" s="305"/>
      <c r="H15" s="306"/>
      <c r="J15" s="316">
        <f>'1) Budget Table Report'!I88</f>
        <v>647762.91999999993</v>
      </c>
      <c r="K15" s="282" t="s">
        <v>178</v>
      </c>
      <c r="O15" s="312"/>
    </row>
    <row r="16" spans="1:15" s="280" customFormat="1" x14ac:dyDescent="0.35">
      <c r="A16" s="296" t="s">
        <v>269</v>
      </c>
      <c r="B16" s="303">
        <v>0.7</v>
      </c>
      <c r="C16" s="304">
        <f>C14*B16</f>
        <v>58946.425719999999</v>
      </c>
      <c r="E16" s="287"/>
      <c r="F16" s="300"/>
      <c r="G16" s="305"/>
      <c r="H16" s="306"/>
      <c r="I16" s="317" t="s">
        <v>270</v>
      </c>
      <c r="J16" s="301">
        <f>J15*B14</f>
        <v>84209.179599999989</v>
      </c>
      <c r="K16" s="282"/>
      <c r="O16" s="312"/>
    </row>
    <row r="17" spans="1:19" s="280" customFormat="1" x14ac:dyDescent="0.35">
      <c r="A17" s="318" t="s">
        <v>271</v>
      </c>
      <c r="B17" s="319">
        <v>0.3</v>
      </c>
      <c r="C17" s="320">
        <f>C14*B17</f>
        <v>25262.75388</v>
      </c>
      <c r="E17" s="287"/>
      <c r="F17" s="300"/>
      <c r="G17" s="305"/>
      <c r="H17" s="306"/>
      <c r="I17" s="286"/>
      <c r="J17" s="287">
        <f>SUM(J15:J16)</f>
        <v>731972.09959999996</v>
      </c>
      <c r="K17" s="286"/>
      <c r="L17" s="286"/>
      <c r="O17" s="312"/>
      <c r="S17" s="312"/>
    </row>
    <row r="18" spans="1:19" s="280" customFormat="1" x14ac:dyDescent="0.35">
      <c r="A18" s="321"/>
      <c r="B18" s="322" t="s">
        <v>179</v>
      </c>
      <c r="C18" s="323">
        <f>SUM(C16:C17)</f>
        <v>84209.179600000003</v>
      </c>
      <c r="E18" s="324">
        <f>C18+C20+C6</f>
        <v>783210.146572</v>
      </c>
      <c r="F18" s="300" t="s">
        <v>272</v>
      </c>
      <c r="G18" s="305"/>
      <c r="I18" s="325" t="s">
        <v>273</v>
      </c>
      <c r="J18" s="287">
        <f>J17*B6</f>
        <v>51238.046972000004</v>
      </c>
      <c r="K18" s="286"/>
      <c r="L18" s="287">
        <f>J15+J18</f>
        <v>699000.96697199997</v>
      </c>
      <c r="O18" s="312"/>
    </row>
    <row r="19" spans="1:19" x14ac:dyDescent="0.35">
      <c r="H19" s="325"/>
      <c r="J19" s="289">
        <f>J17+J18</f>
        <v>783210.146572</v>
      </c>
      <c r="K19" s="287"/>
      <c r="L19" s="305"/>
    </row>
    <row r="20" spans="1:19" x14ac:dyDescent="0.35">
      <c r="A20" s="326" t="s">
        <v>274</v>
      </c>
      <c r="B20" s="327"/>
      <c r="C20" s="328">
        <f>C7-C14</f>
        <v>647762.91999999993</v>
      </c>
      <c r="E20" s="329">
        <f>C6+C14</f>
        <v>135447.22657200001</v>
      </c>
      <c r="F20" s="286" t="s">
        <v>275</v>
      </c>
      <c r="H20" s="325"/>
      <c r="J20" s="330">
        <f>(J15+J18)*0.01</f>
        <v>6990.0096697199997</v>
      </c>
      <c r="K20" s="331" t="s">
        <v>276</v>
      </c>
      <c r="L20" s="332"/>
      <c r="M20" s="301"/>
      <c r="P20" s="301"/>
      <c r="Q20" s="301"/>
      <c r="R20" s="301"/>
    </row>
    <row r="21" spans="1:19" x14ac:dyDescent="0.35">
      <c r="H21" s="325"/>
      <c r="J21" s="287">
        <f>SUM(J19:J20)</f>
        <v>790200.15624171996</v>
      </c>
      <c r="M21" s="301"/>
      <c r="P21" s="301"/>
      <c r="Q21" s="301"/>
      <c r="R21" s="301"/>
    </row>
    <row r="22" spans="1:19" x14ac:dyDescent="0.35">
      <c r="E22" s="287"/>
      <c r="H22" s="325"/>
    </row>
    <row r="23" spans="1:19" x14ac:dyDescent="0.35">
      <c r="K23" s="287">
        <f>J19*0.01</f>
        <v>7832.1014657200003</v>
      </c>
    </row>
    <row r="24" spans="1:19" x14ac:dyDescent="0.35">
      <c r="E24" s="301"/>
      <c r="K24" s="301">
        <f>J19+K23</f>
        <v>791042.24803771998</v>
      </c>
    </row>
    <row r="25" spans="1:19" ht="16" x14ac:dyDescent="0.5">
      <c r="A25" s="333" t="s">
        <v>277</v>
      </c>
      <c r="C25" s="285" t="s">
        <v>253</v>
      </c>
    </row>
    <row r="26" spans="1:19" x14ac:dyDescent="0.35">
      <c r="A26" s="286" t="s">
        <v>254</v>
      </c>
      <c r="C26" s="289">
        <f>J42</f>
        <v>46540.18</v>
      </c>
      <c r="E26" s="477" t="s">
        <v>255</v>
      </c>
      <c r="F26" s="477"/>
      <c r="G26" s="477"/>
      <c r="H26" s="477"/>
      <c r="I26" s="477"/>
      <c r="K26" s="305"/>
      <c r="M26" s="334"/>
    </row>
    <row r="27" spans="1:19" ht="16" x14ac:dyDescent="0.5">
      <c r="A27" s="296" t="s">
        <v>273</v>
      </c>
      <c r="B27" s="335">
        <v>0</v>
      </c>
      <c r="C27" s="336">
        <f>C26*B27/(1+B27)</f>
        <v>0</v>
      </c>
      <c r="E27" s="299" t="s">
        <v>258</v>
      </c>
    </row>
    <row r="28" spans="1:19" x14ac:dyDescent="0.35">
      <c r="A28" s="286" t="s">
        <v>259</v>
      </c>
      <c r="C28" s="287">
        <f>C26-C27</f>
        <v>46540.18</v>
      </c>
      <c r="E28" s="300">
        <f>C28*B27</f>
        <v>0</v>
      </c>
      <c r="F28" s="300">
        <f>C27-E28</f>
        <v>0</v>
      </c>
    </row>
    <row r="29" spans="1:19" x14ac:dyDescent="0.35">
      <c r="A29" s="302" t="s">
        <v>260</v>
      </c>
      <c r="E29" s="287">
        <f>C28/(1+B35)</f>
        <v>41186.000000000007</v>
      </c>
      <c r="G29" s="286" t="s">
        <v>261</v>
      </c>
    </row>
    <row r="30" spans="1:19" x14ac:dyDescent="0.35">
      <c r="A30" s="296" t="s">
        <v>262</v>
      </c>
      <c r="B30" s="303">
        <v>0.04</v>
      </c>
      <c r="C30" s="304">
        <f>B30*$C$28/(1+$B$35)</f>
        <v>1647.4400000000003</v>
      </c>
      <c r="E30" s="287">
        <f t="shared" ref="E30:E35" si="4">$E$8*B30</f>
        <v>25910.516800000001</v>
      </c>
      <c r="F30" s="300">
        <f t="shared" ref="F30:F35" si="5">C30-E30</f>
        <v>-24263.076800000003</v>
      </c>
      <c r="G30" s="305">
        <f t="shared" ref="G30:G35" si="6">E30/$E$8</f>
        <v>0.04</v>
      </c>
      <c r="H30" s="306">
        <f t="shared" ref="H30:H35" si="7">B30-G30</f>
        <v>0</v>
      </c>
      <c r="K30" s="301"/>
    </row>
    <row r="31" spans="1:19" x14ac:dyDescent="0.35">
      <c r="A31" s="296" t="s">
        <v>263</v>
      </c>
      <c r="B31" s="303">
        <v>0.01</v>
      </c>
      <c r="C31" s="304">
        <f>B31*$C$28/(1+$B$35)</f>
        <v>411.86000000000007</v>
      </c>
      <c r="E31" s="287">
        <f t="shared" si="4"/>
        <v>6477.6292000000003</v>
      </c>
      <c r="F31" s="300">
        <f t="shared" si="5"/>
        <v>-6065.7692000000006</v>
      </c>
      <c r="G31" s="305">
        <f t="shared" si="6"/>
        <v>0.01</v>
      </c>
      <c r="H31" s="306">
        <f t="shared" si="7"/>
        <v>0</v>
      </c>
      <c r="K31" s="301"/>
    </row>
    <row r="32" spans="1:19" x14ac:dyDescent="0.35">
      <c r="A32" s="296" t="s">
        <v>264</v>
      </c>
      <c r="B32" s="303">
        <v>0.01</v>
      </c>
      <c r="C32" s="304">
        <f>B32*$C28/(1+$B$35)</f>
        <v>411.86000000000007</v>
      </c>
      <c r="E32" s="287">
        <f t="shared" si="4"/>
        <v>6477.6292000000003</v>
      </c>
      <c r="F32" s="300">
        <f t="shared" si="5"/>
        <v>-6065.7692000000006</v>
      </c>
      <c r="G32" s="305">
        <f t="shared" si="6"/>
        <v>0.01</v>
      </c>
      <c r="H32" s="306">
        <f t="shared" si="7"/>
        <v>0</v>
      </c>
      <c r="K32" s="301"/>
    </row>
    <row r="33" spans="1:12" x14ac:dyDescent="0.35">
      <c r="A33" s="296" t="s">
        <v>265</v>
      </c>
      <c r="B33" s="303">
        <v>0.03</v>
      </c>
      <c r="C33" s="304">
        <f>B33*$C$28/(1+$B$35)</f>
        <v>1235.5800000000002</v>
      </c>
      <c r="E33" s="287">
        <f t="shared" si="4"/>
        <v>19432.887600000002</v>
      </c>
      <c r="F33" s="300">
        <f t="shared" si="5"/>
        <v>-18197.3076</v>
      </c>
      <c r="G33" s="305">
        <f t="shared" si="6"/>
        <v>3.0000000000000002E-2</v>
      </c>
      <c r="H33" s="306">
        <f t="shared" si="7"/>
        <v>0</v>
      </c>
      <c r="K33" s="301"/>
    </row>
    <row r="34" spans="1:12" x14ac:dyDescent="0.35">
      <c r="A34" s="296" t="s">
        <v>266</v>
      </c>
      <c r="B34" s="307">
        <v>0.04</v>
      </c>
      <c r="C34" s="308">
        <f>B34*$C$28/(1+$B$35)</f>
        <v>1647.4400000000003</v>
      </c>
      <c r="E34" s="287">
        <f t="shared" si="4"/>
        <v>25910.516800000001</v>
      </c>
      <c r="F34" s="300">
        <f t="shared" si="5"/>
        <v>-24263.076800000003</v>
      </c>
      <c r="G34" s="305">
        <f t="shared" si="6"/>
        <v>0.04</v>
      </c>
      <c r="H34" s="306">
        <f t="shared" si="7"/>
        <v>0</v>
      </c>
      <c r="K34" s="301"/>
    </row>
    <row r="35" spans="1:12" x14ac:dyDescent="0.35">
      <c r="A35" s="309" t="s">
        <v>267</v>
      </c>
      <c r="B35" s="310">
        <f>SUM(B30:B34)</f>
        <v>0.13</v>
      </c>
      <c r="C35" s="311">
        <f>SUM(C30:C34)</f>
        <v>5354.1800000000012</v>
      </c>
      <c r="D35" s="280"/>
      <c r="E35" s="287">
        <f t="shared" si="4"/>
        <v>84209.179600000003</v>
      </c>
      <c r="F35" s="300">
        <f t="shared" si="5"/>
        <v>-78854.999599999996</v>
      </c>
      <c r="G35" s="305">
        <f t="shared" si="6"/>
        <v>0.13</v>
      </c>
      <c r="H35" s="306">
        <f t="shared" si="7"/>
        <v>0</v>
      </c>
      <c r="I35" s="280"/>
      <c r="J35" s="282"/>
      <c r="K35" s="282"/>
      <c r="L35" s="280"/>
    </row>
    <row r="36" spans="1:12" x14ac:dyDescent="0.35">
      <c r="A36" s="337" t="s">
        <v>268</v>
      </c>
      <c r="B36" s="314"/>
      <c r="C36" s="315"/>
      <c r="D36" s="280"/>
      <c r="E36" s="287"/>
      <c r="F36" s="300"/>
      <c r="G36" s="305"/>
      <c r="H36" s="306"/>
      <c r="I36" s="280"/>
      <c r="J36" s="282"/>
      <c r="K36" s="282"/>
      <c r="L36" s="280"/>
    </row>
    <row r="37" spans="1:12" x14ac:dyDescent="0.35">
      <c r="A37" s="296" t="s">
        <v>269</v>
      </c>
      <c r="B37" s="303">
        <v>0.7</v>
      </c>
      <c r="C37" s="304">
        <f>C35*B37</f>
        <v>3747.9260000000004</v>
      </c>
      <c r="D37" s="280"/>
      <c r="E37" s="287"/>
      <c r="F37" s="300"/>
      <c r="G37" s="305"/>
      <c r="H37" s="306"/>
      <c r="I37" s="280"/>
      <c r="J37" s="282"/>
      <c r="K37" s="282"/>
      <c r="L37" s="280"/>
    </row>
    <row r="38" spans="1:12" x14ac:dyDescent="0.35">
      <c r="A38" s="318" t="s">
        <v>271</v>
      </c>
      <c r="B38" s="319">
        <v>0.3</v>
      </c>
      <c r="C38" s="320">
        <f>C35*B38</f>
        <v>1606.2540000000004</v>
      </c>
      <c r="D38" s="280"/>
      <c r="E38" s="287"/>
      <c r="F38" s="300"/>
      <c r="G38" s="305"/>
      <c r="H38" s="306"/>
      <c r="I38" s="280"/>
      <c r="J38" s="338">
        <v>41186</v>
      </c>
      <c r="K38" s="282" t="s">
        <v>278</v>
      </c>
      <c r="L38" s="280"/>
    </row>
    <row r="39" spans="1:12" x14ac:dyDescent="0.35">
      <c r="A39" s="321"/>
      <c r="B39" s="322" t="s">
        <v>179</v>
      </c>
      <c r="C39" s="339">
        <f>SUM(C37:C38)</f>
        <v>5354.18</v>
      </c>
      <c r="D39" s="280"/>
      <c r="E39" s="340">
        <f>C39+C41+C27</f>
        <v>46540.18</v>
      </c>
      <c r="F39" s="300" t="s">
        <v>272</v>
      </c>
      <c r="G39" s="305"/>
      <c r="H39" s="280"/>
      <c r="I39" s="317" t="s">
        <v>270</v>
      </c>
      <c r="J39" s="301">
        <f>J38*B35</f>
        <v>5354.18</v>
      </c>
      <c r="K39" s="282"/>
      <c r="L39" s="280"/>
    </row>
    <row r="40" spans="1:12" x14ac:dyDescent="0.35">
      <c r="H40" s="325"/>
      <c r="J40" s="287">
        <f>SUM(J38:J39)</f>
        <v>46540.18</v>
      </c>
    </row>
    <row r="41" spans="1:12" x14ac:dyDescent="0.35">
      <c r="A41" s="326" t="s">
        <v>274</v>
      </c>
      <c r="B41" s="327"/>
      <c r="C41" s="341">
        <f>C28-C35</f>
        <v>41186</v>
      </c>
      <c r="H41" s="325"/>
      <c r="I41" s="325" t="s">
        <v>273</v>
      </c>
      <c r="J41" s="287">
        <f>J40*B27</f>
        <v>0</v>
      </c>
    </row>
    <row r="42" spans="1:12" x14ac:dyDescent="0.35">
      <c r="H42" s="325"/>
      <c r="J42" s="282">
        <f>J40+J41</f>
        <v>46540.18</v>
      </c>
    </row>
  </sheetData>
  <mergeCells count="2">
    <mergeCell ref="E3:I3"/>
    <mergeCell ref="E26:I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7D22-35A5-490A-B3A6-34715A7D487B}">
  <dimension ref="A1:S42"/>
  <sheetViews>
    <sheetView zoomScale="80" zoomScaleNormal="80" workbookViewId="0">
      <selection activeCell="C7" sqref="C7"/>
    </sheetView>
  </sheetViews>
  <sheetFormatPr defaultColWidth="9.1796875" defaultRowHeight="14.5" x14ac:dyDescent="0.35"/>
  <cols>
    <col min="1" max="1" width="22.81640625" style="286" customWidth="1"/>
    <col min="2" max="2" width="9.1796875" style="284"/>
    <col min="3" max="3" width="17" style="287" customWidth="1"/>
    <col min="4" max="4" width="4.26953125" style="286" customWidth="1"/>
    <col min="5" max="5" width="14.26953125" style="286" bestFit="1" customWidth="1"/>
    <col min="6" max="6" width="12.1796875" style="286" customWidth="1"/>
    <col min="7" max="8" width="9.1796875" style="286"/>
    <col min="9" max="9" width="12" style="286" bestFit="1" customWidth="1"/>
    <col min="10" max="10" width="19.1796875" style="287" bestFit="1" customWidth="1"/>
    <col min="11" max="11" width="14" style="286" customWidth="1"/>
    <col min="12" max="12" width="25.81640625" style="286" bestFit="1" customWidth="1"/>
    <col min="13" max="13" width="13.54296875" style="286" customWidth="1"/>
    <col min="14" max="14" width="9.1796875" style="286"/>
    <col min="15" max="15" width="9.81640625" style="286" customWidth="1"/>
    <col min="16" max="16" width="11.54296875" style="286" customWidth="1"/>
    <col min="17" max="17" width="11" style="286" customWidth="1"/>
    <col min="18" max="18" width="10.54296875" style="286" customWidth="1"/>
    <col min="19" max="19" width="10.54296875" style="286" bestFit="1" customWidth="1"/>
    <col min="20" max="16384" width="9.1796875" style="286"/>
  </cols>
  <sheetData>
    <row r="1" spans="1:15" s="280" customFormat="1" x14ac:dyDescent="0.35">
      <c r="A1" s="280" t="s">
        <v>251</v>
      </c>
      <c r="B1" s="281"/>
      <c r="C1" s="282"/>
      <c r="J1" s="282"/>
    </row>
    <row r="2" spans="1:15" ht="16" x14ac:dyDescent="0.5">
      <c r="A2" s="283" t="s">
        <v>252</v>
      </c>
      <c r="C2" s="285" t="s">
        <v>253</v>
      </c>
      <c r="K2" s="287"/>
      <c r="L2" s="287"/>
      <c r="M2" s="288"/>
    </row>
    <row r="3" spans="1:15" x14ac:dyDescent="0.35">
      <c r="A3" s="286" t="s">
        <v>254</v>
      </c>
      <c r="C3" s="289">
        <f>J19</f>
        <v>877122.85395000002</v>
      </c>
      <c r="E3" s="477" t="s">
        <v>255</v>
      </c>
      <c r="F3" s="477"/>
      <c r="G3" s="477"/>
      <c r="H3" s="477"/>
      <c r="I3" s="477"/>
      <c r="K3" s="287"/>
      <c r="L3" s="287"/>
      <c r="M3" s="288"/>
    </row>
    <row r="4" spans="1:15" x14ac:dyDescent="0.35">
      <c r="A4" s="290" t="s">
        <v>256</v>
      </c>
      <c r="C4" s="291"/>
      <c r="E4" s="292"/>
      <c r="F4" s="292"/>
      <c r="G4" s="292"/>
      <c r="H4" s="292"/>
      <c r="I4" s="292"/>
      <c r="K4" s="287"/>
      <c r="L4" s="287"/>
      <c r="M4" s="288"/>
    </row>
    <row r="5" spans="1:15" x14ac:dyDescent="0.35">
      <c r="A5" s="293"/>
      <c r="C5" s="294">
        <f>C3-C4</f>
        <v>877122.85395000002</v>
      </c>
      <c r="E5" s="292"/>
      <c r="F5" s="292"/>
      <c r="G5" s="292"/>
      <c r="H5" s="292"/>
      <c r="I5" s="292"/>
      <c r="J5" s="286"/>
      <c r="K5" s="295"/>
      <c r="L5" s="287"/>
      <c r="M5" s="288"/>
    </row>
    <row r="6" spans="1:15" ht="16" x14ac:dyDescent="0.5">
      <c r="A6" s="296" t="s">
        <v>257</v>
      </c>
      <c r="B6" s="297">
        <v>7.0000000000000007E-2</v>
      </c>
      <c r="C6" s="298">
        <f>C5*B6/(1+B6)</f>
        <v>57381.868950000004</v>
      </c>
      <c r="E6" s="299" t="s">
        <v>258</v>
      </c>
      <c r="J6" s="286"/>
      <c r="K6" s="287"/>
      <c r="L6" s="287"/>
      <c r="M6" s="288"/>
    </row>
    <row r="7" spans="1:15" x14ac:dyDescent="0.35">
      <c r="A7" s="286" t="s">
        <v>259</v>
      </c>
      <c r="C7" s="287">
        <f>C3-C6</f>
        <v>819740.98499999999</v>
      </c>
      <c r="E7" s="300">
        <f>C7*B6</f>
        <v>57381.868950000004</v>
      </c>
      <c r="F7" s="300">
        <f>C6-E7</f>
        <v>0</v>
      </c>
      <c r="J7" s="286"/>
      <c r="K7" s="301"/>
      <c r="L7" s="287"/>
      <c r="M7" s="288"/>
    </row>
    <row r="8" spans="1:15" x14ac:dyDescent="0.35">
      <c r="A8" s="302" t="s">
        <v>260</v>
      </c>
      <c r="E8" s="287">
        <f>C7/(1+B14)</f>
        <v>725434.5</v>
      </c>
      <c r="G8" s="286" t="s">
        <v>261</v>
      </c>
      <c r="J8" s="286"/>
      <c r="L8" s="287"/>
      <c r="M8" s="288"/>
    </row>
    <row r="9" spans="1:15" x14ac:dyDescent="0.35">
      <c r="A9" s="296" t="s">
        <v>262</v>
      </c>
      <c r="B9" s="303">
        <v>0.04</v>
      </c>
      <c r="C9" s="304">
        <f>B9*$C$7/(1+$B$14)</f>
        <v>29017.38</v>
      </c>
      <c r="E9" s="287">
        <f t="shared" ref="E9:E14" si="0">$E$8*B9</f>
        <v>29017.38</v>
      </c>
      <c r="F9" s="300">
        <f t="shared" ref="F9:F14" si="1">C9-E9</f>
        <v>0</v>
      </c>
      <c r="G9" s="305">
        <f t="shared" ref="G9:G14" si="2">E9/$E$8</f>
        <v>0.04</v>
      </c>
      <c r="H9" s="306">
        <f t="shared" ref="H9:H14" si="3">B9-G9</f>
        <v>0</v>
      </c>
      <c r="K9" s="301"/>
      <c r="L9" s="287"/>
      <c r="M9" s="288"/>
    </row>
    <row r="10" spans="1:15" x14ac:dyDescent="0.35">
      <c r="A10" s="296" t="s">
        <v>263</v>
      </c>
      <c r="B10" s="303">
        <v>0.01</v>
      </c>
      <c r="C10" s="304">
        <f>B10*$C$7/(1+$B$14)</f>
        <v>7254.3450000000003</v>
      </c>
      <c r="E10" s="287">
        <f t="shared" si="0"/>
        <v>7254.3450000000003</v>
      </c>
      <c r="F10" s="300">
        <f t="shared" si="1"/>
        <v>0</v>
      </c>
      <c r="G10" s="305">
        <f t="shared" si="2"/>
        <v>0.01</v>
      </c>
      <c r="H10" s="306">
        <f t="shared" si="3"/>
        <v>0</v>
      </c>
      <c r="K10" s="301"/>
      <c r="L10" s="287"/>
      <c r="M10" s="288"/>
    </row>
    <row r="11" spans="1:15" x14ac:dyDescent="0.35">
      <c r="A11" s="296" t="s">
        <v>264</v>
      </c>
      <c r="B11" s="303">
        <v>0.01</v>
      </c>
      <c r="C11" s="304">
        <f>B11*$C$7/(1+$B$14)</f>
        <v>7254.3450000000003</v>
      </c>
      <c r="E11" s="287">
        <f t="shared" si="0"/>
        <v>7254.3450000000003</v>
      </c>
      <c r="F11" s="300">
        <f t="shared" si="1"/>
        <v>0</v>
      </c>
      <c r="G11" s="305">
        <f t="shared" si="2"/>
        <v>0.01</v>
      </c>
      <c r="H11" s="306">
        <f t="shared" si="3"/>
        <v>0</v>
      </c>
      <c r="L11" s="287"/>
      <c r="M11" s="301"/>
    </row>
    <row r="12" spans="1:15" x14ac:dyDescent="0.35">
      <c r="A12" s="296" t="s">
        <v>265</v>
      </c>
      <c r="B12" s="303">
        <v>0.03</v>
      </c>
      <c r="C12" s="304">
        <f>B12*$C$7/(1+$B$14)</f>
        <v>21763.035000000003</v>
      </c>
      <c r="E12" s="287">
        <f t="shared" si="0"/>
        <v>21763.035</v>
      </c>
      <c r="F12" s="300">
        <f t="shared" si="1"/>
        <v>0</v>
      </c>
      <c r="G12" s="305">
        <f t="shared" si="2"/>
        <v>0.03</v>
      </c>
      <c r="H12" s="306">
        <f t="shared" si="3"/>
        <v>0</v>
      </c>
      <c r="K12" s="301"/>
      <c r="L12" s="287"/>
    </row>
    <row r="13" spans="1:15" x14ac:dyDescent="0.35">
      <c r="A13" s="296" t="s">
        <v>266</v>
      </c>
      <c r="B13" s="307">
        <v>0.04</v>
      </c>
      <c r="C13" s="308">
        <f>B13*$C$7/(1+$B$14)</f>
        <v>29017.38</v>
      </c>
      <c r="E13" s="287">
        <f t="shared" si="0"/>
        <v>29017.38</v>
      </c>
      <c r="F13" s="300">
        <f t="shared" si="1"/>
        <v>0</v>
      </c>
      <c r="G13" s="305">
        <f t="shared" si="2"/>
        <v>0.04</v>
      </c>
      <c r="H13" s="306">
        <f t="shared" si="3"/>
        <v>0</v>
      </c>
      <c r="K13" s="301"/>
      <c r="L13" s="287"/>
    </row>
    <row r="14" spans="1:15" s="280" customFormat="1" x14ac:dyDescent="0.35">
      <c r="A14" s="309" t="s">
        <v>267</v>
      </c>
      <c r="B14" s="310">
        <f>SUM(B9:B13)</f>
        <v>0.13</v>
      </c>
      <c r="C14" s="311">
        <f>SUM(C9:C13)</f>
        <v>94306.485000000001</v>
      </c>
      <c r="E14" s="287">
        <f t="shared" si="0"/>
        <v>94306.485000000001</v>
      </c>
      <c r="F14" s="300">
        <f t="shared" si="1"/>
        <v>0</v>
      </c>
      <c r="G14" s="305">
        <f t="shared" si="2"/>
        <v>0.13</v>
      </c>
      <c r="H14" s="306">
        <f t="shared" si="3"/>
        <v>0</v>
      </c>
      <c r="J14" s="282"/>
      <c r="K14" s="282"/>
      <c r="O14" s="312"/>
    </row>
    <row r="15" spans="1:15" s="280" customFormat="1" x14ac:dyDescent="0.35">
      <c r="A15" s="313" t="s">
        <v>268</v>
      </c>
      <c r="B15" s="314"/>
      <c r="C15" s="315"/>
      <c r="E15" s="287"/>
      <c r="F15" s="300"/>
      <c r="G15" s="305"/>
      <c r="H15" s="306"/>
      <c r="J15" s="316">
        <f>'1) Budget Table Report'!J88</f>
        <v>725434.5</v>
      </c>
      <c r="K15" s="282" t="s">
        <v>178</v>
      </c>
      <c r="O15" s="312"/>
    </row>
    <row r="16" spans="1:15" s="280" customFormat="1" x14ac:dyDescent="0.35">
      <c r="A16" s="296" t="s">
        <v>269</v>
      </c>
      <c r="B16" s="303">
        <v>0.7</v>
      </c>
      <c r="C16" s="304">
        <f>C14*B16</f>
        <v>66014.539499999999</v>
      </c>
      <c r="E16" s="287"/>
      <c r="F16" s="300"/>
      <c r="G16" s="305"/>
      <c r="H16" s="306"/>
      <c r="I16" s="317" t="s">
        <v>270</v>
      </c>
      <c r="J16" s="301">
        <f>J15*B14</f>
        <v>94306.485000000001</v>
      </c>
      <c r="K16" s="282"/>
      <c r="O16" s="312"/>
    </row>
    <row r="17" spans="1:19" s="280" customFormat="1" x14ac:dyDescent="0.35">
      <c r="A17" s="318" t="s">
        <v>271</v>
      </c>
      <c r="B17" s="319">
        <v>0.3</v>
      </c>
      <c r="C17" s="320">
        <f>C14*B17</f>
        <v>28291.945499999998</v>
      </c>
      <c r="E17" s="287"/>
      <c r="F17" s="300"/>
      <c r="G17" s="305"/>
      <c r="H17" s="306"/>
      <c r="I17" s="286"/>
      <c r="J17" s="287">
        <f>SUM(J15:J16)</f>
        <v>819740.98499999999</v>
      </c>
      <c r="K17" s="286"/>
      <c r="L17" s="286"/>
      <c r="O17" s="312"/>
      <c r="S17" s="312"/>
    </row>
    <row r="18" spans="1:19" s="280" customFormat="1" x14ac:dyDescent="0.35">
      <c r="A18" s="321"/>
      <c r="B18" s="322" t="s">
        <v>179</v>
      </c>
      <c r="C18" s="323">
        <f>SUM(C16:C17)</f>
        <v>94306.485000000001</v>
      </c>
      <c r="E18" s="324">
        <f>C18+C20+C6</f>
        <v>877122.85395000002</v>
      </c>
      <c r="F18" s="300" t="s">
        <v>272</v>
      </c>
      <c r="G18" s="305"/>
      <c r="I18" s="325" t="s">
        <v>273</v>
      </c>
      <c r="J18" s="287">
        <f>J17*B6</f>
        <v>57381.868950000004</v>
      </c>
      <c r="K18" s="286"/>
      <c r="L18" s="287">
        <f>J15+J18</f>
        <v>782816.36895000003</v>
      </c>
      <c r="O18" s="312"/>
    </row>
    <row r="19" spans="1:19" x14ac:dyDescent="0.35">
      <c r="H19" s="325"/>
      <c r="J19" s="289">
        <f>J17+J18</f>
        <v>877122.85395000002</v>
      </c>
      <c r="K19" s="287"/>
      <c r="L19" s="305"/>
    </row>
    <row r="20" spans="1:19" x14ac:dyDescent="0.35">
      <c r="A20" s="326" t="s">
        <v>274</v>
      </c>
      <c r="B20" s="327"/>
      <c r="C20" s="328">
        <f>C7-C14</f>
        <v>725434.5</v>
      </c>
      <c r="E20" s="329">
        <f>C6+C14</f>
        <v>151688.35395000002</v>
      </c>
      <c r="F20" s="286" t="s">
        <v>275</v>
      </c>
      <c r="H20" s="325"/>
      <c r="J20" s="330">
        <f>(J15+J18)*0.01</f>
        <v>7828.1636895000001</v>
      </c>
      <c r="K20" s="331" t="s">
        <v>276</v>
      </c>
      <c r="L20" s="332"/>
      <c r="M20" s="301"/>
      <c r="P20" s="301"/>
      <c r="Q20" s="301"/>
      <c r="R20" s="301"/>
    </row>
    <row r="21" spans="1:19" x14ac:dyDescent="0.35">
      <c r="H21" s="325"/>
      <c r="J21" s="287">
        <f>SUM(J19:J20)</f>
        <v>884951.01763949997</v>
      </c>
      <c r="M21" s="301"/>
      <c r="P21" s="301"/>
      <c r="Q21" s="301"/>
      <c r="R21" s="301"/>
    </row>
    <row r="22" spans="1:19" x14ac:dyDescent="0.35">
      <c r="E22" s="287"/>
      <c r="H22" s="325"/>
    </row>
    <row r="23" spans="1:19" x14ac:dyDescent="0.35">
      <c r="K23" s="287">
        <f>J19*0.01</f>
        <v>8771.2285394999999</v>
      </c>
    </row>
    <row r="24" spans="1:19" x14ac:dyDescent="0.35">
      <c r="E24" s="301"/>
      <c r="K24" s="301">
        <f>J19+K23</f>
        <v>885894.08248950006</v>
      </c>
    </row>
    <row r="25" spans="1:19" ht="16" x14ac:dyDescent="0.5">
      <c r="A25" s="333" t="s">
        <v>277</v>
      </c>
      <c r="C25" s="285" t="s">
        <v>253</v>
      </c>
    </row>
    <row r="26" spans="1:19" x14ac:dyDescent="0.35">
      <c r="A26" s="286" t="s">
        <v>254</v>
      </c>
      <c r="C26" s="289">
        <f>J42</f>
        <v>46540.18</v>
      </c>
      <c r="E26" s="477" t="s">
        <v>255</v>
      </c>
      <c r="F26" s="477"/>
      <c r="G26" s="477"/>
      <c r="H26" s="477"/>
      <c r="I26" s="477"/>
      <c r="K26" s="305"/>
      <c r="M26" s="334"/>
    </row>
    <row r="27" spans="1:19" ht="16" x14ac:dyDescent="0.5">
      <c r="A27" s="296" t="s">
        <v>273</v>
      </c>
      <c r="B27" s="335">
        <v>0</v>
      </c>
      <c r="C27" s="336">
        <f>C26*B27/(1+B27)</f>
        <v>0</v>
      </c>
      <c r="E27" s="299" t="s">
        <v>258</v>
      </c>
    </row>
    <row r="28" spans="1:19" x14ac:dyDescent="0.35">
      <c r="A28" s="286" t="s">
        <v>259</v>
      </c>
      <c r="C28" s="287">
        <f>C26-C27</f>
        <v>46540.18</v>
      </c>
      <c r="E28" s="300">
        <f>C28*B27</f>
        <v>0</v>
      </c>
      <c r="F28" s="300">
        <f>C27-E28</f>
        <v>0</v>
      </c>
    </row>
    <row r="29" spans="1:19" x14ac:dyDescent="0.35">
      <c r="A29" s="302" t="s">
        <v>260</v>
      </c>
      <c r="E29" s="287">
        <f>C28/(1+B35)</f>
        <v>41186.000000000007</v>
      </c>
      <c r="G29" s="286" t="s">
        <v>261</v>
      </c>
    </row>
    <row r="30" spans="1:19" x14ac:dyDescent="0.35">
      <c r="A30" s="296" t="s">
        <v>262</v>
      </c>
      <c r="B30" s="303">
        <v>0.04</v>
      </c>
      <c r="C30" s="304">
        <f>B30*$C$28/(1+$B$35)</f>
        <v>1647.4400000000003</v>
      </c>
      <c r="E30" s="287">
        <f t="shared" ref="E30:E35" si="4">$E$8*B30</f>
        <v>29017.38</v>
      </c>
      <c r="F30" s="300">
        <f t="shared" ref="F30:F35" si="5">C30-E30</f>
        <v>-27369.940000000002</v>
      </c>
      <c r="G30" s="305">
        <f t="shared" ref="G30:G35" si="6">E30/$E$8</f>
        <v>0.04</v>
      </c>
      <c r="H30" s="306">
        <f t="shared" ref="H30:H35" si="7">B30-G30</f>
        <v>0</v>
      </c>
      <c r="K30" s="301"/>
    </row>
    <row r="31" spans="1:19" x14ac:dyDescent="0.35">
      <c r="A31" s="296" t="s">
        <v>263</v>
      </c>
      <c r="B31" s="303">
        <v>0.01</v>
      </c>
      <c r="C31" s="304">
        <f>B31*$C$28/(1+$B$35)</f>
        <v>411.86000000000007</v>
      </c>
      <c r="E31" s="287">
        <f t="shared" si="4"/>
        <v>7254.3450000000003</v>
      </c>
      <c r="F31" s="300">
        <f t="shared" si="5"/>
        <v>-6842.4850000000006</v>
      </c>
      <c r="G31" s="305">
        <f t="shared" si="6"/>
        <v>0.01</v>
      </c>
      <c r="H31" s="306">
        <f t="shared" si="7"/>
        <v>0</v>
      </c>
      <c r="K31" s="301"/>
    </row>
    <row r="32" spans="1:19" x14ac:dyDescent="0.35">
      <c r="A32" s="296" t="s">
        <v>264</v>
      </c>
      <c r="B32" s="303">
        <v>0.01</v>
      </c>
      <c r="C32" s="304">
        <f>B32*$C28/(1+$B$35)</f>
        <v>411.86000000000007</v>
      </c>
      <c r="E32" s="287">
        <f t="shared" si="4"/>
        <v>7254.3450000000003</v>
      </c>
      <c r="F32" s="300">
        <f t="shared" si="5"/>
        <v>-6842.4850000000006</v>
      </c>
      <c r="G32" s="305">
        <f t="shared" si="6"/>
        <v>0.01</v>
      </c>
      <c r="H32" s="306">
        <f t="shared" si="7"/>
        <v>0</v>
      </c>
      <c r="K32" s="301"/>
    </row>
    <row r="33" spans="1:12" x14ac:dyDescent="0.35">
      <c r="A33" s="296" t="s">
        <v>265</v>
      </c>
      <c r="B33" s="303">
        <v>0.03</v>
      </c>
      <c r="C33" s="304">
        <f>B33*$C$28/(1+$B$35)</f>
        <v>1235.5800000000002</v>
      </c>
      <c r="E33" s="287">
        <f t="shared" si="4"/>
        <v>21763.035</v>
      </c>
      <c r="F33" s="300">
        <f t="shared" si="5"/>
        <v>-20527.454999999998</v>
      </c>
      <c r="G33" s="305">
        <f t="shared" si="6"/>
        <v>0.03</v>
      </c>
      <c r="H33" s="306">
        <f t="shared" si="7"/>
        <v>0</v>
      </c>
      <c r="K33" s="301"/>
    </row>
    <row r="34" spans="1:12" x14ac:dyDescent="0.35">
      <c r="A34" s="296" t="s">
        <v>266</v>
      </c>
      <c r="B34" s="307">
        <v>0.04</v>
      </c>
      <c r="C34" s="308">
        <f>B34*$C$28/(1+$B$35)</f>
        <v>1647.4400000000003</v>
      </c>
      <c r="E34" s="287">
        <f t="shared" si="4"/>
        <v>29017.38</v>
      </c>
      <c r="F34" s="300">
        <f t="shared" si="5"/>
        <v>-27369.940000000002</v>
      </c>
      <c r="G34" s="305">
        <f t="shared" si="6"/>
        <v>0.04</v>
      </c>
      <c r="H34" s="306">
        <f t="shared" si="7"/>
        <v>0</v>
      </c>
      <c r="K34" s="301"/>
    </row>
    <row r="35" spans="1:12" x14ac:dyDescent="0.35">
      <c r="A35" s="309" t="s">
        <v>267</v>
      </c>
      <c r="B35" s="310">
        <f>SUM(B30:B34)</f>
        <v>0.13</v>
      </c>
      <c r="C35" s="311">
        <f>SUM(C30:C34)</f>
        <v>5354.1800000000012</v>
      </c>
      <c r="D35" s="280"/>
      <c r="E35" s="287">
        <f t="shared" si="4"/>
        <v>94306.485000000001</v>
      </c>
      <c r="F35" s="300">
        <f t="shared" si="5"/>
        <v>-88952.304999999993</v>
      </c>
      <c r="G35" s="305">
        <f t="shared" si="6"/>
        <v>0.13</v>
      </c>
      <c r="H35" s="306">
        <f t="shared" si="7"/>
        <v>0</v>
      </c>
      <c r="I35" s="280"/>
      <c r="J35" s="282"/>
      <c r="K35" s="282"/>
      <c r="L35" s="280"/>
    </row>
    <row r="36" spans="1:12" x14ac:dyDescent="0.35">
      <c r="A36" s="337" t="s">
        <v>268</v>
      </c>
      <c r="B36" s="314"/>
      <c r="C36" s="315"/>
      <c r="D36" s="280"/>
      <c r="E36" s="287"/>
      <c r="F36" s="300"/>
      <c r="G36" s="305"/>
      <c r="H36" s="306"/>
      <c r="I36" s="280"/>
      <c r="J36" s="282"/>
      <c r="K36" s="282"/>
      <c r="L36" s="280"/>
    </row>
    <row r="37" spans="1:12" x14ac:dyDescent="0.35">
      <c r="A37" s="296" t="s">
        <v>269</v>
      </c>
      <c r="B37" s="303">
        <v>0.7</v>
      </c>
      <c r="C37" s="304">
        <f>C35*B37</f>
        <v>3747.9260000000004</v>
      </c>
      <c r="D37" s="280"/>
      <c r="E37" s="287"/>
      <c r="F37" s="300"/>
      <c r="G37" s="305"/>
      <c r="H37" s="306"/>
      <c r="I37" s="280"/>
      <c r="J37" s="282"/>
      <c r="K37" s="282"/>
      <c r="L37" s="280"/>
    </row>
    <row r="38" spans="1:12" x14ac:dyDescent="0.35">
      <c r="A38" s="318" t="s">
        <v>271</v>
      </c>
      <c r="B38" s="319">
        <v>0.3</v>
      </c>
      <c r="C38" s="320">
        <f>C35*B38</f>
        <v>1606.2540000000004</v>
      </c>
      <c r="D38" s="280"/>
      <c r="E38" s="287"/>
      <c r="F38" s="300"/>
      <c r="G38" s="305"/>
      <c r="H38" s="306"/>
      <c r="I38" s="280"/>
      <c r="J38" s="338">
        <v>41186</v>
      </c>
      <c r="K38" s="282" t="s">
        <v>278</v>
      </c>
      <c r="L38" s="280"/>
    </row>
    <row r="39" spans="1:12" x14ac:dyDescent="0.35">
      <c r="A39" s="321"/>
      <c r="B39" s="322" t="s">
        <v>179</v>
      </c>
      <c r="C39" s="339">
        <f>SUM(C37:C38)</f>
        <v>5354.18</v>
      </c>
      <c r="D39" s="280"/>
      <c r="E39" s="340">
        <f>C39+C41+C27</f>
        <v>46540.18</v>
      </c>
      <c r="F39" s="300" t="s">
        <v>272</v>
      </c>
      <c r="G39" s="305"/>
      <c r="H39" s="280"/>
      <c r="I39" s="317" t="s">
        <v>270</v>
      </c>
      <c r="J39" s="301">
        <f>J38*B35</f>
        <v>5354.18</v>
      </c>
      <c r="K39" s="282"/>
      <c r="L39" s="280"/>
    </row>
    <row r="40" spans="1:12" x14ac:dyDescent="0.35">
      <c r="H40" s="325"/>
      <c r="J40" s="287">
        <f>SUM(J38:J39)</f>
        <v>46540.18</v>
      </c>
    </row>
    <row r="41" spans="1:12" x14ac:dyDescent="0.35">
      <c r="A41" s="326" t="s">
        <v>274</v>
      </c>
      <c r="B41" s="327"/>
      <c r="C41" s="341">
        <f>C28-C35</f>
        <v>41186</v>
      </c>
      <c r="H41" s="325"/>
      <c r="I41" s="325" t="s">
        <v>273</v>
      </c>
      <c r="J41" s="287">
        <f>J40*B27</f>
        <v>0</v>
      </c>
    </row>
    <row r="42" spans="1:12" x14ac:dyDescent="0.35">
      <c r="H42" s="325"/>
      <c r="J42" s="282">
        <f>J40+J41</f>
        <v>46540.18</v>
      </c>
    </row>
  </sheetData>
  <mergeCells count="2">
    <mergeCell ref="E3:I3"/>
    <mergeCell ref="E26:I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joerg.stahlhut@undp.org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MPTF_00006_00837</ProjectId>
    <FundCode xmlns="f9695bc1-6109-4dcd-a27a-f8a0370b00e2">MPTF_00006</FundCode>
    <Comments xmlns="f9695bc1-6109-4dcd-a27a-f8a0370b00e2">Semi-annual Financial Report 2024</Comments>
    <Active xmlns="f9695bc1-6109-4dcd-a27a-f8a0370b00e2">Yes</Active>
    <DocumentDate xmlns="b1528a4b-5ccb-40f7-a09e-43427183cd95">2024-07-03T07:00:00+00:00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3262FA4-09FB-4AB7-92AF-56A24F02833C}"/>
</file>

<file path=customXml/itemProps2.xml><?xml version="1.0" encoding="utf-8"?>
<ds:datastoreItem xmlns:ds="http://schemas.openxmlformats.org/officeDocument/2006/customXml" ds:itemID="{8DDD35F1-2B9E-4987-8784-9B4C1602900A}"/>
</file>

<file path=customXml/itemProps3.xml><?xml version="1.0" encoding="utf-8"?>
<ds:datastoreItem xmlns:ds="http://schemas.openxmlformats.org/officeDocument/2006/customXml" ds:itemID="{EE8397CE-3E34-4206-AF39-33670E6E8B9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Budget Table Report</vt:lpstr>
      <vt:lpstr>UNDP Report by UNDG Cat</vt:lpstr>
      <vt:lpstr>UNWomen Report by UNDG Category</vt:lpstr>
      <vt:lpstr>2) By Category PBF</vt:lpstr>
      <vt:lpstr>2) By Category MPTF</vt:lpstr>
      <vt:lpstr>UNDG Budget MPTF</vt:lpstr>
      <vt:lpstr>DPC MPTF total</vt:lpstr>
      <vt:lpstr>DPC MPTF UNWomen</vt:lpstr>
      <vt:lpstr>DPC MPTF UNDP</vt:lpstr>
      <vt:lpstr>'UNWomen Report by UNDG Category'!Print_Area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Semi-annual Financial Report 2024.xlsx</dc:title>
  <dc:subject/>
  <dc:creator>Ruth Pfleiderer</dc:creator>
  <cp:keywords/>
  <dc:description/>
  <cp:lastModifiedBy>Robin Frost</cp:lastModifiedBy>
  <cp:revision/>
  <dcterms:created xsi:type="dcterms:W3CDTF">2022-05-26T02:58:52Z</dcterms:created>
  <dcterms:modified xsi:type="dcterms:W3CDTF">2024-07-03T06:28:34Z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