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iam.hopkins\Desktop\2022\PBF Moyamba &amp; Pujehun\Final report\"/>
    </mc:Choice>
  </mc:AlternateContent>
  <xr:revisionPtr revIDLastSave="0" documentId="8_{CBB982B0-3E1A-463A-8182-0EA4CB2DD80B}" xr6:coauthVersionLast="47" xr6:coauthVersionMax="47" xr10:uidLastSave="{00000000-0000-0000-0000-000000000000}"/>
  <bookViews>
    <workbookView xWindow="-110" yWindow="-110" windowWidth="19420" windowHeight="10420" xr2:uid="{4AE11288-E36A-47CB-AB98-FB13C10C40C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I30" i="1" s="1"/>
  <c r="H29" i="1"/>
  <c r="I38" i="1"/>
  <c r="I37" i="1"/>
  <c r="H32" i="1"/>
  <c r="G19" i="1"/>
  <c r="G13" i="1"/>
  <c r="I13" i="1" s="1"/>
  <c r="G10" i="1"/>
  <c r="G23" i="1"/>
  <c r="G22" i="1"/>
  <c r="I23" i="1"/>
  <c r="I10" i="1"/>
  <c r="G12" i="1"/>
  <c r="I12" i="1" s="1"/>
  <c r="I19" i="1"/>
  <c r="E26" i="1"/>
  <c r="E39" i="1" s="1"/>
  <c r="D34" i="1"/>
  <c r="E34" i="1"/>
  <c r="F34" i="1"/>
  <c r="G34" i="1"/>
  <c r="C34" i="1"/>
  <c r="G33" i="1"/>
  <c r="G18" i="1"/>
  <c r="I18" i="1" s="1"/>
  <c r="G17" i="1"/>
  <c r="I17" i="1" s="1"/>
  <c r="G16" i="1"/>
  <c r="G38" i="1"/>
  <c r="C38" i="1"/>
  <c r="C37" i="1"/>
  <c r="I36" i="1"/>
  <c r="E33" i="1"/>
  <c r="D32" i="1"/>
  <c r="D31" i="1"/>
  <c r="D30" i="1"/>
  <c r="C30" i="1"/>
  <c r="I29" i="1"/>
  <c r="C29" i="1"/>
  <c r="C33" i="1" s="1"/>
  <c r="E25" i="1"/>
  <c r="C25" i="1"/>
  <c r="I24" i="1"/>
  <c r="I22" i="1"/>
  <c r="E20" i="1"/>
  <c r="C20" i="1"/>
  <c r="E14" i="1"/>
  <c r="C14" i="1"/>
  <c r="H33" i="1" l="1"/>
  <c r="H34" i="1" s="1"/>
  <c r="H41" i="1" s="1"/>
  <c r="I33" i="1"/>
  <c r="I34" i="1" s="1"/>
  <c r="I25" i="1"/>
  <c r="I14" i="1"/>
  <c r="G14" i="1"/>
  <c r="G25" i="1"/>
  <c r="G20" i="1"/>
  <c r="I16" i="1"/>
  <c r="I20" i="1" s="1"/>
  <c r="I39" i="1"/>
  <c r="E40" i="1"/>
  <c r="E41" i="1"/>
  <c r="C39" i="1"/>
  <c r="I26" i="1" l="1"/>
  <c r="G26" i="1"/>
  <c r="G39" i="1" s="1"/>
  <c r="G40" i="1" s="1"/>
  <c r="G41" i="1" s="1"/>
  <c r="I41" i="1"/>
  <c r="C40" i="1"/>
  <c r="C41" i="1" s="1"/>
</calcChain>
</file>

<file path=xl/sharedStrings.xml><?xml version="1.0" encoding="utf-8"?>
<sst xmlns="http://schemas.openxmlformats.org/spreadsheetml/2006/main" count="83" uniqueCount="66">
  <si>
    <t>Annex D - PBF project budget</t>
  </si>
  <si>
    <t>Note: If this is a budget revision, insert extra columns to show budget changes.</t>
  </si>
  <si>
    <t>Table 1 - PBF project budget by Outcome, output and activity</t>
  </si>
  <si>
    <t>Outcome/ Output number</t>
  </si>
  <si>
    <t>Outcome/ output/ activity formulation:</t>
  </si>
  <si>
    <r>
      <t>Budget by recipient organization (not including staff, general operating costs and indirect fee)  </t>
    </r>
    <r>
      <rPr>
        <b/>
        <sz val="12"/>
        <color indexed="8"/>
        <rFont val="Times New Roman"/>
        <family val="1"/>
      </rPr>
      <t>WFP</t>
    </r>
  </si>
  <si>
    <t>Budget change as per NCE</t>
  </si>
  <si>
    <t>Percent of budget for each output reserved for direct action on gender eqaulity (if any):</t>
  </si>
  <si>
    <t>Any remarks (e.g. on types of inputs provided or budget justification, for example if high TA or travel costs)</t>
  </si>
  <si>
    <t xml:space="preserve">OUTCOME 1: Communities in Pujehun and Moyamba districts benefit from more accountable institutions and mechanisms that promote peaceful relations between communities and private companies. </t>
  </si>
  <si>
    <t>Output 1.1 Implementation of the policy frameworks on land acquisitions and land use are made more inclusive.</t>
  </si>
  <si>
    <t>Activity 1.1.1</t>
  </si>
  <si>
    <t>Land conflict analysis and land degradation assessments in four chiefdoms</t>
  </si>
  <si>
    <t>NA</t>
  </si>
  <si>
    <t>Activity 1.1.2</t>
  </si>
  <si>
    <t>Developing simplified checklist to guide land acquisition and land use</t>
  </si>
  <si>
    <t>Activity 1.1.3</t>
  </si>
  <si>
    <t xml:space="preserve">Educating stakeholders on land policy </t>
  </si>
  <si>
    <t>Activity 1.1.4</t>
  </si>
  <si>
    <t>Promoting lesson learned from the innovative approach</t>
  </si>
  <si>
    <t>TOTAL $ FOR OUTPUT 1.1</t>
  </si>
  <si>
    <t>Output 1.2 Infrastructure for gender inclusive mediation and dialogue is strengthened to manage conflicts within communities and between communities and companies and security institutions.</t>
  </si>
  <si>
    <t>Activity 1.2.1</t>
  </si>
  <si>
    <t>Grievance Redress Mechanism</t>
  </si>
  <si>
    <t>Activity 1.2.2</t>
  </si>
  <si>
    <t>Community Development Fund Mechanism</t>
  </si>
  <si>
    <t>Activity 1.2.3</t>
  </si>
  <si>
    <t>Supporting District Multi Stakeholders Platforms</t>
  </si>
  <si>
    <t>Activity 1.2.4</t>
  </si>
  <si>
    <t>Strengthening Capacity of Women Groups</t>
  </si>
  <si>
    <t>TOTAL $ FOR OUTPUT 1.2</t>
  </si>
  <si>
    <t xml:space="preserve">Output 1.3: Capacity of government institutions, national security stakeholders and companies in human rights approaches, gender-sensitivity and grievance redress are strengthened. </t>
  </si>
  <si>
    <t>Activity 1.3.1</t>
  </si>
  <si>
    <t xml:space="preserve">
Support to the SLEITI and VGGT process through Capacity Strengthening 
</t>
  </si>
  <si>
    <t>Activity 1.3.2</t>
  </si>
  <si>
    <t>Building accountability capacity of security sectors</t>
  </si>
  <si>
    <t>Activity 1.3.3</t>
  </si>
  <si>
    <t>Building capacity of companies</t>
  </si>
  <si>
    <t>TOTAL $ FOR OUTPUT 1.3</t>
  </si>
  <si>
    <t>TOTAL $ FOR OUTCOME 1:</t>
  </si>
  <si>
    <t>OUTCOME 2: Community resilience is strengthened through reducing social tension by enhancing  sustainable livelihoods and improving food security in Pujehun and Moyamba</t>
  </si>
  <si>
    <t>Output 2.1: Resilience of households is enhanced, and access to food improved, through the promotion of climate-smart agriculture practices and alternative sources of livelihoods and building linkages with local markets</t>
  </si>
  <si>
    <t>Activity 2.1.1</t>
  </si>
  <si>
    <t>Community based participatory planning</t>
  </si>
  <si>
    <t>Activity 2.1.2</t>
  </si>
  <si>
    <t>Agricultural livelihoods</t>
  </si>
  <si>
    <t>Activity 2.1.3</t>
  </si>
  <si>
    <t>Alternative livelihoods support</t>
  </si>
  <si>
    <t>Activity 2.1.4</t>
  </si>
  <si>
    <t>Linkages to existing CSR initiatives</t>
  </si>
  <si>
    <t>TOTAL $ FOR OUTPUT 2.1</t>
  </si>
  <si>
    <t>TOTAL $ FOR OUTCOME 2:</t>
  </si>
  <si>
    <t>TOTAL $ FOR PERSONNEL, OPERATIONAL &amp; M&amp;E COSTS</t>
  </si>
  <si>
    <t>Project personnel costs if not included in activities above</t>
  </si>
  <si>
    <t>Project operational costs if not included in activities above</t>
  </si>
  <si>
    <t>Project M&amp;E budget</t>
  </si>
  <si>
    <t xml:space="preserve"> </t>
  </si>
  <si>
    <t xml:space="preserve">SUB-TOTAL PROJECT BUDGET: </t>
  </si>
  <si>
    <t xml:space="preserve">Indirect support costs (7%): </t>
  </si>
  <si>
    <t>N/A</t>
  </si>
  <si>
    <t>TOTAL PROJECT BUDGET:</t>
  </si>
  <si>
    <t>(61.3 percent)</t>
  </si>
  <si>
    <t>Budget by recipient organization (not including staff, general operating costs and indirect fee) - UNDP</t>
  </si>
  <si>
    <t>Final Level of Expenditure (USD), UNDP</t>
  </si>
  <si>
    <t>Final Level of Expenditure (USD), WFP</t>
  </si>
  <si>
    <t>Final Level of Expenditure (USD), gender equality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</si>
</sst>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color rgb="FFC00000"/>
      <name val="Times New Roman"/>
      <family val="1"/>
    </font>
    <font>
      <b/>
      <sz val="12"/>
      <color rgb="FFC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5" fillId="0" borderId="0" xfId="0" applyFont="1"/>
    <xf numFmtId="43" fontId="6" fillId="0" borderId="0" xfId="1" applyFont="1"/>
    <xf numFmtId="43" fontId="7" fillId="0" borderId="0" xfId="1" applyFont="1" applyAlignment="1">
      <alignment horizontal="right"/>
    </xf>
    <xf numFmtId="0" fontId="8" fillId="0" borderId="0" xfId="0" applyFont="1"/>
    <xf numFmtId="43" fontId="9" fillId="0" borderId="0" xfId="1" applyFont="1"/>
    <xf numFmtId="43" fontId="10" fillId="0" borderId="0" xfId="1" applyFont="1" applyAlignment="1">
      <alignment horizontal="right"/>
    </xf>
    <xf numFmtId="43" fontId="2" fillId="0" borderId="0" xfId="1" applyFont="1"/>
    <xf numFmtId="43" fontId="11" fillId="0" borderId="0" xfId="1" applyFont="1" applyAlignment="1">
      <alignment horizontal="right"/>
    </xf>
    <xf numFmtId="16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vertical="center" wrapText="1"/>
    </xf>
    <xf numFmtId="164" fontId="14" fillId="0" borderId="1" xfId="1" applyNumberFormat="1" applyFont="1" applyBorder="1" applyAlignment="1">
      <alignment vertical="center" wrapText="1"/>
    </xf>
    <xf numFmtId="164" fontId="15" fillId="0" borderId="1" xfId="1" applyNumberFormat="1" applyFont="1" applyBorder="1" applyAlignment="1">
      <alignment horizontal="right" vertical="center" wrapText="1"/>
    </xf>
    <xf numFmtId="164" fontId="17" fillId="2" borderId="1" xfId="0" applyNumberFormat="1" applyFont="1" applyFill="1" applyBorder="1" applyAlignment="1">
      <alignment vertical="center" wrapText="1"/>
    </xf>
    <xf numFmtId="164" fontId="18" fillId="2" borderId="1" xfId="1" applyNumberFormat="1" applyFont="1" applyFill="1" applyBorder="1" applyAlignment="1">
      <alignment vertical="center" wrapText="1"/>
    </xf>
    <xf numFmtId="164" fontId="16" fillId="2" borderId="1" xfId="1" applyNumberFormat="1" applyFont="1" applyFill="1" applyBorder="1" applyAlignment="1">
      <alignment horizontal="right" vertical="center" wrapText="1"/>
    </xf>
    <xf numFmtId="0" fontId="3" fillId="0" borderId="0" xfId="0" applyFont="1"/>
    <xf numFmtId="164" fontId="19" fillId="0" borderId="1" xfId="0" applyNumberFormat="1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left" vertical="center" wrapText="1"/>
    </xf>
    <xf numFmtId="164" fontId="14" fillId="0" borderId="1" xfId="1" applyNumberFormat="1" applyFont="1" applyBorder="1" applyAlignment="1">
      <alignment horizontal="left" vertical="center" wrapText="1"/>
    </xf>
    <xf numFmtId="164" fontId="12" fillId="0" borderId="1" xfId="0" applyNumberFormat="1" applyFont="1" applyBorder="1" applyAlignment="1">
      <alignment wrapText="1"/>
    </xf>
    <xf numFmtId="164" fontId="20" fillId="0" borderId="1" xfId="0" applyNumberFormat="1" applyFont="1" applyBorder="1" applyAlignment="1">
      <alignment vertical="center" wrapText="1"/>
    </xf>
    <xf numFmtId="164" fontId="12" fillId="0" borderId="1" xfId="1" applyNumberFormat="1" applyFont="1" applyBorder="1" applyAlignment="1">
      <alignment vertical="center" wrapText="1"/>
    </xf>
    <xf numFmtId="164" fontId="17" fillId="3" borderId="1" xfId="0" applyNumberFormat="1" applyFont="1" applyFill="1" applyBorder="1" applyAlignment="1">
      <alignment vertical="center" wrapText="1"/>
    </xf>
    <xf numFmtId="164" fontId="18" fillId="3" borderId="1" xfId="1" applyNumberFormat="1" applyFont="1" applyFill="1" applyBorder="1" applyAlignment="1">
      <alignment vertical="center" wrapText="1"/>
    </xf>
    <xf numFmtId="164" fontId="16" fillId="3" borderId="1" xfId="1" applyNumberFormat="1" applyFont="1" applyFill="1" applyBorder="1" applyAlignment="1">
      <alignment horizontal="right" vertical="center" wrapText="1"/>
    </xf>
    <xf numFmtId="164" fontId="12" fillId="0" borderId="1" xfId="2" applyNumberFormat="1" applyFont="1" applyBorder="1" applyAlignment="1">
      <alignment horizontal="right" vertical="center" wrapText="1"/>
    </xf>
    <xf numFmtId="164" fontId="14" fillId="0" borderId="1" xfId="1" applyNumberFormat="1" applyFont="1" applyBorder="1" applyAlignment="1">
      <alignment horizontal="right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vertical="center" wrapText="1"/>
    </xf>
    <xf numFmtId="164" fontId="14" fillId="0" borderId="1" xfId="2" applyNumberFormat="1" applyFont="1" applyBorder="1" applyAlignment="1">
      <alignment horizontal="right" vertical="center" wrapText="1"/>
    </xf>
    <xf numFmtId="164" fontId="0" fillId="0" borderId="0" xfId="0" applyNumberFormat="1"/>
    <xf numFmtId="164" fontId="12" fillId="0" borderId="1" xfId="0" applyNumberFormat="1" applyFont="1" applyBorder="1" applyAlignment="1">
      <alignment horizontal="right" vertical="center" wrapText="1"/>
    </xf>
    <xf numFmtId="164" fontId="17" fillId="0" borderId="1" xfId="0" applyNumberFormat="1" applyFont="1" applyBorder="1" applyAlignment="1">
      <alignment vertical="center" wrapText="1"/>
    </xf>
    <xf numFmtId="164" fontId="2" fillId="0" borderId="0" xfId="1" applyNumberFormat="1" applyFont="1" applyFill="1" applyAlignment="1">
      <alignment vertical="center"/>
    </xf>
    <xf numFmtId="164" fontId="15" fillId="0" borderId="1" xfId="1" applyNumberFormat="1" applyFont="1" applyFill="1" applyBorder="1" applyAlignment="1">
      <alignment horizontal="right" vertical="center" wrapText="1"/>
    </xf>
    <xf numFmtId="164" fontId="14" fillId="0" borderId="1" xfId="1" applyNumberFormat="1" applyFont="1" applyFill="1" applyBorder="1" applyAlignment="1">
      <alignment vertical="center" wrapText="1"/>
    </xf>
    <xf numFmtId="164" fontId="12" fillId="0" borderId="1" xfId="1" applyNumberFormat="1" applyFont="1" applyBorder="1" applyAlignment="1">
      <alignment horizontal="right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vertical="center" wrapText="1"/>
    </xf>
    <xf numFmtId="164" fontId="18" fillId="4" borderId="1" xfId="1" applyNumberFormat="1" applyFont="1" applyFill="1" applyBorder="1" applyAlignment="1">
      <alignment vertical="center" wrapText="1"/>
    </xf>
    <xf numFmtId="164" fontId="16" fillId="4" borderId="1" xfId="1" applyNumberFormat="1" applyFont="1" applyFill="1" applyBorder="1" applyAlignment="1">
      <alignment horizontal="right" vertical="center" wrapText="1"/>
    </xf>
    <xf numFmtId="164" fontId="17" fillId="4" borderId="1" xfId="2" applyNumberFormat="1" applyFont="1" applyFill="1" applyBorder="1" applyAlignment="1">
      <alignment horizontal="right" vertical="center" wrapText="1"/>
    </xf>
    <xf numFmtId="3" fontId="0" fillId="0" borderId="0" xfId="0" applyNumberFormat="1"/>
    <xf numFmtId="41" fontId="17" fillId="4" borderId="1" xfId="3" applyFont="1" applyFill="1" applyBorder="1" applyAlignment="1">
      <alignment horizontal="right" vertical="center" wrapText="1"/>
    </xf>
    <xf numFmtId="164" fontId="18" fillId="2" borderId="1" xfId="1" applyNumberFormat="1" applyFont="1" applyFill="1" applyBorder="1" applyAlignment="1">
      <alignment horizontal="center" vertical="center" wrapText="1"/>
    </xf>
    <xf numFmtId="164" fontId="16" fillId="2" borderId="1" xfId="1" applyNumberFormat="1" applyFont="1" applyFill="1" applyBorder="1" applyAlignment="1">
      <alignment horizontal="center" vertical="center" wrapText="1"/>
    </xf>
    <xf numFmtId="41" fontId="0" fillId="0" borderId="0" xfId="3" applyFont="1"/>
    <xf numFmtId="41" fontId="0" fillId="0" borderId="0" xfId="0" applyNumberFormat="1"/>
    <xf numFmtId="164" fontId="17" fillId="0" borderId="1" xfId="0" applyNumberFormat="1" applyFont="1" applyBorder="1" applyAlignment="1">
      <alignment vertical="center" wrapText="1"/>
    </xf>
    <xf numFmtId="164" fontId="17" fillId="2" borderId="1" xfId="0" applyNumberFormat="1" applyFont="1" applyFill="1" applyBorder="1" applyAlignment="1">
      <alignment horizontal="left" vertical="center" wrapText="1"/>
    </xf>
    <xf numFmtId="164" fontId="17" fillId="4" borderId="1" xfId="0" applyNumberFormat="1" applyFont="1" applyFill="1" applyBorder="1" applyAlignment="1">
      <alignment horizontal="left" vertical="center" wrapText="1"/>
    </xf>
  </cellXfs>
  <cellStyles count="4">
    <cellStyle name="Comma" xfId="1" builtinId="3"/>
    <cellStyle name="Comma [0]" xfId="3" builtinId="6"/>
    <cellStyle name="Comma [0] 2" xfId="2" xr:uid="{6AF3E0C0-7AA6-46B8-804E-405FF6C1C9E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ael.stanley/AppData/Local/Microsoft/Windows/INetCache/Content.Outlook/C2PQ1C2I/PBF%20project%20document%20-%20Annex%20D%20on%20budget%20-%20WFP%20UNDP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</sheetNames>
    <sheetDataSet>
      <sheetData sheetId="0" refreshError="1">
        <row r="8">
          <cell r="P8">
            <v>94666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7597D-B8F4-4FE7-839F-DDFE6529DB5C}">
  <dimension ref="A1:K47"/>
  <sheetViews>
    <sheetView tabSelected="1" zoomScale="70" zoomScaleNormal="70" workbookViewId="0">
      <pane ySplit="7" topLeftCell="A34" activePane="bottomLeft" state="frozen"/>
      <selection pane="bottomLeft" activeCell="H41" sqref="H41"/>
    </sheetView>
  </sheetViews>
  <sheetFormatPr defaultColWidth="8.81640625" defaultRowHeight="14.5" x14ac:dyDescent="0.35"/>
  <cols>
    <col min="1" max="1" width="30.453125" customWidth="1"/>
    <col min="2" max="3" width="24.7265625" customWidth="1"/>
    <col min="4" max="4" width="20.1796875" style="8" customWidth="1"/>
    <col min="5" max="5" width="21" style="9" customWidth="1"/>
    <col min="6" max="6" width="19.54296875" customWidth="1"/>
    <col min="7" max="7" width="20.90625" customWidth="1"/>
    <col min="8" max="9" width="21.90625" customWidth="1"/>
    <col min="10" max="10" width="22.90625" customWidth="1"/>
    <col min="11" max="11" width="50.1796875" customWidth="1"/>
    <col min="12" max="14" width="28.7265625" customWidth="1"/>
    <col min="15" max="15" width="34.1796875" customWidth="1"/>
  </cols>
  <sheetData>
    <row r="1" spans="1:11" ht="21" x14ac:dyDescent="0.5">
      <c r="A1" s="1" t="s">
        <v>0</v>
      </c>
      <c r="B1" s="2"/>
      <c r="C1" s="2"/>
      <c r="D1" s="3"/>
      <c r="E1" s="4"/>
    </row>
    <row r="2" spans="1:11" ht="15.5" x14ac:dyDescent="0.35">
      <c r="A2" s="5"/>
      <c r="B2" s="5"/>
      <c r="C2" s="5"/>
      <c r="D2" s="6"/>
      <c r="E2" s="7"/>
    </row>
    <row r="3" spans="1:11" ht="15.5" x14ac:dyDescent="0.35">
      <c r="A3" s="5" t="s">
        <v>1</v>
      </c>
      <c r="B3" s="5"/>
      <c r="C3" s="5"/>
      <c r="D3" s="6"/>
      <c r="E3" s="7"/>
    </row>
    <row r="4" spans="1:11" ht="6.5" customHeight="1" x14ac:dyDescent="0.35"/>
    <row r="5" spans="1:11" ht="15.5" x14ac:dyDescent="0.35">
      <c r="A5" s="5" t="s">
        <v>2</v>
      </c>
    </row>
    <row r="6" spans="1:11" ht="8" customHeight="1" x14ac:dyDescent="0.35"/>
    <row r="7" spans="1:11" ht="90" x14ac:dyDescent="0.35">
      <c r="A7" s="39" t="s">
        <v>3</v>
      </c>
      <c r="B7" s="39" t="s">
        <v>4</v>
      </c>
      <c r="C7" s="39" t="s">
        <v>5</v>
      </c>
      <c r="D7" s="46" t="s">
        <v>6</v>
      </c>
      <c r="E7" s="47" t="s">
        <v>62</v>
      </c>
      <c r="F7" s="39" t="s">
        <v>7</v>
      </c>
      <c r="G7" s="39" t="s">
        <v>63</v>
      </c>
      <c r="H7" s="39" t="s">
        <v>64</v>
      </c>
      <c r="I7" s="39" t="s">
        <v>65</v>
      </c>
      <c r="J7" s="39" t="s">
        <v>8</v>
      </c>
    </row>
    <row r="8" spans="1:11" ht="15" x14ac:dyDescent="0.35">
      <c r="A8" s="50" t="s">
        <v>9</v>
      </c>
      <c r="B8" s="50"/>
      <c r="C8" s="50"/>
      <c r="D8" s="50"/>
      <c r="E8" s="50"/>
      <c r="F8" s="50"/>
      <c r="G8" s="50"/>
      <c r="H8" s="50"/>
      <c r="I8" s="50"/>
      <c r="J8" s="50"/>
    </row>
    <row r="9" spans="1:11" ht="15" x14ac:dyDescent="0.35">
      <c r="A9" s="50" t="s">
        <v>10</v>
      </c>
      <c r="B9" s="50"/>
      <c r="C9" s="50"/>
      <c r="D9" s="50"/>
      <c r="E9" s="50"/>
      <c r="F9" s="50"/>
      <c r="G9" s="50"/>
      <c r="H9" s="50"/>
      <c r="I9" s="50"/>
      <c r="J9" s="50"/>
    </row>
    <row r="10" spans="1:11" ht="62" x14ac:dyDescent="0.35">
      <c r="A10" s="11" t="s">
        <v>11</v>
      </c>
      <c r="B10" s="11" t="s">
        <v>12</v>
      </c>
      <c r="C10" s="11"/>
      <c r="D10" s="12"/>
      <c r="E10" s="13">
        <v>100000</v>
      </c>
      <c r="F10" s="10">
        <v>70</v>
      </c>
      <c r="G10" s="10">
        <f>53225.6+23245</f>
        <v>76470.600000000006</v>
      </c>
      <c r="H10" s="10"/>
      <c r="I10" s="10">
        <f>G10*0.7</f>
        <v>53529.42</v>
      </c>
      <c r="J10" s="10" t="s">
        <v>13</v>
      </c>
    </row>
    <row r="11" spans="1:11" ht="46.5" x14ac:dyDescent="0.35">
      <c r="A11" s="11" t="s">
        <v>14</v>
      </c>
      <c r="B11" s="11" t="s">
        <v>15</v>
      </c>
      <c r="C11" s="11"/>
      <c r="D11" s="12"/>
      <c r="E11" s="13">
        <v>10000</v>
      </c>
      <c r="F11" s="10">
        <v>60</v>
      </c>
      <c r="G11" s="10"/>
      <c r="H11" s="10"/>
      <c r="I11" s="10"/>
      <c r="J11" s="10" t="s">
        <v>13</v>
      </c>
    </row>
    <row r="12" spans="1:11" ht="31" x14ac:dyDescent="0.35">
      <c r="A12" s="11" t="s">
        <v>16</v>
      </c>
      <c r="B12" s="11" t="s">
        <v>17</v>
      </c>
      <c r="C12" s="11"/>
      <c r="D12" s="12"/>
      <c r="E12" s="13">
        <v>80000</v>
      </c>
      <c r="F12" s="10">
        <v>70</v>
      </c>
      <c r="G12" s="10">
        <f>56071</f>
        <v>56071</v>
      </c>
      <c r="H12" s="10"/>
      <c r="I12" s="10">
        <f>G12*0.7</f>
        <v>39249.699999999997</v>
      </c>
      <c r="J12" s="10" t="s">
        <v>13</v>
      </c>
    </row>
    <row r="13" spans="1:11" ht="46.5" x14ac:dyDescent="0.35">
      <c r="A13" s="11" t="s">
        <v>18</v>
      </c>
      <c r="B13" s="11" t="s">
        <v>19</v>
      </c>
      <c r="C13" s="11"/>
      <c r="D13" s="12"/>
      <c r="E13" s="13">
        <v>65000</v>
      </c>
      <c r="F13" s="10">
        <v>60</v>
      </c>
      <c r="G13" s="10">
        <f>55721.33+6223.75+407.34+296.99+889.56+567.25+4665.47</f>
        <v>68771.689999999988</v>
      </c>
      <c r="H13" s="10"/>
      <c r="I13" s="10">
        <f>G13*0.6</f>
        <v>41263.013999999988</v>
      </c>
      <c r="J13" s="10" t="s">
        <v>13</v>
      </c>
      <c r="K13" s="32"/>
    </row>
    <row r="14" spans="1:11" s="17" customFormat="1" ht="15" x14ac:dyDescent="0.35">
      <c r="A14" s="51" t="s">
        <v>20</v>
      </c>
      <c r="B14" s="51"/>
      <c r="C14" s="14">
        <f>SUM(C10:C12)</f>
        <v>0</v>
      </c>
      <c r="D14" s="15"/>
      <c r="E14" s="16">
        <f>SUM(E10:E13)</f>
        <v>255000</v>
      </c>
      <c r="F14" s="14"/>
      <c r="G14" s="14">
        <f>SUM(G10:G13)</f>
        <v>201313.28999999998</v>
      </c>
      <c r="H14" s="14"/>
      <c r="I14" s="14">
        <f>SUM(I10:I13)</f>
        <v>134042.13399999999</v>
      </c>
      <c r="J14" s="14"/>
    </row>
    <row r="15" spans="1:11" ht="15" x14ac:dyDescent="0.35">
      <c r="A15" s="50" t="s">
        <v>21</v>
      </c>
      <c r="B15" s="50"/>
      <c r="C15" s="50"/>
      <c r="D15" s="50"/>
      <c r="E15" s="50"/>
      <c r="F15" s="50"/>
      <c r="G15" s="50"/>
      <c r="H15" s="50"/>
      <c r="I15" s="50"/>
      <c r="J15" s="50"/>
    </row>
    <row r="16" spans="1:11" ht="31" x14ac:dyDescent="0.35">
      <c r="A16" s="11" t="s">
        <v>22</v>
      </c>
      <c r="B16" s="11" t="s">
        <v>23</v>
      </c>
      <c r="C16" s="11"/>
      <c r="D16" s="12"/>
      <c r="E16" s="13">
        <v>150000</v>
      </c>
      <c r="F16" s="10">
        <v>60</v>
      </c>
      <c r="G16" s="10">
        <f>132448+668.24+16500</f>
        <v>149616.24</v>
      </c>
      <c r="H16" s="18"/>
      <c r="I16" s="18">
        <f>G16*0.6</f>
        <v>89769.743999999992</v>
      </c>
      <c r="J16" s="10" t="s">
        <v>13</v>
      </c>
    </row>
    <row r="17" spans="1:10" ht="31" x14ac:dyDescent="0.35">
      <c r="A17" s="11" t="s">
        <v>24</v>
      </c>
      <c r="B17" s="11" t="s">
        <v>25</v>
      </c>
      <c r="C17" s="11"/>
      <c r="D17" s="12"/>
      <c r="E17" s="13">
        <v>150000</v>
      </c>
      <c r="F17" s="10">
        <v>60</v>
      </c>
      <c r="G17" s="10">
        <f>141625+5040</f>
        <v>146665</v>
      </c>
      <c r="H17" s="18"/>
      <c r="I17" s="18">
        <f>G17*0.6</f>
        <v>87999</v>
      </c>
      <c r="J17" s="10" t="s">
        <v>13</v>
      </c>
    </row>
    <row r="18" spans="1:10" ht="31" x14ac:dyDescent="0.35">
      <c r="A18" s="11" t="s">
        <v>26</v>
      </c>
      <c r="B18" s="19" t="s">
        <v>27</v>
      </c>
      <c r="C18" s="19"/>
      <c r="D18" s="20"/>
      <c r="E18" s="13">
        <v>75000</v>
      </c>
      <c r="F18" s="10">
        <v>70</v>
      </c>
      <c r="G18" s="10">
        <f>53754+21356</f>
        <v>75110</v>
      </c>
      <c r="H18" s="18"/>
      <c r="I18" s="18">
        <f>G18*0.7</f>
        <v>52577</v>
      </c>
      <c r="J18" s="10" t="s">
        <v>13</v>
      </c>
    </row>
    <row r="19" spans="1:10" ht="31" x14ac:dyDescent="0.35">
      <c r="A19" s="11" t="s">
        <v>28</v>
      </c>
      <c r="B19" s="19" t="s">
        <v>29</v>
      </c>
      <c r="C19" s="19"/>
      <c r="D19" s="20"/>
      <c r="E19" s="13">
        <v>54600</v>
      </c>
      <c r="F19" s="10">
        <v>100</v>
      </c>
      <c r="G19" s="18">
        <f>9604+36706</f>
        <v>46310</v>
      </c>
      <c r="H19" s="18"/>
      <c r="I19" s="18">
        <f>G19</f>
        <v>46310</v>
      </c>
      <c r="J19" s="10" t="s">
        <v>13</v>
      </c>
    </row>
    <row r="20" spans="1:10" s="17" customFormat="1" ht="15" x14ac:dyDescent="0.35">
      <c r="A20" s="51" t="s">
        <v>30</v>
      </c>
      <c r="B20" s="51"/>
      <c r="C20" s="14">
        <f>SUM(C17:C19)</f>
        <v>0</v>
      </c>
      <c r="D20" s="15"/>
      <c r="E20" s="16">
        <f>SUM(E16:E19)</f>
        <v>429600</v>
      </c>
      <c r="F20" s="14"/>
      <c r="G20" s="14">
        <f>SUM(G16:G19)</f>
        <v>417701.24</v>
      </c>
      <c r="H20" s="14"/>
      <c r="I20" s="14">
        <f>SUM(I16:I19)</f>
        <v>276655.74400000001</v>
      </c>
      <c r="J20" s="14"/>
    </row>
    <row r="21" spans="1:10" ht="15" x14ac:dyDescent="0.35">
      <c r="A21" s="50" t="s">
        <v>31</v>
      </c>
      <c r="B21" s="50"/>
      <c r="C21" s="50"/>
      <c r="D21" s="50"/>
      <c r="E21" s="50"/>
      <c r="F21" s="50"/>
      <c r="G21" s="50"/>
      <c r="H21" s="50"/>
      <c r="I21" s="50"/>
      <c r="J21" s="50"/>
    </row>
    <row r="22" spans="1:10" ht="77.5" x14ac:dyDescent="0.35">
      <c r="A22" s="11" t="s">
        <v>32</v>
      </c>
      <c r="B22" s="21" t="s">
        <v>33</v>
      </c>
      <c r="C22" s="11"/>
      <c r="D22" s="12"/>
      <c r="E22" s="13">
        <v>90000</v>
      </c>
      <c r="F22" s="10">
        <v>50</v>
      </c>
      <c r="G22" s="10">
        <f>58384.71+30450</f>
        <v>88834.709999999992</v>
      </c>
      <c r="H22" s="10"/>
      <c r="I22" s="10">
        <f>G22*0.5</f>
        <v>44417.354999999996</v>
      </c>
      <c r="J22" s="10" t="s">
        <v>13</v>
      </c>
    </row>
    <row r="23" spans="1:10" ht="46.5" x14ac:dyDescent="0.35">
      <c r="A23" s="11" t="s">
        <v>34</v>
      </c>
      <c r="B23" s="11" t="s">
        <v>35</v>
      </c>
      <c r="C23" s="11"/>
      <c r="D23" s="12"/>
      <c r="E23" s="13">
        <v>84000</v>
      </c>
      <c r="F23" s="10">
        <v>60</v>
      </c>
      <c r="G23" s="10">
        <f>44000.15+35361</f>
        <v>79361.149999999994</v>
      </c>
      <c r="H23" s="10"/>
      <c r="I23" s="10">
        <f>G23*0.6</f>
        <v>47616.689999999995</v>
      </c>
      <c r="J23" s="10" t="s">
        <v>13</v>
      </c>
    </row>
    <row r="24" spans="1:10" ht="31" x14ac:dyDescent="0.35">
      <c r="A24" s="11" t="s">
        <v>36</v>
      </c>
      <c r="B24" s="22" t="s">
        <v>37</v>
      </c>
      <c r="C24" s="23">
        <v>10000</v>
      </c>
      <c r="D24" s="12"/>
      <c r="E24" s="13">
        <v>40000</v>
      </c>
      <c r="F24" s="10">
        <v>60</v>
      </c>
      <c r="G24" s="10">
        <v>40000</v>
      </c>
      <c r="H24" s="10">
        <v>10000</v>
      </c>
      <c r="I24" s="10">
        <f>G24*0.6</f>
        <v>24000</v>
      </c>
      <c r="J24" s="10" t="s">
        <v>13</v>
      </c>
    </row>
    <row r="25" spans="1:10" s="17" customFormat="1" ht="15" x14ac:dyDescent="0.35">
      <c r="A25" s="51" t="s">
        <v>38</v>
      </c>
      <c r="B25" s="51"/>
      <c r="C25" s="14">
        <f>SUM(C23:C24)</f>
        <v>10000</v>
      </c>
      <c r="D25" s="15"/>
      <c r="E25" s="16">
        <f>SUM(E22:E24)</f>
        <v>214000</v>
      </c>
      <c r="F25" s="14"/>
      <c r="G25" s="14">
        <f>SUM(G22:G24)</f>
        <v>208195.86</v>
      </c>
      <c r="H25" s="14">
        <v>10000</v>
      </c>
      <c r="I25" s="14">
        <f>SUM(I22:I24)</f>
        <v>116034.04499999998</v>
      </c>
      <c r="J25" s="14"/>
    </row>
    <row r="26" spans="1:10" s="17" customFormat="1" ht="15" x14ac:dyDescent="0.35">
      <c r="A26" s="51" t="s">
        <v>39</v>
      </c>
      <c r="B26" s="51"/>
      <c r="C26" s="24"/>
      <c r="D26" s="25"/>
      <c r="E26" s="26">
        <f>SUM(E25+E20+E14)</f>
        <v>898600</v>
      </c>
      <c r="F26" s="24"/>
      <c r="G26" s="24">
        <f>G25+G20+G14</f>
        <v>827210.3899999999</v>
      </c>
      <c r="H26" s="24">
        <v>10000</v>
      </c>
      <c r="I26" s="24">
        <f>I25+I20+I14</f>
        <v>526731.92299999995</v>
      </c>
      <c r="J26" s="24"/>
    </row>
    <row r="27" spans="1:10" ht="15" x14ac:dyDescent="0.35">
      <c r="A27" s="50" t="s">
        <v>40</v>
      </c>
      <c r="B27" s="50"/>
      <c r="C27" s="50"/>
      <c r="D27" s="50"/>
      <c r="E27" s="50"/>
      <c r="F27" s="50"/>
      <c r="G27" s="50"/>
      <c r="H27" s="50"/>
      <c r="I27" s="50"/>
      <c r="J27" s="50"/>
    </row>
    <row r="28" spans="1:10" ht="15" x14ac:dyDescent="0.35">
      <c r="A28" s="50" t="s">
        <v>41</v>
      </c>
      <c r="B28" s="50"/>
      <c r="C28" s="50"/>
      <c r="D28" s="50"/>
      <c r="E28" s="50"/>
      <c r="F28" s="50"/>
      <c r="G28" s="50"/>
      <c r="H28" s="50"/>
      <c r="I28" s="50"/>
      <c r="J28" s="50"/>
    </row>
    <row r="29" spans="1:10" ht="31" x14ac:dyDescent="0.35">
      <c r="A29" s="11" t="s">
        <v>42</v>
      </c>
      <c r="B29" s="11" t="s">
        <v>43</v>
      </c>
      <c r="C29" s="27">
        <f>[1]Sheet2!$P$8</f>
        <v>94666</v>
      </c>
      <c r="D29" s="28"/>
      <c r="E29" s="13"/>
      <c r="F29" s="10">
        <v>75</v>
      </c>
      <c r="G29" s="10"/>
      <c r="H29" s="29">
        <f>C29</f>
        <v>94666</v>
      </c>
      <c r="I29" s="29">
        <f>H29*0.75</f>
        <v>70999.5</v>
      </c>
      <c r="J29" s="10" t="s">
        <v>13</v>
      </c>
    </row>
    <row r="30" spans="1:10" ht="15.5" x14ac:dyDescent="0.35">
      <c r="A30" s="30" t="s">
        <v>44</v>
      </c>
      <c r="B30" s="30" t="s">
        <v>45</v>
      </c>
      <c r="C30" s="31">
        <f>744150+81239+20000</f>
        <v>845389</v>
      </c>
      <c r="D30" s="28">
        <f>81239+20000</f>
        <v>101239</v>
      </c>
      <c r="E30" s="13"/>
      <c r="F30" s="10">
        <v>75</v>
      </c>
      <c r="G30" s="32"/>
      <c r="H30" s="29">
        <f>C30</f>
        <v>845389</v>
      </c>
      <c r="I30" s="29">
        <f>H30*0.75</f>
        <v>634041.75</v>
      </c>
      <c r="J30" s="10" t="s">
        <v>13</v>
      </c>
    </row>
    <row r="31" spans="1:10" ht="31" x14ac:dyDescent="0.35">
      <c r="A31" s="30" t="s">
        <v>46</v>
      </c>
      <c r="B31" s="30" t="s">
        <v>47</v>
      </c>
      <c r="C31" s="31">
        <v>25000</v>
      </c>
      <c r="D31" s="28">
        <f>-81239</f>
        <v>-81239</v>
      </c>
      <c r="E31" s="13"/>
      <c r="F31" s="10">
        <v>70</v>
      </c>
      <c r="G31" s="10"/>
      <c r="H31" s="33">
        <v>25000</v>
      </c>
      <c r="I31" s="33"/>
      <c r="J31" s="10" t="s">
        <v>13</v>
      </c>
    </row>
    <row r="32" spans="1:10" ht="31" x14ac:dyDescent="0.35">
      <c r="A32" s="30" t="s">
        <v>48</v>
      </c>
      <c r="B32" s="30" t="s">
        <v>49</v>
      </c>
      <c r="C32" s="31">
        <v>0</v>
      </c>
      <c r="D32" s="28">
        <f>-20000</f>
        <v>-20000</v>
      </c>
      <c r="E32" s="13"/>
      <c r="F32" s="10">
        <v>60</v>
      </c>
      <c r="G32" s="10"/>
      <c r="H32" s="33">
        <f>0</f>
        <v>0</v>
      </c>
      <c r="I32" s="33"/>
      <c r="J32" s="10" t="s">
        <v>13</v>
      </c>
    </row>
    <row r="33" spans="1:10" s="17" customFormat="1" ht="15" x14ac:dyDescent="0.35">
      <c r="A33" s="51" t="s">
        <v>50</v>
      </c>
      <c r="B33" s="51"/>
      <c r="C33" s="14">
        <f>SUM(C29:C32)</f>
        <v>965055</v>
      </c>
      <c r="D33" s="15"/>
      <c r="E33" s="16">
        <f>SUM(E29:E32)</f>
        <v>0</v>
      </c>
      <c r="F33" s="14"/>
      <c r="G33" s="14">
        <f>SUM(G30:G32)</f>
        <v>0</v>
      </c>
      <c r="H33" s="14">
        <f>SUM(H29:H32)</f>
        <v>965055</v>
      </c>
      <c r="I33" s="14">
        <f>SUM(I29:I32)</f>
        <v>705041.25</v>
      </c>
      <c r="J33" s="14"/>
    </row>
    <row r="34" spans="1:10" s="17" customFormat="1" ht="15" x14ac:dyDescent="0.35">
      <c r="A34" s="51" t="s">
        <v>51</v>
      </c>
      <c r="B34" s="51"/>
      <c r="C34" s="24">
        <f>C33</f>
        <v>965055</v>
      </c>
      <c r="D34" s="24">
        <f t="shared" ref="D34:H34" si="0">D33</f>
        <v>0</v>
      </c>
      <c r="E34" s="24">
        <f t="shared" si="0"/>
        <v>0</v>
      </c>
      <c r="F34" s="24">
        <f t="shared" si="0"/>
        <v>0</v>
      </c>
      <c r="G34" s="24">
        <f t="shared" si="0"/>
        <v>0</v>
      </c>
      <c r="H34" s="24">
        <f t="shared" si="0"/>
        <v>965055</v>
      </c>
      <c r="I34" s="24">
        <f>I33</f>
        <v>705041.25</v>
      </c>
      <c r="J34" s="24"/>
    </row>
    <row r="35" spans="1:10" ht="15" x14ac:dyDescent="0.35">
      <c r="A35" s="50" t="s">
        <v>52</v>
      </c>
      <c r="B35" s="50"/>
      <c r="C35" s="50"/>
      <c r="D35" s="50"/>
      <c r="E35" s="50"/>
      <c r="F35" s="50"/>
      <c r="G35" s="50"/>
      <c r="H35" s="50"/>
      <c r="I35" s="50"/>
      <c r="J35" s="50"/>
    </row>
    <row r="36" spans="1:10" ht="31" x14ac:dyDescent="0.35">
      <c r="A36" s="11" t="s">
        <v>53</v>
      </c>
      <c r="B36" s="11"/>
      <c r="C36" s="11">
        <v>340000</v>
      </c>
      <c r="D36" s="12"/>
      <c r="E36" s="13">
        <v>260000</v>
      </c>
      <c r="F36" s="10">
        <v>60</v>
      </c>
      <c r="G36" s="10">
        <v>293599.44</v>
      </c>
      <c r="H36" s="10">
        <v>340000</v>
      </c>
      <c r="I36" s="10">
        <f>H36*0.6</f>
        <v>204000</v>
      </c>
      <c r="J36" s="29" t="s">
        <v>13</v>
      </c>
    </row>
    <row r="37" spans="1:10" ht="31" x14ac:dyDescent="0.35">
      <c r="A37" s="11" t="s">
        <v>54</v>
      </c>
      <c r="B37" s="34"/>
      <c r="C37" s="11">
        <f>71061.136915888+6560</f>
        <v>77621.136915887997</v>
      </c>
      <c r="D37" s="35"/>
      <c r="E37" s="36">
        <v>40000</v>
      </c>
      <c r="F37" s="10">
        <v>50</v>
      </c>
      <c r="G37" s="10">
        <v>87260.71</v>
      </c>
      <c r="H37" s="10">
        <v>77621.136915887997</v>
      </c>
      <c r="I37" s="10">
        <f>H37*0.5</f>
        <v>38810.568457943999</v>
      </c>
      <c r="J37" s="29" t="s">
        <v>13</v>
      </c>
    </row>
    <row r="38" spans="1:10" ht="15.5" x14ac:dyDescent="0.35">
      <c r="A38" s="11" t="s">
        <v>55</v>
      </c>
      <c r="B38" s="11" t="s">
        <v>56</v>
      </c>
      <c r="C38" s="11">
        <f>92464.05+70000</f>
        <v>162464.04999999999</v>
      </c>
      <c r="D38" s="37"/>
      <c r="E38" s="36">
        <v>50000</v>
      </c>
      <c r="F38" s="10">
        <v>60</v>
      </c>
      <c r="G38" s="38">
        <f>40000+264+264</f>
        <v>40528</v>
      </c>
      <c r="H38" s="38">
        <v>162464.04999999999</v>
      </c>
      <c r="I38" s="38">
        <f>H38*0.6</f>
        <v>97478.43</v>
      </c>
      <c r="J38" s="29" t="s">
        <v>13</v>
      </c>
    </row>
    <row r="39" spans="1:10" ht="15" x14ac:dyDescent="0.35">
      <c r="A39" s="51" t="s">
        <v>57</v>
      </c>
      <c r="B39" s="51"/>
      <c r="C39" s="14">
        <f>C38+C37+C36+C25+C33</f>
        <v>1555140.186915888</v>
      </c>
      <c r="D39" s="15"/>
      <c r="E39" s="16">
        <f>E38+E37+E36+E26</f>
        <v>1248600</v>
      </c>
      <c r="F39" s="14"/>
      <c r="G39" s="16">
        <f>G38+G37+G36+G26</f>
        <v>1248598.54</v>
      </c>
      <c r="H39" s="39"/>
      <c r="I39" s="39">
        <f>SUM(I36:I38)</f>
        <v>340288.99845794402</v>
      </c>
      <c r="J39" s="14"/>
    </row>
    <row r="40" spans="1:10" ht="15.5" x14ac:dyDescent="0.35">
      <c r="A40" s="11" t="s">
        <v>58</v>
      </c>
      <c r="B40" s="11"/>
      <c r="C40" s="23">
        <f>C39*0.07</f>
        <v>108859.81308411217</v>
      </c>
      <c r="D40" s="12"/>
      <c r="E40" s="13">
        <f>(E34+E39)*7%-2</f>
        <v>87400.000000000015</v>
      </c>
      <c r="F40" s="10"/>
      <c r="G40" s="10">
        <f>(G34+G39)*7%</f>
        <v>87401.897800000006</v>
      </c>
      <c r="H40" s="29">
        <v>108859.81308411217</v>
      </c>
      <c r="I40" s="29"/>
      <c r="J40" s="10" t="s">
        <v>59</v>
      </c>
    </row>
    <row r="41" spans="1:10" ht="15" x14ac:dyDescent="0.35">
      <c r="A41" s="52" t="s">
        <v>60</v>
      </c>
      <c r="B41" s="52"/>
      <c r="C41" s="40">
        <f>C39+C40</f>
        <v>1664000.0000000002</v>
      </c>
      <c r="D41" s="41"/>
      <c r="E41" s="42">
        <f>E34+E39+E40</f>
        <v>1336000</v>
      </c>
      <c r="F41" s="43" t="s">
        <v>61</v>
      </c>
      <c r="G41" s="45">
        <f>G34+G39+G40</f>
        <v>1336000.4378</v>
      </c>
      <c r="H41" s="43">
        <f>H40+H38+H37+H36+H34+H26</f>
        <v>1664000.0000000002</v>
      </c>
      <c r="I41" s="43">
        <f>I38+I37+I36+I30+I29+I24+I23+I22+I19+I18+I17+I16+I13+I12+I10</f>
        <v>1572062.1714579437</v>
      </c>
      <c r="J41" s="43"/>
    </row>
    <row r="42" spans="1:10" x14ac:dyDescent="0.35">
      <c r="H42" s="32"/>
    </row>
    <row r="44" spans="1:10" x14ac:dyDescent="0.35">
      <c r="G44" s="48"/>
      <c r="J44" s="44"/>
    </row>
    <row r="46" spans="1:10" x14ac:dyDescent="0.35">
      <c r="G46" s="49"/>
      <c r="J46" s="44"/>
    </row>
    <row r="47" spans="1:10" ht="25.5" customHeight="1" x14ac:dyDescent="0.35"/>
  </sheetData>
  <mergeCells count="15">
    <mergeCell ref="A21:J21"/>
    <mergeCell ref="A8:J8"/>
    <mergeCell ref="A9:J9"/>
    <mergeCell ref="A14:B14"/>
    <mergeCell ref="A15:J15"/>
    <mergeCell ref="A20:B20"/>
    <mergeCell ref="A35:J35"/>
    <mergeCell ref="A39:B39"/>
    <mergeCell ref="A41:B41"/>
    <mergeCell ref="A25:B25"/>
    <mergeCell ref="A26:B26"/>
    <mergeCell ref="A27:J27"/>
    <mergeCell ref="A28:J28"/>
    <mergeCell ref="A33:B33"/>
    <mergeCell ref="A34:B3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0E1B0FB969FA4DB37D3562DA9CC146" ma:contentTypeVersion="32" ma:contentTypeDescription="Create a new document." ma:contentTypeScope="" ma:versionID="29a5dad6912fcefd8fe82790b8ba102a">
  <xsd:schema xmlns:xsd="http://www.w3.org/2001/XMLSchema" xmlns:xs="http://www.w3.org/2001/XMLSchema" xmlns:p="http://schemas.microsoft.com/office/2006/metadata/properties" xmlns:ns2="f9695bc1-6109-4dcd-a27a-f8a0370b00e2" xmlns:ns3="b1528a4b-5ccb-40f7-a09e-43427183cd95" xmlns:ns4="cb759e4c-f0d7-4feb-bda3-ed2800574e06" targetNamespace="http://schemas.microsoft.com/office/2006/metadata/properties" ma:root="true" ma:fieldsID="8158acc1eb5a52197291101a5dc7d945" ns2:_="" ns3:_="" ns4:_="">
    <xsd:import namespace="f9695bc1-6109-4dcd-a27a-f8a0370b00e2"/>
    <xsd:import namespace="b1528a4b-5ccb-40f7-a09e-43427183cd95"/>
    <xsd:import namespace="cb759e4c-f0d7-4feb-bda3-ed2800574e06"/>
    <xsd:element name="properties">
      <xsd:complexType>
        <xsd:sequence>
          <xsd:element name="documentManagement">
            <xsd:complexType>
              <xsd:all>
                <xsd:element ref="ns2:FundId" minOccurs="0"/>
                <xsd:element ref="ns2:FundCode" minOccurs="0"/>
                <xsd:element ref="ns2:ProjectId" minOccurs="0"/>
                <xsd:element ref="ns2:ProjectType" minOccurs="0"/>
                <xsd:element ref="ns2:DocumentType" minOccurs="0"/>
                <xsd:element ref="ns2:Comments" minOccurs="0"/>
                <xsd:element ref="ns2:Active" minOccurs="0"/>
                <xsd:element ref="ns3:NarrativeCode" minOccurs="0"/>
                <xsd:element ref="ns3:DocumentOrigin" minOccurs="0"/>
                <xsd:element ref="ns3:UploadedBy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Status" minOccurs="0"/>
                <xsd:element ref="ns3:DocumentDate" minOccurs="0"/>
                <xsd:element ref="ns3:DrupalDocId" minOccurs="0"/>
                <xsd:element ref="ns3:Classification" minOccurs="0"/>
                <xsd:element ref="ns3:Featured" minOccurs="0"/>
                <xsd:element ref="ns3:lcf76f155ced4ddcb4097134ff3c332f" minOccurs="0"/>
                <xsd:element ref="ns4:TaxCatchAll" minOccurs="0"/>
                <xsd:element ref="ns3:FormTypeCode" minOccurs="0"/>
                <xsd:element ref="ns3:FormCode" minOccurs="0"/>
                <xsd:element ref="ns3:DocModified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695bc1-6109-4dcd-a27a-f8a0370b00e2" elementFormDefault="qualified">
    <xsd:import namespace="http://schemas.microsoft.com/office/2006/documentManagement/types"/>
    <xsd:import namespace="http://schemas.microsoft.com/office/infopath/2007/PartnerControls"/>
    <xsd:element name="FundId" ma:index="8" nillable="true" ma:displayName="FundId" ma:indexed="true" ma:internalName="FundId">
      <xsd:simpleType>
        <xsd:restriction base="dms:Number"/>
      </xsd:simpleType>
    </xsd:element>
    <xsd:element name="FundCode" ma:index="9" nillable="true" ma:displayName="FundCode" ma:description="Fund code" ma:indexed="true" ma:internalName="FundCode">
      <xsd:simpleType>
        <xsd:restriction base="dms:Text">
          <xsd:maxLength value="255"/>
        </xsd:restriction>
      </xsd:simpleType>
    </xsd:element>
    <xsd:element name="ProjectId" ma:index="10" nillable="true" ma:displayName="ProjectId" ma:description="Project number" ma:indexed="true" ma:internalName="ProjectId">
      <xsd:simpleType>
        <xsd:restriction base="dms:Text">
          <xsd:maxLength value="255"/>
        </xsd:restriction>
      </xsd:simpleType>
    </xsd:element>
    <xsd:element name="ProjectType" ma:index="11" nillable="true" ma:displayName="ProjectType" ma:description="Project type" ma:internalName="ProjectType">
      <xsd:simpleType>
        <xsd:restriction base="dms:Text">
          <xsd:maxLength value="255"/>
        </xsd:restriction>
      </xsd:simpleType>
    </xsd:element>
    <xsd:element name="DocumentType" ma:index="12" nillable="true" ma:displayName="DocumentType" ma:description="Document type" ma:indexed="true" ma:internalName="DocumentType">
      <xsd:simpleType>
        <xsd:restriction base="dms:Text">
          <xsd:maxLength value="255"/>
        </xsd:restriction>
      </xsd:simpleType>
    </xsd:element>
    <xsd:element name="Comments" ma:index="13" nillable="true" ma:displayName="Comments" ma:description="Comments" ma:internalName="Comments">
      <xsd:simpleType>
        <xsd:restriction base="dms:Note">
          <xsd:maxLength value="255"/>
        </xsd:restriction>
      </xsd:simpleType>
    </xsd:element>
    <xsd:element name="Active" ma:index="14" nillable="true" ma:displayName="Active" ma:default="Yes" ma:description="Active" ma:format="Dropdown" ma:indexed="true" ma:internalName="Active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28a4b-5ccb-40f7-a09e-43427183cd95" elementFormDefault="qualified">
    <xsd:import namespace="http://schemas.microsoft.com/office/2006/documentManagement/types"/>
    <xsd:import namespace="http://schemas.microsoft.com/office/infopath/2007/PartnerControls"/>
    <xsd:element name="NarrativeCode" ma:index="15" nillable="true" ma:displayName="NarrativeCode" ma:description="Narrative Code" ma:indexed="true" ma:internalName="NarrativeCode">
      <xsd:simpleType>
        <xsd:restriction base="dms:Text">
          <xsd:maxLength value="255"/>
        </xsd:restriction>
      </xsd:simpleType>
    </xsd:element>
    <xsd:element name="DocumentOrigin" ma:index="16" nillable="true" ma:displayName="DocumentOrigin" ma:internalName="DocumentOrigin">
      <xsd:simpleType>
        <xsd:restriction base="dms:Text">
          <xsd:maxLength value="255"/>
        </xsd:restriction>
      </xsd:simpleType>
    </xsd:element>
    <xsd:element name="UploadedBy" ma:index="17" nillable="true" ma:displayName="UploadedBy" ma:internalName="UploadedBy">
      <xsd:simpleType>
        <xsd:restriction base="dms:Text">
          <xsd:maxLength value="255"/>
        </xsd:restriction>
      </xsd:simpleType>
    </xsd:element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Status" ma:index="27" nillable="true" ma:displayName="Status" ma:default="Draft" ma:description="Document Status" ma:format="Dropdown" ma:internalName="Status">
      <xsd:simpleType>
        <xsd:restriction base="dms:Choice">
          <xsd:enumeration value="Draft"/>
          <xsd:enumeration value="Archived"/>
          <xsd:enumeration value="Deleted"/>
          <xsd:enumeration value="Finalized"/>
          <xsd:enumeration value="Finalized - Signature Redacted"/>
          <xsd:enumeration value="Published"/>
        </xsd:restriction>
      </xsd:simpleType>
    </xsd:element>
    <xsd:element name="DocumentDate" ma:index="28" nillable="true" ma:displayName="DocumentDate" ma:description="Document Date" ma:format="DateOnly" ma:internalName="DocumentDate">
      <xsd:simpleType>
        <xsd:restriction base="dms:DateTime"/>
      </xsd:simpleType>
    </xsd:element>
    <xsd:element name="DrupalDocId" ma:index="29" nillable="true" ma:displayName="DrupalDocId" ma:description="Drupal Document Id" ma:internalName="DrupalDocId">
      <xsd:simpleType>
        <xsd:restriction base="dms:Text">
          <xsd:maxLength value="255"/>
        </xsd:restriction>
      </xsd:simpleType>
    </xsd:element>
    <xsd:element name="Classification" ma:index="30" nillable="true" ma:displayName="Classification" ma:default="Internal" ma:description="Document Classification" ma:format="Dropdown" ma:internalName="Classification">
      <xsd:simpleType>
        <xsd:restriction base="dms:Choice">
          <xsd:enumeration value="External"/>
          <xsd:enumeration value="Internal"/>
          <xsd:enumeration value="Confidential"/>
          <xsd:enumeration value="Very Confidential"/>
        </xsd:restriction>
      </xsd:simpleType>
    </xsd:element>
    <xsd:element name="Featured" ma:index="31" nillable="true" ma:displayName="Featured" ma:default="0" ma:description="Document Featured" ma:format="Dropdown" ma:internalName="Featured">
      <xsd:simpleType>
        <xsd:restriction base="dms:Choice">
          <xsd:enumeration value="0"/>
          <xsd:enumeration value="1"/>
        </xsd:restriction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ormTypeCode" ma:index="35" nillable="true" ma:displayName="FormTypeCode" ma:description="Project form type code" ma:format="Dropdown" ma:indexed="true" ma:internalName="FormTypeCode">
      <xsd:simpleType>
        <xsd:restriction base="dms:Text">
          <xsd:maxLength value="255"/>
        </xsd:restriction>
      </xsd:simpleType>
    </xsd:element>
    <xsd:element name="FormCode" ma:index="36" nillable="true" ma:displayName="FormCode" ma:description="Project form code" ma:format="Dropdown" ma:indexed="true" ma:internalName="FormCode">
      <xsd:simpleType>
        <xsd:restriction base="dms:Text">
          <xsd:maxLength value="255"/>
        </xsd:restriction>
      </xsd:simpleType>
    </xsd:element>
    <xsd:element name="DocModified" ma:index="37" nillable="true" ma:displayName="DocModified" ma:default="No" ma:description="Document Modified" ma:format="Dropdown" ma:internalName="DocModified">
      <xsd:simpleType>
        <xsd:restriction base="dms:Choice">
          <xsd:enumeration value="Yes"/>
          <xsd:enumeration value="No"/>
        </xsd:restriction>
      </xsd:simpleType>
    </xsd:element>
    <xsd:element name="MediaServiceObjectDetectorVersions" ma:index="3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59e4c-f0d7-4feb-bda3-ed2800574e06" elementFormDefault="qualified">
    <xsd:import namespace="http://schemas.microsoft.com/office/2006/documentManagement/types"/>
    <xsd:import namespace="http://schemas.microsoft.com/office/infopath/2007/PartnerControls"/>
    <xsd:element name="TaxCatchAll" ma:index="34" nillable="true" ma:displayName="Taxonomy Catch All Column" ma:hidden="true" ma:list="{51d52f8b-6d40-4d16-91df-4b14ea0a2b7b}" ma:internalName="TaxCatchAll" ma:showField="CatchAllData" ma:web="cb759e4c-f0d7-4feb-bda3-ed2800574e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759e4c-f0d7-4feb-bda3-ed2800574e06" xsi:nil="true"/>
    <lcf76f155ced4ddcb4097134ff3c332f xmlns="b1528a4b-5ccb-40f7-a09e-43427183cd95">
      <Terms xmlns="http://schemas.microsoft.com/office/infopath/2007/PartnerControls"/>
    </lcf76f155ced4ddcb4097134ff3c332f>
    <DocumentType xmlns="f9695bc1-6109-4dcd-a27a-f8a0370b00e2">Progress report</DocumentType>
    <UploadedBy xmlns="b1528a4b-5ccb-40f7-a09e-43427183cd95">simonetta.rossi@undp.org</UploadedBy>
    <Classification xmlns="b1528a4b-5ccb-40f7-a09e-43427183cd95">External</Classification>
    <FormCode xmlns="b1528a4b-5ccb-40f7-a09e-43427183cd95" xsi:nil="true"/>
    <FundId xmlns="f9695bc1-6109-4dcd-a27a-f8a0370b00e2">6</FundId>
    <ProjectType xmlns="f9695bc1-6109-4dcd-a27a-f8a0370b00e2">PROJECT</ProjectType>
    <DocModified xmlns="b1528a4b-5ccb-40f7-a09e-43427183cd95">No</DocModified>
    <NarrativeCode xmlns="b1528a4b-5ccb-40f7-a09e-43427183cd95" xsi:nil="true"/>
    <DocumentOrigin xmlns="b1528a4b-5ccb-40f7-a09e-43427183cd95">Project</DocumentOrigin>
    <DrupalDocId xmlns="b1528a4b-5ccb-40f7-a09e-43427183cd95" xsi:nil="true"/>
    <Status xmlns="b1528a4b-5ccb-40f7-a09e-43427183cd95">Finalized - Signature Redacted</Status>
    <ProjectId xmlns="f9695bc1-6109-4dcd-a27a-f8a0370b00e2">MPTF_00006_00638</ProjectId>
    <FundCode xmlns="f9695bc1-6109-4dcd-a27a-f8a0370b00e2">MPTF_00006</FundCode>
    <Comments xmlns="f9695bc1-6109-4dcd-a27a-f8a0370b00e2">Financial report end of project</Comments>
    <Active xmlns="f9695bc1-6109-4dcd-a27a-f8a0370b00e2">Yes</Active>
    <DocumentDate xmlns="b1528a4b-5ccb-40f7-a09e-43427183cd95">2022-12-12T08:00:00+00:00</DocumentDate>
    <Featured xmlns="b1528a4b-5ccb-40f7-a09e-43427183cd95">1</Featured>
    <FormTypeCode xmlns="b1528a4b-5ccb-40f7-a09e-43427183cd95" xsi:nil="true"/>
  </documentManagement>
</p:properties>
</file>

<file path=customXml/itemProps1.xml><?xml version="1.0" encoding="utf-8"?>
<ds:datastoreItem xmlns:ds="http://schemas.openxmlformats.org/officeDocument/2006/customXml" ds:itemID="{7BD1AD16-9BCA-454B-B6E7-BFA46EC0EC9A}"/>
</file>

<file path=customXml/itemProps2.xml><?xml version="1.0" encoding="utf-8"?>
<ds:datastoreItem xmlns:ds="http://schemas.openxmlformats.org/officeDocument/2006/customXml" ds:itemID="{733D64DA-8520-4468-B2D3-120A8A7FE930}"/>
</file>

<file path=customXml/itemProps3.xml><?xml version="1.0" encoding="utf-8"?>
<ds:datastoreItem xmlns:ds="http://schemas.openxmlformats.org/officeDocument/2006/customXml" ds:itemID="{0447F228-2E9D-48E9-A214-F3D05A5270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202221212-SLeone_00117938_Finance Report_nov22.xlsx</dc:title>
  <dc:creator>Mahmoud Conteh</dc:creator>
  <cp:lastModifiedBy>HOPKINS William</cp:lastModifiedBy>
  <dcterms:created xsi:type="dcterms:W3CDTF">2022-06-15T17:19:38Z</dcterms:created>
  <dcterms:modified xsi:type="dcterms:W3CDTF">2022-12-09T09:05:50Z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0x010100A20E1B0FB969FA4DB37D3562DA9CC146</vt:lpwstr>
  </property>
  <property fmtid="{D5CDD505-2E9C-101B-9397-08002B2CF9AE}" pid="3" name="MediaServiceImageTags">
    <vt:lpwstr/>
  </property>
</Properties>
</file>