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simonettarossi/Documents/UN SIERRA LEONE/UN WFP-IOM Guinea/Reports/"/>
    </mc:Choice>
  </mc:AlternateContent>
  <xr:revisionPtr revIDLastSave="0" documentId="8_{558885EB-63A1-1E4B-B9CE-8E8D638BA464}" xr6:coauthVersionLast="47" xr6:coauthVersionMax="47" xr10:uidLastSave="{00000000-0000-0000-0000-000000000000}"/>
  <bookViews>
    <workbookView xWindow="0" yWindow="740" windowWidth="29400" windowHeight="16760" xr2:uid="{3AE4DC3A-4FED-4FFB-A5C0-3AF7E8674AC4}"/>
  </bookViews>
  <sheets>
    <sheet name="1) Budget Table" sheetId="1" r:id="rId1"/>
    <sheet name="2) By Category" sheetId="2" r:id="rId2"/>
    <sheet name="5) -For MPTF Use-" sheetId="3" r:id="rId3"/>
  </sheets>
  <externalReferences>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0" i="2" l="1"/>
  <c r="F211" i="2"/>
  <c r="G211" i="2"/>
  <c r="G210" i="2"/>
  <c r="G212" i="2"/>
  <c r="E213" i="2"/>
  <c r="E214" i="2"/>
  <c r="F214" i="2"/>
  <c r="F212" i="2"/>
  <c r="E210" i="2"/>
  <c r="E209" i="2"/>
  <c r="E208" i="2"/>
  <c r="D213" i="2"/>
  <c r="D214" i="2"/>
  <c r="D212" i="2"/>
  <c r="D208" i="2"/>
  <c r="D211" i="2"/>
  <c r="D209" i="2"/>
  <c r="O212" i="1"/>
  <c r="D199" i="1"/>
  <c r="D210" i="2"/>
  <c r="D196" i="2"/>
  <c r="G113" i="2"/>
  <c r="F113" i="2"/>
  <c r="D215" i="2" l="1"/>
  <c r="M186" i="1" l="1"/>
  <c r="M122" i="1"/>
  <c r="M121" i="1"/>
  <c r="M120" i="1"/>
  <c r="M112" i="1"/>
  <c r="M113" i="1"/>
  <c r="M111" i="1"/>
  <c r="M110" i="1"/>
  <c r="M104" i="1"/>
  <c r="M103" i="1"/>
  <c r="M102" i="1"/>
  <c r="M101" i="1"/>
  <c r="M100" i="1"/>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F21" i="3"/>
  <c r="E21" i="3"/>
  <c r="D21" i="3"/>
  <c r="C21" i="3"/>
  <c r="I14" i="3"/>
  <c r="I13" i="3"/>
  <c r="I12" i="3"/>
  <c r="I10" i="3"/>
  <c r="H7" i="3"/>
  <c r="G7" i="3"/>
  <c r="F7" i="3"/>
  <c r="E7" i="3"/>
  <c r="D7" i="3"/>
  <c r="C7" i="3"/>
  <c r="G214" i="2"/>
  <c r="G213" i="2"/>
  <c r="F213" i="2"/>
  <c r="E212" i="2"/>
  <c r="E211" i="2"/>
  <c r="G209" i="2"/>
  <c r="F209" i="2"/>
  <c r="G208" i="2"/>
  <c r="F208" i="2"/>
  <c r="I207" i="2"/>
  <c r="H207" i="2"/>
  <c r="G207" i="2"/>
  <c r="F207" i="2"/>
  <c r="E207" i="2"/>
  <c r="D207" i="2"/>
  <c r="G203" i="2"/>
  <c r="F203" i="2"/>
  <c r="E203" i="2"/>
  <c r="D203" i="2"/>
  <c r="J202" i="2"/>
  <c r="J201" i="2"/>
  <c r="J200" i="2"/>
  <c r="J199" i="2"/>
  <c r="J198" i="2"/>
  <c r="J197" i="2"/>
  <c r="J196" i="2"/>
  <c r="G195" i="2"/>
  <c r="F195" i="2"/>
  <c r="E195" i="2"/>
  <c r="D195" i="2"/>
  <c r="F192" i="2"/>
  <c r="E192" i="2"/>
  <c r="J192" i="2" s="1"/>
  <c r="D192" i="2"/>
  <c r="J191" i="2"/>
  <c r="J190" i="2"/>
  <c r="J189" i="2"/>
  <c r="J188" i="2"/>
  <c r="J187" i="2"/>
  <c r="J186" i="2"/>
  <c r="J185" i="2"/>
  <c r="F184" i="2"/>
  <c r="E184" i="2"/>
  <c r="D184" i="2"/>
  <c r="J184" i="2" s="1"/>
  <c r="F181" i="2"/>
  <c r="E181" i="2"/>
  <c r="J181" i="2" s="1"/>
  <c r="D181" i="2"/>
  <c r="J180" i="2"/>
  <c r="J179" i="2"/>
  <c r="J178" i="2"/>
  <c r="J177" i="2"/>
  <c r="J176" i="2"/>
  <c r="J175" i="2"/>
  <c r="J174" i="2"/>
  <c r="F173" i="2"/>
  <c r="E173" i="2"/>
  <c r="D173" i="2"/>
  <c r="F170" i="2"/>
  <c r="E170" i="2"/>
  <c r="D170" i="2"/>
  <c r="J170" i="2" s="1"/>
  <c r="J169" i="2"/>
  <c r="J168" i="2"/>
  <c r="J167" i="2"/>
  <c r="J166" i="2"/>
  <c r="J165" i="2"/>
  <c r="J164" i="2"/>
  <c r="J163" i="2"/>
  <c r="F162" i="2"/>
  <c r="E162" i="2"/>
  <c r="D162" i="2"/>
  <c r="J159" i="2"/>
  <c r="F159" i="2"/>
  <c r="E159" i="2"/>
  <c r="D159" i="2"/>
  <c r="J158" i="2"/>
  <c r="J157" i="2"/>
  <c r="J156" i="2"/>
  <c r="J155" i="2"/>
  <c r="J154" i="2"/>
  <c r="J153" i="2"/>
  <c r="J152" i="2"/>
  <c r="F151" i="2"/>
  <c r="E151" i="2"/>
  <c r="J151" i="2" s="1"/>
  <c r="D151" i="2"/>
  <c r="F147" i="2"/>
  <c r="E147" i="2"/>
  <c r="J147" i="2" s="1"/>
  <c r="D147" i="2"/>
  <c r="J146" i="2"/>
  <c r="J145" i="2"/>
  <c r="J144" i="2"/>
  <c r="J143" i="2"/>
  <c r="J142" i="2"/>
  <c r="J141" i="2"/>
  <c r="J140" i="2"/>
  <c r="F139" i="2"/>
  <c r="E139" i="2"/>
  <c r="D139" i="2"/>
  <c r="G136" i="2"/>
  <c r="F136" i="2"/>
  <c r="E136" i="2"/>
  <c r="D136" i="2"/>
  <c r="J135" i="2"/>
  <c r="J134" i="2"/>
  <c r="J133" i="2"/>
  <c r="J132" i="2"/>
  <c r="J131" i="2"/>
  <c r="J130" i="2"/>
  <c r="J129" i="2"/>
  <c r="G128" i="2"/>
  <c r="F128" i="2"/>
  <c r="E128" i="2"/>
  <c r="D128" i="2"/>
  <c r="G125" i="2"/>
  <c r="F125" i="2"/>
  <c r="E125" i="2"/>
  <c r="D125" i="2"/>
  <c r="J124" i="2"/>
  <c r="J123" i="2"/>
  <c r="J122" i="2"/>
  <c r="J121" i="2"/>
  <c r="J120" i="2"/>
  <c r="J119" i="2"/>
  <c r="J118" i="2"/>
  <c r="G117" i="2"/>
  <c r="F117" i="2"/>
  <c r="E117" i="2"/>
  <c r="D117" i="2"/>
  <c r="G114" i="2"/>
  <c r="F114" i="2"/>
  <c r="E114" i="2"/>
  <c r="D114" i="2"/>
  <c r="J112" i="2"/>
  <c r="J111" i="2"/>
  <c r="J110" i="2"/>
  <c r="J109" i="2"/>
  <c r="J108" i="2"/>
  <c r="J107" i="2"/>
  <c r="G106" i="2"/>
  <c r="F106" i="2"/>
  <c r="E106" i="2"/>
  <c r="D106" i="2"/>
  <c r="F102" i="2"/>
  <c r="E102" i="2"/>
  <c r="J102" i="2" s="1"/>
  <c r="D102" i="2"/>
  <c r="J101" i="2"/>
  <c r="J100" i="2"/>
  <c r="J99" i="2"/>
  <c r="J98" i="2"/>
  <c r="J97" i="2"/>
  <c r="J96" i="2"/>
  <c r="J95" i="2"/>
  <c r="F94" i="2"/>
  <c r="E94" i="2"/>
  <c r="J94" i="2" s="1"/>
  <c r="D94" i="2"/>
  <c r="F91" i="2"/>
  <c r="E91" i="2"/>
  <c r="D91" i="2"/>
  <c r="D90" i="2"/>
  <c r="J90" i="2" s="1"/>
  <c r="J89" i="2"/>
  <c r="J88" i="2"/>
  <c r="J87" i="2"/>
  <c r="J86" i="2"/>
  <c r="J85" i="2"/>
  <c r="J84" i="2"/>
  <c r="D84" i="2"/>
  <c r="F83" i="2"/>
  <c r="E83" i="2"/>
  <c r="D83" i="2"/>
  <c r="F80" i="2"/>
  <c r="E80" i="2"/>
  <c r="D80" i="2"/>
  <c r="J79" i="2"/>
  <c r="J78" i="2"/>
  <c r="J77" i="2"/>
  <c r="J76" i="2"/>
  <c r="J75" i="2"/>
  <c r="J74" i="2"/>
  <c r="J73" i="2"/>
  <c r="F72" i="2"/>
  <c r="E72" i="2"/>
  <c r="D72" i="2"/>
  <c r="F69" i="2"/>
  <c r="E69" i="2"/>
  <c r="D69" i="2"/>
  <c r="J68" i="2"/>
  <c r="J67" i="2"/>
  <c r="J66" i="2"/>
  <c r="J65" i="2"/>
  <c r="J64" i="2"/>
  <c r="J63" i="2"/>
  <c r="J62" i="2"/>
  <c r="F61" i="2"/>
  <c r="E61" i="2"/>
  <c r="D61" i="2"/>
  <c r="F57" i="2"/>
  <c r="E57" i="2"/>
  <c r="D57" i="2"/>
  <c r="J57" i="2" s="1"/>
  <c r="J56" i="2"/>
  <c r="J55" i="2"/>
  <c r="J54" i="2"/>
  <c r="J53" i="2"/>
  <c r="J52" i="2"/>
  <c r="J51" i="2"/>
  <c r="J50" i="2"/>
  <c r="F49" i="2"/>
  <c r="J49" i="2" s="1"/>
  <c r="E49" i="2"/>
  <c r="D49" i="2"/>
  <c r="F46" i="2"/>
  <c r="E46" i="2"/>
  <c r="D46" i="2"/>
  <c r="J45" i="2"/>
  <c r="J44" i="2"/>
  <c r="J43" i="2"/>
  <c r="J42" i="2"/>
  <c r="J41" i="2"/>
  <c r="J40" i="2"/>
  <c r="J39" i="2"/>
  <c r="F38" i="2"/>
  <c r="E38" i="2"/>
  <c r="D38" i="2"/>
  <c r="F35" i="2"/>
  <c r="E35" i="2"/>
  <c r="D35" i="2"/>
  <c r="J34" i="2"/>
  <c r="J33" i="2"/>
  <c r="J32" i="2"/>
  <c r="J31" i="2"/>
  <c r="J30" i="2"/>
  <c r="J29" i="2"/>
  <c r="J28" i="2"/>
  <c r="F27" i="2"/>
  <c r="E27" i="2"/>
  <c r="D27" i="2"/>
  <c r="F24" i="2"/>
  <c r="E24" i="2"/>
  <c r="D24" i="2"/>
  <c r="J23" i="2"/>
  <c r="J22" i="2"/>
  <c r="J21" i="2"/>
  <c r="J20" i="2"/>
  <c r="J19" i="2"/>
  <c r="J18" i="2"/>
  <c r="J17" i="2"/>
  <c r="I16" i="2"/>
  <c r="H16" i="2"/>
  <c r="G16" i="2"/>
  <c r="F16" i="2"/>
  <c r="E16" i="2"/>
  <c r="D16" i="2"/>
  <c r="G13" i="2"/>
  <c r="F13" i="2"/>
  <c r="E13" i="2"/>
  <c r="D13" i="2"/>
  <c r="J203" i="2" l="1"/>
  <c r="J136" i="2"/>
  <c r="J125" i="2"/>
  <c r="G215" i="2"/>
  <c r="G216" i="2" s="1"/>
  <c r="G217" i="2" s="1"/>
  <c r="J114" i="2"/>
  <c r="J69" i="2"/>
  <c r="J209" i="2"/>
  <c r="J214" i="2"/>
  <c r="J210" i="2"/>
  <c r="J80" i="2"/>
  <c r="J91" i="2"/>
  <c r="J212" i="2"/>
  <c r="J211" i="2"/>
  <c r="J139" i="2"/>
  <c r="J173" i="2"/>
  <c r="I8" i="3"/>
  <c r="J46" i="2"/>
  <c r="J35" i="2"/>
  <c r="J213" i="2"/>
  <c r="J24" i="2"/>
  <c r="E215" i="2"/>
  <c r="E216" i="2" s="1"/>
  <c r="E217" i="2" s="1"/>
  <c r="J117" i="2"/>
  <c r="J27" i="2"/>
  <c r="J38" i="2"/>
  <c r="J61" i="2"/>
  <c r="J128" i="2"/>
  <c r="J195" i="2"/>
  <c r="I9" i="3"/>
  <c r="J72" i="2"/>
  <c r="J16" i="2"/>
  <c r="I11" i="3"/>
  <c r="J106" i="2"/>
  <c r="J83" i="2"/>
  <c r="J162" i="2"/>
  <c r="D17" i="3"/>
  <c r="J208" i="2"/>
  <c r="F215" i="2"/>
  <c r="J113" i="2"/>
  <c r="E17" i="3" l="1"/>
  <c r="I15" i="3"/>
  <c r="C17" i="3"/>
  <c r="F17" i="3"/>
  <c r="F216" i="2"/>
  <c r="F217" i="2" s="1"/>
  <c r="D216" i="2"/>
  <c r="D217" i="2" s="1"/>
  <c r="J215" i="2"/>
  <c r="I16" i="3" l="1"/>
  <c r="I17" i="3" s="1"/>
  <c r="J216" i="2"/>
  <c r="J217" i="2" s="1"/>
  <c r="O187" i="1" l="1"/>
  <c r="O186" i="1"/>
  <c r="O69" i="1"/>
  <c r="O78" i="1"/>
  <c r="O79" i="1"/>
  <c r="N186" i="1"/>
  <c r="N185" i="1"/>
  <c r="N122" i="1"/>
  <c r="N121" i="1"/>
  <c r="N120" i="1"/>
  <c r="N113" i="1"/>
  <c r="N112" i="1"/>
  <c r="N111" i="1"/>
  <c r="N110" i="1"/>
  <c r="N104" i="1"/>
  <c r="N103" i="1"/>
  <c r="N102" i="1"/>
  <c r="N101" i="1"/>
  <c r="N100" i="1"/>
  <c r="O28" i="1" l="1"/>
  <c r="O34" i="1" s="1"/>
  <c r="O29" i="1"/>
  <c r="O36" i="1"/>
  <c r="O54" i="1"/>
  <c r="O44" i="1"/>
  <c r="O24" i="1"/>
  <c r="O37" i="1"/>
  <c r="O18" i="1"/>
  <c r="O17" i="1"/>
  <c r="O16" i="1"/>
  <c r="O38" i="1"/>
  <c r="O46" i="1"/>
  <c r="O26" i="1"/>
  <c r="O195" i="1" l="1"/>
  <c r="O192" i="1"/>
  <c r="O184" i="1"/>
  <c r="O185" i="1"/>
  <c r="O82" i="1"/>
  <c r="O81" i="1"/>
  <c r="O80" i="1"/>
  <c r="O68" i="1"/>
  <c r="O59" i="1"/>
  <c r="O58" i="1"/>
  <c r="P54" i="1"/>
  <c r="O27" i="1" l="1"/>
  <c r="M185" i="1"/>
  <c r="D215" i="1" l="1"/>
  <c r="K210" i="1"/>
  <c r="I209" i="1"/>
  <c r="H209" i="1"/>
  <c r="I208" i="1"/>
  <c r="H208" i="1"/>
  <c r="I207" i="1"/>
  <c r="I210" i="1" s="1"/>
  <c r="H207" i="1"/>
  <c r="H210" i="1" s="1"/>
  <c r="G206" i="1"/>
  <c r="F206" i="1"/>
  <c r="E206" i="1"/>
  <c r="D206" i="1"/>
  <c r="G198" i="1"/>
  <c r="F198" i="1"/>
  <c r="E198" i="1"/>
  <c r="D198" i="1"/>
  <c r="N188" i="1"/>
  <c r="I188" i="1"/>
  <c r="H188" i="1"/>
  <c r="G188" i="1"/>
  <c r="F188" i="1"/>
  <c r="E188" i="1"/>
  <c r="J187" i="1"/>
  <c r="P188" i="1"/>
  <c r="J186" i="1"/>
  <c r="M188" i="1"/>
  <c r="J185" i="1"/>
  <c r="D185" i="1"/>
  <c r="D188" i="1" s="1"/>
  <c r="O188" i="1"/>
  <c r="J184" i="1"/>
  <c r="K188" i="1" s="1"/>
  <c r="P180" i="1"/>
  <c r="O180" i="1"/>
  <c r="N180" i="1"/>
  <c r="M180" i="1"/>
  <c r="F180" i="1"/>
  <c r="E180" i="1"/>
  <c r="D180" i="1"/>
  <c r="J179" i="1"/>
  <c r="J178" i="1"/>
  <c r="J177" i="1"/>
  <c r="J176" i="1"/>
  <c r="J175" i="1"/>
  <c r="J174" i="1"/>
  <c r="J173" i="1"/>
  <c r="K180" i="1" s="1"/>
  <c r="J172" i="1"/>
  <c r="P170" i="1"/>
  <c r="O170" i="1"/>
  <c r="N170" i="1"/>
  <c r="M170" i="1"/>
  <c r="F170" i="1"/>
  <c r="E170" i="1"/>
  <c r="D170" i="1"/>
  <c r="J169" i="1"/>
  <c r="J168" i="1"/>
  <c r="J167" i="1"/>
  <c r="J166" i="1"/>
  <c r="J165" i="1"/>
  <c r="J164" i="1"/>
  <c r="K170" i="1" s="1"/>
  <c r="J163" i="1"/>
  <c r="J162" i="1"/>
  <c r="P160" i="1"/>
  <c r="O160" i="1"/>
  <c r="N160" i="1"/>
  <c r="M160" i="1"/>
  <c r="J160" i="1"/>
  <c r="F160" i="1"/>
  <c r="E160" i="1"/>
  <c r="D160" i="1"/>
  <c r="J159" i="1"/>
  <c r="J158" i="1"/>
  <c r="J157" i="1"/>
  <c r="J156" i="1"/>
  <c r="J155" i="1"/>
  <c r="K160" i="1" s="1"/>
  <c r="J154" i="1"/>
  <c r="J153" i="1"/>
  <c r="J152" i="1"/>
  <c r="P150" i="1"/>
  <c r="O150" i="1"/>
  <c r="N150" i="1"/>
  <c r="M150" i="1"/>
  <c r="F150" i="1"/>
  <c r="E150" i="1"/>
  <c r="D150" i="1"/>
  <c r="J149" i="1"/>
  <c r="J148" i="1"/>
  <c r="J147" i="1"/>
  <c r="J146" i="1"/>
  <c r="K150" i="1" s="1"/>
  <c r="J145" i="1"/>
  <c r="J144" i="1"/>
  <c r="J143" i="1"/>
  <c r="J142" i="1"/>
  <c r="J150" i="1" s="1"/>
  <c r="P138" i="1"/>
  <c r="O138" i="1"/>
  <c r="N138" i="1"/>
  <c r="M138" i="1"/>
  <c r="F138" i="1"/>
  <c r="E138" i="1"/>
  <c r="D138" i="1"/>
  <c r="J137" i="1"/>
  <c r="J136" i="1"/>
  <c r="J135" i="1"/>
  <c r="J134" i="1"/>
  <c r="J133" i="1"/>
  <c r="J132" i="1"/>
  <c r="J131" i="1"/>
  <c r="J130" i="1"/>
  <c r="K138" i="1" s="1"/>
  <c r="P128" i="1"/>
  <c r="O128" i="1"/>
  <c r="G128" i="1"/>
  <c r="F128" i="1"/>
  <c r="E128" i="1"/>
  <c r="D128" i="1"/>
  <c r="J127" i="1"/>
  <c r="J126" i="1"/>
  <c r="J125" i="1"/>
  <c r="J124" i="1"/>
  <c r="J123" i="1"/>
  <c r="J122" i="1"/>
  <c r="N128" i="1"/>
  <c r="J121" i="1"/>
  <c r="M128" i="1"/>
  <c r="J120" i="1"/>
  <c r="K128" i="1" s="1"/>
  <c r="P118" i="1"/>
  <c r="O118" i="1"/>
  <c r="N118" i="1"/>
  <c r="G118" i="1"/>
  <c r="F118" i="1"/>
  <c r="E118" i="1"/>
  <c r="D118" i="1"/>
  <c r="J117" i="1"/>
  <c r="J116" i="1"/>
  <c r="J115" i="1"/>
  <c r="J114" i="1"/>
  <c r="J113" i="1"/>
  <c r="J112" i="1"/>
  <c r="J111" i="1"/>
  <c r="M118" i="1"/>
  <c r="J110" i="1"/>
  <c r="K118" i="1" s="1"/>
  <c r="P108" i="1"/>
  <c r="O108" i="1"/>
  <c r="G108" i="1"/>
  <c r="G199" i="1" s="1"/>
  <c r="F108" i="1"/>
  <c r="E108" i="1"/>
  <c r="D108" i="1"/>
  <c r="J107" i="1"/>
  <c r="J106" i="1"/>
  <c r="J105" i="1"/>
  <c r="J104" i="1"/>
  <c r="J103" i="1"/>
  <c r="J102" i="1"/>
  <c r="N108" i="1"/>
  <c r="M108" i="1"/>
  <c r="J101" i="1"/>
  <c r="K108" i="1" s="1"/>
  <c r="J100" i="1"/>
  <c r="P96" i="1"/>
  <c r="O96" i="1"/>
  <c r="N96" i="1"/>
  <c r="M96" i="1"/>
  <c r="K96" i="1"/>
  <c r="F96" i="1"/>
  <c r="E96" i="1"/>
  <c r="D96" i="1"/>
  <c r="J95" i="1"/>
  <c r="J94" i="1"/>
  <c r="J93" i="1"/>
  <c r="J92" i="1"/>
  <c r="J91" i="1"/>
  <c r="J90" i="1"/>
  <c r="J89" i="1"/>
  <c r="J88" i="1"/>
  <c r="J96" i="1" s="1"/>
  <c r="N86" i="1"/>
  <c r="M86" i="1"/>
  <c r="F86" i="1"/>
  <c r="D86" i="1"/>
  <c r="J85" i="1"/>
  <c r="J84" i="1"/>
  <c r="J83" i="1"/>
  <c r="E82" i="1"/>
  <c r="J82" i="1" s="1"/>
  <c r="D82" i="1"/>
  <c r="J81" i="1"/>
  <c r="J80" i="1"/>
  <c r="O86" i="1"/>
  <c r="J79" i="1"/>
  <c r="J86" i="1" s="1"/>
  <c r="P86" i="1"/>
  <c r="J78" i="1"/>
  <c r="K86" i="1" s="1"/>
  <c r="P76" i="1"/>
  <c r="O76" i="1"/>
  <c r="N76" i="1"/>
  <c r="M76" i="1"/>
  <c r="F76" i="1"/>
  <c r="E76" i="1"/>
  <c r="D76" i="1"/>
  <c r="J75" i="1"/>
  <c r="J74" i="1"/>
  <c r="J73" i="1"/>
  <c r="J72" i="1"/>
  <c r="J71" i="1"/>
  <c r="J70" i="1"/>
  <c r="K76" i="1" s="1"/>
  <c r="J69" i="1"/>
  <c r="J68" i="1"/>
  <c r="P66" i="1"/>
  <c r="O66" i="1"/>
  <c r="N66" i="1"/>
  <c r="M66" i="1"/>
  <c r="K66" i="1"/>
  <c r="F66" i="1"/>
  <c r="E66" i="1"/>
  <c r="D66" i="1"/>
  <c r="J65" i="1"/>
  <c r="J64" i="1"/>
  <c r="J63" i="1"/>
  <c r="J62" i="1"/>
  <c r="J61" i="1"/>
  <c r="J60" i="1"/>
  <c r="J59" i="1"/>
  <c r="J58" i="1"/>
  <c r="J66" i="1" s="1"/>
  <c r="N54" i="1"/>
  <c r="M54" i="1"/>
  <c r="F54" i="1"/>
  <c r="E54" i="1"/>
  <c r="D54" i="1"/>
  <c r="J53" i="1"/>
  <c r="J52" i="1"/>
  <c r="J51" i="1"/>
  <c r="J50" i="1"/>
  <c r="J49" i="1"/>
  <c r="J48" i="1"/>
  <c r="J54" i="1" s="1"/>
  <c r="J47" i="1"/>
  <c r="K54" i="1" s="1"/>
  <c r="J46" i="1"/>
  <c r="N44" i="1"/>
  <c r="M44" i="1"/>
  <c r="F44" i="1"/>
  <c r="E44" i="1"/>
  <c r="D44" i="1"/>
  <c r="J43" i="1"/>
  <c r="J42" i="1"/>
  <c r="J41" i="1"/>
  <c r="J40" i="1"/>
  <c r="J39" i="1"/>
  <c r="J38" i="1"/>
  <c r="J37" i="1"/>
  <c r="P44" i="1"/>
  <c r="J36" i="1"/>
  <c r="K44" i="1" s="1"/>
  <c r="N34" i="1"/>
  <c r="M34" i="1"/>
  <c r="F34" i="1"/>
  <c r="E34" i="1"/>
  <c r="D34" i="1"/>
  <c r="J33" i="1"/>
  <c r="J32" i="1"/>
  <c r="J31" i="1"/>
  <c r="J30" i="1"/>
  <c r="J29" i="1"/>
  <c r="K34" i="1" s="1"/>
  <c r="J28" i="1"/>
  <c r="J27" i="1"/>
  <c r="J34" i="1" s="1"/>
  <c r="P34" i="1"/>
  <c r="J26" i="1"/>
  <c r="N24" i="1"/>
  <c r="M24" i="1"/>
  <c r="F24" i="1"/>
  <c r="F199" i="1" s="1"/>
  <c r="E24" i="1"/>
  <c r="D24" i="1"/>
  <c r="J23" i="1"/>
  <c r="J22" i="1"/>
  <c r="J21" i="1"/>
  <c r="J20" i="1"/>
  <c r="J19" i="1"/>
  <c r="J18" i="1"/>
  <c r="J17" i="1"/>
  <c r="P24" i="1"/>
  <c r="J16" i="1"/>
  <c r="J24" i="1" s="1"/>
  <c r="N212" i="1" l="1"/>
  <c r="N213" i="1" s="1"/>
  <c r="P212" i="1"/>
  <c r="D200" i="1"/>
  <c r="D201" i="1" s="1"/>
  <c r="M212" i="1"/>
  <c r="M213" i="1" s="1"/>
  <c r="E199" i="1"/>
  <c r="F200" i="1"/>
  <c r="F201" i="1" s="1"/>
  <c r="G200" i="1"/>
  <c r="G201" i="1" s="1"/>
  <c r="J76" i="1"/>
  <c r="J170" i="1"/>
  <c r="J44" i="1"/>
  <c r="K24" i="1"/>
  <c r="D212" i="1" s="1"/>
  <c r="J180" i="1"/>
  <c r="J108" i="1"/>
  <c r="E86" i="1"/>
  <c r="J118" i="1"/>
  <c r="J128" i="1"/>
  <c r="J188" i="1"/>
  <c r="J138" i="1"/>
  <c r="O213" i="1" l="1"/>
  <c r="G207" i="1"/>
  <c r="G210" i="1" s="1"/>
  <c r="G208" i="1"/>
  <c r="G209" i="1"/>
  <c r="F209" i="1"/>
  <c r="F207" i="1"/>
  <c r="F210" i="1" s="1"/>
  <c r="F208" i="1"/>
  <c r="E200" i="1"/>
  <c r="E201" i="1" s="1"/>
  <c r="J199" i="1"/>
  <c r="D207" i="1"/>
  <c r="D208" i="1"/>
  <c r="D209" i="1"/>
  <c r="P213" i="1"/>
  <c r="E208" i="1" l="1"/>
  <c r="J208" i="1" s="1"/>
  <c r="E209" i="1"/>
  <c r="E207" i="1"/>
  <c r="J209" i="1"/>
  <c r="J207" i="1"/>
  <c r="D210" i="1"/>
  <c r="J200" i="1"/>
  <c r="J201" i="1" s="1"/>
  <c r="D216" i="1" l="1"/>
  <c r="D213" i="1"/>
  <c r="J210" i="1"/>
  <c r="E210" i="1"/>
</calcChain>
</file>

<file path=xl/sharedStrings.xml><?xml version="1.0" encoding="utf-8"?>
<sst xmlns="http://schemas.openxmlformats.org/spreadsheetml/2006/main" count="522" uniqueCount="295">
  <si>
    <t>Annex D - PBF Project Budget</t>
  </si>
  <si>
    <t>Instructions:</t>
  </si>
  <si>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</si>
  <si>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</si>
  <si>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</si>
  <si>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</si>
  <si>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1</t>
    </r>
    <r>
      <rPr>
        <sz val="12"/>
        <color theme="1"/>
        <rFont val="Calibri"/>
        <family val="2"/>
        <scheme val="minor"/>
      </rPr>
      <t xml:space="preserve"> Budget</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</si>
  <si>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</si>
  <si>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</si>
  <si>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t>Recipient Organization 4 Budget</t>
  </si>
  <si>
    <t>Recipient Organization 5 Budget</t>
  </si>
  <si>
    <t>Recipient Organization 6 Budget</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</si>
  <si>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</si>
  <si>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</si>
  <si>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</si>
  <si>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 WFP SL</t>
  </si>
  <si>
    <t xml:space="preserve">  WFP GUI</t>
  </si>
  <si>
    <t>IOM SL</t>
  </si>
  <si>
    <t>IOM GUI</t>
  </si>
  <si>
    <t>WFP SL</t>
  </si>
  <si>
    <t>WFP GUI</t>
  </si>
  <si>
    <t xml:space="preserve">OUTCOME 1: </t>
  </si>
  <si>
    <t xml:space="preserve">Border-lying communities in Falaba district and Faranah prefecture benefit from improved cross-border relations that promote peaceful co-existence between cattle herders and crop farmers </t>
  </si>
  <si>
    <t>Output 1.1:</t>
  </si>
  <si>
    <t xml:space="preserve">Cattle Settlement Policy (Sierra Leone) and Pastoral Code (Guinea) updated, validated, disseminated and implemented at national and district/prefecture level  </t>
  </si>
  <si>
    <t>Activity 1.1.1:</t>
  </si>
  <si>
    <t>Participate in stakeholder consultations to update the policy</t>
  </si>
  <si>
    <t>Activity 1.1.2:</t>
  </si>
  <si>
    <t>Hold workshops to roll out of respective policies at national and district/prefecture level</t>
  </si>
  <si>
    <t>Activity 1.1.3:</t>
  </si>
  <si>
    <t xml:space="preserve">Sensitization in local language at community level </t>
  </si>
  <si>
    <t>Activity 1.1.4</t>
  </si>
  <si>
    <t>Activity 1.1.5</t>
  </si>
  <si>
    <t>Activity 1.1.6</t>
  </si>
  <si>
    <t>Activity 1.1.7</t>
  </si>
  <si>
    <t>Activity 1.1.8</t>
  </si>
  <si>
    <t>Output Total</t>
  </si>
  <si>
    <t>Output 1.2:</t>
  </si>
  <si>
    <t xml:space="preserve">District Cattle Committee and Prefecture-level committees are strengthened and more inclusive in their composition </t>
  </si>
  <si>
    <t>Activity 1.2.1</t>
  </si>
  <si>
    <t>Organize quarterly cross border On-Air Town Meetings</t>
  </si>
  <si>
    <t>Activity 1.2.2</t>
  </si>
  <si>
    <t xml:space="preserve">Set up joint cross border alert teams </t>
  </si>
  <si>
    <t>Activity 1.2.3</t>
  </si>
  <si>
    <t xml:space="preserve">Develop broad and accessible media programming on pastoralism reforms to support awareness raising efforts and strengthen the engagement of all stakeholders on pastoralism-related issues </t>
  </si>
  <si>
    <t>Activity 1.2.4</t>
  </si>
  <si>
    <t xml:space="preserve">Foster dialogue on pastoralism challenges through Community Theater (Participatory theater performances) </t>
  </si>
  <si>
    <t>Activity 1.2.5</t>
  </si>
  <si>
    <t xml:space="preserve">Establishment of action-oriented Town Hall Meetings </t>
  </si>
  <si>
    <t>Activity 1.2.6</t>
  </si>
  <si>
    <t>Activity 1.2.7</t>
  </si>
  <si>
    <t>Activity 1.2.8</t>
  </si>
  <si>
    <t>Output 1.3:</t>
  </si>
  <si>
    <t>Chiefdom bylaws strengthened, and community members capacitated to manage, mitigate and resolve conflicts between to cattle herders and crop farmers</t>
  </si>
  <si>
    <t>Activity 1.3.1</t>
  </si>
  <si>
    <t xml:space="preserve">Support transhumance/chiefdom committees to define role, responsibilities and composition of the committee, with particular attention paid to representation of marginalized groups namely women and youth </t>
  </si>
  <si>
    <t>Activity 1.3.2</t>
  </si>
  <si>
    <t xml:space="preserve">Hold workshops to review and update bylaws to reflect Cattle Settlement Policy/Pastoral Code </t>
  </si>
  <si>
    <t>Activity 1.3.3</t>
  </si>
  <si>
    <t>Provide training on Pastoralism Conflict Analysis and Management, Common Ground Approach to Conflict Management, and Women and Youth Conflict Transformation Leaders to build capacity of transhumance committees cattle settlement committees</t>
  </si>
  <si>
    <t>Activity 1.3.4</t>
  </si>
  <si>
    <t>Activity 1.3.5</t>
  </si>
  <si>
    <t>Activity 1.3.6</t>
  </si>
  <si>
    <t>Activity 1.3.7</t>
  </si>
  <si>
    <t>Activity 1.3.8</t>
  </si>
  <si>
    <t>Output 1.4:</t>
  </si>
  <si>
    <t xml:space="preserve">Annual peace summit held to strengthen cross-border decision-making and dialogue </t>
  </si>
  <si>
    <t>Activity 1.4.1</t>
  </si>
  <si>
    <t xml:space="preserve">Organize quarterly cross-border community dialogue forums and bilateral consultation meetings </t>
  </si>
  <si>
    <t>Activity 1.4.2</t>
  </si>
  <si>
    <t>Activity 1.4.3</t>
  </si>
  <si>
    <t>Activity 1.4.4</t>
  </si>
  <si>
    <t>Activity 1.4.5</t>
  </si>
  <si>
    <t>Activity 1.4.6</t>
  </si>
  <si>
    <t>Activity 1.4.7</t>
  </si>
  <si>
    <t>Activity 1.4.8</t>
  </si>
  <si>
    <t xml:space="preserve">OUTCOME 2: </t>
  </si>
  <si>
    <t xml:space="preserve">Social cohesion, trust and economic collaboration strengthened within and between Falaba district and Faranah prefecture through climate-smart livelihoods and herder and farmer cooperation </t>
  </si>
  <si>
    <t>Outcome 2.1</t>
  </si>
  <si>
    <t xml:space="preserve">Establishment of community pastures infrastructure to protect farmland and reduce likelihood of crop destruction and associated community tension </t>
  </si>
  <si>
    <t>Activity 2.1.1</t>
  </si>
  <si>
    <t>Afforestation with forest gardens’ technique around inland valley swap with fast-growing trees and/or barbed wires based on a needs assessment</t>
  </si>
  <si>
    <t>Activity 2.1.2</t>
  </si>
  <si>
    <t>Provision of fast-growing grass varieties to herders to encourage confined system</t>
  </si>
  <si>
    <t>Activity 2.1.3</t>
  </si>
  <si>
    <t>Reforestation of degraded water catchment areas</t>
  </si>
  <si>
    <t>Activity 2.1.4</t>
  </si>
  <si>
    <t>Activity 2.1.5</t>
  </si>
  <si>
    <t>Activity 2.1.6</t>
  </si>
  <si>
    <t>Activity 2.1.7</t>
  </si>
  <si>
    <t>Activity 2.1.8</t>
  </si>
  <si>
    <t>Output 2.2</t>
  </si>
  <si>
    <t xml:space="preserve">Establishment of solar-powered irrigation systems to minimize competition over water resources   </t>
  </si>
  <si>
    <t>Activity 2.2.1</t>
  </si>
  <si>
    <t>Install solar-powered irrigation systems around cattle ranches</t>
  </si>
  <si>
    <t>Activity 2.2.2</t>
  </si>
  <si>
    <t xml:space="preserve">Develop small-scale, solar powered irrigation systems/improved wells within fenced Inland Valley Swamps for continuous cultivation of rice and vegetables </t>
  </si>
  <si>
    <t>Activity 2.2.3</t>
  </si>
  <si>
    <t>Activity 2.2.4</t>
  </si>
  <si>
    <t>Activity 2.2.5</t>
  </si>
  <si>
    <t>Activity 2.2.6</t>
  </si>
  <si>
    <t>Activity 2.2.7</t>
  </si>
  <si>
    <t>Activity 2.2.8</t>
  </si>
  <si>
    <t>Output 2.3</t>
  </si>
  <si>
    <t>Farmers and herders are trained on climate-smart agriculture and breeding practices including post-harvest management and dairy value chain to build social cohesion</t>
  </si>
  <si>
    <t>Activity 2.3.1</t>
  </si>
  <si>
    <t>Establishment of composting enterprises led by women and youth farmers, creating symbiotic linkages between herders and crop farmers</t>
  </si>
  <si>
    <t>Activity 2.3.2</t>
  </si>
  <si>
    <t>Training of farmers on improved agricultural practices, including Inland Valley Swamp Development and rehabilitation, accounting management, internal governance of farmers' organizations and the false bottom technique for women parboilers, dairy products processing techniques, technical package in rice production (TPRP), and post-harvest management and market linkage</t>
  </si>
  <si>
    <t>Activity 2.3.3</t>
  </si>
  <si>
    <t xml:space="preserve">Provision of short duration seeds and fertilizer to supported Farmer Based Organizations FBOs </t>
  </si>
  <si>
    <t>Activity 2.3.4</t>
  </si>
  <si>
    <t>Support FBOs with tools (power tillers, mobile rice threshers, and milling machines)</t>
  </si>
  <si>
    <t>Activity 2.3.5</t>
  </si>
  <si>
    <t>Provision of food assistance to farmers during IVS development and fencing work</t>
  </si>
  <si>
    <t>Activity 2.3.6</t>
  </si>
  <si>
    <t>Establish milk collection points for women herders</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</si>
  <si>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</si>
  <si>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</si>
  <si>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</si>
  <si>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</si>
  <si>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</si>
  <si>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</si>
  <si>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</si>
  <si>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</si>
  <si>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</si>
  <si>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</si>
  <si>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</si>
  <si>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</si>
  <si>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Sierra Leone and Guinea have improved cross border management capacities and are able to collect and use data to develop evidence-based policies that mitigate conflicts </t>
  </si>
  <si>
    <t>Output 3.1</t>
  </si>
  <si>
    <t xml:space="preserve">Migration data including transhumance movement along the Sierra Leone/Guinea borders is collected and analyzed for decision/policy making </t>
  </si>
  <si>
    <t>Activity 3.1.1</t>
  </si>
  <si>
    <t>Conduct a comprehensive Border and Migration assessment and with focus on transhumance migratory routes, patterns and trends in the border areas</t>
  </si>
  <si>
    <t>Activity 3.1.2</t>
  </si>
  <si>
    <t>Organize workshops to share the results and inform feasible and tailormade solutions to improve border management.</t>
  </si>
  <si>
    <t>Activity 3.1.3</t>
  </si>
  <si>
    <t>Support the creation of migration data analysis unit</t>
  </si>
  <si>
    <t>Activity 3.1.4</t>
  </si>
  <si>
    <t>Organize capacity building training in data collection and transhumance mapping</t>
  </si>
  <si>
    <t>Activity 3.1.5</t>
  </si>
  <si>
    <t>Organize information sharing campaign on transhumance corridor</t>
  </si>
  <si>
    <t>Activity 3.1.6</t>
  </si>
  <si>
    <t>Activity 3.1.7</t>
  </si>
  <si>
    <t>Activity 3.1.8</t>
  </si>
  <si>
    <t>Output 3.2:</t>
  </si>
  <si>
    <t xml:space="preserve">Key  border check points are rehabilitated and technical and operational capacities of law enforcement agencies are improved.  </t>
  </si>
  <si>
    <t>Activity 3.2.1</t>
  </si>
  <si>
    <t>Construction of at least 4 border posts with capacities to enhance quality border management practice</t>
  </si>
  <si>
    <t>Activity 3.2.2</t>
  </si>
  <si>
    <t xml:space="preserve">Recruitment of civil engineer consultant </t>
  </si>
  <si>
    <t>Activity 3.2.3</t>
  </si>
  <si>
    <t>Provision of equipment for mobility, communication and information exchanges</t>
  </si>
  <si>
    <t>Activity 3.2.4</t>
  </si>
  <si>
    <t>Organize integrated border management training sessions of immigration and border officials</t>
  </si>
  <si>
    <t>Activity 3.2.5</t>
  </si>
  <si>
    <t>Activity 3.2.6</t>
  </si>
  <si>
    <t>Activity 3.2.7</t>
  </si>
  <si>
    <t>Activity 3.2.8</t>
  </si>
  <si>
    <t>Output 3.3</t>
  </si>
  <si>
    <t xml:space="preserve">Cross-border transhumance bilateral consultations and dialogues are enhanced </t>
  </si>
  <si>
    <t>Activity 3.3.1</t>
  </si>
  <si>
    <t xml:space="preserve">3.3.1. Develop a support coordination mechanism within two countries.   </t>
  </si>
  <si>
    <t>Activity 3.3.2</t>
  </si>
  <si>
    <t>Organize bilateral consultation meetings in collaboration with border, district, national authorities and engagement on ECOWAS protocol on transhumance policy .</t>
  </si>
  <si>
    <t>Activity 3.3.3</t>
  </si>
  <si>
    <t xml:space="preserve"> Joint monitoring by the two countries district councils</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</si>
  <si>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</si>
  <si>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</si>
  <si>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</si>
  <si>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</si>
  <si>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</si>
  <si>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</si>
  <si>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</si>
  <si>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</si>
  <si>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</si>
  <si>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</si>
  <si>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</si>
  <si>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</si>
  <si>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</si>
  <si>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</si>
  <si>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</si>
  <si>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</si>
  <si>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</si>
  <si>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</si>
  <si>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</si>
  <si>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</si>
  <si>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</si>
  <si>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</si>
  <si>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</si>
  <si>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</si>
  <si>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</si>
  <si>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</si>
  <si>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</si>
  <si>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</si>
  <si>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</si>
  <si>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</si>
  <si>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</si>
  <si>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</si>
  <si>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</si>
  <si>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</si>
  <si>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</si>
  <si>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</si>
  <si>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</si>
  <si>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</si>
  <si>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</si>
  <si>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</si>
  <si>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</si>
  <si>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</si>
  <si>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</si>
  <si>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</si>
  <si>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</si>
  <si>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</si>
  <si>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</si>
  <si>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</si>
  <si>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</si>
  <si>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</si>
  <si>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</si>
  <si>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</si>
  <si>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As convening agency, WFP will recruit a P3 Project Coordinator to oversee implementation and coordination</t>
  </si>
  <si>
    <t>Additional Operational Costs</t>
  </si>
  <si>
    <t>Travel cost for Project Coordinator and project visibility</t>
  </si>
  <si>
    <t>Monitoring budget</t>
  </si>
  <si>
    <t>Project cycle monitoring</t>
  </si>
  <si>
    <t>Budget for independent final evaluation</t>
  </si>
  <si>
    <t>As convening agency, WFP will commission the independent evaluation</t>
  </si>
  <si>
    <t>Total Additional Costs</t>
  </si>
  <si>
    <t>Description</t>
  </si>
  <si>
    <t>1. Indicative current level of expenditures as of 31 May - Staff and other personnel</t>
  </si>
  <si>
    <t>Staff costs / overhead IOM Guinea</t>
  </si>
  <si>
    <t>Office costs/equipment</t>
  </si>
  <si>
    <t>Totals</t>
  </si>
  <si>
    <t>Recipient Organization 1</t>
  </si>
  <si>
    <t>Recipient Organization 2</t>
  </si>
  <si>
    <t>Recipient Organization 3</t>
  </si>
  <si>
    <t>Recipient Organization 4</t>
  </si>
  <si>
    <t>Recipient Organization 5</t>
  </si>
  <si>
    <t>Recipient Organization 6</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</si>
  <si>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</si>
  <si>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</si>
  <si>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</si>
  <si>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</si>
  <si>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</si>
  <si>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</si>
  <si>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</si>
  <si>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</si>
  <si>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</si>
  <si>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</si>
  <si>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</si>
  <si>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</si>
  <si>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</si>
  <si>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</si>
  <si>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</si>
  <si>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r>
      <t xml:space="preserve">Indicative current level of </t>
    </r>
    <r>
      <rPr>
        <b/>
        <sz val="12"/>
        <color theme="1"/>
        <rFont val="Calibri"/>
        <family val="2"/>
        <scheme val="minor"/>
      </rPr>
      <t>expenditure/ commitment as of 31 May 2024</t>
    </r>
  </si>
  <si>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</si>
  <si>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Table 2 - Output breakdown by UN budget categories</t>
  </si>
  <si>
    <t>Recipient Agency 1</t>
  </si>
  <si>
    <t>Recipient Agency 2</t>
  </si>
  <si>
    <t>Recipient Agency 3</t>
  </si>
  <si>
    <t>Recipient Agency 4</t>
  </si>
  <si>
    <t>Recipient Agency 5</t>
  </si>
  <si>
    <t>Recipient Agency 6</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</si>
  <si>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</si>
  <si>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</si>
  <si>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</si>
  <si>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</si>
  <si>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</si>
  <si>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</si>
  <si>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</si>
  <si>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</si>
  <si>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</si>
  <si>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</si>
  <si>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</si>
  <si>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</si>
  <si>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</si>
  <si>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</si>
  <si>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</si>
  <si>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</si>
  <si>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</si>
  <si>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</si>
  <si>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</si>
  <si>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</si>
  <si>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</si>
  <si>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</si>
  <si>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</si>
  <si>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</si>
  <si>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For MPTFO Use</t>
  </si>
  <si>
    <t xml:space="preserve">Sub-Total </t>
  </si>
  <si>
    <t>Recip Agency 1</t>
  </si>
  <si>
    <t>Recip Agency 2</t>
  </si>
  <si>
    <t>Recip Agency 3</t>
  </si>
  <si>
    <t>Recip Agency 4</t>
  </si>
  <si>
    <t>Recip Agency 5</t>
  </si>
  <si>
    <t>Recip Agency 6</t>
  </si>
  <si>
    <t>Third Tranche: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</si>
</sst>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quot;$&quot;_ ;_ * \(#,##0.00\)\ &quot;$&quot;_ ;_ * &quot;-&quot;??_)\ &quot;$&quot;_ ;_ @_ "/>
    <numFmt numFmtId="165" formatCode="_(&quot;$&quot;* #,##0.00_);_(&quot;$&quot;* \(#,##0.00\);_(&quot;$&quot;* &quot;-&quot;??_);_(@_)"/>
    <numFmt numFmtId="166" formatCode="_(&quot;$&quot;* #,##0_);_(&quot;$&quot;* \(#,##0\);_(&quot;$&quot;* &quot;-&quot;??_);_(@_)"/>
  </numFmts>
  <fonts count="22" x14ac:knownFonts="1">
    <font>
      <sz val="11"/>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36"/>
      <color rgb="FF00B0F0"/>
      <name val="Calibri"/>
      <family val="2"/>
      <scheme val="minor"/>
    </font>
    <font>
      <b/>
      <sz val="36"/>
      <color theme="1"/>
      <name val="Calibri"/>
      <family val="2"/>
      <scheme val="minor"/>
    </font>
    <font>
      <sz val="36"/>
      <color theme="1"/>
      <name val="Calibri"/>
      <family val="2"/>
      <scheme val="minor"/>
    </font>
    <font>
      <b/>
      <sz val="12"/>
      <color theme="1"/>
      <name val="Calibri"/>
      <family val="2"/>
      <scheme val="minor"/>
    </font>
    <font>
      <b/>
      <sz val="28"/>
      <color theme="1"/>
      <name val="Calibri"/>
      <family val="2"/>
      <scheme val="minor"/>
    </font>
    <font>
      <b/>
      <sz val="16"/>
      <color theme="1"/>
      <name val="Calibri"/>
      <family val="2"/>
      <scheme val="minor"/>
    </font>
    <font>
      <sz val="16"/>
      <color theme="1"/>
      <name val="Calibri"/>
      <family val="2"/>
      <scheme val="minor"/>
    </font>
    <font>
      <b/>
      <sz val="20"/>
      <color theme="1"/>
      <name val="Calibri"/>
      <family val="2"/>
      <scheme val="minor"/>
    </font>
    <font>
      <sz val="12"/>
      <color theme="1"/>
      <name val="Calibri"/>
      <family val="2"/>
      <scheme val="minor"/>
    </font>
    <font>
      <b/>
      <sz val="12"/>
      <color rgb="FFFF0000"/>
      <name val="Calibri"/>
      <family val="2"/>
      <scheme val="minor"/>
    </font>
    <font>
      <b/>
      <sz val="12"/>
      <name val="Calibri"/>
      <family val="2"/>
      <scheme val="minor"/>
    </font>
    <font>
      <sz val="12"/>
      <color rgb="FFFF0000"/>
      <name val="Calibri"/>
      <family val="2"/>
      <scheme val="minor"/>
    </font>
    <font>
      <b/>
      <sz val="12"/>
      <color rgb="FF000000"/>
      <name val="Calibri"/>
      <family val="2"/>
      <scheme val="minor"/>
    </font>
    <font>
      <sz val="12"/>
      <color theme="1"/>
      <name val="Calibri"/>
      <family val="2"/>
    </font>
    <font>
      <b/>
      <sz val="12"/>
      <color theme="1"/>
      <name val="Calibri"/>
      <family val="2"/>
    </font>
    <font>
      <sz val="8"/>
      <name val="Calibri"/>
      <family val="2"/>
      <scheme val="minor"/>
    </font>
    <font>
      <b/>
      <sz val="16"/>
      <color rgb="FFFF0000"/>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FF"/>
        <bgColor indexed="64"/>
      </patternFill>
    </fill>
    <fill>
      <patternFill patternType="solid">
        <fgColor theme="2" tint="-9.9978637043366805E-2"/>
        <bgColor indexed="64"/>
      </patternFill>
    </fill>
    <fill>
      <patternFill patternType="solid">
        <fgColor theme="7" tint="0.3999755851924192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ck">
        <color indexed="64"/>
      </right>
      <top style="medium">
        <color indexed="64"/>
      </top>
      <bottom/>
      <diagonal/>
    </border>
    <border>
      <left style="medium">
        <color indexed="64"/>
      </left>
      <right/>
      <top/>
      <bottom/>
      <diagonal/>
    </border>
    <border>
      <left/>
      <right style="thick">
        <color indexed="64"/>
      </right>
      <top/>
      <bottom/>
      <diagonal/>
    </border>
    <border>
      <left/>
      <right style="thick">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cellStyleXfs>
  <cellXfs count="304">
    <xf numFmtId="0" fontId="0" fillId="0" borderId="0" xfId="0"/>
    <xf numFmtId="0" fontId="6" fillId="0" borderId="0" xfId="0" applyFont="1" applyAlignment="1">
      <alignment wrapText="1"/>
    </xf>
    <xf numFmtId="0" fontId="7" fillId="0" borderId="0" xfId="0" applyFont="1" applyAlignment="1">
      <alignment wrapText="1"/>
    </xf>
    <xf numFmtId="164" fontId="7" fillId="0" borderId="0" xfId="1" applyFont="1" applyBorder="1" applyAlignment="1">
      <alignment wrapText="1"/>
    </xf>
    <xf numFmtId="164" fontId="7" fillId="0" borderId="0" xfId="1" applyFont="1" applyFill="1" applyBorder="1" applyAlignment="1">
      <alignment wrapText="1"/>
    </xf>
    <xf numFmtId="0" fontId="0" fillId="0" borderId="0" xfId="0" applyAlignment="1">
      <alignment wrapText="1"/>
    </xf>
    <xf numFmtId="0" fontId="8" fillId="0" borderId="0" xfId="0" applyFont="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0" fontId="9" fillId="2" borderId="1" xfId="0" applyFont="1" applyFill="1" applyBorder="1" applyAlignment="1">
      <alignment wrapText="1"/>
    </xf>
    <xf numFmtId="0" fontId="8" fillId="2" borderId="2" xfId="0" applyFont="1" applyFill="1" applyBorder="1" applyAlignment="1">
      <alignment wrapText="1"/>
    </xf>
    <xf numFmtId="0" fontId="0" fillId="2" borderId="2" xfId="0" applyFill="1" applyBorder="1" applyAlignment="1">
      <alignment wrapText="1"/>
    </xf>
    <xf numFmtId="164" fontId="0" fillId="2" borderId="2" xfId="1" applyFont="1" applyFill="1" applyBorder="1" applyAlignment="1">
      <alignment wrapText="1"/>
    </xf>
    <xf numFmtId="164" fontId="0" fillId="0" borderId="2" xfId="1" applyFont="1" applyFill="1" applyBorder="1" applyAlignment="1">
      <alignment wrapText="1"/>
    </xf>
    <xf numFmtId="0" fontId="0" fillId="2" borderId="3" xfId="0" applyFill="1" applyBorder="1" applyAlignment="1">
      <alignment wrapText="1"/>
    </xf>
    <xf numFmtId="0" fontId="4" fillId="0" borderId="0" xfId="0" applyFont="1" applyAlignment="1">
      <alignment wrapText="1"/>
    </xf>
    <xf numFmtId="0" fontId="12" fillId="2" borderId="0" xfId="0" applyFont="1" applyFill="1" applyAlignment="1">
      <alignment horizontal="left" wrapText="1"/>
    </xf>
    <xf numFmtId="164" fontId="12" fillId="3" borderId="0" xfId="1" applyFont="1" applyFill="1" applyBorder="1" applyAlignment="1">
      <alignment horizontal="left" wrapText="1"/>
    </xf>
    <xf numFmtId="164" fontId="12" fillId="0" borderId="0" xfId="1" applyFont="1" applyFill="1" applyBorder="1" applyAlignment="1">
      <alignment horizontal="left" wrapText="1"/>
    </xf>
    <xf numFmtId="0" fontId="0" fillId="0" borderId="0" xfId="0" applyAlignment="1">
      <alignment horizontal="center" wrapText="1"/>
    </xf>
    <xf numFmtId="0" fontId="0" fillId="3" borderId="0" xfId="0" applyFill="1" applyAlignment="1">
      <alignment wrapText="1"/>
    </xf>
    <xf numFmtId="0" fontId="13" fillId="4"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14" fillId="0" borderId="0" xfId="0" applyFont="1" applyAlignment="1">
      <alignment horizontal="center" vertical="center" wrapText="1"/>
    </xf>
    <xf numFmtId="0" fontId="8" fillId="3" borderId="10" xfId="0" applyFont="1" applyFill="1" applyBorder="1" applyAlignment="1" applyProtection="1">
      <alignment horizontal="center" vertical="center" wrapText="1"/>
      <protection locked="0"/>
    </xf>
    <xf numFmtId="164" fontId="8" fillId="0" borderId="10" xfId="1" applyFont="1" applyFill="1" applyBorder="1" applyAlignment="1" applyProtection="1">
      <alignment horizontal="center" vertical="center" wrapText="1"/>
    </xf>
    <xf numFmtId="0" fontId="8" fillId="4" borderId="10" xfId="0" applyFont="1" applyFill="1" applyBorder="1" applyAlignment="1">
      <alignment vertical="center" wrapText="1"/>
    </xf>
    <xf numFmtId="164" fontId="16" fillId="0" borderId="0" xfId="1" applyFont="1" applyFill="1" applyBorder="1" applyAlignment="1" applyProtection="1">
      <alignment vertical="center" wrapText="1"/>
    </xf>
    <xf numFmtId="164" fontId="8" fillId="0" borderId="0" xfId="1" applyFont="1" applyFill="1" applyBorder="1" applyAlignment="1" applyProtection="1">
      <alignment vertical="center" wrapText="1"/>
    </xf>
    <xf numFmtId="0" fontId="13" fillId="4" borderId="10" xfId="0" applyFont="1" applyFill="1" applyBorder="1" applyAlignment="1">
      <alignment vertical="center" wrapText="1"/>
    </xf>
    <xf numFmtId="0" fontId="13" fillId="0" borderId="10" xfId="0" applyFont="1" applyBorder="1" applyAlignment="1" applyProtection="1">
      <alignment horizontal="left" vertical="top" wrapText="1"/>
      <protection locked="0"/>
    </xf>
    <xf numFmtId="164" fontId="13" fillId="0" borderId="10" xfId="1" applyFont="1" applyFill="1" applyBorder="1" applyAlignment="1" applyProtection="1">
      <alignment horizontal="center" vertical="center" wrapText="1"/>
      <protection locked="0"/>
    </xf>
    <xf numFmtId="164" fontId="13" fillId="0" borderId="10" xfId="1" applyFont="1" applyFill="1" applyBorder="1" applyAlignment="1" applyProtection="1">
      <alignment horizontal="center" vertical="center" wrapText="1"/>
    </xf>
    <xf numFmtId="9" fontId="13" fillId="0" borderId="10" xfId="2" applyFont="1" applyFill="1" applyBorder="1" applyAlignment="1" applyProtection="1">
      <alignment horizontal="center" vertical="center" wrapText="1"/>
      <protection locked="0"/>
    </xf>
    <xf numFmtId="49" fontId="13" fillId="0" borderId="10" xfId="1" applyNumberFormat="1" applyFont="1" applyFill="1" applyBorder="1" applyAlignment="1" applyProtection="1">
      <alignment horizontal="left" wrapText="1"/>
      <protection locked="0"/>
    </xf>
    <xf numFmtId="164" fontId="13" fillId="0" borderId="0" xfId="1" applyFont="1" applyFill="1" applyBorder="1" applyAlignment="1" applyProtection="1">
      <alignment horizontal="center" vertical="center" wrapText="1"/>
    </xf>
    <xf numFmtId="0" fontId="3" fillId="0" borderId="0" xfId="0" applyFont="1" applyAlignment="1">
      <alignment wrapText="1"/>
    </xf>
    <xf numFmtId="0" fontId="8" fillId="0" borderId="10" xfId="0" applyFont="1" applyBorder="1" applyAlignment="1">
      <alignment vertical="center" wrapText="1"/>
    </xf>
    <xf numFmtId="164" fontId="8" fillId="0" borderId="0" xfId="1" applyFont="1" applyFill="1" applyBorder="1" applyAlignment="1" applyProtection="1">
      <alignment horizontal="center" vertical="center" wrapText="1"/>
    </xf>
    <xf numFmtId="164" fontId="0" fillId="0" borderId="0" xfId="0" applyNumberFormat="1" applyAlignment="1">
      <alignment wrapText="1"/>
    </xf>
    <xf numFmtId="164" fontId="13" fillId="0" borderId="10" xfId="1" applyFont="1" applyBorder="1" applyAlignment="1" applyProtection="1">
      <alignment horizontal="center" vertical="center" wrapText="1"/>
      <protection locked="0"/>
    </xf>
    <xf numFmtId="164" fontId="13" fillId="4" borderId="10" xfId="1" applyFont="1" applyFill="1" applyBorder="1" applyAlignment="1" applyProtection="1">
      <alignment horizontal="center" vertical="center" wrapText="1"/>
    </xf>
    <xf numFmtId="9" fontId="13" fillId="0" borderId="10" xfId="2" applyFont="1" applyBorder="1" applyAlignment="1" applyProtection="1">
      <alignment horizontal="center" vertical="center" wrapText="1"/>
      <protection locked="0"/>
    </xf>
    <xf numFmtId="49" fontId="13" fillId="0" borderId="10" xfId="1" applyNumberFormat="1" applyFont="1" applyBorder="1" applyAlignment="1" applyProtection="1">
      <alignment horizontal="left" wrapText="1"/>
      <protection locked="0"/>
    </xf>
    <xf numFmtId="0" fontId="13" fillId="3" borderId="10" xfId="0" applyFont="1" applyFill="1" applyBorder="1" applyAlignment="1" applyProtection="1">
      <alignment horizontal="left" vertical="top" wrapText="1"/>
      <protection locked="0"/>
    </xf>
    <xf numFmtId="164" fontId="13" fillId="3" borderId="10" xfId="1" applyFont="1" applyFill="1" applyBorder="1" applyAlignment="1" applyProtection="1">
      <alignment horizontal="center" vertical="center" wrapText="1"/>
      <protection locked="0"/>
    </xf>
    <xf numFmtId="9" fontId="13" fillId="3" borderId="10" xfId="2" applyFont="1" applyFill="1" applyBorder="1" applyAlignment="1" applyProtection="1">
      <alignment horizontal="center" vertical="center" wrapText="1"/>
      <protection locked="0"/>
    </xf>
    <xf numFmtId="49" fontId="13" fillId="3" borderId="10" xfId="1" applyNumberFormat="1" applyFont="1" applyFill="1" applyBorder="1" applyAlignment="1" applyProtection="1">
      <alignment horizontal="left" wrapText="1"/>
      <protection locked="0"/>
    </xf>
    <xf numFmtId="164" fontId="8" fillId="4" borderId="11" xfId="1" applyFont="1" applyFill="1" applyBorder="1" applyAlignment="1" applyProtection="1">
      <alignment horizontal="center" vertical="center" wrapText="1"/>
    </xf>
    <xf numFmtId="164" fontId="8" fillId="4" borderId="10" xfId="1" applyFont="1" applyFill="1" applyBorder="1" applyAlignment="1" applyProtection="1">
      <alignment horizontal="center" vertical="center" wrapText="1"/>
    </xf>
    <xf numFmtId="164" fontId="3" fillId="0" borderId="0" xfId="0" applyNumberFormat="1" applyFont="1" applyAlignment="1">
      <alignment wrapText="1"/>
    </xf>
    <xf numFmtId="0" fontId="13" fillId="3" borderId="0" xfId="0" applyFont="1" applyFill="1" applyAlignment="1" applyProtection="1">
      <alignment vertical="center" wrapText="1"/>
      <protection locked="0"/>
    </xf>
    <xf numFmtId="0" fontId="13" fillId="3" borderId="0" xfId="0" applyFont="1" applyFill="1" applyAlignment="1" applyProtection="1">
      <alignment horizontal="left" vertical="top" wrapText="1"/>
      <protection locked="0"/>
    </xf>
    <xf numFmtId="164" fontId="13" fillId="3" borderId="0" xfId="1" applyFont="1" applyFill="1" applyBorder="1" applyAlignment="1" applyProtection="1">
      <alignment horizontal="center" vertical="center" wrapText="1"/>
      <protection locked="0"/>
    </xf>
    <xf numFmtId="164" fontId="13" fillId="0" borderId="0" xfId="1" applyFont="1" applyFill="1" applyBorder="1" applyAlignment="1" applyProtection="1">
      <alignment horizontal="center" vertical="center" wrapText="1"/>
      <protection locked="0"/>
    </xf>
    <xf numFmtId="165" fontId="17" fillId="5" borderId="10" xfId="0" applyNumberFormat="1" applyFont="1" applyFill="1" applyBorder="1" applyAlignment="1">
      <alignment horizontal="center" vertical="center" wrapText="1"/>
    </xf>
    <xf numFmtId="0" fontId="8" fillId="3" borderId="0" xfId="0" applyFont="1" applyFill="1" applyAlignment="1">
      <alignment vertical="center" wrapText="1"/>
    </xf>
    <xf numFmtId="164" fontId="13" fillId="3" borderId="0" xfId="1" applyFont="1" applyFill="1" applyBorder="1" applyAlignment="1" applyProtection="1">
      <alignment vertical="center" wrapText="1"/>
      <protection locked="0"/>
    </xf>
    <xf numFmtId="164" fontId="13" fillId="0" borderId="0" xfId="1" applyFont="1" applyFill="1" applyBorder="1" applyAlignment="1" applyProtection="1">
      <alignment vertical="center" wrapText="1"/>
      <protection locked="0"/>
    </xf>
    <xf numFmtId="0" fontId="8" fillId="0" borderId="0" xfId="0" applyFont="1" applyAlignment="1" applyProtection="1">
      <alignment vertical="center" wrapText="1"/>
      <protection locked="0"/>
    </xf>
    <xf numFmtId="0" fontId="13" fillId="6" borderId="10" xfId="0" applyFont="1" applyFill="1" applyBorder="1" applyAlignment="1" applyProtection="1">
      <alignment horizontal="left" vertical="top" wrapText="1"/>
      <protection locked="0"/>
    </xf>
    <xf numFmtId="165" fontId="17" fillId="0" borderId="10" xfId="0" applyNumberFormat="1" applyFont="1" applyBorder="1" applyAlignment="1">
      <alignment horizontal="center" vertical="center" wrapText="1"/>
    </xf>
    <xf numFmtId="0" fontId="13" fillId="3" borderId="13" xfId="0" applyFont="1" applyFill="1" applyBorder="1" applyAlignment="1" applyProtection="1">
      <alignment vertical="center" wrapText="1"/>
      <protection locked="0"/>
    </xf>
    <xf numFmtId="0" fontId="13" fillId="3" borderId="10" xfId="0" applyFont="1" applyFill="1" applyBorder="1" applyAlignment="1" applyProtection="1">
      <alignment vertical="center" wrapText="1"/>
      <protection locked="0"/>
    </xf>
    <xf numFmtId="166" fontId="13" fillId="3" borderId="10" xfId="1" applyNumberFormat="1" applyFont="1" applyFill="1" applyBorder="1" applyAlignment="1" applyProtection="1">
      <alignment vertical="center" wrapText="1"/>
      <protection locked="0"/>
    </xf>
    <xf numFmtId="164" fontId="13" fillId="0" borderId="10" xfId="1" applyFont="1" applyBorder="1" applyAlignment="1" applyProtection="1">
      <alignment vertical="center" wrapText="1"/>
      <protection locked="0"/>
    </xf>
    <xf numFmtId="164" fontId="13" fillId="4" borderId="10" xfId="1" applyFont="1" applyFill="1" applyBorder="1" applyAlignment="1" applyProtection="1">
      <alignment vertical="center" wrapText="1"/>
    </xf>
    <xf numFmtId="9" fontId="13" fillId="0" borderId="10" xfId="2" applyFont="1" applyBorder="1" applyAlignment="1" applyProtection="1">
      <alignment vertical="center" wrapText="1"/>
      <protection locked="0"/>
    </xf>
    <xf numFmtId="164" fontId="13" fillId="0" borderId="10" xfId="1" applyFont="1" applyFill="1" applyBorder="1" applyAlignment="1" applyProtection="1">
      <alignment vertical="center" wrapText="1"/>
      <protection locked="0"/>
    </xf>
    <xf numFmtId="49" fontId="13" fillId="0" borderId="10" xfId="0" applyNumberFormat="1" applyFont="1" applyBorder="1" applyAlignment="1" applyProtection="1">
      <alignment horizontal="left" wrapText="1"/>
      <protection locked="0"/>
    </xf>
    <xf numFmtId="0" fontId="13" fillId="3" borderId="14" xfId="0" applyFont="1" applyFill="1" applyBorder="1" applyAlignment="1" applyProtection="1">
      <alignment vertical="center" wrapText="1"/>
      <protection locked="0"/>
    </xf>
    <xf numFmtId="0" fontId="8" fillId="4" borderId="15" xfId="0" applyFont="1" applyFill="1" applyBorder="1" applyAlignment="1">
      <alignment vertical="center" wrapText="1"/>
    </xf>
    <xf numFmtId="166" fontId="13" fillId="0" borderId="10" xfId="1" applyNumberFormat="1" applyFont="1" applyBorder="1" applyAlignment="1" applyProtection="1">
      <alignment vertical="center" wrapText="1"/>
      <protection locked="0"/>
    </xf>
    <xf numFmtId="0" fontId="8" fillId="7" borderId="10" xfId="0" applyFont="1" applyFill="1" applyBorder="1" applyAlignment="1" applyProtection="1">
      <alignment vertical="center" wrapText="1"/>
      <protection locked="0"/>
    </xf>
    <xf numFmtId="164" fontId="8" fillId="7" borderId="10" xfId="1" applyFont="1" applyFill="1" applyBorder="1" applyAlignment="1" applyProtection="1">
      <alignment vertical="center" wrapText="1"/>
    </xf>
    <xf numFmtId="0" fontId="8" fillId="3" borderId="0" xfId="0" applyFont="1" applyFill="1" applyAlignment="1" applyProtection="1">
      <alignment vertical="center" wrapText="1"/>
      <protection locked="0"/>
    </xf>
    <xf numFmtId="164" fontId="8" fillId="3" borderId="10" xfId="1" applyFont="1" applyFill="1" applyBorder="1" applyAlignment="1" applyProtection="1">
      <alignment horizontal="center" vertical="center" wrapText="1"/>
      <protection locked="0"/>
    </xf>
    <xf numFmtId="0" fontId="19" fillId="0" borderId="0" xfId="0" applyFont="1" applyAlignment="1">
      <alignment vertical="center" wrapText="1"/>
    </xf>
    <xf numFmtId="0" fontId="8" fillId="3" borderId="22" xfId="0" applyFont="1" applyFill="1" applyBorder="1" applyAlignment="1" applyProtection="1">
      <alignment vertical="center" wrapText="1"/>
      <protection locked="0"/>
    </xf>
    <xf numFmtId="0" fontId="8" fillId="4" borderId="10" xfId="1" applyNumberFormat="1" applyFont="1" applyFill="1" applyBorder="1" applyAlignment="1" applyProtection="1">
      <alignment horizontal="center" vertical="center" wrapText="1"/>
    </xf>
    <xf numFmtId="0" fontId="8" fillId="4" borderId="26" xfId="1" applyNumberFormat="1" applyFont="1" applyFill="1" applyBorder="1" applyAlignment="1" applyProtection="1">
      <alignment horizontal="center" vertical="center" wrapText="1"/>
    </xf>
    <xf numFmtId="0" fontId="13" fillId="3" borderId="0" xfId="0" applyFont="1" applyFill="1" applyAlignment="1">
      <alignment vertical="center" wrapText="1"/>
    </xf>
    <xf numFmtId="0" fontId="13" fillId="4" borderId="28" xfId="0" applyFont="1" applyFill="1" applyBorder="1" applyAlignment="1">
      <alignment vertical="center" wrapText="1"/>
    </xf>
    <xf numFmtId="165" fontId="13" fillId="4" borderId="10" xfId="0" applyNumberFormat="1" applyFont="1" applyFill="1" applyBorder="1" applyAlignment="1">
      <alignment vertical="center" wrapText="1"/>
    </xf>
    <xf numFmtId="165" fontId="13" fillId="4" borderId="12" xfId="0" applyNumberFormat="1" applyFont="1" applyFill="1" applyBorder="1" applyAlignment="1">
      <alignment vertical="center" wrapText="1"/>
    </xf>
    <xf numFmtId="165" fontId="13" fillId="4" borderId="29" xfId="0" applyNumberFormat="1" applyFont="1" applyFill="1" applyBorder="1" applyAlignment="1">
      <alignment vertical="center" wrapText="1"/>
    </xf>
    <xf numFmtId="0" fontId="13" fillId="0" borderId="0" xfId="0" applyFont="1" applyAlignment="1" applyProtection="1">
      <alignment vertical="center" wrapText="1"/>
      <protection locked="0"/>
    </xf>
    <xf numFmtId="0" fontId="13" fillId="0" borderId="0" xfId="0" applyFont="1" applyAlignment="1">
      <alignment vertical="center" wrapText="1"/>
    </xf>
    <xf numFmtId="0" fontId="8" fillId="4" borderId="30" xfId="0" applyFont="1" applyFill="1" applyBorder="1" applyAlignment="1">
      <alignment vertical="center" wrapText="1"/>
    </xf>
    <xf numFmtId="166" fontId="8" fillId="4" borderId="31" xfId="1" applyNumberFormat="1" applyFont="1" applyFill="1" applyBorder="1" applyAlignment="1" applyProtection="1">
      <alignment vertical="center" wrapText="1"/>
    </xf>
    <xf numFmtId="166" fontId="8" fillId="4" borderId="32" xfId="1" applyNumberFormat="1" applyFont="1" applyFill="1" applyBorder="1" applyAlignment="1" applyProtection="1">
      <alignment vertical="center" wrapText="1"/>
    </xf>
    <xf numFmtId="166" fontId="8" fillId="4" borderId="33" xfId="1" applyNumberFormat="1" applyFont="1" applyFill="1" applyBorder="1" applyAlignment="1" applyProtection="1">
      <alignment vertical="center" wrapText="1"/>
    </xf>
    <xf numFmtId="164" fontId="8" fillId="3" borderId="0" xfId="1" applyFont="1" applyFill="1" applyBorder="1" applyAlignment="1">
      <alignment vertical="center" wrapText="1"/>
    </xf>
    <xf numFmtId="164" fontId="8" fillId="0" borderId="0" xfId="1" applyFont="1" applyFill="1" applyBorder="1" applyAlignment="1">
      <alignment vertical="center" wrapText="1"/>
    </xf>
    <xf numFmtId="165" fontId="8" fillId="3" borderId="0" xfId="0" applyNumberFormat="1" applyFont="1" applyFill="1" applyAlignment="1">
      <alignment vertical="center" wrapText="1"/>
    </xf>
    <xf numFmtId="164" fontId="8" fillId="3" borderId="0" xfId="1" applyFont="1" applyFill="1" applyBorder="1" applyAlignment="1" applyProtection="1">
      <alignment horizontal="center" vertical="center" wrapText="1"/>
    </xf>
    <xf numFmtId="0" fontId="8" fillId="4" borderId="0" xfId="0" applyFont="1" applyFill="1" applyAlignment="1">
      <alignment horizontal="center" vertical="center" wrapText="1"/>
    </xf>
    <xf numFmtId="0" fontId="8" fillId="4" borderId="28" xfId="0" applyFont="1" applyFill="1" applyBorder="1" applyAlignment="1">
      <alignment horizontal="center" vertical="center" wrapText="1"/>
    </xf>
    <xf numFmtId="0" fontId="8" fillId="4" borderId="15" xfId="0" applyFont="1" applyFill="1" applyBorder="1" applyAlignment="1">
      <alignment horizontal="center" vertical="center" wrapText="1"/>
    </xf>
    <xf numFmtId="164" fontId="8" fillId="3" borderId="0" xfId="1" applyFont="1" applyFill="1" applyBorder="1" applyAlignment="1" applyProtection="1">
      <alignment vertical="center" wrapText="1"/>
      <protection locked="0"/>
    </xf>
    <xf numFmtId="164" fontId="8" fillId="0" borderId="0" xfId="1" applyFont="1" applyFill="1" applyBorder="1" applyAlignment="1" applyProtection="1">
      <alignment vertical="center" wrapText="1"/>
      <protection locked="0"/>
    </xf>
    <xf numFmtId="0" fontId="8" fillId="4" borderId="28" xfId="0" applyFont="1" applyFill="1" applyBorder="1" applyAlignment="1">
      <alignment vertical="center" wrapText="1"/>
    </xf>
    <xf numFmtId="166" fontId="8" fillId="4" borderId="10" xfId="1" applyNumberFormat="1" applyFont="1" applyFill="1" applyBorder="1" applyAlignment="1" applyProtection="1">
      <alignment vertical="center" wrapText="1"/>
    </xf>
    <xf numFmtId="166" fontId="8" fillId="4" borderId="12" xfId="1" applyNumberFormat="1" applyFont="1" applyFill="1" applyBorder="1" applyAlignment="1" applyProtection="1">
      <alignment vertical="center" wrapText="1"/>
    </xf>
    <xf numFmtId="164" fontId="8" fillId="4" borderId="12" xfId="1" applyFont="1" applyFill="1" applyBorder="1" applyAlignment="1" applyProtection="1">
      <alignment vertical="center" wrapText="1"/>
    </xf>
    <xf numFmtId="9" fontId="8" fillId="3" borderId="0" xfId="2" applyFont="1" applyFill="1" applyBorder="1" applyAlignment="1" applyProtection="1">
      <alignment vertical="center" wrapText="1"/>
      <protection locked="0"/>
    </xf>
    <xf numFmtId="0" fontId="8" fillId="4" borderId="23" xfId="0" applyFont="1" applyFill="1" applyBorder="1" applyAlignment="1">
      <alignment vertical="center" wrapText="1"/>
    </xf>
    <xf numFmtId="166" fontId="8" fillId="4" borderId="38" xfId="1" applyNumberFormat="1" applyFont="1" applyFill="1" applyBorder="1" applyAlignment="1" applyProtection="1">
      <alignment vertical="center" wrapText="1"/>
    </xf>
    <xf numFmtId="164" fontId="8" fillId="3" borderId="0" xfId="1" applyFont="1" applyFill="1" applyBorder="1" applyAlignment="1" applyProtection="1">
      <alignment horizontal="right" vertical="center" wrapText="1"/>
      <protection locked="0"/>
    </xf>
    <xf numFmtId="164" fontId="8" fillId="0" borderId="0" xfId="1" applyFont="1" applyFill="1" applyBorder="1" applyAlignment="1" applyProtection="1">
      <alignment horizontal="right" vertical="center" wrapText="1"/>
      <protection locked="0"/>
    </xf>
    <xf numFmtId="164" fontId="8" fillId="4" borderId="10" xfId="1" applyFont="1" applyFill="1" applyBorder="1" applyAlignment="1" applyProtection="1">
      <alignment vertical="center" wrapText="1"/>
    </xf>
    <xf numFmtId="164" fontId="8" fillId="4" borderId="38" xfId="1" applyFont="1" applyFill="1" applyBorder="1" applyAlignment="1" applyProtection="1">
      <alignment vertical="center" wrapText="1"/>
    </xf>
    <xf numFmtId="9" fontId="8" fillId="3" borderId="0" xfId="2" applyFont="1" applyFill="1" applyBorder="1" applyAlignment="1" applyProtection="1">
      <alignment horizontal="right" vertical="center" wrapText="1"/>
      <protection locked="0"/>
    </xf>
    <xf numFmtId="164" fontId="8" fillId="3" borderId="0" xfId="1" applyFont="1" applyFill="1" applyBorder="1" applyAlignment="1" applyProtection="1">
      <alignment vertical="center" wrapText="1"/>
    </xf>
    <xf numFmtId="164" fontId="8" fillId="4" borderId="31" xfId="1" applyFont="1" applyFill="1" applyBorder="1" applyAlignment="1" applyProtection="1">
      <alignment vertical="center" wrapText="1"/>
    </xf>
    <xf numFmtId="9" fontId="8" fillId="4" borderId="33" xfId="2" applyFont="1" applyFill="1" applyBorder="1" applyAlignment="1" applyProtection="1">
      <alignment vertical="center" wrapText="1"/>
    </xf>
    <xf numFmtId="9" fontId="8" fillId="4" borderId="0" xfId="2" applyFont="1" applyFill="1" applyBorder="1" applyAlignment="1" applyProtection="1">
      <alignment vertical="center" wrapText="1"/>
    </xf>
    <xf numFmtId="0" fontId="8" fillId="0" borderId="0" xfId="0" applyFont="1" applyAlignment="1">
      <alignment vertical="center" wrapText="1"/>
    </xf>
    <xf numFmtId="165" fontId="8" fillId="0" borderId="0" xfId="0" applyNumberFormat="1" applyFont="1" applyAlignment="1">
      <alignment vertical="center" wrapText="1"/>
    </xf>
    <xf numFmtId="0" fontId="4" fillId="4" borderId="34" xfId="0" applyFont="1" applyFill="1" applyBorder="1" applyAlignment="1">
      <alignment horizontal="left" vertical="center" wrapText="1"/>
    </xf>
    <xf numFmtId="165" fontId="8" fillId="4" borderId="37" xfId="0" applyNumberFormat="1" applyFont="1" applyFill="1" applyBorder="1" applyAlignment="1">
      <alignment vertical="center" wrapText="1"/>
    </xf>
    <xf numFmtId="165" fontId="8" fillId="4" borderId="34" xfId="0" applyNumberFormat="1" applyFont="1" applyFill="1" applyBorder="1" applyAlignment="1">
      <alignment vertical="center" wrapText="1"/>
    </xf>
    <xf numFmtId="165" fontId="8" fillId="4" borderId="20" xfId="0" applyNumberFormat="1" applyFont="1" applyFill="1" applyBorder="1" applyAlignment="1">
      <alignment vertical="center" wrapText="1"/>
    </xf>
    <xf numFmtId="164" fontId="0" fillId="4" borderId="37" xfId="1" applyFont="1" applyFill="1" applyBorder="1" applyAlignment="1">
      <alignment vertical="center" wrapText="1"/>
    </xf>
    <xf numFmtId="0" fontId="4" fillId="4" borderId="28" xfId="0" applyFont="1" applyFill="1" applyBorder="1" applyAlignment="1">
      <alignment horizontal="left" vertical="center" wrapText="1"/>
    </xf>
    <xf numFmtId="10" fontId="8" fillId="4" borderId="29" xfId="2" applyNumberFormat="1" applyFont="1" applyFill="1" applyBorder="1" applyAlignment="1" applyProtection="1">
      <alignment wrapText="1"/>
    </xf>
    <xf numFmtId="9" fontId="8" fillId="3" borderId="0" xfId="2" applyFont="1" applyFill="1" applyBorder="1" applyAlignment="1">
      <alignment wrapText="1"/>
    </xf>
    <xf numFmtId="0" fontId="0" fillId="4" borderId="30" xfId="0" applyFill="1" applyBorder="1" applyAlignment="1">
      <alignment wrapText="1"/>
    </xf>
    <xf numFmtId="0" fontId="0" fillId="4" borderId="39" xfId="0" applyFill="1" applyBorder="1" applyAlignment="1">
      <alignment wrapText="1"/>
    </xf>
    <xf numFmtId="9" fontId="0" fillId="4" borderId="33" xfId="2" applyFont="1" applyFill="1" applyBorder="1" applyAlignment="1">
      <alignment wrapText="1"/>
    </xf>
    <xf numFmtId="0" fontId="4" fillId="3" borderId="0" xfId="0" applyFont="1" applyFill="1" applyAlignment="1">
      <alignment horizontal="center" vertical="center" wrapText="1"/>
    </xf>
    <xf numFmtId="165" fontId="8" fillId="4" borderId="29" xfId="2" applyNumberFormat="1" applyFont="1" applyFill="1" applyBorder="1" applyAlignment="1" applyProtection="1">
      <alignment wrapText="1"/>
    </xf>
    <xf numFmtId="165" fontId="8" fillId="3" borderId="0" xfId="2" applyNumberFormat="1" applyFont="1" applyFill="1" applyBorder="1" applyAlignment="1">
      <alignment wrapText="1"/>
    </xf>
    <xf numFmtId="9" fontId="8" fillId="4" borderId="29" xfId="2" applyFont="1" applyFill="1" applyBorder="1" applyAlignment="1" applyProtection="1">
      <alignment wrapText="1"/>
    </xf>
    <xf numFmtId="0" fontId="0" fillId="3" borderId="0" xfId="0" applyFill="1" applyAlignment="1">
      <alignment horizontal="center" vertical="center" wrapText="1"/>
    </xf>
    <xf numFmtId="165" fontId="0" fillId="0" borderId="0" xfId="0" applyNumberFormat="1" applyAlignment="1">
      <alignment wrapText="1"/>
    </xf>
    <xf numFmtId="10" fontId="0" fillId="0" borderId="0" xfId="1" applyNumberFormat="1" applyFont="1" applyBorder="1" applyAlignment="1">
      <alignment wrapText="1"/>
    </xf>
    <xf numFmtId="165" fontId="16" fillId="0" borderId="0" xfId="3" applyFont="1" applyFill="1" applyBorder="1" applyAlignment="1" applyProtection="1">
      <alignment horizontal="center" vertical="center" wrapText="1"/>
      <protection locked="0"/>
    </xf>
    <xf numFmtId="9" fontId="8" fillId="4" borderId="29" xfId="2" applyFont="1" applyFill="1" applyBorder="1" applyAlignment="1" applyProtection="1">
      <alignment vertical="center" wrapText="1"/>
      <protection locked="0"/>
    </xf>
    <xf numFmtId="9" fontId="8" fillId="4" borderId="24" xfId="2" applyFont="1" applyFill="1" applyBorder="1" applyAlignment="1" applyProtection="1">
      <alignment vertical="center" wrapText="1"/>
      <protection locked="0"/>
    </xf>
    <xf numFmtId="9" fontId="8" fillId="4" borderId="24" xfId="2" applyFont="1" applyFill="1" applyBorder="1" applyAlignment="1" applyProtection="1">
      <alignment horizontal="right" vertical="center" wrapText="1"/>
      <protection locked="0"/>
    </xf>
    <xf numFmtId="49" fontId="13" fillId="0" borderId="12" xfId="0" applyNumberFormat="1" applyFont="1" applyBorder="1" applyAlignment="1" applyProtection="1">
      <alignment horizontal="left" wrapText="1"/>
      <protection locked="0"/>
    </xf>
    <xf numFmtId="0" fontId="13" fillId="3" borderId="12" xfId="0" applyFont="1" applyFill="1" applyBorder="1" applyAlignment="1" applyProtection="1">
      <alignment vertical="center" wrapText="1"/>
      <protection locked="0"/>
    </xf>
    <xf numFmtId="164" fontId="4" fillId="0" borderId="0" xfId="0" applyNumberFormat="1" applyFont="1" applyAlignment="1">
      <alignment wrapText="1"/>
    </xf>
    <xf numFmtId="0" fontId="5" fillId="0" borderId="0" xfId="0" applyFont="1" applyAlignment="1">
      <alignment horizontal="left" vertical="top" wrapText="1"/>
    </xf>
    <xf numFmtId="164" fontId="13" fillId="3" borderId="15" xfId="1"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13" fillId="0" borderId="0" xfId="0" applyFont="1" applyAlignment="1">
      <alignment wrapText="1"/>
    </xf>
    <xf numFmtId="0" fontId="13" fillId="3" borderId="0" xfId="0" applyFont="1" applyFill="1" applyAlignment="1">
      <alignment wrapText="1"/>
    </xf>
    <xf numFmtId="164" fontId="19" fillId="3" borderId="0" xfId="1" applyFont="1" applyFill="1" applyBorder="1" applyAlignment="1" applyProtection="1">
      <alignment vertical="center" wrapText="1"/>
    </xf>
    <xf numFmtId="0" fontId="18" fillId="0" borderId="0" xfId="0" applyFont="1" applyAlignment="1">
      <alignment vertical="center" wrapText="1"/>
    </xf>
    <xf numFmtId="0" fontId="8" fillId="3" borderId="0" xfId="0" applyFont="1" applyFill="1" applyAlignment="1">
      <alignment horizontal="left" wrapText="1"/>
    </xf>
    <xf numFmtId="0" fontId="8" fillId="2" borderId="0" xfId="0" applyFont="1" applyFill="1" applyAlignment="1">
      <alignment horizontal="left" wrapText="1"/>
    </xf>
    <xf numFmtId="0" fontId="8" fillId="4" borderId="15" xfId="1" applyNumberFormat="1" applyFont="1" applyFill="1" applyBorder="1" applyAlignment="1" applyProtection="1">
      <alignment horizontal="center" vertical="center" wrapText="1"/>
    </xf>
    <xf numFmtId="0" fontId="8" fillId="4" borderId="31" xfId="0" applyFont="1" applyFill="1" applyBorder="1" applyAlignment="1">
      <alignment horizontal="left" wrapText="1"/>
    </xf>
    <xf numFmtId="165" fontId="8" fillId="4" borderId="31" xfId="0" applyNumberFormat="1" applyFont="1" applyFill="1" applyBorder="1" applyAlignment="1">
      <alignment horizontal="center" wrapText="1"/>
    </xf>
    <xf numFmtId="165" fontId="8" fillId="4" borderId="31" xfId="0" applyNumberFormat="1" applyFont="1" applyFill="1" applyBorder="1" applyAlignment="1">
      <alignment wrapText="1"/>
    </xf>
    <xf numFmtId="0" fontId="18" fillId="4" borderId="15" xfId="0" applyFont="1" applyFill="1" applyBorder="1" applyAlignment="1">
      <alignment vertical="center" wrapText="1"/>
    </xf>
    <xf numFmtId="165" fontId="8" fillId="4" borderId="15" xfId="0" applyNumberFormat="1" applyFont="1" applyFill="1" applyBorder="1" applyAlignment="1">
      <alignment wrapText="1"/>
    </xf>
    <xf numFmtId="0" fontId="18" fillId="4" borderId="10" xfId="0" applyFont="1" applyFill="1" applyBorder="1" applyAlignment="1">
      <alignment vertical="center" wrapText="1"/>
    </xf>
    <xf numFmtId="165" fontId="8" fillId="4" borderId="10" xfId="0" applyNumberFormat="1" applyFont="1" applyFill="1" applyBorder="1" applyAlignment="1">
      <alignment wrapText="1"/>
    </xf>
    <xf numFmtId="165" fontId="13" fillId="0" borderId="10" xfId="0" applyNumberFormat="1" applyFont="1" applyBorder="1" applyAlignment="1" applyProtection="1">
      <alignment wrapText="1"/>
      <protection locked="0"/>
    </xf>
    <xf numFmtId="0" fontId="18" fillId="4" borderId="10" xfId="0" applyFont="1" applyFill="1" applyBorder="1" applyAlignment="1" applyProtection="1">
      <alignment vertical="center" wrapText="1"/>
      <protection locked="0"/>
    </xf>
    <xf numFmtId="164" fontId="8" fillId="7" borderId="10" xfId="1" applyFont="1" applyFill="1" applyBorder="1" applyAlignment="1" applyProtection="1">
      <alignment wrapText="1"/>
    </xf>
    <xf numFmtId="164" fontId="8" fillId="7" borderId="10" xfId="1" applyFont="1" applyFill="1" applyBorder="1" applyAlignment="1">
      <alignment wrapText="1"/>
    </xf>
    <xf numFmtId="164" fontId="8" fillId="7" borderId="12" xfId="1" applyFont="1" applyFill="1" applyBorder="1" applyAlignment="1">
      <alignment wrapText="1"/>
    </xf>
    <xf numFmtId="165" fontId="8" fillId="4" borderId="12" xfId="0" applyNumberFormat="1" applyFont="1" applyFill="1" applyBorder="1" applyAlignment="1">
      <alignment wrapText="1"/>
    </xf>
    <xf numFmtId="164" fontId="8" fillId="3" borderId="12" xfId="1" applyFont="1" applyFill="1" applyBorder="1" applyAlignment="1" applyProtection="1">
      <alignment wrapText="1"/>
    </xf>
    <xf numFmtId="164" fontId="8" fillId="3" borderId="13" xfId="1" applyFont="1" applyFill="1" applyBorder="1" applyAlignment="1">
      <alignment wrapText="1"/>
    </xf>
    <xf numFmtId="165" fontId="8" fillId="3" borderId="13" xfId="0" applyNumberFormat="1" applyFont="1" applyFill="1" applyBorder="1" applyAlignment="1">
      <alignment wrapText="1"/>
    </xf>
    <xf numFmtId="165" fontId="13" fillId="0" borderId="15" xfId="0" applyNumberFormat="1" applyFont="1" applyBorder="1" applyAlignment="1" applyProtection="1">
      <alignment wrapText="1"/>
      <protection locked="0"/>
    </xf>
    <xf numFmtId="165" fontId="8" fillId="3" borderId="14" xfId="0" applyNumberFormat="1" applyFont="1" applyFill="1" applyBorder="1" applyAlignment="1">
      <alignment wrapText="1"/>
    </xf>
    <xf numFmtId="0" fontId="8" fillId="3" borderId="38" xfId="0" applyFont="1" applyFill="1" applyBorder="1" applyAlignment="1">
      <alignment horizontal="left" wrapText="1"/>
    </xf>
    <xf numFmtId="0" fontId="8" fillId="3" borderId="42" xfId="0" applyFont="1" applyFill="1" applyBorder="1" applyAlignment="1">
      <alignment horizontal="left" wrapText="1"/>
    </xf>
    <xf numFmtId="0" fontId="8" fillId="3" borderId="16" xfId="0" applyFont="1" applyFill="1" applyBorder="1" applyAlignment="1">
      <alignment horizontal="left" wrapText="1"/>
    </xf>
    <xf numFmtId="164" fontId="8" fillId="3" borderId="13" xfId="1" applyFont="1" applyFill="1" applyBorder="1" applyAlignment="1" applyProtection="1">
      <alignment wrapText="1"/>
    </xf>
    <xf numFmtId="0" fontId="8" fillId="4" borderId="44" xfId="0" applyFont="1" applyFill="1" applyBorder="1" applyAlignment="1">
      <alignment horizontal="center" wrapText="1"/>
    </xf>
    <xf numFmtId="0" fontId="8" fillId="4" borderId="15" xfId="0" applyFont="1" applyFill="1" applyBorder="1" applyAlignment="1">
      <alignment horizontal="center" wrapText="1"/>
    </xf>
    <xf numFmtId="165" fontId="8" fillId="4" borderId="10" xfId="0" applyNumberFormat="1" applyFont="1" applyFill="1" applyBorder="1" applyAlignment="1">
      <alignment horizontal="center" wrapText="1"/>
    </xf>
    <xf numFmtId="0" fontId="19" fillId="4" borderId="28" xfId="0" applyFont="1" applyFill="1" applyBorder="1" applyAlignment="1">
      <alignment vertical="center" wrapText="1"/>
    </xf>
    <xf numFmtId="165" fontId="13" fillId="4" borderId="15" xfId="0" applyNumberFormat="1" applyFont="1" applyFill="1" applyBorder="1" applyAlignment="1">
      <alignment wrapText="1"/>
    </xf>
    <xf numFmtId="165" fontId="13" fillId="4" borderId="26" xfId="0" applyNumberFormat="1" applyFont="1" applyFill="1" applyBorder="1" applyAlignment="1">
      <alignment wrapText="1"/>
    </xf>
    <xf numFmtId="165" fontId="8" fillId="4" borderId="27" xfId="0" applyNumberFormat="1" applyFont="1" applyFill="1" applyBorder="1" applyAlignment="1">
      <alignment wrapText="1"/>
    </xf>
    <xf numFmtId="165" fontId="8" fillId="4" borderId="29" xfId="0" applyNumberFormat="1" applyFont="1" applyFill="1" applyBorder="1" applyAlignment="1">
      <alignment wrapText="1"/>
    </xf>
    <xf numFmtId="0" fontId="19" fillId="4" borderId="28" xfId="0" applyFont="1" applyFill="1" applyBorder="1" applyAlignment="1" applyProtection="1">
      <alignment vertical="center" wrapText="1"/>
      <protection locked="0"/>
    </xf>
    <xf numFmtId="164" fontId="13" fillId="3" borderId="0" xfId="1" applyFont="1" applyFill="1" applyBorder="1" applyAlignment="1" applyProtection="1">
      <alignment vertical="center" wrapText="1"/>
    </xf>
    <xf numFmtId="165" fontId="13" fillId="4" borderId="10" xfId="0" applyNumberFormat="1" applyFont="1" applyFill="1" applyBorder="1" applyAlignment="1">
      <alignment wrapText="1"/>
    </xf>
    <xf numFmtId="165" fontId="13" fillId="4" borderId="12" xfId="0" applyNumberFormat="1" applyFont="1" applyFill="1" applyBorder="1" applyAlignment="1">
      <alignment wrapText="1"/>
    </xf>
    <xf numFmtId="164" fontId="13" fillId="4" borderId="28" xfId="1" applyFont="1" applyFill="1" applyBorder="1" applyAlignment="1" applyProtection="1">
      <alignment wrapText="1"/>
    </xf>
    <xf numFmtId="164" fontId="13" fillId="4" borderId="10" xfId="1" applyFont="1" applyFill="1" applyBorder="1" applyAlignment="1">
      <alignment wrapText="1"/>
    </xf>
    <xf numFmtId="164" fontId="13" fillId="4" borderId="12" xfId="1" applyFont="1" applyFill="1" applyBorder="1" applyAlignment="1">
      <alignment wrapText="1"/>
    </xf>
    <xf numFmtId="165" fontId="13" fillId="4" borderId="29" xfId="0" applyNumberFormat="1" applyFont="1" applyFill="1" applyBorder="1" applyAlignment="1">
      <alignment wrapText="1"/>
    </xf>
    <xf numFmtId="0" fontId="13" fillId="4" borderId="30" xfId="0" applyFont="1" applyFill="1" applyBorder="1" applyAlignment="1">
      <alignment wrapText="1"/>
    </xf>
    <xf numFmtId="165" fontId="13" fillId="4" borderId="31" xfId="0" applyNumberFormat="1" applyFont="1" applyFill="1" applyBorder="1" applyAlignment="1">
      <alignment wrapText="1"/>
    </xf>
    <xf numFmtId="165" fontId="13" fillId="4" borderId="32" xfId="0" applyNumberFormat="1" applyFont="1" applyFill="1" applyBorder="1" applyAlignment="1">
      <alignment wrapText="1"/>
    </xf>
    <xf numFmtId="165" fontId="13" fillId="4" borderId="33" xfId="0" applyNumberFormat="1" applyFont="1" applyFill="1" applyBorder="1" applyAlignment="1">
      <alignment wrapText="1"/>
    </xf>
    <xf numFmtId="165" fontId="13" fillId="3" borderId="0" xfId="0" applyNumberFormat="1" applyFont="1" applyFill="1" applyAlignment="1">
      <alignment vertical="center" wrapText="1"/>
    </xf>
    <xf numFmtId="0" fontId="8" fillId="4" borderId="48" xfId="0" applyFont="1" applyFill="1" applyBorder="1" applyAlignment="1">
      <alignment wrapText="1"/>
    </xf>
    <xf numFmtId="166" fontId="8" fillId="4" borderId="49" xfId="0" applyNumberFormat="1" applyFont="1" applyFill="1" applyBorder="1" applyAlignment="1">
      <alignment wrapText="1"/>
    </xf>
    <xf numFmtId="166" fontId="8" fillId="4" borderId="50" xfId="0" applyNumberFormat="1" applyFont="1" applyFill="1" applyBorder="1" applyAlignment="1">
      <alignment wrapText="1"/>
    </xf>
    <xf numFmtId="166" fontId="8" fillId="4" borderId="51" xfId="0" applyNumberFormat="1" applyFont="1" applyFill="1" applyBorder="1" applyAlignment="1">
      <alignment wrapText="1"/>
    </xf>
    <xf numFmtId="165" fontId="8" fillId="0" borderId="0" xfId="0" applyNumberFormat="1" applyFont="1" applyAlignment="1">
      <alignment wrapText="1"/>
    </xf>
    <xf numFmtId="164" fontId="18" fillId="0" borderId="0" xfId="1" applyFont="1" applyFill="1" applyBorder="1" applyAlignment="1">
      <alignment horizontal="right" vertical="center" wrapText="1"/>
    </xf>
    <xf numFmtId="0" fontId="13" fillId="3" borderId="0" xfId="0" applyFont="1" applyFill="1" applyAlignment="1">
      <alignment horizontal="center" vertical="center" wrapText="1"/>
    </xf>
    <xf numFmtId="0" fontId="13" fillId="0" borderId="0" xfId="0" applyFont="1"/>
    <xf numFmtId="0" fontId="19" fillId="4" borderId="30" xfId="0" applyFont="1" applyFill="1" applyBorder="1" applyAlignment="1">
      <alignment vertical="center" wrapText="1"/>
    </xf>
    <xf numFmtId="165" fontId="8" fillId="4" borderId="33" xfId="0" applyNumberFormat="1" applyFont="1" applyFill="1" applyBorder="1" applyAlignment="1">
      <alignment wrapText="1"/>
    </xf>
    <xf numFmtId="164" fontId="13" fillId="4" borderId="52" xfId="1" applyFont="1" applyFill="1" applyBorder="1" applyAlignment="1" applyProtection="1">
      <alignment wrapText="1"/>
    </xf>
    <xf numFmtId="164" fontId="8" fillId="4" borderId="17" xfId="1" applyFont="1" applyFill="1" applyBorder="1" applyAlignment="1">
      <alignment wrapText="1"/>
    </xf>
    <xf numFmtId="164" fontId="8" fillId="4" borderId="53" xfId="1" applyFont="1" applyFill="1" applyBorder="1" applyAlignment="1">
      <alignment wrapText="1"/>
    </xf>
    <xf numFmtId="165" fontId="8" fillId="4" borderId="47" xfId="0" applyNumberFormat="1" applyFont="1" applyFill="1" applyBorder="1" applyAlignment="1">
      <alignment wrapText="1"/>
    </xf>
    <xf numFmtId="164" fontId="8" fillId="4" borderId="10" xfId="1" applyFont="1" applyFill="1" applyBorder="1" applyAlignment="1">
      <alignment wrapText="1"/>
    </xf>
    <xf numFmtId="164" fontId="8" fillId="4" borderId="30" xfId="1" applyFont="1" applyFill="1" applyBorder="1" applyAlignment="1" applyProtection="1">
      <alignment wrapText="1"/>
    </xf>
    <xf numFmtId="166" fontId="8" fillId="4" borderId="31" xfId="1" applyNumberFormat="1" applyFont="1" applyFill="1" applyBorder="1" applyAlignment="1">
      <alignment wrapText="1"/>
    </xf>
    <xf numFmtId="164" fontId="8" fillId="4" borderId="31" xfId="1" applyFont="1" applyFill="1" applyBorder="1" applyAlignment="1">
      <alignment wrapText="1"/>
    </xf>
    <xf numFmtId="0" fontId="13" fillId="4" borderId="37" xfId="0" applyFont="1" applyFill="1" applyBorder="1"/>
    <xf numFmtId="0" fontId="8" fillId="4" borderId="12" xfId="0" applyFont="1" applyFill="1" applyBorder="1" applyAlignment="1">
      <alignment horizontal="center" vertical="center" wrapText="1"/>
    </xf>
    <xf numFmtId="0" fontId="8" fillId="4" borderId="29" xfId="0" applyFont="1" applyFill="1" applyBorder="1" applyAlignment="1">
      <alignment horizontal="center" vertical="center" wrapText="1"/>
    </xf>
    <xf numFmtId="164" fontId="13" fillId="4" borderId="10" xfId="1" applyFont="1" applyFill="1" applyBorder="1" applyAlignment="1">
      <alignment vertical="center" wrapText="1"/>
    </xf>
    <xf numFmtId="165" fontId="8" fillId="4" borderId="12" xfId="2" applyNumberFormat="1" applyFont="1" applyFill="1" applyBorder="1" applyAlignment="1">
      <alignment vertical="center" wrapText="1"/>
    </xf>
    <xf numFmtId="9" fontId="8" fillId="4" borderId="29" xfId="2" applyFont="1" applyFill="1" applyBorder="1" applyAlignment="1">
      <alignment vertical="center" wrapText="1"/>
    </xf>
    <xf numFmtId="166" fontId="4" fillId="4" borderId="31" xfId="0" applyNumberFormat="1" applyFont="1" applyFill="1" applyBorder="1"/>
    <xf numFmtId="165" fontId="4" fillId="4" borderId="31" xfId="0" applyNumberFormat="1" applyFont="1" applyFill="1" applyBorder="1"/>
    <xf numFmtId="166" fontId="4" fillId="4" borderId="32" xfId="0" applyNumberFormat="1" applyFont="1" applyFill="1" applyBorder="1"/>
    <xf numFmtId="0" fontId="0" fillId="4" borderId="33" xfId="0" applyFill="1" applyBorder="1"/>
    <xf numFmtId="164" fontId="15" fillId="0" borderId="10" xfId="1" applyFont="1" applyFill="1" applyBorder="1" applyAlignment="1" applyProtection="1">
      <alignment horizontal="center" vertical="center" wrapText="1"/>
    </xf>
    <xf numFmtId="0" fontId="13" fillId="0" borderId="10" xfId="0" applyFont="1" applyBorder="1" applyAlignment="1" applyProtection="1">
      <alignment horizontal="left" vertical="top" wrapText="1"/>
      <protection locked="0"/>
    </xf>
    <xf numFmtId="164" fontId="13" fillId="0" borderId="10" xfId="1" applyFont="1" applyFill="1" applyBorder="1" applyAlignment="1" applyProtection="1">
      <alignment horizontal="left" vertical="top" wrapText="1"/>
      <protection locked="0"/>
    </xf>
    <xf numFmtId="0" fontId="5" fillId="0" borderId="0" xfId="0" applyFont="1" applyAlignment="1">
      <alignment horizontal="left" vertical="top" wrapText="1"/>
    </xf>
    <xf numFmtId="0" fontId="10" fillId="2" borderId="4" xfId="0" applyFont="1" applyFill="1" applyBorder="1" applyAlignment="1">
      <alignment horizontal="left" wrapText="1"/>
    </xf>
    <xf numFmtId="0" fontId="10" fillId="2" borderId="5" xfId="0" applyFont="1" applyFill="1" applyBorder="1" applyAlignment="1">
      <alignment horizontal="left" wrapText="1"/>
    </xf>
    <xf numFmtId="164" fontId="10" fillId="2" borderId="5" xfId="1" applyFont="1" applyFill="1" applyBorder="1" applyAlignment="1">
      <alignment horizontal="left" wrapText="1"/>
    </xf>
    <xf numFmtId="0" fontId="10" fillId="2" borderId="6" xfId="0" applyFont="1" applyFill="1" applyBorder="1" applyAlignment="1">
      <alignment horizontal="left" wrapText="1"/>
    </xf>
    <xf numFmtId="0" fontId="12" fillId="2" borderId="7" xfId="0" applyFont="1" applyFill="1" applyBorder="1" applyAlignment="1">
      <alignment horizontal="left" wrapText="1"/>
    </xf>
    <xf numFmtId="0" fontId="12" fillId="2" borderId="8" xfId="0" applyFont="1" applyFill="1" applyBorder="1" applyAlignment="1">
      <alignment horizontal="left" wrapText="1"/>
    </xf>
    <xf numFmtId="0" fontId="12" fillId="2" borderId="9" xfId="0" applyFont="1" applyFill="1" applyBorder="1" applyAlignment="1">
      <alignment horizontal="left" wrapText="1"/>
    </xf>
    <xf numFmtId="49" fontId="8" fillId="3" borderId="10" xfId="0" applyNumberFormat="1" applyFont="1" applyFill="1" applyBorder="1" applyAlignment="1" applyProtection="1">
      <alignment horizontal="left" vertical="top" wrapText="1"/>
      <protection locked="0"/>
    </xf>
    <xf numFmtId="164" fontId="8" fillId="3" borderId="10" xfId="1" applyFont="1" applyFill="1" applyBorder="1" applyAlignment="1" applyProtection="1">
      <alignment horizontal="left" vertical="top" wrapText="1"/>
      <protection locked="0"/>
    </xf>
    <xf numFmtId="49" fontId="13" fillId="3" borderId="10" xfId="0" applyNumberFormat="1" applyFont="1" applyFill="1" applyBorder="1" applyAlignment="1" applyProtection="1">
      <alignment horizontal="left" vertical="top" wrapText="1"/>
      <protection locked="0"/>
    </xf>
    <xf numFmtId="164" fontId="13" fillId="3" borderId="10" xfId="1" applyFont="1" applyFill="1" applyBorder="1" applyAlignment="1" applyProtection="1">
      <alignment horizontal="left" vertical="top" wrapText="1"/>
      <protection locked="0"/>
    </xf>
    <xf numFmtId="0" fontId="13" fillId="3" borderId="10" xfId="0" applyFont="1" applyFill="1" applyBorder="1" applyAlignment="1" applyProtection="1">
      <alignment horizontal="left" vertical="top" wrapText="1"/>
      <protection locked="0"/>
    </xf>
    <xf numFmtId="0" fontId="8" fillId="3" borderId="10" xfId="0" applyFont="1" applyFill="1" applyBorder="1" applyAlignment="1" applyProtection="1">
      <alignment horizontal="left" vertical="top" wrapText="1"/>
      <protection locked="0"/>
    </xf>
    <xf numFmtId="0" fontId="13" fillId="3" borderId="12" xfId="0" applyFont="1" applyFill="1" applyBorder="1" applyAlignment="1" applyProtection="1">
      <alignment horizontal="left" vertical="top" wrapText="1"/>
      <protection locked="0"/>
    </xf>
    <xf numFmtId="0" fontId="13" fillId="3" borderId="13" xfId="0" applyFont="1" applyFill="1" applyBorder="1" applyAlignment="1" applyProtection="1">
      <alignment horizontal="left" vertical="top" wrapText="1"/>
      <protection locked="0"/>
    </xf>
    <xf numFmtId="0" fontId="13" fillId="3" borderId="14" xfId="0" applyFont="1" applyFill="1" applyBorder="1" applyAlignment="1" applyProtection="1">
      <alignment horizontal="left" vertical="top" wrapText="1"/>
      <protection locked="0"/>
    </xf>
    <xf numFmtId="164" fontId="13" fillId="3" borderId="11" xfId="1" applyFont="1" applyFill="1" applyBorder="1" applyAlignment="1" applyProtection="1">
      <alignment horizontal="center" vertical="center" wrapText="1"/>
      <protection locked="0"/>
    </xf>
    <xf numFmtId="164" fontId="13" fillId="3" borderId="17" xfId="1" applyFont="1" applyFill="1" applyBorder="1" applyAlignment="1" applyProtection="1">
      <alignment horizontal="center" vertical="center" wrapText="1"/>
      <protection locked="0"/>
    </xf>
    <xf numFmtId="164" fontId="13" fillId="3" borderId="15" xfId="1" applyFont="1" applyFill="1" applyBorder="1" applyAlignment="1" applyProtection="1">
      <alignment horizontal="center" vertical="center" wrapText="1"/>
      <protection locked="0"/>
    </xf>
    <xf numFmtId="0" fontId="0" fillId="0" borderId="42" xfId="0" applyBorder="1" applyAlignment="1">
      <alignment horizontal="center" wrapText="1"/>
    </xf>
    <xf numFmtId="0" fontId="0" fillId="0" borderId="0" xfId="0" applyAlignment="1">
      <alignment horizontal="center" wrapText="1"/>
    </xf>
    <xf numFmtId="0" fontId="0" fillId="0" borderId="22" xfId="0" applyBorder="1" applyAlignment="1">
      <alignment horizontal="center" wrapText="1"/>
    </xf>
    <xf numFmtId="164" fontId="13" fillId="3" borderId="18" xfId="1" applyFont="1" applyFill="1" applyBorder="1" applyAlignment="1" applyProtection="1">
      <alignment horizontal="center" vertical="center" wrapText="1"/>
      <protection locked="0"/>
    </xf>
    <xf numFmtId="164" fontId="13" fillId="3" borderId="16" xfId="1" applyFont="1" applyFill="1" applyBorder="1" applyAlignment="1" applyProtection="1">
      <alignment horizontal="center" vertical="center" wrapText="1"/>
      <protection locked="0"/>
    </xf>
    <xf numFmtId="164" fontId="13" fillId="0" borderId="11" xfId="1" applyFont="1" applyFill="1" applyBorder="1" applyAlignment="1" applyProtection="1">
      <alignment horizontal="center" vertical="center" wrapText="1"/>
      <protection locked="0"/>
    </xf>
    <xf numFmtId="164" fontId="13" fillId="0" borderId="15" xfId="1" applyFont="1" applyFill="1" applyBorder="1" applyAlignment="1" applyProtection="1">
      <alignment horizontal="center" vertical="center" wrapText="1"/>
      <protection locked="0"/>
    </xf>
    <xf numFmtId="0" fontId="18" fillId="4" borderId="10" xfId="0" applyFont="1" applyFill="1" applyBorder="1" applyAlignment="1">
      <alignment horizontal="left" vertical="center" wrapText="1"/>
    </xf>
    <xf numFmtId="164" fontId="13" fillId="3" borderId="10" xfId="1" applyFont="1" applyFill="1" applyBorder="1" applyAlignment="1" applyProtection="1">
      <alignment horizontal="center" vertical="center" wrapText="1"/>
      <protection locked="0"/>
    </xf>
    <xf numFmtId="164" fontId="13" fillId="0" borderId="10" xfId="1" applyFont="1" applyFill="1" applyBorder="1" applyAlignment="1" applyProtection="1">
      <alignment horizontal="center" vertical="center" wrapText="1"/>
      <protection locked="0"/>
    </xf>
    <xf numFmtId="164" fontId="13" fillId="3" borderId="12" xfId="1"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0" fillId="8" borderId="30" xfId="0" applyFill="1" applyBorder="1" applyAlignment="1">
      <alignment horizontal="center" vertical="center" wrapText="1"/>
    </xf>
    <xf numFmtId="0" fontId="0" fillId="8" borderId="33" xfId="0"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5" xfId="0" applyFont="1" applyFill="1" applyBorder="1" applyAlignment="1">
      <alignment horizontal="center" vertical="center" wrapText="1"/>
    </xf>
    <xf numFmtId="164" fontId="8" fillId="4" borderId="24" xfId="1" applyFont="1" applyFill="1" applyBorder="1" applyAlignment="1" applyProtection="1">
      <alignment horizontal="center" vertical="center" wrapText="1"/>
    </xf>
    <xf numFmtId="164" fontId="8" fillId="4" borderId="27" xfId="1" applyFont="1" applyFill="1" applyBorder="1" applyAlignment="1" applyProtection="1">
      <alignment horizontal="center" vertical="center" wrapText="1"/>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12" xfId="0" applyFont="1" applyFill="1" applyBorder="1" applyAlignment="1">
      <alignment horizontal="left" wrapText="1"/>
    </xf>
    <xf numFmtId="0" fontId="8" fillId="4" borderId="13" xfId="0" applyFont="1" applyFill="1" applyBorder="1" applyAlignment="1">
      <alignment horizontal="left" wrapText="1"/>
    </xf>
    <xf numFmtId="0" fontId="8" fillId="4" borderId="14" xfId="0" applyFont="1" applyFill="1" applyBorder="1" applyAlignment="1">
      <alignment horizontal="left" wrapText="1"/>
    </xf>
    <xf numFmtId="0" fontId="8" fillId="4" borderId="7" xfId="0" applyFont="1" applyFill="1" applyBorder="1" applyAlignment="1">
      <alignment horizontal="center" wrapText="1"/>
    </xf>
    <xf numFmtId="0" fontId="8" fillId="4" borderId="8" xfId="0" applyFont="1" applyFill="1" applyBorder="1" applyAlignment="1">
      <alignment horizontal="center" wrapText="1"/>
    </xf>
    <xf numFmtId="0" fontId="8" fillId="4" borderId="9" xfId="0" applyFont="1" applyFill="1" applyBorder="1" applyAlignment="1">
      <alignment horizontal="center" wrapText="1"/>
    </xf>
    <xf numFmtId="0" fontId="8" fillId="4" borderId="47" xfId="0" applyFont="1" applyFill="1" applyBorder="1" applyAlignment="1">
      <alignment horizontal="center" vertical="center" wrapText="1"/>
    </xf>
    <xf numFmtId="0" fontId="9" fillId="2" borderId="1" xfId="0" applyFont="1" applyFill="1" applyBorder="1" applyAlignment="1">
      <alignment horizontal="left" wrapText="1"/>
    </xf>
    <xf numFmtId="0" fontId="9" fillId="2" borderId="2" xfId="0" applyFont="1" applyFill="1" applyBorder="1" applyAlignment="1">
      <alignment horizontal="left" wrapText="1"/>
    </xf>
    <xf numFmtId="0" fontId="9" fillId="2" borderId="43" xfId="0" applyFont="1" applyFill="1" applyBorder="1" applyAlignment="1">
      <alignment horizontal="left" wrapText="1"/>
    </xf>
    <xf numFmtId="0" fontId="10" fillId="2" borderId="4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45"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46" xfId="0" applyFont="1" applyFill="1" applyBorder="1" applyAlignment="1">
      <alignment horizontal="left" vertical="center" wrapText="1"/>
    </xf>
    <xf numFmtId="0" fontId="8" fillId="2" borderId="7" xfId="0" applyFont="1" applyFill="1" applyBorder="1" applyAlignment="1">
      <alignment horizontal="left" wrapText="1"/>
    </xf>
    <xf numFmtId="0" fontId="8" fillId="2" borderId="8" xfId="0" applyFont="1" applyFill="1" applyBorder="1" applyAlignment="1">
      <alignment horizontal="left" wrapText="1"/>
    </xf>
    <xf numFmtId="0" fontId="8" fillId="2" borderId="9" xfId="0" applyFont="1" applyFill="1" applyBorder="1" applyAlignment="1">
      <alignment horizontal="left"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cellXfs>
  <cellStyles count="4">
    <cellStyle name="Currency" xfId="1" builtinId="4"/>
    <cellStyle name="Currency 2" xfId="3" xr:uid="{B9D30E97-A3A9-42C0-BD98-2163B338A8A2}"/>
    <cellStyle name="Normal" xfId="0" builtinId="0"/>
    <cellStyle name="Per cent" xfId="2"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din/Downloads/CS.1109%20Report%20from%205%20November%202021%20to%2031%20May%202024.xlsx" TargetMode="External"/><Relationship Id="rId1" Type="http://schemas.openxmlformats.org/officeDocument/2006/relationships/externalLinkPath" Target="file:///C:/Users/madin/Downloads/CS.1109%20Report%20from%205%20November%202021%20to%2031%20May%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din/Documents/WFP%202022-2024/2.%20Project%20documents/Copy%20of%20Copy%20of%2021211007-Annex%20D_Budget%20for%20PAC-updated%20WFP-IOM_Sheet%205%20fixed.xlsx" TargetMode="External"/><Relationship Id="rId1" Type="http://schemas.openxmlformats.org/officeDocument/2006/relationships/externalLinkPath" Target="file:///C:/Users/madin/Documents/WFP%202022-2024/2.%20Project%20documents/Copy%20of%20Copy%20of%2021211007-Annex%20D_Budget%20for%20PAC-updated%20WFP-IOM_Sheet%205%20fix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Budget Table "/>
      <sheetName val="ZDSR"/>
      <sheetName val="ZCJI3"/>
      <sheetName val="ZPMR"/>
      <sheetName val="Budget IOM GN (copy) (2)"/>
    </sheetNames>
    <sheetDataSet>
      <sheetData sheetId="0"/>
      <sheetData sheetId="1"/>
      <sheetData sheetId="2"/>
      <sheetData sheetId="3">
        <row r="18">
          <cell r="L18">
            <v>9864.2900000000009</v>
          </cell>
        </row>
        <row r="19">
          <cell r="L19">
            <v>35621.93</v>
          </cell>
        </row>
        <row r="20">
          <cell r="L20">
            <v>146954.03</v>
          </cell>
        </row>
        <row r="21">
          <cell r="L21">
            <v>30355.24</v>
          </cell>
        </row>
        <row r="22">
          <cell r="L22">
            <v>19077.310000000001</v>
          </cell>
        </row>
        <row r="23">
          <cell r="L23">
            <v>33661.96</v>
          </cell>
        </row>
        <row r="24">
          <cell r="L24">
            <v>24788.3</v>
          </cell>
        </row>
        <row r="25">
          <cell r="L25">
            <v>18929.93</v>
          </cell>
        </row>
        <row r="26">
          <cell r="L26">
            <v>10229.65</v>
          </cell>
        </row>
        <row r="28">
          <cell r="L28">
            <v>19281.78</v>
          </cell>
        </row>
        <row r="29">
          <cell r="L29">
            <v>9849.74</v>
          </cell>
        </row>
        <row r="30">
          <cell r="L30">
            <v>43951.199999999997</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Budget Table"/>
      <sheetName val="2) By Category"/>
      <sheetName val="3) Explanatory Notes"/>
      <sheetName val="4) -For PBSO Use-"/>
      <sheetName val="5) -For MPTF Use-"/>
      <sheetName val="Dropdowns"/>
      <sheetName val="Sheet2"/>
    </sheetNames>
    <sheetDataSet>
      <sheetData sheetId="0">
        <row r="13">
          <cell r="D13" t="str">
            <v xml:space="preserve"> WFP SL</v>
          </cell>
          <cell r="E13" t="str">
            <v xml:space="preserve">  WFP GUI</v>
          </cell>
          <cell r="F13" t="str">
            <v>IOM SL</v>
          </cell>
          <cell r="G13" t="str">
            <v>IOM GUI</v>
          </cell>
          <cell r="H13"/>
          <cell r="I13"/>
        </row>
        <row r="24">
          <cell r="D24">
            <v>55100</v>
          </cell>
          <cell r="E24">
            <v>55100</v>
          </cell>
          <cell r="F24">
            <v>0</v>
          </cell>
          <cell r="G24"/>
          <cell r="H24"/>
          <cell r="I24"/>
        </row>
        <row r="34">
          <cell r="D34">
            <v>34700</v>
          </cell>
          <cell r="E34">
            <v>34700</v>
          </cell>
          <cell r="F34">
            <v>0</v>
          </cell>
        </row>
        <row r="44">
          <cell r="D44">
            <v>53600</v>
          </cell>
          <cell r="E44">
            <v>53600</v>
          </cell>
          <cell r="F44">
            <v>0</v>
          </cell>
        </row>
        <row r="54">
          <cell r="D54">
            <v>31600</v>
          </cell>
          <cell r="E54">
            <v>31600</v>
          </cell>
          <cell r="F54">
            <v>0</v>
          </cell>
        </row>
        <row r="66">
          <cell r="D66">
            <v>251744.77000000019</v>
          </cell>
          <cell r="E66">
            <v>251744.77000000019</v>
          </cell>
          <cell r="F66">
            <v>0</v>
          </cell>
        </row>
        <row r="76">
          <cell r="D76">
            <v>292730.72499999998</v>
          </cell>
          <cell r="E76">
            <v>292730.72499999998</v>
          </cell>
          <cell r="F76">
            <v>0</v>
          </cell>
        </row>
        <row r="86">
          <cell r="D86">
            <v>435253.27</v>
          </cell>
          <cell r="E86">
            <v>435253.27</v>
          </cell>
          <cell r="F86">
            <v>0</v>
          </cell>
        </row>
        <row r="96">
          <cell r="D96">
            <v>0</v>
          </cell>
          <cell r="E96">
            <v>0</v>
          </cell>
          <cell r="F96">
            <v>0</v>
          </cell>
        </row>
        <row r="108">
          <cell r="D108">
            <v>0</v>
          </cell>
          <cell r="E108">
            <v>0</v>
          </cell>
          <cell r="F108">
            <v>215804.32</v>
          </cell>
          <cell r="G108">
            <v>215805.2</v>
          </cell>
        </row>
        <row r="118">
          <cell r="D118">
            <v>0</v>
          </cell>
          <cell r="E118">
            <v>0</v>
          </cell>
          <cell r="F118">
            <v>285312.44</v>
          </cell>
          <cell r="G118">
            <v>285312.44</v>
          </cell>
        </row>
        <row r="128">
          <cell r="D128">
            <v>0</v>
          </cell>
          <cell r="E128">
            <v>0</v>
          </cell>
          <cell r="F128">
            <v>151482.32</v>
          </cell>
          <cell r="G128">
            <v>151482.32</v>
          </cell>
        </row>
        <row r="138">
          <cell r="D138">
            <v>0</v>
          </cell>
          <cell r="E138">
            <v>0</v>
          </cell>
          <cell r="F138">
            <v>0</v>
          </cell>
        </row>
        <row r="150">
          <cell r="D150">
            <v>0</v>
          </cell>
          <cell r="E150">
            <v>0</v>
          </cell>
          <cell r="F150">
            <v>0</v>
          </cell>
        </row>
        <row r="160">
          <cell r="D160">
            <v>0</v>
          </cell>
          <cell r="E160">
            <v>0</v>
          </cell>
          <cell r="F160">
            <v>0</v>
          </cell>
        </row>
        <row r="170">
          <cell r="D170">
            <v>0</v>
          </cell>
          <cell r="E170">
            <v>0</v>
          </cell>
          <cell r="F170">
            <v>0</v>
          </cell>
        </row>
        <row r="180">
          <cell r="D180">
            <v>0</v>
          </cell>
          <cell r="E180">
            <v>0</v>
          </cell>
          <cell r="F180">
            <v>0</v>
          </cell>
        </row>
        <row r="187">
          <cell r="D187">
            <v>532680</v>
          </cell>
          <cell r="E187">
            <v>35000</v>
          </cell>
          <cell r="F187">
            <v>35000</v>
          </cell>
          <cell r="G187">
            <v>35000</v>
          </cell>
        </row>
        <row r="206">
          <cell r="D206">
            <v>1263869.1649850002</v>
          </cell>
          <cell r="E206">
            <v>891106.84498500009</v>
          </cell>
          <cell r="F206">
            <v>515011.71091999998</v>
          </cell>
          <cell r="G206">
            <v>515012.37003999995</v>
          </cell>
          <cell r="H206">
            <v>0</v>
          </cell>
          <cell r="I206">
            <v>0</v>
          </cell>
          <cell r="J206">
            <v>3185000.0909299999</v>
          </cell>
          <cell r="K206">
            <v>0.7</v>
          </cell>
        </row>
        <row r="207">
          <cell r="D207">
            <v>541658.2135650001</v>
          </cell>
          <cell r="E207">
            <v>381902.93356500001</v>
          </cell>
          <cell r="F207">
            <v>220719.30468</v>
          </cell>
          <cell r="G207">
            <v>220719.58715999997</v>
          </cell>
          <cell r="H207">
            <v>0</v>
          </cell>
          <cell r="I207">
            <v>0</v>
          </cell>
          <cell r="J207">
            <v>1365000.0389700001</v>
          </cell>
          <cell r="K207">
            <v>0.3</v>
          </cell>
        </row>
        <row r="208">
          <cell r="D208">
            <v>0</v>
          </cell>
          <cell r="E208">
            <v>0</v>
          </cell>
          <cell r="F208">
            <v>0</v>
          </cell>
          <cell r="G208">
            <v>0</v>
          </cell>
          <cell r="H208">
            <v>0</v>
          </cell>
          <cell r="I208">
            <v>0</v>
          </cell>
          <cell r="J208">
            <v>0</v>
          </cell>
          <cell r="K208">
            <v>0</v>
          </cell>
        </row>
        <row r="209">
          <cell r="D209">
            <v>1805527.3785500003</v>
          </cell>
          <cell r="E209">
            <v>1273009.7785500002</v>
          </cell>
          <cell r="F209">
            <v>735731.01560000004</v>
          </cell>
          <cell r="G209">
            <v>735731.95719999995</v>
          </cell>
          <cell r="H209">
            <v>0</v>
          </cell>
          <cell r="I209">
            <v>0</v>
          </cell>
          <cell r="J209">
            <v>4550000.1299000001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32D2-17BA-4BF5-B2CA-B2A673596F62}">
  <dimension ref="A2:U231"/>
  <sheetViews>
    <sheetView tabSelected="1" topLeftCell="B2" zoomScale="75" zoomScaleNormal="70" workbookViewId="0">
      <selection activeCell="J24" sqref="J24"/>
    </sheetView>
  </sheetViews>
  <sheetFormatPr baseColWidth="10" defaultColWidth="9.33203125" defaultRowHeight="15" x14ac:dyDescent="0.2"/>
  <cols>
    <col min="1" max="1" width="0" style="5" hidden="1" customWidth="1"/>
    <col min="2" max="2" width="30.6640625" style="5" customWidth="1"/>
    <col min="3" max="3" width="32.5" style="5" customWidth="1"/>
    <col min="4" max="5" width="23.33203125" style="5" customWidth="1"/>
    <col min="6" max="7" width="23.33203125" style="5" bestFit="1" customWidth="1"/>
    <col min="8" max="9" width="23.33203125" style="5" hidden="1" customWidth="1"/>
    <col min="10" max="10" width="19" style="5" customWidth="1"/>
    <col min="11" max="11" width="22.33203125" style="5" bestFit="1" customWidth="1"/>
    <col min="12" max="12" width="22.33203125" style="5" hidden="1" customWidth="1"/>
    <col min="13" max="13" width="20.5" style="7" bestFit="1" customWidth="1"/>
    <col min="14" max="14" width="20.5" style="8" bestFit="1" customWidth="1"/>
    <col min="15" max="16" width="22.5" style="7" customWidth="1"/>
    <col min="17" max="17" width="30.33203125" style="5" hidden="1" customWidth="1"/>
    <col min="18" max="18" width="18.6640625" style="5" customWidth="1"/>
    <col min="19" max="19" width="21.83203125" style="5" customWidth="1"/>
    <col min="20" max="20" width="17.6640625" style="5" customWidth="1"/>
    <col min="21" max="21" width="26.5" style="5" customWidth="1"/>
    <col min="22" max="22" width="22.5" style="5" customWidth="1"/>
    <col min="23" max="23" width="29.6640625" style="5" customWidth="1"/>
    <col min="24" max="24" width="23.5" style="5" customWidth="1"/>
    <col min="25" max="25" width="18.5" style="5" customWidth="1"/>
    <col min="26" max="26" width="17.5" style="5" customWidth="1"/>
    <col min="27" max="27" width="25.33203125" style="5" customWidth="1"/>
    <col min="28" max="16384" width="9.33203125" style="5"/>
  </cols>
  <sheetData>
    <row r="2" spans="2:18" ht="47.25" customHeight="1" x14ac:dyDescent="0.55000000000000004">
      <c r="B2" s="228" t="s">
        <v>0</v>
      </c>
      <c r="C2" s="228"/>
      <c r="D2" s="228"/>
      <c r="E2" s="228"/>
      <c r="F2" s="1"/>
      <c r="G2" s="1"/>
      <c r="H2" s="1"/>
      <c r="I2" s="1"/>
      <c r="J2" s="1"/>
      <c r="K2" s="2"/>
      <c r="L2" s="2"/>
      <c r="M2" s="3"/>
      <c r="N2" s="4"/>
      <c r="O2" s="3"/>
      <c r="P2" s="3"/>
      <c r="Q2" s="2"/>
    </row>
    <row r="3" spans="2:18" ht="16" hidden="1" x14ac:dyDescent="0.2">
      <c r="B3" s="6"/>
    </row>
    <row r="4" spans="2:18" ht="16" hidden="1" x14ac:dyDescent="0.2">
      <c r="B4" s="6"/>
    </row>
    <row r="5" spans="2:18" ht="36.75" hidden="1" customHeight="1" x14ac:dyDescent="0.45">
      <c r="B5" s="9" t="s">
        <v>1</v>
      </c>
      <c r="C5" s="10"/>
      <c r="D5" s="10"/>
      <c r="E5" s="10"/>
      <c r="F5" s="10"/>
      <c r="G5" s="10"/>
      <c r="H5" s="10"/>
      <c r="I5" s="10"/>
      <c r="J5" s="10"/>
      <c r="K5" s="11"/>
      <c r="L5" s="11"/>
      <c r="M5" s="12"/>
      <c r="N5" s="13"/>
      <c r="O5" s="12"/>
      <c r="P5" s="12"/>
      <c r="Q5" s="14"/>
    </row>
    <row r="6" spans="2:18" ht="175.5" hidden="1" customHeight="1" x14ac:dyDescent="0.25">
      <c r="B6" s="229" t="s">
        <v>2</v>
      </c>
      <c r="C6" s="230"/>
      <c r="D6" s="230"/>
      <c r="E6" s="230"/>
      <c r="F6" s="230"/>
      <c r="G6" s="230"/>
      <c r="H6" s="230"/>
      <c r="I6" s="230"/>
      <c r="J6" s="230"/>
      <c r="K6" s="230"/>
      <c r="L6" s="230"/>
      <c r="M6" s="231"/>
      <c r="N6" s="231"/>
      <c r="O6" s="231"/>
      <c r="P6" s="231"/>
      <c r="Q6" s="232"/>
    </row>
    <row r="7" spans="2:18" hidden="1" x14ac:dyDescent="0.2">
      <c r="B7" s="15"/>
    </row>
    <row r="8" spans="2:18" hidden="1" x14ac:dyDescent="0.2"/>
    <row r="9" spans="2:18" ht="27" hidden="1" customHeight="1" x14ac:dyDescent="0.3">
      <c r="B9" s="233" t="s">
        <v>3</v>
      </c>
      <c r="C9" s="234"/>
      <c r="D9" s="234"/>
      <c r="E9" s="234"/>
      <c r="F9" s="234"/>
      <c r="G9" s="234"/>
      <c r="H9" s="234"/>
      <c r="I9" s="234"/>
      <c r="J9" s="234"/>
      <c r="K9" s="235"/>
      <c r="L9" s="16"/>
      <c r="M9" s="17"/>
      <c r="N9" s="18"/>
      <c r="O9" s="17"/>
      <c r="P9" s="17"/>
    </row>
    <row r="10" spans="2:18" hidden="1" x14ac:dyDescent="0.2"/>
    <row r="11" spans="2:18" ht="25.5" hidden="1" customHeight="1" x14ac:dyDescent="0.2">
      <c r="D11" s="19"/>
      <c r="E11" s="19"/>
      <c r="F11" s="19"/>
      <c r="G11" s="19"/>
      <c r="H11" s="19"/>
      <c r="I11" s="19"/>
      <c r="J11" s="19"/>
      <c r="M11" s="8"/>
      <c r="O11" s="8"/>
      <c r="P11" s="8"/>
      <c r="Q11" s="20"/>
      <c r="R11" s="20"/>
    </row>
    <row r="12" spans="2:18" ht="99.75" customHeight="1" x14ac:dyDescent="0.2">
      <c r="B12" s="21" t="s">
        <v>4</v>
      </c>
      <c r="C12" s="21" t="s">
        <v>5</v>
      </c>
      <c r="D12" s="21" t="s">
        <v>6</v>
      </c>
      <c r="E12" s="21" t="s">
        <v>7</v>
      </c>
      <c r="F12" s="21" t="s">
        <v>8</v>
      </c>
      <c r="G12" s="22" t="s">
        <v>9</v>
      </c>
      <c r="H12" s="22" t="s">
        <v>10</v>
      </c>
      <c r="I12" s="22" t="s">
        <v>11</v>
      </c>
      <c r="J12" s="22" t="s">
        <v>12</v>
      </c>
      <c r="K12" s="21" t="s">
        <v>13</v>
      </c>
      <c r="L12" s="21"/>
      <c r="M12" s="21" t="s">
        <v>253</v>
      </c>
      <c r="N12" s="21" t="s">
        <v>253</v>
      </c>
      <c r="O12" s="21" t="s">
        <v>253</v>
      </c>
      <c r="P12" s="21" t="s">
        <v>253</v>
      </c>
      <c r="Q12" s="21" t="s">
        <v>14</v>
      </c>
      <c r="R12" s="23"/>
    </row>
    <row r="13" spans="2:18" ht="18.75" customHeight="1" x14ac:dyDescent="0.2">
      <c r="B13" s="21"/>
      <c r="C13" s="21"/>
      <c r="D13" s="24" t="s">
        <v>15</v>
      </c>
      <c r="E13" s="24" t="s">
        <v>16</v>
      </c>
      <c r="F13" s="24" t="s">
        <v>17</v>
      </c>
      <c r="G13" s="24" t="s">
        <v>18</v>
      </c>
      <c r="H13" s="24"/>
      <c r="I13" s="24"/>
      <c r="J13" s="22"/>
      <c r="K13" s="21"/>
      <c r="L13" s="21"/>
      <c r="M13" s="225" t="s">
        <v>17</v>
      </c>
      <c r="N13" s="25" t="s">
        <v>18</v>
      </c>
      <c r="O13" s="25" t="s">
        <v>19</v>
      </c>
      <c r="P13" s="25" t="s">
        <v>20</v>
      </c>
      <c r="Q13" s="21"/>
      <c r="R13" s="23"/>
    </row>
    <row r="14" spans="2:18" ht="51" customHeight="1" x14ac:dyDescent="0.2">
      <c r="B14" s="26" t="s">
        <v>21</v>
      </c>
      <c r="C14" s="236" t="s">
        <v>22</v>
      </c>
      <c r="D14" s="236"/>
      <c r="E14" s="236"/>
      <c r="F14" s="236"/>
      <c r="G14" s="236"/>
      <c r="H14" s="236"/>
      <c r="I14" s="236"/>
      <c r="J14" s="236"/>
      <c r="K14" s="236"/>
      <c r="L14" s="236"/>
      <c r="M14" s="237"/>
      <c r="N14" s="237"/>
      <c r="O14" s="237"/>
      <c r="P14" s="237"/>
      <c r="Q14" s="236"/>
      <c r="R14" s="27"/>
    </row>
    <row r="15" spans="2:18" ht="51" customHeight="1" x14ac:dyDescent="0.2">
      <c r="B15" s="26" t="s">
        <v>23</v>
      </c>
      <c r="C15" s="238" t="s">
        <v>24</v>
      </c>
      <c r="D15" s="238"/>
      <c r="E15" s="238"/>
      <c r="F15" s="238"/>
      <c r="G15" s="238"/>
      <c r="H15" s="238"/>
      <c r="I15" s="238"/>
      <c r="J15" s="238"/>
      <c r="K15" s="238"/>
      <c r="L15" s="238"/>
      <c r="M15" s="239"/>
      <c r="N15" s="239"/>
      <c r="O15" s="239"/>
      <c r="P15" s="239"/>
      <c r="Q15" s="238"/>
      <c r="R15" s="28"/>
    </row>
    <row r="16" spans="2:18" ht="34" x14ac:dyDescent="0.2">
      <c r="B16" s="29" t="s">
        <v>25</v>
      </c>
      <c r="C16" s="30" t="s">
        <v>26</v>
      </c>
      <c r="D16" s="31">
        <v>15000</v>
      </c>
      <c r="E16" s="31">
        <v>15000</v>
      </c>
      <c r="F16" s="31"/>
      <c r="G16" s="31"/>
      <c r="H16" s="31"/>
      <c r="I16" s="31"/>
      <c r="J16" s="32">
        <f>SUM(D16:F16)</f>
        <v>30000</v>
      </c>
      <c r="K16" s="33"/>
      <c r="L16" s="33"/>
      <c r="M16" s="31"/>
      <c r="N16" s="31"/>
      <c r="O16" s="31">
        <f>4194.67+107.98+10000</f>
        <v>14302.65</v>
      </c>
      <c r="P16" s="31">
        <v>9580.2642910886443</v>
      </c>
      <c r="Q16" s="34"/>
      <c r="R16" s="35"/>
    </row>
    <row r="17" spans="1:21" ht="51" x14ac:dyDescent="0.2">
      <c r="B17" s="29" t="s">
        <v>27</v>
      </c>
      <c r="C17" s="30" t="s">
        <v>28</v>
      </c>
      <c r="D17" s="31">
        <v>22600</v>
      </c>
      <c r="E17" s="31">
        <v>22600</v>
      </c>
      <c r="F17" s="31"/>
      <c r="G17" s="31"/>
      <c r="H17" s="31"/>
      <c r="I17" s="31"/>
      <c r="J17" s="32">
        <f t="shared" ref="J17:J23" si="0">SUM(D17:F17)</f>
        <v>45200</v>
      </c>
      <c r="K17" s="33"/>
      <c r="L17" s="33"/>
      <c r="M17" s="31"/>
      <c r="N17" s="31"/>
      <c r="O17" s="31">
        <f>638.3+2245.45+2245.45+4194.67+10000</f>
        <v>19323.87</v>
      </c>
      <c r="P17" s="31">
        <v>11550.749280507876</v>
      </c>
      <c r="Q17" s="34"/>
      <c r="R17" s="35"/>
      <c r="S17" s="39"/>
      <c r="T17" s="39"/>
    </row>
    <row r="18" spans="1:21" ht="34" x14ac:dyDescent="0.2">
      <c r="B18" s="29" t="s">
        <v>29</v>
      </c>
      <c r="C18" s="30" t="s">
        <v>30</v>
      </c>
      <c r="D18" s="31">
        <v>17500</v>
      </c>
      <c r="E18" s="31">
        <v>17500</v>
      </c>
      <c r="F18" s="31"/>
      <c r="G18" s="31"/>
      <c r="H18" s="31"/>
      <c r="I18" s="31"/>
      <c r="J18" s="32">
        <f>SUM(D18:F18)</f>
        <v>35000</v>
      </c>
      <c r="K18" s="33">
        <v>0.5</v>
      </c>
      <c r="L18" s="33"/>
      <c r="M18" s="31"/>
      <c r="N18" s="31"/>
      <c r="O18" s="31">
        <f>2245.45+638.3+10000</f>
        <v>12883.75</v>
      </c>
      <c r="P18" s="31">
        <v>13151.253160122267</v>
      </c>
      <c r="Q18" s="34"/>
      <c r="R18" s="35"/>
      <c r="S18" s="39"/>
      <c r="T18" s="36"/>
    </row>
    <row r="19" spans="1:21" ht="17" hidden="1" x14ac:dyDescent="0.2">
      <c r="B19" s="29" t="s">
        <v>31</v>
      </c>
      <c r="C19" s="30"/>
      <c r="D19" s="31"/>
      <c r="E19" s="31"/>
      <c r="F19" s="31"/>
      <c r="G19" s="31"/>
      <c r="H19" s="31"/>
      <c r="I19" s="31"/>
      <c r="J19" s="32">
        <f t="shared" si="0"/>
        <v>0</v>
      </c>
      <c r="K19" s="33"/>
      <c r="L19" s="33"/>
      <c r="M19" s="31"/>
      <c r="N19" s="31"/>
      <c r="O19" s="31"/>
      <c r="P19" s="31"/>
      <c r="Q19" s="34"/>
      <c r="R19" s="35"/>
    </row>
    <row r="20" spans="1:21" ht="17" hidden="1" x14ac:dyDescent="0.2">
      <c r="B20" s="29" t="s">
        <v>32</v>
      </c>
      <c r="C20" s="30"/>
      <c r="D20" s="31"/>
      <c r="E20" s="31"/>
      <c r="F20" s="31"/>
      <c r="G20" s="31"/>
      <c r="H20" s="31"/>
      <c r="I20" s="31"/>
      <c r="J20" s="32">
        <f t="shared" si="0"/>
        <v>0</v>
      </c>
      <c r="K20" s="33"/>
      <c r="L20" s="33"/>
      <c r="M20" s="31"/>
      <c r="N20" s="31"/>
      <c r="O20" s="31"/>
      <c r="P20" s="31"/>
      <c r="Q20" s="34"/>
      <c r="R20" s="35"/>
    </row>
    <row r="21" spans="1:21" ht="17" hidden="1" x14ac:dyDescent="0.2">
      <c r="B21" s="29" t="s">
        <v>33</v>
      </c>
      <c r="C21" s="30"/>
      <c r="D21" s="31"/>
      <c r="E21" s="31"/>
      <c r="F21" s="31"/>
      <c r="G21" s="31"/>
      <c r="H21" s="31"/>
      <c r="I21" s="31"/>
      <c r="J21" s="32">
        <f t="shared" si="0"/>
        <v>0</v>
      </c>
      <c r="K21" s="33"/>
      <c r="L21" s="33"/>
      <c r="M21" s="31"/>
      <c r="N21" s="31"/>
      <c r="O21" s="31"/>
      <c r="P21" s="31"/>
      <c r="Q21" s="34"/>
      <c r="R21" s="35"/>
    </row>
    <row r="22" spans="1:21" ht="17" hidden="1" x14ac:dyDescent="0.2">
      <c r="B22" s="29" t="s">
        <v>34</v>
      </c>
      <c r="C22" s="30"/>
      <c r="D22" s="31"/>
      <c r="E22" s="31"/>
      <c r="F22" s="31"/>
      <c r="G22" s="31"/>
      <c r="H22" s="31"/>
      <c r="I22" s="31"/>
      <c r="J22" s="32">
        <f t="shared" si="0"/>
        <v>0</v>
      </c>
      <c r="K22" s="33"/>
      <c r="L22" s="33"/>
      <c r="M22" s="31"/>
      <c r="N22" s="31"/>
      <c r="O22" s="31"/>
      <c r="P22" s="31"/>
      <c r="Q22" s="34"/>
      <c r="R22" s="35"/>
    </row>
    <row r="23" spans="1:21" ht="17" hidden="1" x14ac:dyDescent="0.2">
      <c r="A23" s="20"/>
      <c r="B23" s="29" t="s">
        <v>35</v>
      </c>
      <c r="C23" s="30"/>
      <c r="D23" s="31"/>
      <c r="E23" s="31"/>
      <c r="F23" s="31"/>
      <c r="G23" s="31"/>
      <c r="H23" s="31"/>
      <c r="I23" s="31"/>
      <c r="J23" s="32">
        <f t="shared" si="0"/>
        <v>0</v>
      </c>
      <c r="K23" s="33"/>
      <c r="L23" s="33"/>
      <c r="M23" s="31"/>
      <c r="N23" s="31"/>
      <c r="O23" s="31"/>
      <c r="P23" s="31"/>
      <c r="Q23" s="34"/>
    </row>
    <row r="24" spans="1:21" ht="17" x14ac:dyDescent="0.2">
      <c r="A24" s="20"/>
      <c r="C24" s="37" t="s">
        <v>36</v>
      </c>
      <c r="D24" s="25">
        <f>SUM(D16:D23)</f>
        <v>55100</v>
      </c>
      <c r="E24" s="25">
        <f>SUM(E16:E23)</f>
        <v>55100</v>
      </c>
      <c r="F24" s="25">
        <f>SUM(F16:F23)</f>
        <v>0</v>
      </c>
      <c r="G24" s="25"/>
      <c r="H24" s="25"/>
      <c r="I24" s="25"/>
      <c r="J24" s="25">
        <f>SUM(J16:J23)</f>
        <v>110200</v>
      </c>
      <c r="K24" s="25">
        <f>(K16*J16)+(K17*J17)+(K18*J18)+(K19*J19)+(K20*J20)+(K21*J21)+(K22*J22)+(K23*J23)</f>
        <v>17500</v>
      </c>
      <c r="L24" s="25"/>
      <c r="M24" s="25">
        <f>SUM(M16:M23)</f>
        <v>0</v>
      </c>
      <c r="N24" s="25">
        <f>SUM(N16:N23)</f>
        <v>0</v>
      </c>
      <c r="O24" s="25">
        <f>SUM(O16:O23)</f>
        <v>46510.27</v>
      </c>
      <c r="P24" s="25">
        <f>SUM(P16:P23)</f>
        <v>34282.266731718788</v>
      </c>
      <c r="Q24" s="34"/>
      <c r="R24" s="38"/>
    </row>
    <row r="25" spans="1:21" ht="51" customHeight="1" x14ac:dyDescent="0.2">
      <c r="A25" s="20"/>
      <c r="B25" s="26" t="s">
        <v>37</v>
      </c>
      <c r="C25" s="226" t="s">
        <v>38</v>
      </c>
      <c r="D25" s="226"/>
      <c r="E25" s="226"/>
      <c r="F25" s="226"/>
      <c r="G25" s="226"/>
      <c r="H25" s="226"/>
      <c r="I25" s="226"/>
      <c r="J25" s="226"/>
      <c r="K25" s="226"/>
      <c r="L25" s="226"/>
      <c r="M25" s="227"/>
      <c r="N25" s="227"/>
      <c r="O25" s="227"/>
      <c r="P25" s="227"/>
      <c r="Q25" s="226"/>
      <c r="R25" s="28"/>
    </row>
    <row r="26" spans="1:21" ht="34" x14ac:dyDescent="0.2">
      <c r="A26" s="20"/>
      <c r="B26" s="29" t="s">
        <v>39</v>
      </c>
      <c r="C26" s="30" t="s">
        <v>40</v>
      </c>
      <c r="D26" s="31">
        <v>14100</v>
      </c>
      <c r="E26" s="31">
        <v>14100</v>
      </c>
      <c r="F26" s="31"/>
      <c r="G26" s="31"/>
      <c r="H26" s="31"/>
      <c r="I26" s="31"/>
      <c r="J26" s="32">
        <f>SUM(D26:F26)</f>
        <v>28200</v>
      </c>
      <c r="K26" s="33">
        <v>0.5</v>
      </c>
      <c r="L26" s="33"/>
      <c r="M26" s="31"/>
      <c r="N26" s="31"/>
      <c r="O26" s="31">
        <f>19920.33</f>
        <v>19920.330000000002</v>
      </c>
      <c r="P26" s="31">
        <v>13269.064291088644</v>
      </c>
      <c r="Q26" s="34"/>
      <c r="R26" s="35"/>
      <c r="S26" s="39"/>
      <c r="T26" s="36"/>
      <c r="U26" s="39"/>
    </row>
    <row r="27" spans="1:21" ht="17" x14ac:dyDescent="0.2">
      <c r="A27" s="20"/>
      <c r="B27" s="29" t="s">
        <v>41</v>
      </c>
      <c r="C27" s="30" t="s">
        <v>42</v>
      </c>
      <c r="D27" s="31">
        <v>500</v>
      </c>
      <c r="E27" s="31">
        <v>500</v>
      </c>
      <c r="F27" s="31"/>
      <c r="G27" s="31"/>
      <c r="H27" s="31"/>
      <c r="I27" s="31"/>
      <c r="J27" s="32">
        <f t="shared" ref="J27:J33" si="1">SUM(D27:F27)</f>
        <v>1000</v>
      </c>
      <c r="K27" s="33">
        <v>0.5</v>
      </c>
      <c r="L27" s="33"/>
      <c r="M27" s="31"/>
      <c r="N27" s="31"/>
      <c r="O27" s="31">
        <f>2475.89</f>
        <v>2475.89</v>
      </c>
      <c r="P27" s="31">
        <v>12020.674291088644</v>
      </c>
      <c r="Q27" s="34"/>
      <c r="R27" s="35"/>
      <c r="S27" s="39"/>
    </row>
    <row r="28" spans="1:21" ht="102" x14ac:dyDescent="0.2">
      <c r="A28" s="20"/>
      <c r="B28" s="29" t="s">
        <v>43</v>
      </c>
      <c r="C28" s="30" t="s">
        <v>44</v>
      </c>
      <c r="D28" s="31">
        <v>0</v>
      </c>
      <c r="E28" s="31">
        <v>0</v>
      </c>
      <c r="F28" s="31"/>
      <c r="G28" s="31"/>
      <c r="H28" s="31"/>
      <c r="I28" s="31"/>
      <c r="J28" s="32">
        <f t="shared" si="1"/>
        <v>0</v>
      </c>
      <c r="K28" s="33"/>
      <c r="L28" s="33"/>
      <c r="M28" s="31"/>
      <c r="N28" s="31"/>
      <c r="O28" s="31">
        <f>5170.4</f>
        <v>5170.3999999999996</v>
      </c>
      <c r="P28" s="31">
        <v>22793.914291088644</v>
      </c>
      <c r="Q28" s="34"/>
      <c r="R28" s="35"/>
    </row>
    <row r="29" spans="1:21" ht="68" x14ac:dyDescent="0.2">
      <c r="A29" s="20"/>
      <c r="B29" s="29" t="s">
        <v>45</v>
      </c>
      <c r="C29" s="30" t="s">
        <v>46</v>
      </c>
      <c r="D29" s="31">
        <v>20100</v>
      </c>
      <c r="E29" s="31">
        <v>20100</v>
      </c>
      <c r="F29" s="31"/>
      <c r="G29" s="31"/>
      <c r="H29" s="31"/>
      <c r="I29" s="31"/>
      <c r="J29" s="32">
        <f t="shared" si="1"/>
        <v>40200</v>
      </c>
      <c r="K29" s="33">
        <v>0.5</v>
      </c>
      <c r="L29" s="33"/>
      <c r="M29" s="31"/>
      <c r="N29" s="31"/>
      <c r="O29" s="31">
        <f>20885.19+756.99</f>
        <v>21642.18</v>
      </c>
      <c r="P29" s="31">
        <v>30322.65628497531</v>
      </c>
      <c r="Q29" s="34"/>
      <c r="R29" s="35"/>
      <c r="S29" s="39"/>
    </row>
    <row r="30" spans="1:21" ht="34" x14ac:dyDescent="0.2">
      <c r="A30" s="20"/>
      <c r="B30" s="29" t="s">
        <v>47</v>
      </c>
      <c r="C30" s="30" t="s">
        <v>48</v>
      </c>
      <c r="D30" s="31">
        <v>0</v>
      </c>
      <c r="E30" s="31">
        <v>0</v>
      </c>
      <c r="F30" s="31"/>
      <c r="G30" s="31"/>
      <c r="H30" s="31"/>
      <c r="I30" s="31"/>
      <c r="J30" s="32">
        <f t="shared" si="1"/>
        <v>0</v>
      </c>
      <c r="K30" s="33"/>
      <c r="L30" s="33"/>
      <c r="M30" s="31"/>
      <c r="N30" s="31"/>
      <c r="O30" s="31"/>
      <c r="P30" s="31"/>
      <c r="Q30" s="34"/>
      <c r="R30" s="35"/>
    </row>
    <row r="31" spans="1:21" ht="17" hidden="1" x14ac:dyDescent="0.2">
      <c r="A31" s="20"/>
      <c r="B31" s="29" t="s">
        <v>49</v>
      </c>
      <c r="C31" s="30"/>
      <c r="D31" s="40"/>
      <c r="E31" s="40"/>
      <c r="F31" s="40"/>
      <c r="G31" s="40"/>
      <c r="H31" s="40"/>
      <c r="I31" s="40"/>
      <c r="J31" s="41">
        <f t="shared" si="1"/>
        <v>0</v>
      </c>
      <c r="K31" s="42"/>
      <c r="L31" s="42"/>
      <c r="M31" s="40"/>
      <c r="N31" s="31"/>
      <c r="O31" s="40"/>
      <c r="P31" s="40"/>
      <c r="Q31" s="43"/>
      <c r="R31" s="35"/>
    </row>
    <row r="32" spans="1:21" ht="17" hidden="1" x14ac:dyDescent="0.2">
      <c r="A32" s="20"/>
      <c r="B32" s="29" t="s">
        <v>50</v>
      </c>
      <c r="C32" s="44"/>
      <c r="D32" s="45"/>
      <c r="E32" s="45"/>
      <c r="F32" s="45"/>
      <c r="G32" s="45"/>
      <c r="H32" s="45"/>
      <c r="I32" s="45"/>
      <c r="J32" s="41">
        <f t="shared" si="1"/>
        <v>0</v>
      </c>
      <c r="K32" s="46"/>
      <c r="L32" s="46"/>
      <c r="M32" s="45"/>
      <c r="N32" s="31"/>
      <c r="O32" s="45"/>
      <c r="P32" s="45"/>
      <c r="Q32" s="47"/>
      <c r="R32" s="35"/>
    </row>
    <row r="33" spans="1:20" ht="17" hidden="1" x14ac:dyDescent="0.2">
      <c r="A33" s="20"/>
      <c r="B33" s="29" t="s">
        <v>51</v>
      </c>
      <c r="C33" s="44"/>
      <c r="D33" s="45"/>
      <c r="E33" s="45"/>
      <c r="F33" s="45"/>
      <c r="G33" s="45"/>
      <c r="H33" s="45"/>
      <c r="I33" s="45"/>
      <c r="J33" s="41">
        <f t="shared" si="1"/>
        <v>0</v>
      </c>
      <c r="K33" s="46"/>
      <c r="L33" s="46"/>
      <c r="M33" s="45"/>
      <c r="N33" s="31"/>
      <c r="O33" s="45"/>
      <c r="P33" s="45"/>
      <c r="Q33" s="47"/>
      <c r="R33" s="35"/>
    </row>
    <row r="34" spans="1:20" ht="17" x14ac:dyDescent="0.2">
      <c r="A34" s="20"/>
      <c r="C34" s="26" t="s">
        <v>36</v>
      </c>
      <c r="D34" s="48">
        <f>SUM(D26:D33)</f>
        <v>34700</v>
      </c>
      <c r="E34" s="48">
        <f>SUM(E26:E33)</f>
        <v>34700</v>
      </c>
      <c r="F34" s="48">
        <f>SUM(F26:F33)</f>
        <v>0</v>
      </c>
      <c r="G34" s="48"/>
      <c r="H34" s="48"/>
      <c r="I34" s="48"/>
      <c r="J34" s="48">
        <f>SUM(J26:J33)</f>
        <v>69400</v>
      </c>
      <c r="K34" s="49">
        <f>(K26*J26)+(K27*J27)+(K28*J28)+(K29*J29)+(K30*J30)+(K31*J31)+(K32*J32)+(K33*J33)</f>
        <v>34700</v>
      </c>
      <c r="L34" s="49"/>
      <c r="M34" s="49">
        <f>SUM(M26:M33)</f>
        <v>0</v>
      </c>
      <c r="N34" s="49">
        <f>SUM(N26:N33)</f>
        <v>0</v>
      </c>
      <c r="O34" s="49">
        <f>SUM(O26:O33)</f>
        <v>49208.800000000003</v>
      </c>
      <c r="P34" s="49">
        <f>SUM(P26:P33)</f>
        <v>78406.309158241245</v>
      </c>
      <c r="Q34" s="47"/>
      <c r="R34" s="38"/>
    </row>
    <row r="35" spans="1:20" ht="51" customHeight="1" x14ac:dyDescent="0.2">
      <c r="A35" s="20"/>
      <c r="B35" s="26" t="s">
        <v>52</v>
      </c>
      <c r="C35" s="240" t="s">
        <v>53</v>
      </c>
      <c r="D35" s="240"/>
      <c r="E35" s="240"/>
      <c r="F35" s="240"/>
      <c r="G35" s="240"/>
      <c r="H35" s="240"/>
      <c r="I35" s="240"/>
      <c r="J35" s="240"/>
      <c r="K35" s="240"/>
      <c r="L35" s="240"/>
      <c r="M35" s="239"/>
      <c r="N35" s="239"/>
      <c r="O35" s="239"/>
      <c r="P35" s="239"/>
      <c r="Q35" s="240"/>
      <c r="R35" s="28"/>
    </row>
    <row r="36" spans="1:20" ht="119" x14ac:dyDescent="0.2">
      <c r="A36" s="20"/>
      <c r="B36" s="29" t="s">
        <v>54</v>
      </c>
      <c r="C36" s="30" t="s">
        <v>55</v>
      </c>
      <c r="D36" s="40">
        <v>12550</v>
      </c>
      <c r="E36" s="40">
        <v>12550</v>
      </c>
      <c r="F36" s="40"/>
      <c r="G36" s="40"/>
      <c r="H36" s="40"/>
      <c r="I36" s="40"/>
      <c r="J36" s="41">
        <f>SUM(D36:F36)</f>
        <v>25100</v>
      </c>
      <c r="K36" s="42">
        <v>1</v>
      </c>
      <c r="L36" s="42"/>
      <c r="M36" s="40"/>
      <c r="N36" s="31"/>
      <c r="O36" s="40">
        <f>2245.45+5000+2245.45</f>
        <v>9490.9</v>
      </c>
      <c r="P36" s="40">
        <v>14204.194860098754</v>
      </c>
      <c r="Q36" s="43"/>
      <c r="R36" s="35"/>
      <c r="S36" s="39"/>
      <c r="T36" s="50"/>
    </row>
    <row r="37" spans="1:20" ht="51" x14ac:dyDescent="0.2">
      <c r="A37" s="20"/>
      <c r="B37" s="29" t="s">
        <v>56</v>
      </c>
      <c r="C37" s="30" t="s">
        <v>57</v>
      </c>
      <c r="D37" s="40">
        <v>12550</v>
      </c>
      <c r="E37" s="40">
        <v>12550</v>
      </c>
      <c r="F37" s="40"/>
      <c r="G37" s="40"/>
      <c r="H37" s="40"/>
      <c r="I37" s="40"/>
      <c r="J37" s="41">
        <f t="shared" ref="J37:J43" si="2">SUM(D37:F37)</f>
        <v>25100</v>
      </c>
      <c r="K37" s="42">
        <v>0.5</v>
      </c>
      <c r="L37" s="42"/>
      <c r="M37" s="40"/>
      <c r="N37" s="31"/>
      <c r="O37" s="40">
        <f>2329.26+2245.45+2245.45+1283.03+86.93+615.13</f>
        <v>8805.25</v>
      </c>
      <c r="P37" s="40">
        <v>9795.6042910886445</v>
      </c>
      <c r="Q37" s="43"/>
      <c r="R37" s="35"/>
      <c r="S37" s="39"/>
    </row>
    <row r="38" spans="1:20" ht="136" x14ac:dyDescent="0.2">
      <c r="A38" s="20"/>
      <c r="B38" s="29" t="s">
        <v>58</v>
      </c>
      <c r="C38" s="30" t="s">
        <v>59</v>
      </c>
      <c r="D38" s="40">
        <v>28500</v>
      </c>
      <c r="E38" s="40">
        <v>28500</v>
      </c>
      <c r="F38" s="40"/>
      <c r="G38" s="40"/>
      <c r="H38" s="40"/>
      <c r="I38" s="40"/>
      <c r="J38" s="41">
        <f t="shared" si="2"/>
        <v>57000</v>
      </c>
      <c r="K38" s="42">
        <v>1</v>
      </c>
      <c r="L38" s="42"/>
      <c r="M38" s="40"/>
      <c r="N38" s="31"/>
      <c r="O38" s="40">
        <f>4223.43+2245.45+2245.45+1244.6+7836.08+1131.39+9436.57</f>
        <v>28362.97</v>
      </c>
      <c r="P38" s="40">
        <v>36081.865499647305</v>
      </c>
      <c r="Q38" s="43"/>
      <c r="R38" s="35"/>
      <c r="S38" s="39"/>
    </row>
    <row r="39" spans="1:20" ht="17" hidden="1" x14ac:dyDescent="0.2">
      <c r="A39" s="20"/>
      <c r="B39" s="29" t="s">
        <v>60</v>
      </c>
      <c r="C39" s="30"/>
      <c r="D39" s="40"/>
      <c r="E39" s="40"/>
      <c r="F39" s="40"/>
      <c r="G39" s="40"/>
      <c r="H39" s="40"/>
      <c r="I39" s="40"/>
      <c r="J39" s="41">
        <f t="shared" si="2"/>
        <v>0</v>
      </c>
      <c r="K39" s="42"/>
      <c r="L39" s="42"/>
      <c r="M39" s="40"/>
      <c r="N39" s="31"/>
      <c r="O39" s="40"/>
      <c r="P39" s="40"/>
      <c r="Q39" s="43"/>
      <c r="R39" s="35"/>
    </row>
    <row r="40" spans="1:20" s="20" customFormat="1" ht="17" hidden="1" x14ac:dyDescent="0.2">
      <c r="B40" s="29" t="s">
        <v>61</v>
      </c>
      <c r="C40" s="30"/>
      <c r="D40" s="40"/>
      <c r="E40" s="40"/>
      <c r="F40" s="40"/>
      <c r="G40" s="40"/>
      <c r="H40" s="40"/>
      <c r="I40" s="40"/>
      <c r="J40" s="41">
        <f t="shared" si="2"/>
        <v>0</v>
      </c>
      <c r="K40" s="42"/>
      <c r="L40" s="42"/>
      <c r="M40" s="40"/>
      <c r="N40" s="31"/>
      <c r="O40" s="40"/>
      <c r="P40" s="40"/>
      <c r="Q40" s="43"/>
      <c r="R40" s="35"/>
    </row>
    <row r="41" spans="1:20" s="20" customFormat="1" ht="17" hidden="1" x14ac:dyDescent="0.2">
      <c r="B41" s="29" t="s">
        <v>62</v>
      </c>
      <c r="C41" s="30"/>
      <c r="D41" s="40"/>
      <c r="E41" s="40"/>
      <c r="F41" s="40"/>
      <c r="G41" s="40"/>
      <c r="H41" s="40"/>
      <c r="I41" s="40"/>
      <c r="J41" s="41">
        <f t="shared" si="2"/>
        <v>0</v>
      </c>
      <c r="K41" s="42"/>
      <c r="L41" s="42"/>
      <c r="M41" s="40"/>
      <c r="N41" s="31"/>
      <c r="O41" s="40"/>
      <c r="P41" s="40"/>
      <c r="Q41" s="43"/>
      <c r="R41" s="35"/>
    </row>
    <row r="42" spans="1:20" s="20" customFormat="1" ht="17" hidden="1" x14ac:dyDescent="0.2">
      <c r="A42" s="5"/>
      <c r="B42" s="29" t="s">
        <v>63</v>
      </c>
      <c r="C42" s="44"/>
      <c r="D42" s="45"/>
      <c r="E42" s="45"/>
      <c r="F42" s="45"/>
      <c r="G42" s="45"/>
      <c r="H42" s="45"/>
      <c r="I42" s="45"/>
      <c r="J42" s="41">
        <f t="shared" si="2"/>
        <v>0</v>
      </c>
      <c r="K42" s="46"/>
      <c r="L42" s="46"/>
      <c r="M42" s="45"/>
      <c r="N42" s="31"/>
      <c r="O42" s="45"/>
      <c r="P42" s="45"/>
      <c r="Q42" s="47"/>
      <c r="R42" s="35"/>
    </row>
    <row r="43" spans="1:20" ht="17" hidden="1" x14ac:dyDescent="0.2">
      <c r="B43" s="29" t="s">
        <v>64</v>
      </c>
      <c r="C43" s="44"/>
      <c r="D43" s="45"/>
      <c r="E43" s="45"/>
      <c r="F43" s="45"/>
      <c r="G43" s="45"/>
      <c r="H43" s="45"/>
      <c r="I43" s="45"/>
      <c r="J43" s="41">
        <f t="shared" si="2"/>
        <v>0</v>
      </c>
      <c r="K43" s="46"/>
      <c r="L43" s="46"/>
      <c r="M43" s="45"/>
      <c r="N43" s="31"/>
      <c r="O43" s="45"/>
      <c r="P43" s="45"/>
      <c r="Q43" s="47"/>
      <c r="R43" s="35"/>
    </row>
    <row r="44" spans="1:20" ht="17" x14ac:dyDescent="0.2">
      <c r="C44" s="26" t="s">
        <v>36</v>
      </c>
      <c r="D44" s="48">
        <f>SUM(D36:D43)</f>
        <v>53600</v>
      </c>
      <c r="E44" s="48">
        <f>SUM(E36:E43)</f>
        <v>53600</v>
      </c>
      <c r="F44" s="48">
        <f>SUM(F36:F43)</f>
        <v>0</v>
      </c>
      <c r="G44" s="48"/>
      <c r="H44" s="48"/>
      <c r="I44" s="48"/>
      <c r="J44" s="48">
        <f>SUM(J36:J43)</f>
        <v>107200</v>
      </c>
      <c r="K44" s="49">
        <f>(K36*J36)+(K37*J37)+(K38*J38)+(K39*J39)+(K40*J40)+(K41*J41)+(K42*J42)+(K43*J43)</f>
        <v>94650</v>
      </c>
      <c r="L44" s="49"/>
      <c r="M44" s="49">
        <f>SUM(M36:M43)</f>
        <v>0</v>
      </c>
      <c r="N44" s="49">
        <f>SUM(N36:N43)</f>
        <v>0</v>
      </c>
      <c r="O44" s="49">
        <f>SUM(O36:O43)</f>
        <v>46659.12</v>
      </c>
      <c r="P44" s="49">
        <f>SUM(P36:P43)</f>
        <v>60081.664650834704</v>
      </c>
      <c r="Q44" s="47"/>
      <c r="R44" s="38"/>
    </row>
    <row r="45" spans="1:20" ht="51" customHeight="1" x14ac:dyDescent="0.2">
      <c r="B45" s="26" t="s">
        <v>65</v>
      </c>
      <c r="C45" s="240" t="s">
        <v>66</v>
      </c>
      <c r="D45" s="240"/>
      <c r="E45" s="240"/>
      <c r="F45" s="240"/>
      <c r="G45" s="240"/>
      <c r="H45" s="240"/>
      <c r="I45" s="240"/>
      <c r="J45" s="240"/>
      <c r="K45" s="240"/>
      <c r="L45" s="240"/>
      <c r="M45" s="239"/>
      <c r="N45" s="239"/>
      <c r="O45" s="239"/>
      <c r="P45" s="239"/>
      <c r="Q45" s="240"/>
      <c r="R45" s="28"/>
    </row>
    <row r="46" spans="1:20" ht="51" x14ac:dyDescent="0.2">
      <c r="B46" s="29" t="s">
        <v>67</v>
      </c>
      <c r="C46" s="30" t="s">
        <v>68</v>
      </c>
      <c r="D46" s="40">
        <v>31600</v>
      </c>
      <c r="E46" s="40">
        <v>31600</v>
      </c>
      <c r="F46" s="40"/>
      <c r="G46" s="40"/>
      <c r="H46" s="40"/>
      <c r="I46" s="40"/>
      <c r="J46" s="41">
        <f>SUM(D46:F46)</f>
        <v>63200</v>
      </c>
      <c r="K46" s="42">
        <v>0.5</v>
      </c>
      <c r="L46" s="42"/>
      <c r="M46" s="40"/>
      <c r="N46" s="31"/>
      <c r="O46" s="40">
        <f>12902.13+11618.34+2245.45+2245.45+869.82</f>
        <v>29881.190000000002</v>
      </c>
      <c r="P46" s="40">
        <v>24487.892866212085</v>
      </c>
      <c r="Q46" s="43"/>
      <c r="R46" s="35"/>
      <c r="S46" s="39"/>
    </row>
    <row r="47" spans="1:20" ht="17" hidden="1" x14ac:dyDescent="0.2">
      <c r="B47" s="29" t="s">
        <v>69</v>
      </c>
      <c r="C47" s="30"/>
      <c r="D47" s="40"/>
      <c r="E47" s="40"/>
      <c r="F47" s="40"/>
      <c r="G47" s="40"/>
      <c r="H47" s="40"/>
      <c r="I47" s="40"/>
      <c r="J47" s="41">
        <f t="shared" ref="J47:J53" si="3">SUM(D47:F47)</f>
        <v>0</v>
      </c>
      <c r="K47" s="42"/>
      <c r="L47" s="42"/>
      <c r="M47" s="40"/>
      <c r="N47" s="31"/>
      <c r="O47" s="40"/>
      <c r="P47" s="40"/>
      <c r="Q47" s="43"/>
      <c r="R47" s="35"/>
    </row>
    <row r="48" spans="1:20" ht="17" hidden="1" x14ac:dyDescent="0.2">
      <c r="B48" s="29" t="s">
        <v>70</v>
      </c>
      <c r="C48" s="30"/>
      <c r="D48" s="40"/>
      <c r="E48" s="40"/>
      <c r="F48" s="40"/>
      <c r="G48" s="40"/>
      <c r="H48" s="40"/>
      <c r="I48" s="40"/>
      <c r="J48" s="41">
        <f t="shared" si="3"/>
        <v>0</v>
      </c>
      <c r="K48" s="42"/>
      <c r="L48" s="42"/>
      <c r="M48" s="40"/>
      <c r="N48" s="31"/>
      <c r="O48" s="40"/>
      <c r="P48" s="40"/>
      <c r="Q48" s="43"/>
      <c r="R48" s="35"/>
    </row>
    <row r="49" spans="1:20" ht="17" hidden="1" x14ac:dyDescent="0.2">
      <c r="B49" s="29" t="s">
        <v>71</v>
      </c>
      <c r="C49" s="30"/>
      <c r="D49" s="40"/>
      <c r="E49" s="40"/>
      <c r="F49" s="40"/>
      <c r="G49" s="40"/>
      <c r="H49" s="40"/>
      <c r="I49" s="40"/>
      <c r="J49" s="41">
        <f t="shared" si="3"/>
        <v>0</v>
      </c>
      <c r="K49" s="42"/>
      <c r="L49" s="42"/>
      <c r="M49" s="40"/>
      <c r="N49" s="31"/>
      <c r="O49" s="40"/>
      <c r="P49" s="40"/>
      <c r="Q49" s="43"/>
      <c r="R49" s="35"/>
    </row>
    <row r="50" spans="1:20" ht="17" hidden="1" x14ac:dyDescent="0.2">
      <c r="B50" s="29" t="s">
        <v>72</v>
      </c>
      <c r="C50" s="30"/>
      <c r="D50" s="40"/>
      <c r="E50" s="40"/>
      <c r="F50" s="40"/>
      <c r="G50" s="40"/>
      <c r="H50" s="40"/>
      <c r="I50" s="40"/>
      <c r="J50" s="41">
        <f t="shared" si="3"/>
        <v>0</v>
      </c>
      <c r="K50" s="42"/>
      <c r="L50" s="42"/>
      <c r="M50" s="40"/>
      <c r="N50" s="31"/>
      <c r="O50" s="40"/>
      <c r="P50" s="40"/>
      <c r="Q50" s="43"/>
      <c r="R50" s="35"/>
    </row>
    <row r="51" spans="1:20" ht="17" hidden="1" x14ac:dyDescent="0.2">
      <c r="A51" s="20"/>
      <c r="B51" s="29" t="s">
        <v>73</v>
      </c>
      <c r="C51" s="30"/>
      <c r="D51" s="40"/>
      <c r="E51" s="40"/>
      <c r="F51" s="40"/>
      <c r="G51" s="40"/>
      <c r="H51" s="40"/>
      <c r="I51" s="40"/>
      <c r="J51" s="41">
        <f t="shared" si="3"/>
        <v>0</v>
      </c>
      <c r="K51" s="42"/>
      <c r="L51" s="42"/>
      <c r="M51" s="40"/>
      <c r="N51" s="31"/>
      <c r="O51" s="40"/>
      <c r="P51" s="40"/>
      <c r="Q51" s="43"/>
      <c r="R51" s="35"/>
    </row>
    <row r="52" spans="1:20" s="20" customFormat="1" ht="17" hidden="1" x14ac:dyDescent="0.2">
      <c r="A52" s="5"/>
      <c r="B52" s="29" t="s">
        <v>74</v>
      </c>
      <c r="C52" s="44"/>
      <c r="D52" s="45"/>
      <c r="E52" s="45"/>
      <c r="F52" s="45"/>
      <c r="G52" s="45"/>
      <c r="H52" s="45"/>
      <c r="I52" s="45"/>
      <c r="J52" s="41">
        <f t="shared" si="3"/>
        <v>0</v>
      </c>
      <c r="K52" s="46"/>
      <c r="L52" s="46"/>
      <c r="M52" s="45"/>
      <c r="N52" s="31"/>
      <c r="O52" s="45"/>
      <c r="P52" s="45"/>
      <c r="Q52" s="47"/>
      <c r="R52" s="35"/>
    </row>
    <row r="53" spans="1:20" ht="17" hidden="1" x14ac:dyDescent="0.2">
      <c r="B53" s="29" t="s">
        <v>75</v>
      </c>
      <c r="C53" s="44"/>
      <c r="D53" s="45"/>
      <c r="E53" s="45"/>
      <c r="F53" s="45"/>
      <c r="G53" s="45"/>
      <c r="H53" s="45"/>
      <c r="I53" s="45"/>
      <c r="J53" s="41">
        <f t="shared" si="3"/>
        <v>0</v>
      </c>
      <c r="K53" s="46"/>
      <c r="L53" s="46"/>
      <c r="M53" s="45"/>
      <c r="N53" s="31"/>
      <c r="O53" s="45"/>
      <c r="P53" s="45"/>
      <c r="Q53" s="47"/>
      <c r="R53" s="35"/>
    </row>
    <row r="54" spans="1:20" ht="17" x14ac:dyDescent="0.2">
      <c r="C54" s="26" t="s">
        <v>36</v>
      </c>
      <c r="D54" s="49">
        <f>SUM(D46:D53)</f>
        <v>31600</v>
      </c>
      <c r="E54" s="49">
        <f>SUM(E46:E53)</f>
        <v>31600</v>
      </c>
      <c r="F54" s="49">
        <f>SUM(F46:F53)</f>
        <v>0</v>
      </c>
      <c r="G54" s="49"/>
      <c r="H54" s="49"/>
      <c r="I54" s="49"/>
      <c r="J54" s="49">
        <f>SUM(J46:J53)</f>
        <v>63200</v>
      </c>
      <c r="K54" s="49">
        <f>(K46*J46)+(K47*J47)+(K48*J48)+(K49*J49)+(K50*J50)+(K51*J51)+(K52*J52)+(K53*J53)</f>
        <v>31600</v>
      </c>
      <c r="L54" s="49"/>
      <c r="M54" s="49">
        <f>SUM(M46:M53)</f>
        <v>0</v>
      </c>
      <c r="N54" s="49">
        <f>SUM(N46:N53)</f>
        <v>0</v>
      </c>
      <c r="O54" s="49">
        <f>SUM(O46:O53)</f>
        <v>29881.190000000002</v>
      </c>
      <c r="P54" s="49">
        <f>SUM(P46:P53)</f>
        <v>24487.892866212085</v>
      </c>
      <c r="Q54" s="47"/>
      <c r="R54" s="38"/>
    </row>
    <row r="55" spans="1:20" ht="16" x14ac:dyDescent="0.2">
      <c r="B55" s="51"/>
      <c r="C55" s="52"/>
      <c r="D55" s="53"/>
      <c r="E55" s="53"/>
      <c r="F55" s="53"/>
      <c r="G55" s="53"/>
      <c r="H55" s="53"/>
      <c r="I55" s="53"/>
      <c r="J55" s="53"/>
      <c r="K55" s="53"/>
      <c r="L55" s="53"/>
      <c r="M55" s="53"/>
      <c r="N55" s="54"/>
      <c r="O55" s="53"/>
      <c r="P55" s="53"/>
      <c r="Q55" s="53"/>
      <c r="R55" s="35"/>
    </row>
    <row r="56" spans="1:20" ht="51" customHeight="1" x14ac:dyDescent="0.2">
      <c r="B56" s="26" t="s">
        <v>76</v>
      </c>
      <c r="C56" s="241" t="s">
        <v>77</v>
      </c>
      <c r="D56" s="241"/>
      <c r="E56" s="241"/>
      <c r="F56" s="241"/>
      <c r="G56" s="241"/>
      <c r="H56" s="241"/>
      <c r="I56" s="241"/>
      <c r="J56" s="241"/>
      <c r="K56" s="241"/>
      <c r="L56" s="241"/>
      <c r="M56" s="237"/>
      <c r="N56" s="237"/>
      <c r="O56" s="237"/>
      <c r="P56" s="237"/>
      <c r="Q56" s="241"/>
      <c r="R56" s="27"/>
    </row>
    <row r="57" spans="1:20" ht="51" customHeight="1" x14ac:dyDescent="0.2">
      <c r="B57" s="26" t="s">
        <v>78</v>
      </c>
      <c r="C57" s="240" t="s">
        <v>79</v>
      </c>
      <c r="D57" s="240"/>
      <c r="E57" s="240"/>
      <c r="F57" s="240"/>
      <c r="G57" s="240"/>
      <c r="H57" s="240"/>
      <c r="I57" s="240"/>
      <c r="J57" s="240"/>
      <c r="K57" s="240"/>
      <c r="L57" s="240"/>
      <c r="M57" s="239"/>
      <c r="N57" s="239"/>
      <c r="O57" s="239"/>
      <c r="P57" s="239"/>
      <c r="Q57" s="240"/>
      <c r="R57" s="28"/>
    </row>
    <row r="58" spans="1:20" ht="85" x14ac:dyDescent="0.2">
      <c r="B58" s="29" t="s">
        <v>80</v>
      </c>
      <c r="C58" s="30" t="s">
        <v>81</v>
      </c>
      <c r="D58" s="40">
        <v>117051.9233333335</v>
      </c>
      <c r="E58" s="40">
        <v>117051.9233333335</v>
      </c>
      <c r="F58" s="40"/>
      <c r="G58" s="40"/>
      <c r="H58" s="40"/>
      <c r="I58" s="40"/>
      <c r="J58" s="41">
        <f>SUM(D58:F58)</f>
        <v>234103.846666667</v>
      </c>
      <c r="K58" s="42">
        <v>0.5</v>
      </c>
      <c r="L58" s="42"/>
      <c r="M58" s="40"/>
      <c r="N58" s="31"/>
      <c r="O58" s="40">
        <f>3927.55+7214.48+11387.9+9511.1+16635.98</f>
        <v>48677.009999999995</v>
      </c>
      <c r="P58" s="40">
        <v>69069.350501275694</v>
      </c>
      <c r="Q58" s="43"/>
      <c r="R58" s="35"/>
      <c r="S58" s="39"/>
      <c r="T58" s="36"/>
    </row>
    <row r="59" spans="1:20" ht="51" x14ac:dyDescent="0.2">
      <c r="B59" s="29" t="s">
        <v>82</v>
      </c>
      <c r="C59" s="30" t="s">
        <v>83</v>
      </c>
      <c r="D59" s="40">
        <v>73846.42333333334</v>
      </c>
      <c r="E59" s="40">
        <v>73846.42333333334</v>
      </c>
      <c r="F59" s="40"/>
      <c r="G59" s="40"/>
      <c r="H59" s="40"/>
      <c r="I59" s="40"/>
      <c r="J59" s="41">
        <f t="shared" ref="J59:J65" si="4">SUM(D59:F59)</f>
        <v>147692.84666666668</v>
      </c>
      <c r="K59" s="42">
        <v>0.5</v>
      </c>
      <c r="L59" s="42"/>
      <c r="M59" s="40"/>
      <c r="N59" s="31"/>
      <c r="O59" s="40">
        <f>3927.55+2914+11295.98</f>
        <v>18137.53</v>
      </c>
      <c r="P59" s="40">
        <v>9060.8840076126762</v>
      </c>
      <c r="Q59" s="43"/>
      <c r="R59" s="35"/>
      <c r="S59" s="39"/>
    </row>
    <row r="60" spans="1:20" ht="34" x14ac:dyDescent="0.2">
      <c r="B60" s="29" t="s">
        <v>84</v>
      </c>
      <c r="C60" s="30" t="s">
        <v>85</v>
      </c>
      <c r="D60" s="40">
        <v>60846.423333333354</v>
      </c>
      <c r="E60" s="40">
        <v>60846.423333333354</v>
      </c>
      <c r="F60" s="40"/>
      <c r="G60" s="40"/>
      <c r="H60" s="40"/>
      <c r="I60" s="40"/>
      <c r="J60" s="41">
        <f t="shared" si="4"/>
        <v>121692.84666666671</v>
      </c>
      <c r="K60" s="42">
        <v>0.5</v>
      </c>
      <c r="L60" s="42"/>
      <c r="M60" s="40"/>
      <c r="N60" s="31"/>
      <c r="O60" s="40">
        <v>3927.55</v>
      </c>
      <c r="P60" s="40">
        <v>18908.94712776316</v>
      </c>
      <c r="Q60" s="43"/>
      <c r="R60" s="35"/>
      <c r="S60" s="39"/>
    </row>
    <row r="61" spans="1:20" ht="17" hidden="1" x14ac:dyDescent="0.2">
      <c r="B61" s="29" t="s">
        <v>86</v>
      </c>
      <c r="C61" s="30"/>
      <c r="D61" s="40"/>
      <c r="E61" s="40"/>
      <c r="F61" s="40"/>
      <c r="G61" s="40"/>
      <c r="H61" s="40"/>
      <c r="I61" s="40"/>
      <c r="J61" s="41">
        <f t="shared" si="4"/>
        <v>0</v>
      </c>
      <c r="K61" s="42"/>
      <c r="L61" s="42"/>
      <c r="M61" s="40"/>
      <c r="N61" s="31"/>
      <c r="O61" s="40"/>
      <c r="P61" s="40"/>
      <c r="Q61" s="43"/>
      <c r="R61" s="35"/>
    </row>
    <row r="62" spans="1:20" ht="17" hidden="1" x14ac:dyDescent="0.2">
      <c r="B62" s="29" t="s">
        <v>87</v>
      </c>
      <c r="C62" s="30"/>
      <c r="D62" s="40"/>
      <c r="E62" s="40"/>
      <c r="F62" s="40"/>
      <c r="G62" s="40"/>
      <c r="H62" s="40"/>
      <c r="I62" s="40"/>
      <c r="J62" s="41">
        <f t="shared" si="4"/>
        <v>0</v>
      </c>
      <c r="K62" s="42"/>
      <c r="L62" s="42"/>
      <c r="M62" s="40"/>
      <c r="N62" s="31"/>
      <c r="O62" s="40"/>
      <c r="P62" s="40"/>
      <c r="Q62" s="43"/>
      <c r="R62" s="35"/>
    </row>
    <row r="63" spans="1:20" ht="17" hidden="1" x14ac:dyDescent="0.2">
      <c r="B63" s="29" t="s">
        <v>88</v>
      </c>
      <c r="C63" s="30"/>
      <c r="D63" s="40"/>
      <c r="E63" s="40"/>
      <c r="F63" s="40"/>
      <c r="G63" s="40"/>
      <c r="H63" s="40"/>
      <c r="I63" s="40"/>
      <c r="J63" s="41">
        <f t="shared" si="4"/>
        <v>0</v>
      </c>
      <c r="K63" s="42"/>
      <c r="L63" s="42"/>
      <c r="M63" s="40"/>
      <c r="N63" s="31"/>
      <c r="O63" s="40"/>
      <c r="P63" s="40"/>
      <c r="Q63" s="43"/>
      <c r="R63" s="35"/>
    </row>
    <row r="64" spans="1:20" ht="17" hidden="1" x14ac:dyDescent="0.2">
      <c r="A64" s="20"/>
      <c r="B64" s="29" t="s">
        <v>89</v>
      </c>
      <c r="C64" s="44"/>
      <c r="D64" s="45"/>
      <c r="E64" s="45"/>
      <c r="F64" s="45"/>
      <c r="G64" s="45"/>
      <c r="H64" s="45"/>
      <c r="I64" s="45"/>
      <c r="J64" s="41">
        <f t="shared" si="4"/>
        <v>0</v>
      </c>
      <c r="K64" s="46"/>
      <c r="L64" s="46"/>
      <c r="M64" s="45"/>
      <c r="N64" s="31"/>
      <c r="O64" s="45"/>
      <c r="P64" s="45"/>
      <c r="Q64" s="47"/>
      <c r="R64" s="35"/>
    </row>
    <row r="65" spans="1:20" s="20" customFormat="1" ht="17" hidden="1" x14ac:dyDescent="0.2">
      <c r="B65" s="29" t="s">
        <v>90</v>
      </c>
      <c r="C65" s="44"/>
      <c r="D65" s="45"/>
      <c r="E65" s="45"/>
      <c r="F65" s="45"/>
      <c r="G65" s="45"/>
      <c r="H65" s="45"/>
      <c r="I65" s="45"/>
      <c r="J65" s="41">
        <f t="shared" si="4"/>
        <v>0</v>
      </c>
      <c r="K65" s="46"/>
      <c r="L65" s="46"/>
      <c r="M65" s="45"/>
      <c r="N65" s="31"/>
      <c r="O65" s="45"/>
      <c r="P65" s="45"/>
      <c r="Q65" s="47"/>
      <c r="R65" s="35"/>
    </row>
    <row r="66" spans="1:20" s="20" customFormat="1" ht="17" x14ac:dyDescent="0.2">
      <c r="A66" s="5"/>
      <c r="B66" s="5"/>
      <c r="C66" s="26" t="s">
        <v>36</v>
      </c>
      <c r="D66" s="49">
        <f>SUM(D58:D65)</f>
        <v>251744.77000000019</v>
      </c>
      <c r="E66" s="49">
        <f>SUM(E58:E65)</f>
        <v>251744.77000000019</v>
      </c>
      <c r="F66" s="49">
        <f>SUM(F58:F65)</f>
        <v>0</v>
      </c>
      <c r="G66" s="48"/>
      <c r="H66" s="48"/>
      <c r="I66" s="48"/>
      <c r="J66" s="48">
        <f>SUM(J58:J65)</f>
        <v>503489.54000000039</v>
      </c>
      <c r="K66" s="49">
        <f>(K58*J58)+(K59*J59)+(K60*J60)+(K61*J61)+(K62*J62)+(K63*J63)+(K64*J64)+(K65*J65)</f>
        <v>251744.77000000019</v>
      </c>
      <c r="L66" s="49"/>
      <c r="M66" s="49">
        <f>SUM(M58:M65)</f>
        <v>0</v>
      </c>
      <c r="N66" s="49">
        <f>SUM(N58:N65)</f>
        <v>0</v>
      </c>
      <c r="O66" s="49">
        <f>SUM(O58:O65)</f>
        <v>70742.09</v>
      </c>
      <c r="P66" s="49">
        <f>SUM(P58:P65)</f>
        <v>97039.181636651541</v>
      </c>
      <c r="Q66" s="47"/>
      <c r="R66" s="38"/>
    </row>
    <row r="67" spans="1:20" ht="51" customHeight="1" x14ac:dyDescent="0.2">
      <c r="B67" s="26" t="s">
        <v>91</v>
      </c>
      <c r="C67" s="240" t="s">
        <v>92</v>
      </c>
      <c r="D67" s="240"/>
      <c r="E67" s="240"/>
      <c r="F67" s="240"/>
      <c r="G67" s="240"/>
      <c r="H67" s="240"/>
      <c r="I67" s="240"/>
      <c r="J67" s="240"/>
      <c r="K67" s="240"/>
      <c r="L67" s="240"/>
      <c r="M67" s="239"/>
      <c r="N67" s="239"/>
      <c r="O67" s="239"/>
      <c r="P67" s="239"/>
      <c r="Q67" s="240"/>
      <c r="R67" s="28"/>
    </row>
    <row r="68" spans="1:20" ht="34" x14ac:dyDescent="0.2">
      <c r="B68" s="29" t="s">
        <v>93</v>
      </c>
      <c r="C68" s="30" t="s">
        <v>94</v>
      </c>
      <c r="D68" s="40">
        <v>226853.77</v>
      </c>
      <c r="E68" s="40">
        <v>226853.77</v>
      </c>
      <c r="F68" s="40"/>
      <c r="G68" s="40"/>
      <c r="H68" s="40"/>
      <c r="I68" s="40"/>
      <c r="J68" s="41">
        <f>SUM(D68:F68)</f>
        <v>453707.54</v>
      </c>
      <c r="K68" s="42"/>
      <c r="L68" s="42"/>
      <c r="M68" s="40"/>
      <c r="N68" s="31"/>
      <c r="O68" s="40">
        <f>3927.55+21438.25+173250.67</f>
        <v>198616.47</v>
      </c>
      <c r="P68" s="40">
        <v>133610.47924789548</v>
      </c>
      <c r="Q68" s="43"/>
      <c r="R68" s="35"/>
    </row>
    <row r="69" spans="1:20" ht="85" x14ac:dyDescent="0.2">
      <c r="B69" s="29" t="s">
        <v>95</v>
      </c>
      <c r="C69" s="30" t="s">
        <v>96</v>
      </c>
      <c r="D69" s="40">
        <v>65876.955000000002</v>
      </c>
      <c r="E69" s="40">
        <v>65876.955000000002</v>
      </c>
      <c r="F69" s="40"/>
      <c r="G69" s="40"/>
      <c r="H69" s="40"/>
      <c r="I69" s="40"/>
      <c r="J69" s="41">
        <f t="shared" ref="J69:J75" si="5">SUM(D69:F69)</f>
        <v>131753.91</v>
      </c>
      <c r="K69" s="42"/>
      <c r="L69" s="42"/>
      <c r="M69" s="40"/>
      <c r="N69" s="31"/>
      <c r="O69" s="40">
        <f>3927.55+30000+10000</f>
        <v>43927.55</v>
      </c>
      <c r="P69" s="40">
        <v>33800.158000088573</v>
      </c>
      <c r="Q69" s="43"/>
      <c r="R69" s="35"/>
    </row>
    <row r="70" spans="1:20" ht="17" hidden="1" x14ac:dyDescent="0.2">
      <c r="B70" s="29" t="s">
        <v>97</v>
      </c>
      <c r="C70" s="30"/>
      <c r="D70" s="40"/>
      <c r="E70" s="40"/>
      <c r="F70" s="40"/>
      <c r="G70" s="40"/>
      <c r="H70" s="40"/>
      <c r="I70" s="40"/>
      <c r="J70" s="41">
        <f t="shared" si="5"/>
        <v>0</v>
      </c>
      <c r="K70" s="42"/>
      <c r="L70" s="42"/>
      <c r="M70" s="40"/>
      <c r="N70" s="31"/>
      <c r="O70" s="40"/>
      <c r="P70" s="40"/>
      <c r="Q70" s="43"/>
      <c r="R70" s="35"/>
    </row>
    <row r="71" spans="1:20" ht="17" hidden="1" x14ac:dyDescent="0.2">
      <c r="B71" s="29" t="s">
        <v>98</v>
      </c>
      <c r="C71" s="30"/>
      <c r="D71" s="40"/>
      <c r="E71" s="40"/>
      <c r="F71" s="40"/>
      <c r="G71" s="40"/>
      <c r="H71" s="40"/>
      <c r="I71" s="40"/>
      <c r="J71" s="41">
        <f t="shared" si="5"/>
        <v>0</v>
      </c>
      <c r="K71" s="42"/>
      <c r="L71" s="42"/>
      <c r="M71" s="40"/>
      <c r="N71" s="31"/>
      <c r="O71" s="40"/>
      <c r="P71" s="40"/>
      <c r="Q71" s="43"/>
      <c r="R71" s="35"/>
    </row>
    <row r="72" spans="1:20" ht="17" hidden="1" x14ac:dyDescent="0.2">
      <c r="B72" s="29" t="s">
        <v>99</v>
      </c>
      <c r="C72" s="30"/>
      <c r="D72" s="40"/>
      <c r="E72" s="40"/>
      <c r="F72" s="40"/>
      <c r="G72" s="40"/>
      <c r="H72" s="40"/>
      <c r="I72" s="40"/>
      <c r="J72" s="41">
        <f t="shared" si="5"/>
        <v>0</v>
      </c>
      <c r="K72" s="42"/>
      <c r="L72" s="42"/>
      <c r="M72" s="40"/>
      <c r="N72" s="31"/>
      <c r="O72" s="40"/>
      <c r="P72" s="40"/>
      <c r="Q72" s="43"/>
      <c r="R72" s="35"/>
    </row>
    <row r="73" spans="1:20" ht="17" hidden="1" x14ac:dyDescent="0.2">
      <c r="B73" s="29" t="s">
        <v>100</v>
      </c>
      <c r="C73" s="30"/>
      <c r="D73" s="40"/>
      <c r="E73" s="40"/>
      <c r="F73" s="40"/>
      <c r="G73" s="40"/>
      <c r="H73" s="40"/>
      <c r="I73" s="40"/>
      <c r="J73" s="41">
        <f t="shared" si="5"/>
        <v>0</v>
      </c>
      <c r="K73" s="42"/>
      <c r="L73" s="42"/>
      <c r="M73" s="40"/>
      <c r="N73" s="31"/>
      <c r="O73" s="40"/>
      <c r="P73" s="40"/>
      <c r="Q73" s="43"/>
      <c r="R73" s="35"/>
    </row>
    <row r="74" spans="1:20" ht="17" hidden="1" x14ac:dyDescent="0.2">
      <c r="B74" s="29" t="s">
        <v>101</v>
      </c>
      <c r="C74" s="44"/>
      <c r="D74" s="45"/>
      <c r="E74" s="45"/>
      <c r="F74" s="45"/>
      <c r="G74" s="45"/>
      <c r="H74" s="45"/>
      <c r="I74" s="45"/>
      <c r="J74" s="41">
        <f t="shared" si="5"/>
        <v>0</v>
      </c>
      <c r="K74" s="46"/>
      <c r="L74" s="46"/>
      <c r="M74" s="45"/>
      <c r="N74" s="31"/>
      <c r="O74" s="45"/>
      <c r="P74" s="45"/>
      <c r="Q74" s="47"/>
      <c r="R74" s="35"/>
    </row>
    <row r="75" spans="1:20" ht="17" hidden="1" x14ac:dyDescent="0.2">
      <c r="B75" s="29" t="s">
        <v>102</v>
      </c>
      <c r="C75" s="44"/>
      <c r="D75" s="45"/>
      <c r="E75" s="45"/>
      <c r="F75" s="45"/>
      <c r="G75" s="45"/>
      <c r="H75" s="45"/>
      <c r="I75" s="45"/>
      <c r="J75" s="41">
        <f t="shared" si="5"/>
        <v>0</v>
      </c>
      <c r="K75" s="46"/>
      <c r="L75" s="46"/>
      <c r="M75" s="45"/>
      <c r="N75" s="31"/>
      <c r="O75" s="45"/>
      <c r="P75" s="45"/>
      <c r="Q75" s="47"/>
      <c r="R75" s="35"/>
    </row>
    <row r="76" spans="1:20" ht="17" x14ac:dyDescent="0.2">
      <c r="C76" s="26" t="s">
        <v>36</v>
      </c>
      <c r="D76" s="48">
        <f>SUM(D68:D75)</f>
        <v>292730.72499999998</v>
      </c>
      <c r="E76" s="48">
        <f>SUM(E68:E75)</f>
        <v>292730.72499999998</v>
      </c>
      <c r="F76" s="48">
        <f>SUM(F68:F75)</f>
        <v>0</v>
      </c>
      <c r="G76" s="48"/>
      <c r="H76" s="48"/>
      <c r="I76" s="48"/>
      <c r="J76" s="48">
        <f>SUM(J68:J75)</f>
        <v>585461.44999999995</v>
      </c>
      <c r="K76" s="49">
        <f>(K68*J68)+(K69*J69)+(K70*J70)+(K71*J71)+(K72*J72)+(K73*J73)+(K74*J74)+(K75*J75)</f>
        <v>0</v>
      </c>
      <c r="L76" s="49"/>
      <c r="M76" s="55">
        <f>SUM(M68:M75)</f>
        <v>0</v>
      </c>
      <c r="N76" s="49">
        <f>SUM(N68:N75)</f>
        <v>0</v>
      </c>
      <c r="O76" s="55">
        <f>SUM(O68:O75)</f>
        <v>242544.02000000002</v>
      </c>
      <c r="P76" s="55">
        <f>SUM(P68:P75)</f>
        <v>167410.63724798406</v>
      </c>
      <c r="Q76" s="47"/>
      <c r="R76" s="38"/>
    </row>
    <row r="77" spans="1:20" ht="51" customHeight="1" x14ac:dyDescent="0.2">
      <c r="B77" s="26" t="s">
        <v>103</v>
      </c>
      <c r="C77" s="240" t="s">
        <v>104</v>
      </c>
      <c r="D77" s="240"/>
      <c r="E77" s="240"/>
      <c r="F77" s="240"/>
      <c r="G77" s="240"/>
      <c r="H77" s="240"/>
      <c r="I77" s="240"/>
      <c r="J77" s="240"/>
      <c r="K77" s="240"/>
      <c r="L77" s="240"/>
      <c r="M77" s="239"/>
      <c r="N77" s="239"/>
      <c r="O77" s="239"/>
      <c r="P77" s="239"/>
      <c r="Q77" s="240"/>
      <c r="R77" s="28"/>
    </row>
    <row r="78" spans="1:20" ht="68" x14ac:dyDescent="0.2">
      <c r="B78" s="29" t="s">
        <v>105</v>
      </c>
      <c r="C78" s="30" t="s">
        <v>106</v>
      </c>
      <c r="D78" s="40">
        <v>10000</v>
      </c>
      <c r="E78" s="40">
        <v>10000</v>
      </c>
      <c r="F78" s="40"/>
      <c r="G78" s="40"/>
      <c r="H78" s="40"/>
      <c r="I78" s="40"/>
      <c r="J78" s="41">
        <f>SUM(D78:F78)</f>
        <v>20000</v>
      </c>
      <c r="K78" s="42">
        <v>1</v>
      </c>
      <c r="L78" s="42"/>
      <c r="M78" s="40"/>
      <c r="N78" s="31"/>
      <c r="O78" s="40">
        <f>3927.55+480+5000</f>
        <v>9407.5499999999993</v>
      </c>
      <c r="P78" s="40">
        <v>12008.675047262135</v>
      </c>
      <c r="Q78" s="43"/>
      <c r="R78" s="35"/>
      <c r="S78" s="39"/>
      <c r="T78" s="50"/>
    </row>
    <row r="79" spans="1:20" ht="187" x14ac:dyDescent="0.2">
      <c r="B79" s="29" t="s">
        <v>107</v>
      </c>
      <c r="C79" s="30" t="s">
        <v>108</v>
      </c>
      <c r="D79" s="40">
        <v>79291.317500000005</v>
      </c>
      <c r="E79" s="40">
        <v>79291.317500000005</v>
      </c>
      <c r="F79" s="40"/>
      <c r="G79" s="40"/>
      <c r="H79" s="40"/>
      <c r="I79" s="40"/>
      <c r="J79" s="41">
        <f>SUM(D79:F79)</f>
        <v>158582.63500000001</v>
      </c>
      <c r="K79" s="42">
        <v>1</v>
      </c>
      <c r="L79" s="42"/>
      <c r="M79" s="40"/>
      <c r="N79" s="31"/>
      <c r="O79" s="40">
        <f>3927.55+6456.73+12098.89+7064.48+1742.09+20000</f>
        <v>51289.74</v>
      </c>
      <c r="P79" s="40">
        <v>46535.741584766671</v>
      </c>
      <c r="Q79" s="43"/>
      <c r="R79" s="35"/>
      <c r="S79" s="39"/>
    </row>
    <row r="80" spans="1:20" ht="51" x14ac:dyDescent="0.2">
      <c r="B80" s="29" t="s">
        <v>109</v>
      </c>
      <c r="C80" s="30" t="s">
        <v>110</v>
      </c>
      <c r="D80" s="40">
        <v>77037.317500000005</v>
      </c>
      <c r="E80" s="40">
        <v>77037.317500000005</v>
      </c>
      <c r="F80" s="40"/>
      <c r="G80" s="40"/>
      <c r="H80" s="40"/>
      <c r="I80" s="40"/>
      <c r="J80" s="41">
        <f t="shared" ref="J80:J85" si="6">SUM(D80:F80)</f>
        <v>154074.63500000001</v>
      </c>
      <c r="K80" s="42">
        <v>1</v>
      </c>
      <c r="L80" s="42"/>
      <c r="M80" s="40"/>
      <c r="N80" s="31"/>
      <c r="O80" s="40">
        <f>3927.55+19726.22+42607.5</f>
        <v>66261.27</v>
      </c>
      <c r="P80" s="40">
        <v>26224.510076270093</v>
      </c>
      <c r="Q80" s="43"/>
      <c r="R80" s="35"/>
      <c r="S80" s="39"/>
    </row>
    <row r="81" spans="1:19" ht="51" x14ac:dyDescent="0.2">
      <c r="A81" s="20"/>
      <c r="B81" s="29" t="s">
        <v>111</v>
      </c>
      <c r="C81" s="30" t="s">
        <v>112</v>
      </c>
      <c r="D81" s="40">
        <v>113799.8175</v>
      </c>
      <c r="E81" s="40">
        <v>113799.8175</v>
      </c>
      <c r="F81" s="40"/>
      <c r="G81" s="40"/>
      <c r="H81" s="40"/>
      <c r="I81" s="40"/>
      <c r="J81" s="41">
        <f t="shared" si="6"/>
        <v>227599.63500000001</v>
      </c>
      <c r="K81" s="42">
        <v>1</v>
      </c>
      <c r="L81" s="42"/>
      <c r="M81" s="40"/>
      <c r="N81" s="31"/>
      <c r="O81" s="40">
        <f>3927.55+86497+55725.98</f>
        <v>146150.53</v>
      </c>
      <c r="P81" s="40">
        <v>103351.64413473988</v>
      </c>
      <c r="Q81" s="43"/>
      <c r="R81" s="35"/>
      <c r="S81" s="39"/>
    </row>
    <row r="82" spans="1:19" s="20" customFormat="1" ht="51" x14ac:dyDescent="0.2">
      <c r="A82" s="5"/>
      <c r="B82" s="29" t="s">
        <v>113</v>
      </c>
      <c r="C82" s="44" t="s">
        <v>114</v>
      </c>
      <c r="D82" s="40">
        <f>134834.8175+20290</f>
        <v>155124.8175</v>
      </c>
      <c r="E82" s="40">
        <f>134834.8175</f>
        <v>134834.8175</v>
      </c>
      <c r="F82" s="40"/>
      <c r="G82" s="40"/>
      <c r="H82" s="40"/>
      <c r="I82" s="40"/>
      <c r="J82" s="41">
        <f t="shared" si="6"/>
        <v>289959.63500000001</v>
      </c>
      <c r="K82" s="42">
        <v>1</v>
      </c>
      <c r="L82" s="42"/>
      <c r="M82" s="40"/>
      <c r="N82" s="31"/>
      <c r="O82" s="40">
        <f>1055+3927.55+58820+35998.4+17026.3</f>
        <v>116827.25000000001</v>
      </c>
      <c r="P82" s="40">
        <v>172058.33</v>
      </c>
      <c r="Q82" s="43"/>
      <c r="R82" s="35"/>
      <c r="S82" s="39"/>
    </row>
    <row r="83" spans="1:19" ht="34" x14ac:dyDescent="0.2">
      <c r="B83" s="29" t="s">
        <v>115</v>
      </c>
      <c r="C83" s="44" t="s">
        <v>116</v>
      </c>
      <c r="D83" s="40"/>
      <c r="E83" s="40">
        <v>20290</v>
      </c>
      <c r="F83" s="40"/>
      <c r="G83" s="40"/>
      <c r="H83" s="40"/>
      <c r="I83" s="40"/>
      <c r="J83" s="41">
        <f t="shared" si="6"/>
        <v>20290</v>
      </c>
      <c r="K83" s="42">
        <v>1</v>
      </c>
      <c r="L83" s="42"/>
      <c r="M83" s="40"/>
      <c r="N83" s="31"/>
      <c r="O83" s="31"/>
      <c r="P83" s="40">
        <v>16487.288553875907</v>
      </c>
      <c r="Q83" s="43"/>
      <c r="R83" s="35"/>
      <c r="S83" s="39"/>
    </row>
    <row r="84" spans="1:19" ht="17" hidden="1" x14ac:dyDescent="0.2">
      <c r="B84" s="29" t="s">
        <v>117</v>
      </c>
      <c r="C84" s="44"/>
      <c r="D84" s="45"/>
      <c r="E84" s="45"/>
      <c r="F84" s="45"/>
      <c r="G84" s="45"/>
      <c r="H84" s="45"/>
      <c r="I84" s="45"/>
      <c r="J84" s="41">
        <f t="shared" si="6"/>
        <v>0</v>
      </c>
      <c r="K84" s="46"/>
      <c r="L84" s="46"/>
      <c r="M84" s="45"/>
      <c r="N84" s="31"/>
      <c r="O84" s="45"/>
      <c r="P84" s="40"/>
      <c r="Q84" s="47"/>
      <c r="R84" s="35"/>
    </row>
    <row r="85" spans="1:19" ht="17" hidden="1" x14ac:dyDescent="0.2">
      <c r="B85" s="29" t="s">
        <v>118</v>
      </c>
      <c r="C85" s="44"/>
      <c r="D85" s="45"/>
      <c r="E85" s="45"/>
      <c r="F85" s="45"/>
      <c r="G85" s="45"/>
      <c r="H85" s="45"/>
      <c r="I85" s="45"/>
      <c r="J85" s="41">
        <f t="shared" si="6"/>
        <v>0</v>
      </c>
      <c r="K85" s="46"/>
      <c r="L85" s="46"/>
      <c r="M85" s="45"/>
      <c r="N85" s="31"/>
      <c r="O85" s="45"/>
      <c r="P85" s="40"/>
      <c r="Q85" s="47"/>
      <c r="R85" s="35"/>
    </row>
    <row r="86" spans="1:19" ht="17" x14ac:dyDescent="0.2">
      <c r="C86" s="26" t="s">
        <v>36</v>
      </c>
      <c r="D86" s="48">
        <f>SUM(D78:D85)</f>
        <v>435253.27</v>
      </c>
      <c r="E86" s="48">
        <f>SUM(E78:E85)</f>
        <v>435253.27</v>
      </c>
      <c r="F86" s="48">
        <f>SUM(F78:F85)</f>
        <v>0</v>
      </c>
      <c r="G86" s="48"/>
      <c r="H86" s="48"/>
      <c r="I86" s="48"/>
      <c r="J86" s="48">
        <f>SUM(J78:J85)</f>
        <v>870506.54</v>
      </c>
      <c r="K86" s="49">
        <f>(K78*J78)+(K79*J79)+(K80*J80)+(K81*J81)+(K82*J82)+(K83*J83)+(K84*J84)+(K85*J85)</f>
        <v>870506.54</v>
      </c>
      <c r="L86" s="49"/>
      <c r="M86" s="55">
        <f>SUM(M78:M85)</f>
        <v>0</v>
      </c>
      <c r="N86" s="55">
        <f>SUM(N78:N85)</f>
        <v>0</v>
      </c>
      <c r="O86" s="55">
        <f>SUM(O78:O85)</f>
        <v>389936.33999999997</v>
      </c>
      <c r="P86" s="55">
        <f>SUM(P78:P85)</f>
        <v>376666.18939691473</v>
      </c>
      <c r="Q86" s="47"/>
      <c r="R86" s="38"/>
    </row>
    <row r="87" spans="1:19" ht="51" hidden="1" customHeight="1" x14ac:dyDescent="0.2">
      <c r="B87" s="26" t="s">
        <v>119</v>
      </c>
      <c r="C87" s="242"/>
      <c r="D87" s="243"/>
      <c r="E87" s="243"/>
      <c r="F87" s="243"/>
      <c r="G87" s="243"/>
      <c r="H87" s="243"/>
      <c r="I87" s="243"/>
      <c r="J87" s="243"/>
      <c r="K87" s="243"/>
      <c r="L87" s="243"/>
      <c r="M87" s="243"/>
      <c r="N87" s="243"/>
      <c r="O87" s="243"/>
      <c r="P87" s="243"/>
      <c r="Q87" s="244"/>
      <c r="R87" s="28"/>
    </row>
    <row r="88" spans="1:19" ht="15.5" hidden="1" customHeight="1" x14ac:dyDescent="0.2">
      <c r="B88" s="29" t="s">
        <v>120</v>
      </c>
      <c r="C88" s="30"/>
      <c r="D88" s="40"/>
      <c r="E88" s="40"/>
      <c r="F88" s="40"/>
      <c r="G88" s="40"/>
      <c r="H88" s="40"/>
      <c r="I88" s="40"/>
      <c r="J88" s="41">
        <f>SUM(D88:F88)</f>
        <v>0</v>
      </c>
      <c r="K88" s="42"/>
      <c r="L88" s="42"/>
      <c r="M88" s="40"/>
      <c r="N88" s="31"/>
      <c r="O88" s="40"/>
      <c r="P88" s="40"/>
      <c r="Q88" s="43"/>
      <c r="R88" s="35"/>
    </row>
    <row r="89" spans="1:19" ht="15.5" hidden="1" customHeight="1" x14ac:dyDescent="0.2">
      <c r="B89" s="29" t="s">
        <v>121</v>
      </c>
      <c r="C89" s="30"/>
      <c r="D89" s="40"/>
      <c r="E89" s="40"/>
      <c r="F89" s="40"/>
      <c r="G89" s="40"/>
      <c r="H89" s="40"/>
      <c r="I89" s="40"/>
      <c r="J89" s="41">
        <f t="shared" ref="J89:J95" si="7">SUM(D89:F89)</f>
        <v>0</v>
      </c>
      <c r="K89" s="42"/>
      <c r="L89" s="42"/>
      <c r="M89" s="40"/>
      <c r="N89" s="31"/>
      <c r="O89" s="40"/>
      <c r="P89" s="40"/>
      <c r="Q89" s="43"/>
      <c r="R89" s="35"/>
    </row>
    <row r="90" spans="1:19" ht="15.5" hidden="1" customHeight="1" x14ac:dyDescent="0.2">
      <c r="B90" s="29" t="s">
        <v>122</v>
      </c>
      <c r="C90" s="30"/>
      <c r="D90" s="40"/>
      <c r="E90" s="40"/>
      <c r="F90" s="40"/>
      <c r="G90" s="40"/>
      <c r="H90" s="40"/>
      <c r="I90" s="40"/>
      <c r="J90" s="41">
        <f t="shared" si="7"/>
        <v>0</v>
      </c>
      <c r="K90" s="42"/>
      <c r="L90" s="42"/>
      <c r="M90" s="40"/>
      <c r="N90" s="31"/>
      <c r="O90" s="40"/>
      <c r="P90" s="40"/>
      <c r="Q90" s="43"/>
      <c r="R90" s="35"/>
    </row>
    <row r="91" spans="1:19" ht="15.5" hidden="1" customHeight="1" x14ac:dyDescent="0.2">
      <c r="B91" s="29" t="s">
        <v>123</v>
      </c>
      <c r="C91" s="30"/>
      <c r="D91" s="40"/>
      <c r="E91" s="40"/>
      <c r="F91" s="40"/>
      <c r="G91" s="40"/>
      <c r="H91" s="40"/>
      <c r="I91" s="40"/>
      <c r="J91" s="41">
        <f t="shared" si="7"/>
        <v>0</v>
      </c>
      <c r="K91" s="42"/>
      <c r="L91" s="42"/>
      <c r="M91" s="40"/>
      <c r="N91" s="31"/>
      <c r="O91" s="40"/>
      <c r="P91" s="40"/>
      <c r="Q91" s="43"/>
      <c r="R91" s="35"/>
    </row>
    <row r="92" spans="1:19" ht="15.5" hidden="1" customHeight="1" x14ac:dyDescent="0.2">
      <c r="B92" s="29" t="s">
        <v>124</v>
      </c>
      <c r="C92" s="30"/>
      <c r="D92" s="40"/>
      <c r="E92" s="40"/>
      <c r="F92" s="40"/>
      <c r="G92" s="40"/>
      <c r="H92" s="40"/>
      <c r="I92" s="40"/>
      <c r="J92" s="41">
        <f t="shared" si="7"/>
        <v>0</v>
      </c>
      <c r="K92" s="42"/>
      <c r="L92" s="42"/>
      <c r="M92" s="40"/>
      <c r="N92" s="31"/>
      <c r="O92" s="40"/>
      <c r="P92" s="40"/>
      <c r="Q92" s="43"/>
      <c r="R92" s="35"/>
    </row>
    <row r="93" spans="1:19" ht="15.5" hidden="1" customHeight="1" x14ac:dyDescent="0.2">
      <c r="B93" s="29" t="s">
        <v>125</v>
      </c>
      <c r="C93" s="30"/>
      <c r="D93" s="40"/>
      <c r="E93" s="40"/>
      <c r="F93" s="40"/>
      <c r="G93" s="40"/>
      <c r="H93" s="40"/>
      <c r="I93" s="40"/>
      <c r="J93" s="41">
        <f t="shared" si="7"/>
        <v>0</v>
      </c>
      <c r="K93" s="42"/>
      <c r="L93" s="42"/>
      <c r="M93" s="40"/>
      <c r="N93" s="31"/>
      <c r="O93" s="40"/>
      <c r="P93" s="40"/>
      <c r="Q93" s="43"/>
      <c r="R93" s="35"/>
    </row>
    <row r="94" spans="1:19" ht="15.5" hidden="1" customHeight="1" x14ac:dyDescent="0.2">
      <c r="B94" s="29" t="s">
        <v>126</v>
      </c>
      <c r="C94" s="44"/>
      <c r="D94" s="45"/>
      <c r="E94" s="45"/>
      <c r="F94" s="45"/>
      <c r="G94" s="45"/>
      <c r="H94" s="45"/>
      <c r="I94" s="45"/>
      <c r="J94" s="41">
        <f t="shared" si="7"/>
        <v>0</v>
      </c>
      <c r="K94" s="46"/>
      <c r="L94" s="46"/>
      <c r="M94" s="45"/>
      <c r="N94" s="31"/>
      <c r="O94" s="45"/>
      <c r="P94" s="45"/>
      <c r="Q94" s="47"/>
      <c r="R94" s="35"/>
    </row>
    <row r="95" spans="1:19" ht="15.5" hidden="1" customHeight="1" x14ac:dyDescent="0.2">
      <c r="B95" s="29" t="s">
        <v>127</v>
      </c>
      <c r="C95" s="44"/>
      <c r="D95" s="45"/>
      <c r="E95" s="45"/>
      <c r="F95" s="45"/>
      <c r="G95" s="45"/>
      <c r="H95" s="45"/>
      <c r="I95" s="45"/>
      <c r="J95" s="41">
        <f t="shared" si="7"/>
        <v>0</v>
      </c>
      <c r="K95" s="46"/>
      <c r="L95" s="46"/>
      <c r="M95" s="45"/>
      <c r="N95" s="31"/>
      <c r="O95" s="45"/>
      <c r="P95" s="45"/>
      <c r="Q95" s="47"/>
      <c r="R95" s="35"/>
    </row>
    <row r="96" spans="1:19" ht="17" x14ac:dyDescent="0.2">
      <c r="C96" s="26" t="s">
        <v>36</v>
      </c>
      <c r="D96" s="49">
        <f>SUM(D88:D95)</f>
        <v>0</v>
      </c>
      <c r="E96" s="49">
        <f>SUM(E88:E95)</f>
        <v>0</v>
      </c>
      <c r="F96" s="49">
        <f>SUM(F88:F95)</f>
        <v>0</v>
      </c>
      <c r="G96" s="49"/>
      <c r="H96" s="49"/>
      <c r="I96" s="49"/>
      <c r="J96" s="49">
        <f>SUM(J88:J95)</f>
        <v>0</v>
      </c>
      <c r="K96" s="49">
        <f>(K88*J88)+(K89*J89)+(K90*J90)+(K91*J91)+(K92*J92)+(K93*J93)+(K94*J94)+(K95*J95)</f>
        <v>0</v>
      </c>
      <c r="L96" s="49"/>
      <c r="M96" s="55">
        <f>SUM(M88:M95)</f>
        <v>0</v>
      </c>
      <c r="N96" s="55">
        <f>SUM(N88:N95)</f>
        <v>0</v>
      </c>
      <c r="O96" s="55">
        <f>SUM(O88:O95)</f>
        <v>0</v>
      </c>
      <c r="P96" s="55">
        <f>SUM(P88:P95)</f>
        <v>0</v>
      </c>
      <c r="Q96" s="47"/>
      <c r="R96" s="38"/>
    </row>
    <row r="97" spans="2:20" ht="15.75" customHeight="1" x14ac:dyDescent="0.2">
      <c r="B97" s="56"/>
      <c r="C97" s="51"/>
      <c r="D97" s="57"/>
      <c r="E97" s="57"/>
      <c r="F97" s="57"/>
      <c r="G97" s="57"/>
      <c r="H97" s="57"/>
      <c r="I97" s="57"/>
      <c r="J97" s="57"/>
      <c r="K97" s="57"/>
      <c r="L97" s="57"/>
      <c r="M97" s="57"/>
      <c r="N97" s="58"/>
      <c r="O97" s="57"/>
      <c r="P97" s="57"/>
      <c r="Q97" s="51"/>
      <c r="R97" s="59"/>
    </row>
    <row r="98" spans="2:20" ht="51" customHeight="1" x14ac:dyDescent="0.2">
      <c r="B98" s="26" t="s">
        <v>128</v>
      </c>
      <c r="C98" s="241" t="s">
        <v>129</v>
      </c>
      <c r="D98" s="241"/>
      <c r="E98" s="241"/>
      <c r="F98" s="241"/>
      <c r="G98" s="241"/>
      <c r="H98" s="241"/>
      <c r="I98" s="241"/>
      <c r="J98" s="241"/>
      <c r="K98" s="241"/>
      <c r="L98" s="241"/>
      <c r="M98" s="237"/>
      <c r="N98" s="237"/>
      <c r="O98" s="237"/>
      <c r="P98" s="237"/>
      <c r="Q98" s="241"/>
      <c r="R98" s="27"/>
    </row>
    <row r="99" spans="2:20" ht="51" customHeight="1" x14ac:dyDescent="0.2">
      <c r="B99" s="26" t="s">
        <v>130</v>
      </c>
      <c r="C99" s="240" t="s">
        <v>131</v>
      </c>
      <c r="D99" s="240"/>
      <c r="E99" s="240"/>
      <c r="F99" s="240"/>
      <c r="G99" s="240"/>
      <c r="H99" s="240"/>
      <c r="I99" s="240"/>
      <c r="J99" s="240"/>
      <c r="K99" s="240"/>
      <c r="L99" s="240"/>
      <c r="M99" s="239"/>
      <c r="N99" s="239"/>
      <c r="O99" s="239"/>
      <c r="P99" s="239"/>
      <c r="Q99" s="240"/>
      <c r="R99" s="28"/>
    </row>
    <row r="100" spans="2:20" ht="85" x14ac:dyDescent="0.2">
      <c r="B100" s="29" t="s">
        <v>132</v>
      </c>
      <c r="C100" s="30" t="s">
        <v>133</v>
      </c>
      <c r="D100" s="40"/>
      <c r="E100" s="40"/>
      <c r="F100" s="45">
        <v>68827</v>
      </c>
      <c r="G100" s="45">
        <v>68827.88</v>
      </c>
      <c r="H100" s="40"/>
      <c r="I100" s="40"/>
      <c r="J100" s="41">
        <f>SUM(D100:G100)</f>
        <v>137654.88</v>
      </c>
      <c r="K100" s="42"/>
      <c r="L100" s="42"/>
      <c r="M100" s="31">
        <f>69216.87</f>
        <v>69216.87</v>
      </c>
      <c r="N100" s="40">
        <f>+(193775.44/12)+(60003.49/8)+[1]ZPMR!L30</f>
        <v>67599.589583333334</v>
      </c>
      <c r="O100" s="40"/>
      <c r="P100" s="40"/>
      <c r="Q100" s="43"/>
      <c r="R100" s="35"/>
      <c r="T100" s="137"/>
    </row>
    <row r="101" spans="2:20" ht="68" x14ac:dyDescent="0.2">
      <c r="B101" s="29" t="s">
        <v>134</v>
      </c>
      <c r="C101" s="30" t="s">
        <v>135</v>
      </c>
      <c r="D101" s="40"/>
      <c r="E101" s="40"/>
      <c r="F101" s="40">
        <v>25495</v>
      </c>
      <c r="G101" s="40">
        <v>25495</v>
      </c>
      <c r="H101" s="40"/>
      <c r="I101" s="40"/>
      <c r="J101" s="41">
        <f>SUM(D101:G101)</f>
        <v>50990</v>
      </c>
      <c r="K101" s="42">
        <v>0.25</v>
      </c>
      <c r="L101" s="42"/>
      <c r="M101" s="31">
        <f>4480.84</f>
        <v>4480.84</v>
      </c>
      <c r="N101" s="40">
        <f>[1]ZPMR!L29+(193775.44/12)</f>
        <v>25997.693333333333</v>
      </c>
      <c r="O101" s="40"/>
      <c r="P101" s="40"/>
      <c r="Q101" s="43"/>
      <c r="R101" s="35"/>
      <c r="S101" s="39"/>
      <c r="T101" s="137"/>
    </row>
    <row r="102" spans="2:20" ht="34" x14ac:dyDescent="0.2">
      <c r="B102" s="29" t="s">
        <v>136</v>
      </c>
      <c r="C102" s="60" t="s">
        <v>137</v>
      </c>
      <c r="D102" s="40"/>
      <c r="E102" s="40"/>
      <c r="F102" s="40">
        <v>33827.440000000002</v>
      </c>
      <c r="G102" s="40">
        <v>33827.440000000002</v>
      </c>
      <c r="H102" s="40"/>
      <c r="I102" s="40"/>
      <c r="J102" s="41">
        <f t="shared" ref="J102:J107" si="8">SUM(D102:G102)</f>
        <v>67654.880000000005</v>
      </c>
      <c r="K102" s="42"/>
      <c r="L102" s="42"/>
      <c r="M102" s="31">
        <f>34733.72</f>
        <v>34733.72</v>
      </c>
      <c r="N102" s="40">
        <f>[1]ZPMR!L18+(193775.44/12)+(60003.49/8)</f>
        <v>33512.679583333331</v>
      </c>
      <c r="O102" s="40"/>
      <c r="P102" s="40"/>
      <c r="Q102" s="43"/>
      <c r="R102" s="35"/>
      <c r="T102" s="137"/>
    </row>
    <row r="103" spans="2:20" ht="51" x14ac:dyDescent="0.2">
      <c r="B103" s="29" t="s">
        <v>138</v>
      </c>
      <c r="C103" s="30" t="s">
        <v>139</v>
      </c>
      <c r="D103" s="40"/>
      <c r="E103" s="40"/>
      <c r="F103" s="40">
        <v>43827.44</v>
      </c>
      <c r="G103" s="40">
        <v>43827.44</v>
      </c>
      <c r="H103" s="40"/>
      <c r="I103" s="40"/>
      <c r="J103" s="41">
        <f t="shared" si="8"/>
        <v>87654.88</v>
      </c>
      <c r="K103" s="42"/>
      <c r="L103" s="42"/>
      <c r="M103" s="31">
        <f>39509.97</f>
        <v>39509.97</v>
      </c>
      <c r="N103" s="40">
        <f>[1]ZPMR!L25+(193775.44/12)+(60003.49/8)</f>
        <v>42578.31958333333</v>
      </c>
      <c r="O103" s="40"/>
      <c r="P103" s="40"/>
      <c r="Q103" s="43"/>
      <c r="R103" s="35"/>
      <c r="T103" s="137"/>
    </row>
    <row r="104" spans="2:20" ht="34" x14ac:dyDescent="0.2">
      <c r="B104" s="29" t="s">
        <v>140</v>
      </c>
      <c r="C104" s="30" t="s">
        <v>141</v>
      </c>
      <c r="D104" s="40"/>
      <c r="E104" s="40"/>
      <c r="F104" s="40">
        <v>43827.44</v>
      </c>
      <c r="G104" s="40">
        <v>43827.44</v>
      </c>
      <c r="H104" s="40"/>
      <c r="I104" s="40"/>
      <c r="J104" s="41">
        <f t="shared" si="8"/>
        <v>87654.88</v>
      </c>
      <c r="K104" s="42">
        <v>0.25</v>
      </c>
      <c r="L104" s="42"/>
      <c r="M104" s="31">
        <f>43798.25</f>
        <v>43798.25</v>
      </c>
      <c r="N104" s="40">
        <f>[1]ZPMR!L22+(193775.44/12)+(60003.49/8)</f>
        <v>42725.699583333335</v>
      </c>
      <c r="O104" s="40"/>
      <c r="P104" s="40"/>
      <c r="Q104" s="43"/>
      <c r="R104" s="35"/>
      <c r="S104" s="39"/>
      <c r="T104" s="137"/>
    </row>
    <row r="105" spans="2:20" ht="17" hidden="1" x14ac:dyDescent="0.2">
      <c r="B105" s="29" t="s">
        <v>142</v>
      </c>
      <c r="C105" s="30"/>
      <c r="D105" s="40"/>
      <c r="E105" s="40"/>
      <c r="F105" s="40"/>
      <c r="G105" s="40"/>
      <c r="H105" s="40"/>
      <c r="I105" s="40"/>
      <c r="J105" s="41">
        <f t="shared" si="8"/>
        <v>0</v>
      </c>
      <c r="K105" s="42"/>
      <c r="L105" s="42"/>
      <c r="M105" s="40"/>
      <c r="N105" s="31"/>
      <c r="O105" s="40"/>
      <c r="P105" s="40"/>
      <c r="Q105" s="43"/>
      <c r="R105" s="35"/>
    </row>
    <row r="106" spans="2:20" ht="17" hidden="1" x14ac:dyDescent="0.2">
      <c r="B106" s="29" t="s">
        <v>143</v>
      </c>
      <c r="C106" s="44"/>
      <c r="D106" s="45"/>
      <c r="E106" s="45"/>
      <c r="F106" s="45"/>
      <c r="G106" s="45"/>
      <c r="H106" s="45"/>
      <c r="I106" s="45"/>
      <c r="J106" s="41">
        <f t="shared" si="8"/>
        <v>0</v>
      </c>
      <c r="K106" s="46"/>
      <c r="L106" s="46"/>
      <c r="M106" s="45"/>
      <c r="N106" s="31"/>
      <c r="O106" s="45"/>
      <c r="P106" s="45"/>
      <c r="Q106" s="47"/>
      <c r="R106" s="35"/>
    </row>
    <row r="107" spans="2:20" ht="17" hidden="1" x14ac:dyDescent="0.2">
      <c r="B107" s="29" t="s">
        <v>144</v>
      </c>
      <c r="C107" s="44"/>
      <c r="D107" s="45"/>
      <c r="E107" s="45"/>
      <c r="F107" s="45"/>
      <c r="G107" s="45"/>
      <c r="H107" s="45"/>
      <c r="I107" s="45"/>
      <c r="J107" s="41">
        <f t="shared" si="8"/>
        <v>0</v>
      </c>
      <c r="K107" s="46"/>
      <c r="L107" s="46"/>
      <c r="M107" s="45"/>
      <c r="N107" s="31"/>
      <c r="O107" s="45"/>
      <c r="P107" s="45"/>
      <c r="Q107" s="47"/>
      <c r="R107" s="35"/>
    </row>
    <row r="108" spans="2:20" ht="17" x14ac:dyDescent="0.2">
      <c r="C108" s="26" t="s">
        <v>36</v>
      </c>
      <c r="D108" s="49">
        <f>SUM(D100:D107)</f>
        <v>0</v>
      </c>
      <c r="E108" s="49">
        <f>SUM(E100:E107)</f>
        <v>0</v>
      </c>
      <c r="F108" s="49">
        <f>SUM(F100:F107)</f>
        <v>215804.32</v>
      </c>
      <c r="G108" s="48">
        <f>SUM(G100:G107)</f>
        <v>215805.2</v>
      </c>
      <c r="H108" s="48"/>
      <c r="I108" s="48"/>
      <c r="J108" s="48">
        <f>SUM(J100:J107)</f>
        <v>431609.52</v>
      </c>
      <c r="K108" s="49">
        <f>(K100*J100)+(K101*J101)+(K102*J102)+(K103*J103)+(K104*J104)+(K105*J105)+(K106*J106)+(K107*J107)</f>
        <v>34661.22</v>
      </c>
      <c r="L108" s="49"/>
      <c r="M108" s="55">
        <f>SUM(M100:M107)</f>
        <v>191739.65</v>
      </c>
      <c r="N108" s="55">
        <f>SUM(N100:N107)</f>
        <v>212413.98166666666</v>
      </c>
      <c r="O108" s="55">
        <f>SUM(O100:O107)</f>
        <v>0</v>
      </c>
      <c r="P108" s="55">
        <f>SUM(P100:P107)</f>
        <v>0</v>
      </c>
      <c r="Q108" s="47"/>
      <c r="R108" s="38"/>
    </row>
    <row r="109" spans="2:20" ht="51" customHeight="1" x14ac:dyDescent="0.2">
      <c r="B109" s="26" t="s">
        <v>145</v>
      </c>
      <c r="C109" s="240" t="s">
        <v>146</v>
      </c>
      <c r="D109" s="240"/>
      <c r="E109" s="240"/>
      <c r="F109" s="240"/>
      <c r="G109" s="240"/>
      <c r="H109" s="240"/>
      <c r="I109" s="240"/>
      <c r="J109" s="240"/>
      <c r="K109" s="240"/>
      <c r="L109" s="240"/>
      <c r="M109" s="239"/>
      <c r="N109" s="239"/>
      <c r="O109" s="239"/>
      <c r="P109" s="239"/>
      <c r="Q109" s="240"/>
      <c r="R109" s="28"/>
    </row>
    <row r="110" spans="2:20" ht="51" x14ac:dyDescent="0.2">
      <c r="B110" s="29" t="s">
        <v>147</v>
      </c>
      <c r="C110" s="30" t="s">
        <v>148</v>
      </c>
      <c r="D110" s="40"/>
      <c r="E110" s="40"/>
      <c r="F110" s="40">
        <v>155495</v>
      </c>
      <c r="G110" s="40">
        <v>155495</v>
      </c>
      <c r="H110" s="40"/>
      <c r="I110" s="40"/>
      <c r="J110" s="41">
        <f>SUM(D110:G110)</f>
        <v>310990</v>
      </c>
      <c r="K110" s="42"/>
      <c r="L110" s="42"/>
      <c r="M110" s="31">
        <f>160039.08</f>
        <v>160039.07999999999</v>
      </c>
      <c r="N110" s="40">
        <f>[1]ZPMR!L20+(193775.44/12)</f>
        <v>163101.98333333334</v>
      </c>
      <c r="O110" s="40"/>
      <c r="P110" s="40"/>
      <c r="Q110" s="43"/>
      <c r="R110" s="35"/>
      <c r="S110" s="137"/>
    </row>
    <row r="111" spans="2:20" ht="34" x14ac:dyDescent="0.2">
      <c r="B111" s="29" t="s">
        <v>149</v>
      </c>
      <c r="C111" s="30" t="s">
        <v>150</v>
      </c>
      <c r="D111" s="40"/>
      <c r="E111" s="40"/>
      <c r="F111" s="40">
        <v>25495</v>
      </c>
      <c r="G111" s="40">
        <v>25495</v>
      </c>
      <c r="H111" s="40"/>
      <c r="I111" s="40"/>
      <c r="J111" s="41">
        <f>SUM(D111:G111)</f>
        <v>50990</v>
      </c>
      <c r="K111" s="42"/>
      <c r="L111" s="42"/>
      <c r="M111" s="31">
        <f>25146.86</f>
        <v>25146.86</v>
      </c>
      <c r="N111" s="40">
        <f>[1]ZPMR!L26+(193775.44/12)</f>
        <v>26377.603333333333</v>
      </c>
      <c r="O111" s="40"/>
      <c r="P111" s="40"/>
      <c r="Q111" s="43"/>
      <c r="R111" s="35"/>
      <c r="S111" s="137"/>
    </row>
    <row r="112" spans="2:20" ht="51" x14ac:dyDescent="0.2">
      <c r="B112" s="29" t="s">
        <v>151</v>
      </c>
      <c r="C112" s="30" t="s">
        <v>152</v>
      </c>
      <c r="D112" s="40"/>
      <c r="E112" s="40"/>
      <c r="F112" s="40">
        <v>50495</v>
      </c>
      <c r="G112" s="40">
        <v>50495</v>
      </c>
      <c r="H112" s="40"/>
      <c r="I112" s="40"/>
      <c r="J112" s="41">
        <f t="shared" ref="J112:J117" si="9">SUM(D112:G112)</f>
        <v>100990</v>
      </c>
      <c r="K112" s="42"/>
      <c r="L112" s="42"/>
      <c r="M112" s="31">
        <f>48397.39</f>
        <v>48397.39</v>
      </c>
      <c r="N112" s="40">
        <f>[1]ZPMR!L19+(193775.44/12)</f>
        <v>51769.883333333331</v>
      </c>
      <c r="O112" s="40"/>
      <c r="P112" s="40"/>
      <c r="Q112" s="43"/>
      <c r="R112" s="35"/>
      <c r="S112" s="137"/>
    </row>
    <row r="113" spans="2:20" ht="51" x14ac:dyDescent="0.2">
      <c r="B113" s="29" t="s">
        <v>153</v>
      </c>
      <c r="C113" s="30" t="s">
        <v>154</v>
      </c>
      <c r="D113" s="40"/>
      <c r="E113" s="40"/>
      <c r="F113" s="40">
        <v>53827.44</v>
      </c>
      <c r="G113" s="40">
        <v>53827.44</v>
      </c>
      <c r="H113" s="40"/>
      <c r="I113" s="40"/>
      <c r="J113" s="41">
        <f>SUM(D113:G113)</f>
        <v>107654.88</v>
      </c>
      <c r="K113" s="42">
        <v>0.5</v>
      </c>
      <c r="L113" s="42"/>
      <c r="M113" s="31">
        <f>56878.7</f>
        <v>56878.7</v>
      </c>
      <c r="N113" s="40">
        <f>[1]ZPMR!L21+(193775.44/12)+(60003.49/8)</f>
        <v>54003.629583333335</v>
      </c>
      <c r="O113" s="40"/>
      <c r="P113" s="40"/>
      <c r="Q113" s="43"/>
      <c r="R113" s="35"/>
      <c r="S113" s="137"/>
      <c r="T113" s="36"/>
    </row>
    <row r="114" spans="2:20" ht="17" hidden="1" x14ac:dyDescent="0.2">
      <c r="B114" s="29" t="s">
        <v>155</v>
      </c>
      <c r="C114" s="30"/>
      <c r="D114" s="40"/>
      <c r="E114" s="40"/>
      <c r="F114" s="40"/>
      <c r="G114" s="40"/>
      <c r="H114" s="40"/>
      <c r="I114" s="40"/>
      <c r="J114" s="41">
        <f t="shared" si="9"/>
        <v>0</v>
      </c>
      <c r="K114" s="42"/>
      <c r="L114" s="42"/>
      <c r="M114" s="40"/>
      <c r="N114" s="31"/>
      <c r="O114" s="40"/>
      <c r="P114" s="40"/>
      <c r="Q114" s="43"/>
      <c r="R114" s="35"/>
    </row>
    <row r="115" spans="2:20" ht="17" hidden="1" x14ac:dyDescent="0.2">
      <c r="B115" s="29" t="s">
        <v>156</v>
      </c>
      <c r="C115" s="30"/>
      <c r="D115" s="40"/>
      <c r="E115" s="40"/>
      <c r="F115" s="40"/>
      <c r="G115" s="40"/>
      <c r="H115" s="40"/>
      <c r="I115" s="40"/>
      <c r="J115" s="41">
        <f t="shared" si="9"/>
        <v>0</v>
      </c>
      <c r="K115" s="42"/>
      <c r="L115" s="42"/>
      <c r="M115" s="40"/>
      <c r="N115" s="31"/>
      <c r="O115" s="40"/>
      <c r="P115" s="40"/>
      <c r="Q115" s="43"/>
      <c r="R115" s="35"/>
    </row>
    <row r="116" spans="2:20" ht="17" hidden="1" x14ac:dyDescent="0.2">
      <c r="B116" s="29" t="s">
        <v>157</v>
      </c>
      <c r="C116" s="44"/>
      <c r="D116" s="45"/>
      <c r="E116" s="45"/>
      <c r="F116" s="45"/>
      <c r="G116" s="45"/>
      <c r="H116" s="45"/>
      <c r="I116" s="45"/>
      <c r="J116" s="41">
        <f t="shared" si="9"/>
        <v>0</v>
      </c>
      <c r="K116" s="46"/>
      <c r="L116" s="46"/>
      <c r="M116" s="45"/>
      <c r="N116" s="31"/>
      <c r="O116" s="45"/>
      <c r="P116" s="45"/>
      <c r="Q116" s="47"/>
      <c r="R116" s="35"/>
    </row>
    <row r="117" spans="2:20" ht="17" hidden="1" x14ac:dyDescent="0.2">
      <c r="B117" s="29" t="s">
        <v>158</v>
      </c>
      <c r="C117" s="44"/>
      <c r="D117" s="45"/>
      <c r="E117" s="45"/>
      <c r="F117" s="45"/>
      <c r="G117" s="45"/>
      <c r="H117" s="45"/>
      <c r="I117" s="45"/>
      <c r="J117" s="41">
        <f t="shared" si="9"/>
        <v>0</v>
      </c>
      <c r="K117" s="46"/>
      <c r="L117" s="46"/>
      <c r="M117" s="45"/>
      <c r="N117" s="31"/>
      <c r="O117" s="45"/>
      <c r="P117" s="45"/>
      <c r="Q117" s="47"/>
      <c r="R117" s="35"/>
    </row>
    <row r="118" spans="2:20" ht="17" x14ac:dyDescent="0.2">
      <c r="C118" s="26" t="s">
        <v>36</v>
      </c>
      <c r="D118" s="48">
        <f>SUM(D110:D117)</f>
        <v>0</v>
      </c>
      <c r="E118" s="48">
        <f>SUM(E110:E117)</f>
        <v>0</v>
      </c>
      <c r="F118" s="48">
        <f>SUM(F110:F117)</f>
        <v>285312.44</v>
      </c>
      <c r="G118" s="48">
        <f>SUM(G110:G117)</f>
        <v>285312.44</v>
      </c>
      <c r="H118" s="48"/>
      <c r="I118" s="48"/>
      <c r="J118" s="48">
        <f>SUM(J110:J117)</f>
        <v>570624.88</v>
      </c>
      <c r="K118" s="49">
        <f>(K110*J110)+(K111*J111)+(K112*J112)+(K113*J113)+(K114*J114)+(K115*J115)+(K116*J116)+(K117*J117)</f>
        <v>53827.44</v>
      </c>
      <c r="L118" s="49"/>
      <c r="M118" s="55">
        <f>SUM(M110:M117)</f>
        <v>290462.03000000003</v>
      </c>
      <c r="N118" s="55">
        <f>SUM(N110:N117)</f>
        <v>295253.09958333336</v>
      </c>
      <c r="O118" s="55">
        <f>SUM(O110:O117)</f>
        <v>0</v>
      </c>
      <c r="P118" s="55">
        <f>SUM(P110:P117)</f>
        <v>0</v>
      </c>
      <c r="Q118" s="47"/>
      <c r="R118" s="38"/>
    </row>
    <row r="119" spans="2:20" ht="51" customHeight="1" x14ac:dyDescent="0.2">
      <c r="B119" s="26" t="s">
        <v>159</v>
      </c>
      <c r="C119" s="240" t="s">
        <v>160</v>
      </c>
      <c r="D119" s="240"/>
      <c r="E119" s="240"/>
      <c r="F119" s="240"/>
      <c r="G119" s="240"/>
      <c r="H119" s="240"/>
      <c r="I119" s="240"/>
      <c r="J119" s="240"/>
      <c r="K119" s="240"/>
      <c r="L119" s="240"/>
      <c r="M119" s="239"/>
      <c r="N119" s="239"/>
      <c r="O119" s="239"/>
      <c r="P119" s="239"/>
      <c r="Q119" s="240"/>
      <c r="R119" s="28"/>
    </row>
    <row r="120" spans="2:20" ht="34" x14ac:dyDescent="0.2">
      <c r="B120" s="29" t="s">
        <v>161</v>
      </c>
      <c r="C120" s="30" t="s">
        <v>162</v>
      </c>
      <c r="D120" s="40"/>
      <c r="E120" s="40"/>
      <c r="F120" s="40">
        <v>48827.44</v>
      </c>
      <c r="G120" s="40">
        <v>48827.44</v>
      </c>
      <c r="H120" s="40"/>
      <c r="I120" s="40"/>
      <c r="J120" s="41">
        <f>SUM(D120:G120)</f>
        <v>97654.88</v>
      </c>
      <c r="K120" s="42">
        <v>0.5</v>
      </c>
      <c r="L120" s="42"/>
      <c r="M120" s="31">
        <f>63505.12</f>
        <v>63505.120000000003</v>
      </c>
      <c r="N120" s="40">
        <f>[1]ZPMR!L24+(193775.44/12)+(60003.49/8)</f>
        <v>48436.689583333333</v>
      </c>
      <c r="O120" s="40"/>
      <c r="P120" s="40"/>
      <c r="Q120" s="43"/>
      <c r="R120" s="35"/>
      <c r="S120" s="137"/>
      <c r="T120" s="36"/>
    </row>
    <row r="121" spans="2:20" ht="85" x14ac:dyDescent="0.2">
      <c r="B121" s="29" t="s">
        <v>163</v>
      </c>
      <c r="C121" s="30" t="s">
        <v>164</v>
      </c>
      <c r="D121" s="40"/>
      <c r="E121" s="40"/>
      <c r="F121" s="40">
        <v>58827.44</v>
      </c>
      <c r="G121" s="40">
        <v>58827.44</v>
      </c>
      <c r="H121" s="40"/>
      <c r="I121" s="40"/>
      <c r="J121" s="41">
        <f t="shared" ref="J121:J127" si="10">SUM(D121:G121)</f>
        <v>117654.88</v>
      </c>
      <c r="K121" s="42"/>
      <c r="L121" s="42"/>
      <c r="M121" s="31">
        <f>57559.27</f>
        <v>57559.27</v>
      </c>
      <c r="N121" s="40">
        <f>[1]ZPMR!L23+(193775.44/12)+(60003.49/8)</f>
        <v>57310.349583333329</v>
      </c>
      <c r="O121" s="40"/>
      <c r="P121" s="40"/>
      <c r="Q121" s="43"/>
      <c r="R121" s="35"/>
      <c r="S121" s="137"/>
    </row>
    <row r="122" spans="2:20" ht="34" x14ac:dyDescent="0.2">
      <c r="B122" s="29" t="s">
        <v>165</v>
      </c>
      <c r="C122" s="30" t="s">
        <v>166</v>
      </c>
      <c r="D122" s="40"/>
      <c r="E122" s="40"/>
      <c r="F122" s="40">
        <v>43827.44</v>
      </c>
      <c r="G122" s="40">
        <v>43827.44</v>
      </c>
      <c r="H122" s="40"/>
      <c r="I122" s="40"/>
      <c r="J122" s="41">
        <f t="shared" si="10"/>
        <v>87654.88</v>
      </c>
      <c r="K122" s="42"/>
      <c r="L122" s="42"/>
      <c r="M122" s="31">
        <f>45101.05</f>
        <v>45101.05</v>
      </c>
      <c r="N122" s="40">
        <f>[1]ZPMR!L28+(193775.44/12)+(60003.49/8)</f>
        <v>42930.169583333329</v>
      </c>
      <c r="O122" s="40"/>
      <c r="P122" s="40"/>
      <c r="Q122" s="43"/>
      <c r="R122" s="35"/>
      <c r="S122" s="137"/>
    </row>
    <row r="123" spans="2:20" ht="17" hidden="1" x14ac:dyDescent="0.2">
      <c r="B123" s="29" t="s">
        <v>167</v>
      </c>
      <c r="C123" s="30"/>
      <c r="D123" s="40"/>
      <c r="E123" s="40"/>
      <c r="F123" s="40"/>
      <c r="G123" s="40"/>
      <c r="H123" s="40"/>
      <c r="I123" s="40"/>
      <c r="J123" s="41">
        <f t="shared" si="10"/>
        <v>0</v>
      </c>
      <c r="K123" s="42"/>
      <c r="L123" s="42"/>
      <c r="M123" s="40"/>
      <c r="N123" s="31"/>
      <c r="O123" s="40"/>
      <c r="P123" s="40"/>
      <c r="Q123" s="43"/>
      <c r="R123" s="35"/>
    </row>
    <row r="124" spans="2:20" ht="17" hidden="1" x14ac:dyDescent="0.2">
      <c r="B124" s="29" t="s">
        <v>168</v>
      </c>
      <c r="C124" s="30"/>
      <c r="D124" s="40"/>
      <c r="E124" s="40"/>
      <c r="F124" s="40"/>
      <c r="G124" s="40"/>
      <c r="H124" s="40"/>
      <c r="I124" s="40"/>
      <c r="J124" s="41">
        <f t="shared" si="10"/>
        <v>0</v>
      </c>
      <c r="K124" s="42"/>
      <c r="L124" s="42"/>
      <c r="M124" s="40"/>
      <c r="N124" s="31"/>
      <c r="O124" s="40"/>
      <c r="P124" s="40"/>
      <c r="Q124" s="43"/>
      <c r="R124" s="35"/>
    </row>
    <row r="125" spans="2:20" ht="17" hidden="1" x14ac:dyDescent="0.2">
      <c r="B125" s="29" t="s">
        <v>169</v>
      </c>
      <c r="C125" s="30"/>
      <c r="D125" s="40"/>
      <c r="E125" s="40"/>
      <c r="F125" s="40"/>
      <c r="G125" s="40"/>
      <c r="H125" s="40"/>
      <c r="I125" s="40"/>
      <c r="J125" s="41">
        <f t="shared" si="10"/>
        <v>0</v>
      </c>
      <c r="K125" s="42"/>
      <c r="L125" s="42"/>
      <c r="M125" s="40"/>
      <c r="N125" s="31"/>
      <c r="O125" s="40"/>
      <c r="P125" s="40"/>
      <c r="Q125" s="43"/>
      <c r="R125" s="35"/>
    </row>
    <row r="126" spans="2:20" ht="17" hidden="1" x14ac:dyDescent="0.2">
      <c r="B126" s="29" t="s">
        <v>170</v>
      </c>
      <c r="C126" s="44"/>
      <c r="D126" s="45"/>
      <c r="E126" s="45"/>
      <c r="F126" s="45"/>
      <c r="G126" s="45"/>
      <c r="H126" s="45"/>
      <c r="I126" s="45"/>
      <c r="J126" s="41">
        <f t="shared" si="10"/>
        <v>0</v>
      </c>
      <c r="K126" s="46"/>
      <c r="L126" s="46"/>
      <c r="M126" s="45"/>
      <c r="N126" s="31"/>
      <c r="O126" s="45"/>
      <c r="P126" s="45"/>
      <c r="Q126" s="47"/>
      <c r="R126" s="35"/>
    </row>
    <row r="127" spans="2:20" ht="17" hidden="1" x14ac:dyDescent="0.2">
      <c r="B127" s="29" t="s">
        <v>171</v>
      </c>
      <c r="C127" s="44"/>
      <c r="D127" s="45"/>
      <c r="E127" s="45"/>
      <c r="F127" s="45"/>
      <c r="G127" s="45"/>
      <c r="H127" s="45"/>
      <c r="I127" s="45"/>
      <c r="J127" s="41">
        <f t="shared" si="10"/>
        <v>0</v>
      </c>
      <c r="K127" s="46"/>
      <c r="L127" s="46"/>
      <c r="M127" s="45"/>
      <c r="N127" s="31"/>
      <c r="O127" s="45"/>
      <c r="P127" s="45"/>
      <c r="Q127" s="47"/>
      <c r="R127" s="35"/>
    </row>
    <row r="128" spans="2:20" ht="17" x14ac:dyDescent="0.2">
      <c r="C128" s="26" t="s">
        <v>36</v>
      </c>
      <c r="D128" s="48">
        <f>SUM(D120:D127)</f>
        <v>0</v>
      </c>
      <c r="E128" s="48">
        <f>SUM(E120:E127)</f>
        <v>0</v>
      </c>
      <c r="F128" s="48">
        <f>SUM(F120:F127)</f>
        <v>151482.32</v>
      </c>
      <c r="G128" s="48">
        <f>SUM(G120:G127)</f>
        <v>151482.32</v>
      </c>
      <c r="H128" s="48"/>
      <c r="I128" s="48"/>
      <c r="J128" s="48">
        <f>SUM(J120:J127)</f>
        <v>302964.64</v>
      </c>
      <c r="K128" s="49">
        <f>(K120*J120)+(K121*J121)+(K122*J122)+(K123*J123)+(K124*J124)+(K125*J125)+(K126*J126)+(K127*J127)</f>
        <v>48827.44</v>
      </c>
      <c r="L128" s="49"/>
      <c r="M128" s="55">
        <f>SUM(M120:M127)</f>
        <v>166165.44</v>
      </c>
      <c r="N128" s="55">
        <f>SUM(N120:N127)</f>
        <v>148677.20874999999</v>
      </c>
      <c r="O128" s="55">
        <f>SUM(O120:O127)</f>
        <v>0</v>
      </c>
      <c r="P128" s="55">
        <f>SUM(P120:P127)</f>
        <v>0</v>
      </c>
      <c r="Q128" s="47"/>
      <c r="R128" s="38"/>
    </row>
    <row r="129" spans="2:18" ht="51" hidden="1" customHeight="1" x14ac:dyDescent="0.2">
      <c r="B129" s="26" t="s">
        <v>172</v>
      </c>
      <c r="C129" s="240"/>
      <c r="D129" s="240"/>
      <c r="E129" s="240"/>
      <c r="F129" s="240"/>
      <c r="G129" s="240"/>
      <c r="H129" s="240"/>
      <c r="I129" s="240"/>
      <c r="J129" s="240"/>
      <c r="K129" s="240"/>
      <c r="L129" s="240"/>
      <c r="M129" s="239"/>
      <c r="N129" s="239"/>
      <c r="O129" s="239"/>
      <c r="P129" s="239"/>
      <c r="Q129" s="240"/>
      <c r="R129" s="28"/>
    </row>
    <row r="130" spans="2:18" ht="17" hidden="1" x14ac:dyDescent="0.2">
      <c r="B130" s="29" t="s">
        <v>173</v>
      </c>
      <c r="C130" s="30"/>
      <c r="D130" s="40"/>
      <c r="E130" s="40"/>
      <c r="F130" s="40"/>
      <c r="G130" s="40"/>
      <c r="H130" s="40"/>
      <c r="I130" s="40"/>
      <c r="J130" s="41">
        <f>SUM(D130:F130)</f>
        <v>0</v>
      </c>
      <c r="K130" s="42"/>
      <c r="L130" s="42"/>
      <c r="M130" s="40"/>
      <c r="N130" s="31"/>
      <c r="O130" s="40"/>
      <c r="P130" s="40"/>
      <c r="Q130" s="43"/>
      <c r="R130" s="35"/>
    </row>
    <row r="131" spans="2:18" ht="17" hidden="1" x14ac:dyDescent="0.2">
      <c r="B131" s="29" t="s">
        <v>174</v>
      </c>
      <c r="C131" s="30"/>
      <c r="D131" s="40"/>
      <c r="E131" s="40"/>
      <c r="F131" s="40"/>
      <c r="G131" s="40"/>
      <c r="H131" s="40"/>
      <c r="I131" s="40"/>
      <c r="J131" s="41">
        <f t="shared" ref="J131:J137" si="11">SUM(D131:F131)</f>
        <v>0</v>
      </c>
      <c r="K131" s="42"/>
      <c r="L131" s="42"/>
      <c r="M131" s="40"/>
      <c r="N131" s="31"/>
      <c r="O131" s="40"/>
      <c r="P131" s="40"/>
      <c r="Q131" s="43"/>
      <c r="R131" s="35"/>
    </row>
    <row r="132" spans="2:18" ht="17" hidden="1" x14ac:dyDescent="0.2">
      <c r="B132" s="29" t="s">
        <v>175</v>
      </c>
      <c r="C132" s="30"/>
      <c r="D132" s="40"/>
      <c r="E132" s="40"/>
      <c r="F132" s="40"/>
      <c r="G132" s="40"/>
      <c r="H132" s="40"/>
      <c r="I132" s="40"/>
      <c r="J132" s="41">
        <f t="shared" si="11"/>
        <v>0</v>
      </c>
      <c r="K132" s="42"/>
      <c r="L132" s="42"/>
      <c r="M132" s="40"/>
      <c r="N132" s="31"/>
      <c r="O132" s="40"/>
      <c r="P132" s="40"/>
      <c r="Q132" s="43"/>
      <c r="R132" s="35"/>
    </row>
    <row r="133" spans="2:18" ht="17" hidden="1" x14ac:dyDescent="0.2">
      <c r="B133" s="29" t="s">
        <v>176</v>
      </c>
      <c r="C133" s="30"/>
      <c r="D133" s="40"/>
      <c r="E133" s="40"/>
      <c r="F133" s="40"/>
      <c r="G133" s="40"/>
      <c r="H133" s="40"/>
      <c r="I133" s="40"/>
      <c r="J133" s="41">
        <f t="shared" si="11"/>
        <v>0</v>
      </c>
      <c r="K133" s="42"/>
      <c r="L133" s="42"/>
      <c r="M133" s="40"/>
      <c r="N133" s="31"/>
      <c r="O133" s="40"/>
      <c r="P133" s="40"/>
      <c r="Q133" s="43"/>
      <c r="R133" s="35"/>
    </row>
    <row r="134" spans="2:18" ht="17" hidden="1" x14ac:dyDescent="0.2">
      <c r="B134" s="29" t="s">
        <v>177</v>
      </c>
      <c r="C134" s="30"/>
      <c r="D134" s="40"/>
      <c r="E134" s="40"/>
      <c r="F134" s="40"/>
      <c r="G134" s="40"/>
      <c r="H134" s="40"/>
      <c r="I134" s="40"/>
      <c r="J134" s="41">
        <f t="shared" si="11"/>
        <v>0</v>
      </c>
      <c r="K134" s="42"/>
      <c r="L134" s="42"/>
      <c r="M134" s="40"/>
      <c r="N134" s="31"/>
      <c r="O134" s="40"/>
      <c r="P134" s="40"/>
      <c r="Q134" s="43"/>
      <c r="R134" s="35"/>
    </row>
    <row r="135" spans="2:18" ht="17" hidden="1" x14ac:dyDescent="0.2">
      <c r="B135" s="29" t="s">
        <v>178</v>
      </c>
      <c r="C135" s="30"/>
      <c r="D135" s="40"/>
      <c r="E135" s="40"/>
      <c r="F135" s="40"/>
      <c r="G135" s="40"/>
      <c r="H135" s="40"/>
      <c r="I135" s="40"/>
      <c r="J135" s="41">
        <f t="shared" si="11"/>
        <v>0</v>
      </c>
      <c r="K135" s="42"/>
      <c r="L135" s="42"/>
      <c r="M135" s="40"/>
      <c r="N135" s="31"/>
      <c r="O135" s="40"/>
      <c r="P135" s="40"/>
      <c r="Q135" s="43"/>
      <c r="R135" s="35"/>
    </row>
    <row r="136" spans="2:18" ht="17" hidden="1" x14ac:dyDescent="0.2">
      <c r="B136" s="29" t="s">
        <v>179</v>
      </c>
      <c r="C136" s="44"/>
      <c r="D136" s="45"/>
      <c r="E136" s="45"/>
      <c r="F136" s="45"/>
      <c r="G136" s="45"/>
      <c r="H136" s="45"/>
      <c r="I136" s="45"/>
      <c r="J136" s="41">
        <f t="shared" si="11"/>
        <v>0</v>
      </c>
      <c r="K136" s="46"/>
      <c r="L136" s="46"/>
      <c r="M136" s="45"/>
      <c r="N136" s="31"/>
      <c r="O136" s="45"/>
      <c r="P136" s="45"/>
      <c r="Q136" s="47"/>
      <c r="R136" s="35"/>
    </row>
    <row r="137" spans="2:18" ht="17" hidden="1" x14ac:dyDescent="0.2">
      <c r="B137" s="29" t="s">
        <v>180</v>
      </c>
      <c r="C137" s="44"/>
      <c r="D137" s="45"/>
      <c r="E137" s="45"/>
      <c r="F137" s="45"/>
      <c r="G137" s="45"/>
      <c r="H137" s="45"/>
      <c r="I137" s="45"/>
      <c r="J137" s="41">
        <f t="shared" si="11"/>
        <v>0</v>
      </c>
      <c r="K137" s="46"/>
      <c r="L137" s="46"/>
      <c r="M137" s="45"/>
      <c r="N137" s="31"/>
      <c r="O137" s="45"/>
      <c r="P137" s="45"/>
      <c r="Q137" s="47"/>
      <c r="R137" s="35"/>
    </row>
    <row r="138" spans="2:18" ht="17" hidden="1" x14ac:dyDescent="0.2">
      <c r="C138" s="26" t="s">
        <v>36</v>
      </c>
      <c r="D138" s="49">
        <f>SUM(D130:D137)</f>
        <v>0</v>
      </c>
      <c r="E138" s="49">
        <f>SUM(E130:E137)</f>
        <v>0</v>
      </c>
      <c r="F138" s="49">
        <f>SUM(F130:F137)</f>
        <v>0</v>
      </c>
      <c r="G138" s="49"/>
      <c r="H138" s="49"/>
      <c r="I138" s="49"/>
      <c r="J138" s="49">
        <f>SUM(J130:J137)</f>
        <v>0</v>
      </c>
      <c r="K138" s="49">
        <f>(K130*J130)+(K131*J131)+(K132*J132)+(K133*J133)+(K134*J134)+(K135*J135)+(K136*J136)+(K137*J137)</f>
        <v>0</v>
      </c>
      <c r="L138" s="49"/>
      <c r="M138" s="55">
        <f>SUM(M130:M137)</f>
        <v>0</v>
      </c>
      <c r="N138" s="61">
        <f>SUM(N130:N137)</f>
        <v>0</v>
      </c>
      <c r="O138" s="55">
        <f>SUM(O130:O137)</f>
        <v>0</v>
      </c>
      <c r="P138" s="55">
        <f>SUM(P130:P137)</f>
        <v>0</v>
      </c>
      <c r="Q138" s="47"/>
      <c r="R138" s="38"/>
    </row>
    <row r="139" spans="2:18" ht="15.75" customHeight="1" x14ac:dyDescent="0.2">
      <c r="B139" s="56"/>
      <c r="C139" s="51"/>
      <c r="D139" s="57"/>
      <c r="E139" s="57"/>
      <c r="F139" s="57"/>
      <c r="G139" s="57"/>
      <c r="H139" s="57"/>
      <c r="I139" s="57"/>
      <c r="J139" s="57"/>
      <c r="K139" s="57"/>
      <c r="L139" s="57"/>
      <c r="M139" s="57"/>
      <c r="N139" s="58"/>
      <c r="O139" s="57"/>
      <c r="P139" s="57"/>
      <c r="Q139" s="62"/>
      <c r="R139" s="59"/>
    </row>
    <row r="140" spans="2:18" ht="51" hidden="1" customHeight="1" x14ac:dyDescent="0.2">
      <c r="B140" s="26" t="s">
        <v>181</v>
      </c>
      <c r="C140" s="241"/>
      <c r="D140" s="241"/>
      <c r="E140" s="241"/>
      <c r="F140" s="241"/>
      <c r="G140" s="241"/>
      <c r="H140" s="241"/>
      <c r="I140" s="241"/>
      <c r="J140" s="241"/>
      <c r="K140" s="241"/>
      <c r="L140" s="241"/>
      <c r="M140" s="237"/>
      <c r="N140" s="237"/>
      <c r="O140" s="237"/>
      <c r="P140" s="237"/>
      <c r="Q140" s="241"/>
      <c r="R140" s="27"/>
    </row>
    <row r="141" spans="2:18" ht="51" hidden="1" customHeight="1" x14ac:dyDescent="0.2">
      <c r="B141" s="26" t="s">
        <v>182</v>
      </c>
      <c r="C141" s="240"/>
      <c r="D141" s="240"/>
      <c r="E141" s="240"/>
      <c r="F141" s="240"/>
      <c r="G141" s="240"/>
      <c r="H141" s="240"/>
      <c r="I141" s="240"/>
      <c r="J141" s="240"/>
      <c r="K141" s="240"/>
      <c r="L141" s="240"/>
      <c r="M141" s="239"/>
      <c r="N141" s="239"/>
      <c r="O141" s="239"/>
      <c r="P141" s="239"/>
      <c r="Q141" s="240"/>
      <c r="R141" s="28"/>
    </row>
    <row r="142" spans="2:18" ht="17" hidden="1" x14ac:dyDescent="0.2">
      <c r="B142" s="29" t="s">
        <v>183</v>
      </c>
      <c r="C142" s="30"/>
      <c r="D142" s="40"/>
      <c r="E142" s="40"/>
      <c r="F142" s="40"/>
      <c r="G142" s="40"/>
      <c r="H142" s="40"/>
      <c r="I142" s="40"/>
      <c r="J142" s="41">
        <f>SUM(D142:F142)</f>
        <v>0</v>
      </c>
      <c r="K142" s="42"/>
      <c r="L142" s="42"/>
      <c r="M142" s="40"/>
      <c r="N142" s="31"/>
      <c r="O142" s="40"/>
      <c r="P142" s="40"/>
      <c r="Q142" s="43"/>
      <c r="R142" s="35"/>
    </row>
    <row r="143" spans="2:18" ht="17" hidden="1" x14ac:dyDescent="0.2">
      <c r="B143" s="29" t="s">
        <v>184</v>
      </c>
      <c r="C143" s="30"/>
      <c r="D143" s="40"/>
      <c r="E143" s="40"/>
      <c r="F143" s="40"/>
      <c r="G143" s="40"/>
      <c r="H143" s="40"/>
      <c r="I143" s="40"/>
      <c r="J143" s="41">
        <f t="shared" ref="J143:J149" si="12">SUM(D143:F143)</f>
        <v>0</v>
      </c>
      <c r="K143" s="42"/>
      <c r="L143" s="42"/>
      <c r="M143" s="40"/>
      <c r="N143" s="31"/>
      <c r="O143" s="40"/>
      <c r="P143" s="40"/>
      <c r="Q143" s="43"/>
      <c r="R143" s="35"/>
    </row>
    <row r="144" spans="2:18" ht="17" hidden="1" x14ac:dyDescent="0.2">
      <c r="B144" s="29" t="s">
        <v>185</v>
      </c>
      <c r="C144" s="30"/>
      <c r="D144" s="40"/>
      <c r="E144" s="40"/>
      <c r="F144" s="40"/>
      <c r="G144" s="40"/>
      <c r="H144" s="40"/>
      <c r="I144" s="40"/>
      <c r="J144" s="41">
        <f t="shared" si="12"/>
        <v>0</v>
      </c>
      <c r="K144" s="42"/>
      <c r="L144" s="42"/>
      <c r="M144" s="40"/>
      <c r="N144" s="31"/>
      <c r="O144" s="40"/>
      <c r="P144" s="40"/>
      <c r="Q144" s="43"/>
      <c r="R144" s="35"/>
    </row>
    <row r="145" spans="2:18" ht="17" hidden="1" x14ac:dyDescent="0.2">
      <c r="B145" s="29" t="s">
        <v>186</v>
      </c>
      <c r="C145" s="30"/>
      <c r="D145" s="40"/>
      <c r="E145" s="40"/>
      <c r="F145" s="40"/>
      <c r="G145" s="40"/>
      <c r="H145" s="40"/>
      <c r="I145" s="40"/>
      <c r="J145" s="41">
        <f t="shared" si="12"/>
        <v>0</v>
      </c>
      <c r="K145" s="42"/>
      <c r="L145" s="42"/>
      <c r="M145" s="40"/>
      <c r="N145" s="31"/>
      <c r="O145" s="40"/>
      <c r="P145" s="40"/>
      <c r="Q145" s="43"/>
      <c r="R145" s="35"/>
    </row>
    <row r="146" spans="2:18" ht="17" hidden="1" x14ac:dyDescent="0.2">
      <c r="B146" s="29" t="s">
        <v>187</v>
      </c>
      <c r="C146" s="30"/>
      <c r="D146" s="40"/>
      <c r="E146" s="40"/>
      <c r="F146" s="40"/>
      <c r="G146" s="40"/>
      <c r="H146" s="40"/>
      <c r="I146" s="40"/>
      <c r="J146" s="41">
        <f t="shared" si="12"/>
        <v>0</v>
      </c>
      <c r="K146" s="42"/>
      <c r="L146" s="42"/>
      <c r="M146" s="40"/>
      <c r="N146" s="31"/>
      <c r="O146" s="40"/>
      <c r="P146" s="40"/>
      <c r="Q146" s="43"/>
      <c r="R146" s="35"/>
    </row>
    <row r="147" spans="2:18" ht="17" hidden="1" x14ac:dyDescent="0.2">
      <c r="B147" s="29" t="s">
        <v>188</v>
      </c>
      <c r="C147" s="30"/>
      <c r="D147" s="40"/>
      <c r="E147" s="40"/>
      <c r="F147" s="40"/>
      <c r="G147" s="40"/>
      <c r="H147" s="40"/>
      <c r="I147" s="40"/>
      <c r="J147" s="41">
        <f t="shared" si="12"/>
        <v>0</v>
      </c>
      <c r="K147" s="42"/>
      <c r="L147" s="42"/>
      <c r="M147" s="40"/>
      <c r="N147" s="31"/>
      <c r="O147" s="40"/>
      <c r="P147" s="40"/>
      <c r="Q147" s="43"/>
      <c r="R147" s="35"/>
    </row>
    <row r="148" spans="2:18" ht="17" hidden="1" x14ac:dyDescent="0.2">
      <c r="B148" s="29" t="s">
        <v>189</v>
      </c>
      <c r="C148" s="44"/>
      <c r="D148" s="45"/>
      <c r="E148" s="45"/>
      <c r="F148" s="45"/>
      <c r="G148" s="45"/>
      <c r="H148" s="45"/>
      <c r="I148" s="45"/>
      <c r="J148" s="41">
        <f t="shared" si="12"/>
        <v>0</v>
      </c>
      <c r="K148" s="46"/>
      <c r="L148" s="46"/>
      <c r="M148" s="45"/>
      <c r="N148" s="31"/>
      <c r="O148" s="45"/>
      <c r="P148" s="45"/>
      <c r="Q148" s="47"/>
      <c r="R148" s="35"/>
    </row>
    <row r="149" spans="2:18" ht="17" hidden="1" x14ac:dyDescent="0.2">
      <c r="B149" s="29" t="s">
        <v>190</v>
      </c>
      <c r="C149" s="44"/>
      <c r="D149" s="45"/>
      <c r="E149" s="45"/>
      <c r="F149" s="45"/>
      <c r="G149" s="45"/>
      <c r="H149" s="45"/>
      <c r="I149" s="45"/>
      <c r="J149" s="41">
        <f t="shared" si="12"/>
        <v>0</v>
      </c>
      <c r="K149" s="46"/>
      <c r="L149" s="46"/>
      <c r="M149" s="45"/>
      <c r="N149" s="31"/>
      <c r="O149" s="45"/>
      <c r="P149" s="45"/>
      <c r="Q149" s="47"/>
      <c r="R149" s="35"/>
    </row>
    <row r="150" spans="2:18" ht="17" hidden="1" x14ac:dyDescent="0.2">
      <c r="C150" s="26" t="s">
        <v>36</v>
      </c>
      <c r="D150" s="49">
        <f>SUM(D142:D149)</f>
        <v>0</v>
      </c>
      <c r="E150" s="49">
        <f>SUM(E142:E149)</f>
        <v>0</v>
      </c>
      <c r="F150" s="49">
        <f>SUM(F142:F149)</f>
        <v>0</v>
      </c>
      <c r="G150" s="48"/>
      <c r="H150" s="48"/>
      <c r="I150" s="48"/>
      <c r="J150" s="48">
        <f>SUM(J142:J149)</f>
        <v>0</v>
      </c>
      <c r="K150" s="49">
        <f>(K142*J142)+(K143*J143)+(K144*J144)+(K145*J145)+(K146*J146)+(K147*J147)+(K148*J148)+(K149*J149)</f>
        <v>0</v>
      </c>
      <c r="L150" s="49"/>
      <c r="M150" s="55">
        <f>SUM(M142:M149)</f>
        <v>0</v>
      </c>
      <c r="N150" s="61">
        <f>SUM(N142:N149)</f>
        <v>0</v>
      </c>
      <c r="O150" s="55">
        <f>SUM(O142:O149)</f>
        <v>0</v>
      </c>
      <c r="P150" s="55">
        <f>SUM(P142:P149)</f>
        <v>0</v>
      </c>
      <c r="Q150" s="47"/>
      <c r="R150" s="38"/>
    </row>
    <row r="151" spans="2:18" ht="51" hidden="1" customHeight="1" x14ac:dyDescent="0.2">
      <c r="B151" s="26" t="s">
        <v>191</v>
      </c>
      <c r="C151" s="240"/>
      <c r="D151" s="240"/>
      <c r="E151" s="240"/>
      <c r="F151" s="240"/>
      <c r="G151" s="240"/>
      <c r="H151" s="240"/>
      <c r="I151" s="240"/>
      <c r="J151" s="240"/>
      <c r="K151" s="240"/>
      <c r="L151" s="240"/>
      <c r="M151" s="239"/>
      <c r="N151" s="239"/>
      <c r="O151" s="239"/>
      <c r="P151" s="239"/>
      <c r="Q151" s="240"/>
      <c r="R151" s="28"/>
    </row>
    <row r="152" spans="2:18" ht="17" hidden="1" x14ac:dyDescent="0.2">
      <c r="B152" s="29" t="s">
        <v>192</v>
      </c>
      <c r="C152" s="30"/>
      <c r="D152" s="40"/>
      <c r="E152" s="40"/>
      <c r="F152" s="40"/>
      <c r="G152" s="40"/>
      <c r="H152" s="40"/>
      <c r="I152" s="40"/>
      <c r="J152" s="41">
        <f>SUM(D152:F152)</f>
        <v>0</v>
      </c>
      <c r="K152" s="42"/>
      <c r="L152" s="42"/>
      <c r="M152" s="40"/>
      <c r="N152" s="31"/>
      <c r="O152" s="40"/>
      <c r="P152" s="40"/>
      <c r="Q152" s="43"/>
      <c r="R152" s="35"/>
    </row>
    <row r="153" spans="2:18" ht="17" hidden="1" x14ac:dyDescent="0.2">
      <c r="B153" s="29" t="s">
        <v>193</v>
      </c>
      <c r="C153" s="30"/>
      <c r="D153" s="40"/>
      <c r="E153" s="40"/>
      <c r="F153" s="40"/>
      <c r="G153" s="40"/>
      <c r="H153" s="40"/>
      <c r="I153" s="40"/>
      <c r="J153" s="41">
        <f t="shared" ref="J153:J159" si="13">SUM(D153:F153)</f>
        <v>0</v>
      </c>
      <c r="K153" s="42"/>
      <c r="L153" s="42"/>
      <c r="M153" s="40"/>
      <c r="N153" s="31"/>
      <c r="O153" s="40"/>
      <c r="P153" s="40"/>
      <c r="Q153" s="43"/>
      <c r="R153" s="35"/>
    </row>
    <row r="154" spans="2:18" ht="17" hidden="1" x14ac:dyDescent="0.2">
      <c r="B154" s="29" t="s">
        <v>194</v>
      </c>
      <c r="C154" s="30"/>
      <c r="D154" s="40"/>
      <c r="E154" s="40"/>
      <c r="F154" s="40"/>
      <c r="G154" s="40"/>
      <c r="H154" s="40"/>
      <c r="I154" s="40"/>
      <c r="J154" s="41">
        <f t="shared" si="13"/>
        <v>0</v>
      </c>
      <c r="K154" s="42"/>
      <c r="L154" s="42"/>
      <c r="M154" s="40"/>
      <c r="N154" s="31"/>
      <c r="O154" s="40"/>
      <c r="P154" s="40"/>
      <c r="Q154" s="43"/>
      <c r="R154" s="35"/>
    </row>
    <row r="155" spans="2:18" ht="17" hidden="1" x14ac:dyDescent="0.2">
      <c r="B155" s="29" t="s">
        <v>195</v>
      </c>
      <c r="C155" s="30"/>
      <c r="D155" s="40"/>
      <c r="E155" s="40"/>
      <c r="F155" s="40"/>
      <c r="G155" s="40"/>
      <c r="H155" s="40"/>
      <c r="I155" s="40"/>
      <c r="J155" s="41">
        <f t="shared" si="13"/>
        <v>0</v>
      </c>
      <c r="K155" s="42"/>
      <c r="L155" s="42"/>
      <c r="M155" s="40"/>
      <c r="N155" s="31"/>
      <c r="O155" s="40"/>
      <c r="P155" s="40"/>
      <c r="Q155" s="43"/>
      <c r="R155" s="35"/>
    </row>
    <row r="156" spans="2:18" ht="17" hidden="1" x14ac:dyDescent="0.2">
      <c r="B156" s="29" t="s">
        <v>196</v>
      </c>
      <c r="C156" s="30"/>
      <c r="D156" s="40"/>
      <c r="E156" s="40"/>
      <c r="F156" s="40"/>
      <c r="G156" s="40"/>
      <c r="H156" s="40"/>
      <c r="I156" s="40"/>
      <c r="J156" s="41">
        <f t="shared" si="13"/>
        <v>0</v>
      </c>
      <c r="K156" s="42"/>
      <c r="L156" s="42"/>
      <c r="M156" s="40"/>
      <c r="N156" s="31"/>
      <c r="O156" s="40"/>
      <c r="P156" s="40"/>
      <c r="Q156" s="43"/>
      <c r="R156" s="35"/>
    </row>
    <row r="157" spans="2:18" ht="17" hidden="1" x14ac:dyDescent="0.2">
      <c r="B157" s="29" t="s">
        <v>197</v>
      </c>
      <c r="C157" s="30"/>
      <c r="D157" s="40"/>
      <c r="E157" s="40"/>
      <c r="F157" s="40"/>
      <c r="G157" s="40"/>
      <c r="H157" s="40"/>
      <c r="I157" s="40"/>
      <c r="J157" s="41">
        <f t="shared" si="13"/>
        <v>0</v>
      </c>
      <c r="K157" s="42"/>
      <c r="L157" s="42"/>
      <c r="M157" s="40"/>
      <c r="N157" s="31"/>
      <c r="O157" s="40"/>
      <c r="P157" s="40"/>
      <c r="Q157" s="43"/>
      <c r="R157" s="35"/>
    </row>
    <row r="158" spans="2:18" ht="17" hidden="1" x14ac:dyDescent="0.2">
      <c r="B158" s="29" t="s">
        <v>198</v>
      </c>
      <c r="C158" s="44"/>
      <c r="D158" s="45"/>
      <c r="E158" s="45"/>
      <c r="F158" s="45"/>
      <c r="G158" s="45"/>
      <c r="H158" s="45"/>
      <c r="I158" s="45"/>
      <c r="J158" s="41">
        <f t="shared" si="13"/>
        <v>0</v>
      </c>
      <c r="K158" s="46"/>
      <c r="L158" s="46"/>
      <c r="M158" s="45"/>
      <c r="N158" s="31"/>
      <c r="O158" s="45"/>
      <c r="P158" s="45"/>
      <c r="Q158" s="47"/>
      <c r="R158" s="35"/>
    </row>
    <row r="159" spans="2:18" ht="17" hidden="1" x14ac:dyDescent="0.2">
      <c r="B159" s="29" t="s">
        <v>199</v>
      </c>
      <c r="C159" s="44"/>
      <c r="D159" s="45"/>
      <c r="E159" s="45"/>
      <c r="F159" s="45"/>
      <c r="G159" s="45"/>
      <c r="H159" s="45"/>
      <c r="I159" s="45"/>
      <c r="J159" s="41">
        <f t="shared" si="13"/>
        <v>0</v>
      </c>
      <c r="K159" s="46"/>
      <c r="L159" s="46"/>
      <c r="M159" s="45"/>
      <c r="N159" s="31"/>
      <c r="O159" s="45"/>
      <c r="P159" s="45"/>
      <c r="Q159" s="47"/>
      <c r="R159" s="35"/>
    </row>
    <row r="160" spans="2:18" ht="17" hidden="1" x14ac:dyDescent="0.2">
      <c r="C160" s="26" t="s">
        <v>36</v>
      </c>
      <c r="D160" s="48">
        <f>SUM(D152:D159)</f>
        <v>0</v>
      </c>
      <c r="E160" s="48">
        <f>SUM(E152:E159)</f>
        <v>0</v>
      </c>
      <c r="F160" s="48">
        <f>SUM(F152:F159)</f>
        <v>0</v>
      </c>
      <c r="G160" s="48"/>
      <c r="H160" s="48"/>
      <c r="I160" s="48"/>
      <c r="J160" s="48">
        <f>SUM(J152:J159)</f>
        <v>0</v>
      </c>
      <c r="K160" s="49">
        <f>(K152*J152)+(K153*J153)+(K154*J154)+(K155*J155)+(K156*J156)+(K157*J157)+(K158*J158)+(K159*J159)</f>
        <v>0</v>
      </c>
      <c r="L160" s="49"/>
      <c r="M160" s="55">
        <f>SUM(M152:M159)</f>
        <v>0</v>
      </c>
      <c r="N160" s="61">
        <f>SUM(N152:N159)</f>
        <v>0</v>
      </c>
      <c r="O160" s="55">
        <f>SUM(O152:O159)</f>
        <v>0</v>
      </c>
      <c r="P160" s="55">
        <f>SUM(P152:P159)</f>
        <v>0</v>
      </c>
      <c r="Q160" s="47"/>
      <c r="R160" s="38"/>
    </row>
    <row r="161" spans="2:18" ht="51" hidden="1" customHeight="1" x14ac:dyDescent="0.2">
      <c r="B161" s="26" t="s">
        <v>200</v>
      </c>
      <c r="C161" s="240"/>
      <c r="D161" s="240"/>
      <c r="E161" s="240"/>
      <c r="F161" s="240"/>
      <c r="G161" s="240"/>
      <c r="H161" s="240"/>
      <c r="I161" s="240"/>
      <c r="J161" s="240"/>
      <c r="K161" s="240"/>
      <c r="L161" s="240"/>
      <c r="M161" s="239"/>
      <c r="N161" s="239"/>
      <c r="O161" s="239"/>
      <c r="P161" s="239"/>
      <c r="Q161" s="240"/>
      <c r="R161" s="28"/>
    </row>
    <row r="162" spans="2:18" ht="17" hidden="1" x14ac:dyDescent="0.2">
      <c r="B162" s="29" t="s">
        <v>201</v>
      </c>
      <c r="C162" s="30"/>
      <c r="D162" s="40"/>
      <c r="E162" s="40"/>
      <c r="F162" s="40"/>
      <c r="G162" s="40"/>
      <c r="H162" s="40"/>
      <c r="I162" s="40"/>
      <c r="J162" s="41">
        <f>SUM(D162:F162)</f>
        <v>0</v>
      </c>
      <c r="K162" s="42"/>
      <c r="L162" s="42"/>
      <c r="M162" s="40"/>
      <c r="N162" s="31"/>
      <c r="O162" s="40"/>
      <c r="P162" s="40"/>
      <c r="Q162" s="43"/>
      <c r="R162" s="35"/>
    </row>
    <row r="163" spans="2:18" ht="17" hidden="1" x14ac:dyDescent="0.2">
      <c r="B163" s="29" t="s">
        <v>202</v>
      </c>
      <c r="C163" s="30"/>
      <c r="D163" s="40"/>
      <c r="E163" s="40"/>
      <c r="F163" s="40"/>
      <c r="G163" s="40"/>
      <c r="H163" s="40"/>
      <c r="I163" s="40"/>
      <c r="J163" s="41">
        <f t="shared" ref="J163:J169" si="14">SUM(D163:F163)</f>
        <v>0</v>
      </c>
      <c r="K163" s="42"/>
      <c r="L163" s="42"/>
      <c r="M163" s="40"/>
      <c r="N163" s="31"/>
      <c r="O163" s="40"/>
      <c r="P163" s="40"/>
      <c r="Q163" s="43"/>
      <c r="R163" s="35"/>
    </row>
    <row r="164" spans="2:18" ht="17" hidden="1" x14ac:dyDescent="0.2">
      <c r="B164" s="29" t="s">
        <v>203</v>
      </c>
      <c r="C164" s="30"/>
      <c r="D164" s="40"/>
      <c r="E164" s="40"/>
      <c r="F164" s="40"/>
      <c r="G164" s="40"/>
      <c r="H164" s="40"/>
      <c r="I164" s="40"/>
      <c r="J164" s="41">
        <f t="shared" si="14"/>
        <v>0</v>
      </c>
      <c r="K164" s="42"/>
      <c r="L164" s="42"/>
      <c r="M164" s="40"/>
      <c r="N164" s="31"/>
      <c r="O164" s="40"/>
      <c r="P164" s="40"/>
      <c r="Q164" s="43"/>
      <c r="R164" s="35"/>
    </row>
    <row r="165" spans="2:18" ht="17" hidden="1" x14ac:dyDescent="0.2">
      <c r="B165" s="29" t="s">
        <v>204</v>
      </c>
      <c r="C165" s="30"/>
      <c r="D165" s="40"/>
      <c r="E165" s="40"/>
      <c r="F165" s="40"/>
      <c r="G165" s="40"/>
      <c r="H165" s="40"/>
      <c r="I165" s="40"/>
      <c r="J165" s="41">
        <f t="shared" si="14"/>
        <v>0</v>
      </c>
      <c r="K165" s="42"/>
      <c r="L165" s="42"/>
      <c r="M165" s="40"/>
      <c r="N165" s="31"/>
      <c r="O165" s="40"/>
      <c r="P165" s="40"/>
      <c r="Q165" s="43"/>
      <c r="R165" s="35"/>
    </row>
    <row r="166" spans="2:18" ht="17" hidden="1" x14ac:dyDescent="0.2">
      <c r="B166" s="29" t="s">
        <v>205</v>
      </c>
      <c r="C166" s="30"/>
      <c r="D166" s="40"/>
      <c r="E166" s="40"/>
      <c r="F166" s="40"/>
      <c r="G166" s="40"/>
      <c r="H166" s="40"/>
      <c r="I166" s="40"/>
      <c r="J166" s="41">
        <f t="shared" si="14"/>
        <v>0</v>
      </c>
      <c r="K166" s="42"/>
      <c r="L166" s="42"/>
      <c r="M166" s="40"/>
      <c r="N166" s="31"/>
      <c r="O166" s="40"/>
      <c r="P166" s="40"/>
      <c r="Q166" s="43"/>
      <c r="R166" s="35"/>
    </row>
    <row r="167" spans="2:18" ht="17" hidden="1" x14ac:dyDescent="0.2">
      <c r="B167" s="29" t="s">
        <v>206</v>
      </c>
      <c r="C167" s="30"/>
      <c r="D167" s="40"/>
      <c r="E167" s="40"/>
      <c r="F167" s="40"/>
      <c r="G167" s="40"/>
      <c r="H167" s="40"/>
      <c r="I167" s="40"/>
      <c r="J167" s="41">
        <f t="shared" si="14"/>
        <v>0</v>
      </c>
      <c r="K167" s="42"/>
      <c r="L167" s="42"/>
      <c r="M167" s="40"/>
      <c r="N167" s="31"/>
      <c r="O167" s="40"/>
      <c r="P167" s="40"/>
      <c r="Q167" s="43"/>
      <c r="R167" s="35"/>
    </row>
    <row r="168" spans="2:18" ht="17" hidden="1" x14ac:dyDescent="0.2">
      <c r="B168" s="29" t="s">
        <v>207</v>
      </c>
      <c r="C168" s="44"/>
      <c r="D168" s="45"/>
      <c r="E168" s="45"/>
      <c r="F168" s="45"/>
      <c r="G168" s="45"/>
      <c r="H168" s="45"/>
      <c r="I168" s="45"/>
      <c r="J168" s="41">
        <f t="shared" si="14"/>
        <v>0</v>
      </c>
      <c r="K168" s="46"/>
      <c r="L168" s="46"/>
      <c r="M168" s="45"/>
      <c r="N168" s="31"/>
      <c r="O168" s="45"/>
      <c r="P168" s="45"/>
      <c r="Q168" s="47"/>
      <c r="R168" s="35"/>
    </row>
    <row r="169" spans="2:18" ht="17" hidden="1" x14ac:dyDescent="0.2">
      <c r="B169" s="29" t="s">
        <v>208</v>
      </c>
      <c r="C169" s="44"/>
      <c r="D169" s="45"/>
      <c r="E169" s="45"/>
      <c r="F169" s="45"/>
      <c r="G169" s="45"/>
      <c r="H169" s="45"/>
      <c r="I169" s="45"/>
      <c r="J169" s="41">
        <f t="shared" si="14"/>
        <v>0</v>
      </c>
      <c r="K169" s="46"/>
      <c r="L169" s="46"/>
      <c r="M169" s="45"/>
      <c r="N169" s="31"/>
      <c r="O169" s="45"/>
      <c r="P169" s="45"/>
      <c r="Q169" s="47"/>
      <c r="R169" s="35"/>
    </row>
    <row r="170" spans="2:18" ht="17" hidden="1" x14ac:dyDescent="0.2">
      <c r="C170" s="26" t="s">
        <v>36</v>
      </c>
      <c r="D170" s="48">
        <f>SUM(D162:D169)</f>
        <v>0</v>
      </c>
      <c r="E170" s="48">
        <f>SUM(E162:E169)</f>
        <v>0</v>
      </c>
      <c r="F170" s="48">
        <f>SUM(F162:F169)</f>
        <v>0</v>
      </c>
      <c r="G170" s="48"/>
      <c r="H170" s="48"/>
      <c r="I170" s="48"/>
      <c r="J170" s="48">
        <f>SUM(J162:J169)</f>
        <v>0</v>
      </c>
      <c r="K170" s="49">
        <f>(K162*J162)+(K163*J163)+(K164*J164)+(K165*J165)+(K166*J166)+(K167*J167)+(K168*J168)+(K169*J169)</f>
        <v>0</v>
      </c>
      <c r="L170" s="49"/>
      <c r="M170" s="55">
        <f>SUM(M162:M169)</f>
        <v>0</v>
      </c>
      <c r="N170" s="61">
        <f>SUM(N162:N169)</f>
        <v>0</v>
      </c>
      <c r="O170" s="55">
        <f>SUM(O162:O169)</f>
        <v>0</v>
      </c>
      <c r="P170" s="55">
        <f>SUM(P162:P169)</f>
        <v>0</v>
      </c>
      <c r="Q170" s="47"/>
      <c r="R170" s="38"/>
    </row>
    <row r="171" spans="2:18" ht="51" hidden="1" customHeight="1" x14ac:dyDescent="0.2">
      <c r="B171" s="26" t="s">
        <v>209</v>
      </c>
      <c r="C171" s="240"/>
      <c r="D171" s="240"/>
      <c r="E171" s="240"/>
      <c r="F171" s="240"/>
      <c r="G171" s="240"/>
      <c r="H171" s="240"/>
      <c r="I171" s="240"/>
      <c r="J171" s="240"/>
      <c r="K171" s="240"/>
      <c r="L171" s="240"/>
      <c r="M171" s="239"/>
      <c r="N171" s="239"/>
      <c r="O171" s="239"/>
      <c r="P171" s="239"/>
      <c r="Q171" s="240"/>
      <c r="R171" s="28"/>
    </row>
    <row r="172" spans="2:18" ht="17" hidden="1" x14ac:dyDescent="0.2">
      <c r="B172" s="29" t="s">
        <v>210</v>
      </c>
      <c r="C172" s="30"/>
      <c r="D172" s="40"/>
      <c r="E172" s="40"/>
      <c r="F172" s="40"/>
      <c r="G172" s="40"/>
      <c r="H172" s="40"/>
      <c r="I172" s="40"/>
      <c r="J172" s="41">
        <f>SUM(D172:F172)</f>
        <v>0</v>
      </c>
      <c r="K172" s="42"/>
      <c r="L172" s="42"/>
      <c r="M172" s="40"/>
      <c r="N172" s="31"/>
      <c r="O172" s="40"/>
      <c r="P172" s="40"/>
      <c r="Q172" s="43"/>
      <c r="R172" s="35"/>
    </row>
    <row r="173" spans="2:18" ht="17" hidden="1" x14ac:dyDescent="0.2">
      <c r="B173" s="29" t="s">
        <v>211</v>
      </c>
      <c r="C173" s="30"/>
      <c r="D173" s="40"/>
      <c r="E173" s="40"/>
      <c r="F173" s="40"/>
      <c r="G173" s="40"/>
      <c r="H173" s="40"/>
      <c r="I173" s="40"/>
      <c r="J173" s="41">
        <f t="shared" ref="J173:J179" si="15">SUM(D173:F173)</f>
        <v>0</v>
      </c>
      <c r="K173" s="42"/>
      <c r="L173" s="42"/>
      <c r="M173" s="40"/>
      <c r="N173" s="31"/>
      <c r="O173" s="40"/>
      <c r="P173" s="40"/>
      <c r="Q173" s="43"/>
      <c r="R173" s="35"/>
    </row>
    <row r="174" spans="2:18" ht="17" hidden="1" x14ac:dyDescent="0.2">
      <c r="B174" s="29" t="s">
        <v>212</v>
      </c>
      <c r="C174" s="30"/>
      <c r="D174" s="40"/>
      <c r="E174" s="40"/>
      <c r="F174" s="40"/>
      <c r="G174" s="40"/>
      <c r="H174" s="40"/>
      <c r="I174" s="40"/>
      <c r="J174" s="41">
        <f t="shared" si="15"/>
        <v>0</v>
      </c>
      <c r="K174" s="42"/>
      <c r="L174" s="42"/>
      <c r="M174" s="40"/>
      <c r="N174" s="31"/>
      <c r="O174" s="40"/>
      <c r="P174" s="40"/>
      <c r="Q174" s="43"/>
      <c r="R174" s="35"/>
    </row>
    <row r="175" spans="2:18" ht="17" hidden="1" x14ac:dyDescent="0.2">
      <c r="B175" s="29" t="s">
        <v>213</v>
      </c>
      <c r="C175" s="30"/>
      <c r="D175" s="40"/>
      <c r="E175" s="40"/>
      <c r="F175" s="40"/>
      <c r="G175" s="40"/>
      <c r="H175" s="40"/>
      <c r="I175" s="40"/>
      <c r="J175" s="41">
        <f t="shared" si="15"/>
        <v>0</v>
      </c>
      <c r="K175" s="42"/>
      <c r="L175" s="42"/>
      <c r="M175" s="40"/>
      <c r="N175" s="31"/>
      <c r="O175" s="40"/>
      <c r="P175" s="40"/>
      <c r="Q175" s="43"/>
      <c r="R175" s="35"/>
    </row>
    <row r="176" spans="2:18" ht="17" hidden="1" x14ac:dyDescent="0.2">
      <c r="B176" s="29" t="s">
        <v>214</v>
      </c>
      <c r="C176" s="30"/>
      <c r="D176" s="40"/>
      <c r="E176" s="40"/>
      <c r="F176" s="40"/>
      <c r="G176" s="40"/>
      <c r="H176" s="40"/>
      <c r="I176" s="40"/>
      <c r="J176" s="41">
        <f>SUM(D176:F176)</f>
        <v>0</v>
      </c>
      <c r="K176" s="42"/>
      <c r="L176" s="42"/>
      <c r="M176" s="40"/>
      <c r="N176" s="31"/>
      <c r="O176" s="40"/>
      <c r="P176" s="40"/>
      <c r="Q176" s="43"/>
      <c r="R176" s="35"/>
    </row>
    <row r="177" spans="2:21" ht="17" hidden="1" x14ac:dyDescent="0.2">
      <c r="B177" s="29" t="s">
        <v>215</v>
      </c>
      <c r="C177" s="30"/>
      <c r="D177" s="40"/>
      <c r="E177" s="40"/>
      <c r="F177" s="40"/>
      <c r="G177" s="40"/>
      <c r="H177" s="40"/>
      <c r="I177" s="40"/>
      <c r="J177" s="41">
        <f t="shared" si="15"/>
        <v>0</v>
      </c>
      <c r="K177" s="42"/>
      <c r="L177" s="42"/>
      <c r="M177" s="40"/>
      <c r="N177" s="31"/>
      <c r="O177" s="40"/>
      <c r="P177" s="40"/>
      <c r="Q177" s="43"/>
      <c r="R177" s="35"/>
    </row>
    <row r="178" spans="2:21" ht="17" hidden="1" x14ac:dyDescent="0.2">
      <c r="B178" s="29" t="s">
        <v>216</v>
      </c>
      <c r="C178" s="44"/>
      <c r="D178" s="45"/>
      <c r="E178" s="45"/>
      <c r="F178" s="45"/>
      <c r="G178" s="45"/>
      <c r="H178" s="45"/>
      <c r="I178" s="45"/>
      <c r="J178" s="41">
        <f t="shared" si="15"/>
        <v>0</v>
      </c>
      <c r="K178" s="46"/>
      <c r="L178" s="46"/>
      <c r="M178" s="45"/>
      <c r="N178" s="31"/>
      <c r="O178" s="45"/>
      <c r="P178" s="45"/>
      <c r="Q178" s="47"/>
      <c r="R178" s="35"/>
    </row>
    <row r="179" spans="2:21" ht="17" hidden="1" x14ac:dyDescent="0.2">
      <c r="B179" s="29" t="s">
        <v>217</v>
      </c>
      <c r="C179" s="44"/>
      <c r="D179" s="45"/>
      <c r="E179" s="45"/>
      <c r="F179" s="45"/>
      <c r="G179" s="45"/>
      <c r="H179" s="45"/>
      <c r="I179" s="45"/>
      <c r="J179" s="41">
        <f t="shared" si="15"/>
        <v>0</v>
      </c>
      <c r="K179" s="46"/>
      <c r="L179" s="46"/>
      <c r="M179" s="45"/>
      <c r="N179" s="31"/>
      <c r="O179" s="45"/>
      <c r="P179" s="45"/>
      <c r="Q179" s="47"/>
      <c r="R179" s="35"/>
    </row>
    <row r="180" spans="2:21" ht="17" hidden="1" x14ac:dyDescent="0.2">
      <c r="C180" s="26" t="s">
        <v>36</v>
      </c>
      <c r="D180" s="49">
        <f>SUM(D172:D179)</f>
        <v>0</v>
      </c>
      <c r="E180" s="49">
        <f>SUM(E172:E179)</f>
        <v>0</v>
      </c>
      <c r="F180" s="49">
        <f>SUM(F172:F179)</f>
        <v>0</v>
      </c>
      <c r="G180" s="49"/>
      <c r="H180" s="49"/>
      <c r="I180" s="49"/>
      <c r="J180" s="49">
        <f>SUM(J172:J179)</f>
        <v>0</v>
      </c>
      <c r="K180" s="49">
        <f>(K172*J172)+(K173*J173)+(K174*J174)+(K175*J175)+(K176*J176)+(K177*J177)+(K178*J178)+(K179*J179)</f>
        <v>0</v>
      </c>
      <c r="L180" s="49"/>
      <c r="M180" s="55">
        <f>SUM(M172:M179)</f>
        <v>0</v>
      </c>
      <c r="N180" s="61">
        <f>SUM(N172:N179)</f>
        <v>0</v>
      </c>
      <c r="O180" s="55">
        <f>SUM(O172:O179)</f>
        <v>0</v>
      </c>
      <c r="P180" s="55">
        <f>SUM(P172:P179)</f>
        <v>0</v>
      </c>
      <c r="Q180" s="47"/>
      <c r="R180" s="38"/>
    </row>
    <row r="181" spans="2:21" ht="15.75" customHeight="1" x14ac:dyDescent="0.2">
      <c r="B181" s="56"/>
      <c r="C181" s="51"/>
      <c r="D181" s="57"/>
      <c r="E181" s="57"/>
      <c r="F181" s="57"/>
      <c r="G181" s="57"/>
      <c r="H181" s="57"/>
      <c r="I181" s="57"/>
      <c r="J181" s="57"/>
      <c r="K181" s="57"/>
      <c r="L181" s="57"/>
      <c r="M181" s="57"/>
      <c r="N181" s="58"/>
      <c r="O181" s="57"/>
      <c r="P181" s="57"/>
      <c r="Q181" s="51"/>
      <c r="R181" s="59"/>
    </row>
    <row r="182" spans="2:21" ht="15.75" customHeight="1" x14ac:dyDescent="0.2">
      <c r="B182" s="56"/>
      <c r="C182" s="51"/>
      <c r="D182" s="57"/>
      <c r="E182" s="57"/>
      <c r="F182" s="57"/>
      <c r="G182" s="57"/>
      <c r="H182" s="57"/>
      <c r="I182" s="57"/>
      <c r="J182" s="57"/>
      <c r="K182" s="57"/>
      <c r="L182" s="57"/>
      <c r="M182" s="57"/>
      <c r="N182" s="58"/>
      <c r="O182" s="57"/>
      <c r="P182" s="57"/>
      <c r="Q182" s="51"/>
      <c r="R182" s="59"/>
    </row>
    <row r="183" spans="2:21" ht="15.75" customHeight="1" x14ac:dyDescent="0.2">
      <c r="B183" s="56"/>
      <c r="C183" s="51"/>
      <c r="D183" s="57"/>
      <c r="E183" s="57"/>
      <c r="F183" s="57"/>
      <c r="G183" s="57"/>
      <c r="H183" s="57"/>
      <c r="I183" s="57"/>
      <c r="J183" s="57"/>
      <c r="K183" s="57"/>
      <c r="L183" s="57"/>
      <c r="M183" s="57"/>
      <c r="N183" s="58"/>
      <c r="O183" s="57"/>
      <c r="P183" s="57"/>
      <c r="Q183" s="51"/>
      <c r="R183" s="59"/>
    </row>
    <row r="184" spans="2:21" ht="63.75" customHeight="1" x14ac:dyDescent="0.2">
      <c r="B184" s="26" t="s">
        <v>218</v>
      </c>
      <c r="C184" s="63" t="s">
        <v>219</v>
      </c>
      <c r="D184" s="64">
        <v>300000</v>
      </c>
      <c r="E184" s="65"/>
      <c r="F184" s="65">
        <v>0</v>
      </c>
      <c r="G184" s="65">
        <v>0</v>
      </c>
      <c r="H184" s="65"/>
      <c r="I184" s="65"/>
      <c r="J184" s="66">
        <f>SUM(D184:G184)</f>
        <v>300000</v>
      </c>
      <c r="K184" s="67">
        <v>0.5</v>
      </c>
      <c r="L184" s="67"/>
      <c r="M184" s="65"/>
      <c r="N184" s="68"/>
      <c r="O184" s="65">
        <f>25327.85+62084.97+35850.3+36745.7</f>
        <v>160008.82</v>
      </c>
      <c r="P184" s="65"/>
      <c r="Q184" s="69"/>
      <c r="R184" s="38"/>
      <c r="S184" s="39"/>
    </row>
    <row r="185" spans="2:21" ht="69.75" customHeight="1" x14ac:dyDescent="0.2">
      <c r="B185" s="26" t="s">
        <v>220</v>
      </c>
      <c r="C185" s="63" t="s">
        <v>221</v>
      </c>
      <c r="D185" s="64">
        <f>17680+5000</f>
        <v>22680</v>
      </c>
      <c r="E185" s="65">
        <v>5000</v>
      </c>
      <c r="F185" s="65">
        <v>5000</v>
      </c>
      <c r="G185" s="65">
        <v>5000</v>
      </c>
      <c r="H185" s="65"/>
      <c r="I185" s="65"/>
      <c r="J185" s="66">
        <f t="shared" ref="J185:J187" si="16">SUM(D185:G185)</f>
        <v>37680</v>
      </c>
      <c r="K185" s="67"/>
      <c r="L185" s="67"/>
      <c r="M185" s="68">
        <f>3430.27</f>
        <v>3430.27</v>
      </c>
      <c r="N185" s="68">
        <f>3832.14</f>
        <v>3832.14</v>
      </c>
      <c r="O185" s="65">
        <f>2343+6194.03+8608.56+1137.49</f>
        <v>18283.079999999998</v>
      </c>
      <c r="P185" s="65">
        <v>5000</v>
      </c>
      <c r="Q185" s="141"/>
      <c r="R185" s="38"/>
    </row>
    <row r="186" spans="2:21" ht="57" customHeight="1" x14ac:dyDescent="0.2">
      <c r="B186" s="26" t="s">
        <v>222</v>
      </c>
      <c r="C186" s="70" t="s">
        <v>223</v>
      </c>
      <c r="D186" s="64">
        <v>30000</v>
      </c>
      <c r="E186" s="65">
        <v>30000</v>
      </c>
      <c r="F186" s="65">
        <v>30000</v>
      </c>
      <c r="G186" s="65">
        <v>30000</v>
      </c>
      <c r="H186" s="65"/>
      <c r="I186" s="65"/>
      <c r="J186" s="66">
        <f t="shared" si="16"/>
        <v>120000</v>
      </c>
      <c r="K186" s="67">
        <v>0.5</v>
      </c>
      <c r="L186" s="67"/>
      <c r="M186" s="68">
        <f>43250.4</f>
        <v>43250.400000000001</v>
      </c>
      <c r="N186" s="68">
        <f>27771.98</f>
        <v>27771.98</v>
      </c>
      <c r="O186" s="65">
        <f>1843.73+2073.66+7545.77+9112.74+2969.83+5000</f>
        <v>28545.730000000003</v>
      </c>
      <c r="P186" s="65">
        <v>24343.71</v>
      </c>
      <c r="Q186" s="141"/>
      <c r="R186" s="38"/>
      <c r="S186" s="39"/>
      <c r="T186" s="36"/>
    </row>
    <row r="187" spans="2:21" ht="65.25" customHeight="1" x14ac:dyDescent="0.2">
      <c r="B187" s="71" t="s">
        <v>224</v>
      </c>
      <c r="C187" s="63" t="s">
        <v>225</v>
      </c>
      <c r="D187" s="72">
        <v>180000</v>
      </c>
      <c r="E187" s="65"/>
      <c r="F187" s="65">
        <v>0</v>
      </c>
      <c r="G187" s="65">
        <v>0</v>
      </c>
      <c r="H187" s="65"/>
      <c r="I187" s="65"/>
      <c r="J187" s="66">
        <f t="shared" si="16"/>
        <v>180000</v>
      </c>
      <c r="K187" s="67">
        <v>0.5</v>
      </c>
      <c r="L187" s="67"/>
      <c r="M187" s="65"/>
      <c r="N187" s="68"/>
      <c r="O187" s="68">
        <f>6404.85+8806.29+29699.57+23964.24+30000.02</f>
        <v>98874.97</v>
      </c>
      <c r="P187" s="65"/>
      <c r="Q187" s="141"/>
      <c r="R187" s="38"/>
      <c r="S187" s="39"/>
      <c r="T187" s="50"/>
      <c r="U187" s="143"/>
    </row>
    <row r="188" spans="2:21" ht="21.75" customHeight="1" x14ac:dyDescent="0.2">
      <c r="B188" s="56"/>
      <c r="C188" s="73" t="s">
        <v>226</v>
      </c>
      <c r="D188" s="74">
        <f t="shared" ref="D188:J188" si="17">SUM(D184:D187)</f>
        <v>532680</v>
      </c>
      <c r="E188" s="74">
        <f t="shared" si="17"/>
        <v>35000</v>
      </c>
      <c r="F188" s="74">
        <f t="shared" si="17"/>
        <v>35000</v>
      </c>
      <c r="G188" s="74">
        <f t="shared" si="17"/>
        <v>35000</v>
      </c>
      <c r="H188" s="74">
        <f t="shared" si="17"/>
        <v>0</v>
      </c>
      <c r="I188" s="74">
        <f t="shared" si="17"/>
        <v>0</v>
      </c>
      <c r="J188" s="74">
        <f t="shared" si="17"/>
        <v>637680</v>
      </c>
      <c r="K188" s="49">
        <f>(K184*J184)+(K185*J185)+(K186*J186)+(K187*J187)</f>
        <v>300000</v>
      </c>
      <c r="L188" s="49"/>
      <c r="M188" s="55">
        <f>SUM(M184:M187)</f>
        <v>46680.67</v>
      </c>
      <c r="N188" s="55">
        <f>SUM(N184:N187)</f>
        <v>31604.12</v>
      </c>
      <c r="O188" s="55">
        <f>SUM(O184:O187)</f>
        <v>305712.59999999998</v>
      </c>
      <c r="P188" s="55">
        <f>SUM(P184:P187)</f>
        <v>29343.71</v>
      </c>
      <c r="Q188" s="142"/>
      <c r="R188" s="75"/>
    </row>
    <row r="189" spans="2:21" ht="15.75" customHeight="1" x14ac:dyDescent="0.2">
      <c r="B189" s="56"/>
      <c r="C189" s="51"/>
      <c r="D189" s="57"/>
      <c r="E189" s="57"/>
      <c r="F189" s="57"/>
      <c r="G189" s="57"/>
      <c r="H189" s="57"/>
      <c r="I189" s="57"/>
      <c r="J189" s="57"/>
      <c r="K189" s="57"/>
      <c r="L189" s="57"/>
      <c r="M189" s="57"/>
      <c r="N189" s="58"/>
      <c r="O189" s="57"/>
      <c r="P189" s="57"/>
      <c r="Q189" s="51"/>
      <c r="R189" s="75"/>
    </row>
    <row r="190" spans="2:21" ht="15.75" customHeight="1" x14ac:dyDescent="0.2">
      <c r="B190" s="56"/>
      <c r="C190" s="51"/>
      <c r="D190" s="57"/>
      <c r="E190" s="57"/>
      <c r="F190" s="57"/>
      <c r="G190" s="57"/>
      <c r="H190" s="57"/>
      <c r="I190" s="57"/>
      <c r="J190" s="57"/>
      <c r="K190" s="57"/>
      <c r="L190" s="57"/>
      <c r="M190" s="57"/>
      <c r="N190" s="58"/>
      <c r="O190" s="57"/>
      <c r="P190" s="57"/>
      <c r="Q190" s="51"/>
      <c r="R190" s="75"/>
    </row>
    <row r="191" spans="2:21" ht="15.75" customHeight="1" x14ac:dyDescent="0.2">
      <c r="B191" s="56"/>
      <c r="C191" s="51"/>
      <c r="D191" s="57"/>
      <c r="E191" s="57"/>
      <c r="F191" s="57"/>
      <c r="G191" s="57"/>
      <c r="H191" s="57"/>
      <c r="I191" s="57"/>
      <c r="J191" s="57"/>
      <c r="K191" s="76" t="s">
        <v>227</v>
      </c>
      <c r="L191" s="255" t="s">
        <v>228</v>
      </c>
      <c r="M191" s="25" t="s">
        <v>17</v>
      </c>
      <c r="N191" s="25" t="s">
        <v>18</v>
      </c>
      <c r="O191" s="25" t="s">
        <v>19</v>
      </c>
      <c r="P191" s="25" t="s">
        <v>20</v>
      </c>
      <c r="Q191" s="62"/>
      <c r="R191" s="75"/>
    </row>
    <row r="192" spans="2:21" ht="15.5" customHeight="1" x14ac:dyDescent="0.2">
      <c r="B192" s="56"/>
      <c r="C192" s="51"/>
      <c r="D192" s="57"/>
      <c r="E192" s="57"/>
      <c r="F192" s="57"/>
      <c r="G192" s="57"/>
      <c r="H192" s="57"/>
      <c r="I192" s="57"/>
      <c r="J192" s="57"/>
      <c r="K192" s="245" t="s">
        <v>229</v>
      </c>
      <c r="L192" s="255"/>
      <c r="M192" s="256"/>
      <c r="N192" s="257"/>
      <c r="O192" s="258">
        <f>7804.56+116911.11+161682+27450.42+1830.34+18860.18</f>
        <v>334538.61</v>
      </c>
      <c r="P192" s="245">
        <v>172538.52499999999</v>
      </c>
      <c r="Q192" s="248"/>
      <c r="R192" s="75"/>
    </row>
    <row r="193" spans="2:18" ht="15.75" customHeight="1" x14ac:dyDescent="0.2">
      <c r="B193" s="56"/>
      <c r="C193" s="51"/>
      <c r="D193" s="57"/>
      <c r="E193" s="57"/>
      <c r="F193" s="57"/>
      <c r="G193" s="57"/>
      <c r="H193" s="57"/>
      <c r="I193" s="57"/>
      <c r="J193" s="57"/>
      <c r="K193" s="246"/>
      <c r="L193" s="255"/>
      <c r="M193" s="256"/>
      <c r="N193" s="257"/>
      <c r="O193" s="258"/>
      <c r="P193" s="246"/>
      <c r="Q193" s="249"/>
      <c r="R193" s="75"/>
    </row>
    <row r="194" spans="2:18" ht="15.75" customHeight="1" x14ac:dyDescent="0.2">
      <c r="B194" s="56"/>
      <c r="C194" s="51"/>
      <c r="D194" s="57"/>
      <c r="E194" s="57"/>
      <c r="F194" s="57"/>
      <c r="G194" s="57"/>
      <c r="H194" s="57"/>
      <c r="I194" s="57"/>
      <c r="J194" s="57"/>
      <c r="K194" s="247"/>
      <c r="L194" s="255"/>
      <c r="M194" s="256"/>
      <c r="N194" s="257"/>
      <c r="O194" s="258"/>
      <c r="P194" s="247"/>
      <c r="Q194" s="250"/>
      <c r="R194" s="75"/>
    </row>
    <row r="195" spans="2:18" ht="15.75" customHeight="1" thickBot="1" x14ac:dyDescent="0.25">
      <c r="B195" s="56"/>
      <c r="C195" s="51"/>
      <c r="D195" s="57"/>
      <c r="E195" s="57"/>
      <c r="F195" s="57"/>
      <c r="G195" s="57"/>
      <c r="H195" s="57"/>
      <c r="I195" s="57"/>
      <c r="J195" s="57"/>
      <c r="K195" s="245" t="s">
        <v>230</v>
      </c>
      <c r="L195" s="77"/>
      <c r="M195" s="252"/>
      <c r="N195" s="253"/>
      <c r="O195" s="245">
        <f>2628.62+39380.49+30663.61+36034.53+62968.48</f>
        <v>171675.73</v>
      </c>
      <c r="P195" s="245">
        <v>149472.38831144306</v>
      </c>
      <c r="Q195" s="51"/>
      <c r="R195" s="75"/>
    </row>
    <row r="196" spans="2:18" ht="16" x14ac:dyDescent="0.2">
      <c r="B196" s="56"/>
      <c r="C196" s="264" t="s">
        <v>231</v>
      </c>
      <c r="D196" s="265"/>
      <c r="E196" s="265"/>
      <c r="F196" s="265"/>
      <c r="G196" s="265"/>
      <c r="H196" s="265"/>
      <c r="I196" s="265"/>
      <c r="J196" s="266"/>
      <c r="K196" s="251"/>
      <c r="L196" s="78"/>
      <c r="M196" s="251"/>
      <c r="N196" s="254"/>
      <c r="O196" s="247"/>
      <c r="P196" s="247"/>
      <c r="Q196" s="75"/>
    </row>
    <row r="197" spans="2:18" ht="40.5" customHeight="1" x14ac:dyDescent="0.2">
      <c r="B197" s="56"/>
      <c r="C197" s="267"/>
      <c r="D197" s="49" t="s">
        <v>232</v>
      </c>
      <c r="E197" s="49" t="s">
        <v>233</v>
      </c>
      <c r="F197" s="49" t="s">
        <v>234</v>
      </c>
      <c r="G197" s="49" t="s">
        <v>235</v>
      </c>
      <c r="H197" s="49" t="s">
        <v>236</v>
      </c>
      <c r="I197" s="49" t="s">
        <v>237</v>
      </c>
      <c r="J197" s="269" t="s">
        <v>12</v>
      </c>
      <c r="K197" s="51"/>
      <c r="L197" s="51"/>
      <c r="M197" s="57"/>
      <c r="N197" s="58"/>
      <c r="O197" s="57"/>
      <c r="P197" s="57"/>
      <c r="Q197" s="75"/>
    </row>
    <row r="198" spans="2:18" ht="24.75" customHeight="1" x14ac:dyDescent="0.2">
      <c r="B198" s="56"/>
      <c r="C198" s="268"/>
      <c r="D198" s="79" t="str">
        <f>D13</f>
        <v xml:space="preserve"> WFP SL</v>
      </c>
      <c r="E198" s="79" t="str">
        <f>E13</f>
        <v xml:space="preserve">  WFP GUI</v>
      </c>
      <c r="F198" s="79" t="str">
        <f>F13</f>
        <v>IOM SL</v>
      </c>
      <c r="G198" s="79" t="str">
        <f>G13</f>
        <v>IOM GUI</v>
      </c>
      <c r="H198" s="80"/>
      <c r="I198" s="80"/>
      <c r="J198" s="270"/>
      <c r="K198" s="51"/>
      <c r="L198" s="51"/>
      <c r="M198" s="57"/>
      <c r="N198" s="58"/>
      <c r="O198" s="57"/>
      <c r="P198" s="57"/>
      <c r="Q198" s="75"/>
    </row>
    <row r="199" spans="2:18" ht="41.25" customHeight="1" x14ac:dyDescent="0.2">
      <c r="B199" s="81"/>
      <c r="C199" s="82" t="s">
        <v>238</v>
      </c>
      <c r="D199" s="83">
        <f>SUM(D24,D34,D44,D54,D66,D76,D86,D96,D108,D118,D128,D138,D150,D160,D170,D180,D184,D185,D186,D187)</f>
        <v>1687408.7650000001</v>
      </c>
      <c r="E199" s="83">
        <f>SUM(E24,E34,E44,E54,E66,E76,E86,E96,E108,E118,E128,E138,E150,E160,E170,E180,E184,E185,E186,E187)</f>
        <v>1189728.7650000001</v>
      </c>
      <c r="F199" s="83">
        <f>SUM(F24,F34,F44,F54,F66,F76,F86,F96,F108,F118,F128,F138,F150,F160,F170,F180,F184,F185,F186,F187)</f>
        <v>687599.08000000007</v>
      </c>
      <c r="G199" s="83">
        <f>SUM(G24,G34,G44,G54,G66,G76,G86,G96,G108,G118,G128,G138,G150,G160,G170,G180,G184,G185,G186,G187)</f>
        <v>687599.96</v>
      </c>
      <c r="H199" s="84"/>
      <c r="I199" s="84"/>
      <c r="J199" s="85">
        <f>SUM(D199:I199)</f>
        <v>4252336.57</v>
      </c>
      <c r="K199" s="51"/>
      <c r="L199" s="51"/>
      <c r="M199" s="58"/>
      <c r="N199" s="58"/>
      <c r="O199" s="58"/>
      <c r="P199" s="58"/>
      <c r="Q199" s="81"/>
    </row>
    <row r="200" spans="2:18" ht="51.75" customHeight="1" x14ac:dyDescent="0.2">
      <c r="B200" s="86"/>
      <c r="C200" s="82" t="s">
        <v>239</v>
      </c>
      <c r="D200" s="83">
        <f>D199*0.07</f>
        <v>118118.61355000002</v>
      </c>
      <c r="E200" s="83">
        <f>E199*0.07</f>
        <v>83281.013550000018</v>
      </c>
      <c r="F200" s="83">
        <f>F199*0.07</f>
        <v>48131.935600000012</v>
      </c>
      <c r="G200" s="83">
        <f>G199*0.07</f>
        <v>48131.997200000005</v>
      </c>
      <c r="H200" s="84"/>
      <c r="I200" s="84"/>
      <c r="J200" s="85">
        <f>J199*0.07</f>
        <v>297663.55990000005</v>
      </c>
      <c r="K200" s="86"/>
      <c r="L200" s="86"/>
      <c r="M200" s="58"/>
      <c r="N200" s="58"/>
      <c r="O200" s="58"/>
      <c r="P200" s="58"/>
      <c r="Q200" s="87"/>
    </row>
    <row r="201" spans="2:18" ht="51.75" customHeight="1" thickBot="1" x14ac:dyDescent="0.25">
      <c r="B201" s="86"/>
      <c r="C201" s="88" t="s">
        <v>12</v>
      </c>
      <c r="D201" s="89">
        <f>SUM(D199:D200)</f>
        <v>1805527.3785500003</v>
      </c>
      <c r="E201" s="89">
        <f>SUM(E199:E200)</f>
        <v>1273009.7785500002</v>
      </c>
      <c r="F201" s="89">
        <f>SUM(F199:F200)</f>
        <v>735731.01560000004</v>
      </c>
      <c r="G201" s="89">
        <f>SUM(G199:G200)</f>
        <v>735731.95719999995</v>
      </c>
      <c r="H201" s="90"/>
      <c r="I201" s="90"/>
      <c r="J201" s="91">
        <f>SUM(J199:J200)</f>
        <v>4550000.1299000001</v>
      </c>
      <c r="K201" s="86"/>
      <c r="L201" s="86"/>
      <c r="Q201" s="87"/>
    </row>
    <row r="202" spans="2:18" ht="42" customHeight="1" x14ac:dyDescent="0.2">
      <c r="B202" s="86"/>
      <c r="M202" s="92"/>
      <c r="N202" s="93"/>
      <c r="O202" s="92"/>
      <c r="P202" s="92"/>
      <c r="Q202" s="59"/>
      <c r="R202" s="87"/>
    </row>
    <row r="203" spans="2:18" s="20" customFormat="1" ht="29.25" customHeight="1" thickBot="1" x14ac:dyDescent="0.25">
      <c r="B203" s="51"/>
      <c r="C203" s="56"/>
      <c r="D203" s="94"/>
      <c r="E203" s="94"/>
      <c r="F203" s="94"/>
      <c r="G203" s="94"/>
      <c r="H203" s="94"/>
      <c r="I203" s="94"/>
      <c r="J203" s="94"/>
      <c r="K203" s="94"/>
      <c r="L203" s="94"/>
      <c r="M203" s="95"/>
      <c r="N203" s="38"/>
      <c r="O203" s="95"/>
      <c r="P203" s="95"/>
      <c r="Q203" s="75"/>
      <c r="R203" s="81"/>
    </row>
    <row r="204" spans="2:18" ht="23.25" customHeight="1" x14ac:dyDescent="0.2">
      <c r="B204" s="87"/>
      <c r="C204" s="271" t="s">
        <v>240</v>
      </c>
      <c r="D204" s="272"/>
      <c r="E204" s="273"/>
      <c r="F204" s="273"/>
      <c r="G204" s="273"/>
      <c r="H204" s="273"/>
      <c r="I204" s="273"/>
      <c r="J204" s="273"/>
      <c r="K204" s="274"/>
      <c r="L204" s="96"/>
      <c r="M204" s="95"/>
      <c r="N204" s="38"/>
      <c r="O204" s="95"/>
      <c r="P204" s="95"/>
      <c r="Q204" s="87"/>
    </row>
    <row r="205" spans="2:18" ht="41.25" customHeight="1" x14ac:dyDescent="0.2">
      <c r="B205" s="87"/>
      <c r="C205" s="97"/>
      <c r="D205" s="22" t="s">
        <v>232</v>
      </c>
      <c r="E205" s="22" t="s">
        <v>233</v>
      </c>
      <c r="F205" s="22" t="s">
        <v>234</v>
      </c>
      <c r="G205" s="22" t="s">
        <v>235</v>
      </c>
      <c r="H205" s="22" t="s">
        <v>236</v>
      </c>
      <c r="I205" s="22" t="s">
        <v>237</v>
      </c>
      <c r="J205" s="275" t="s">
        <v>12</v>
      </c>
      <c r="K205" s="277" t="s">
        <v>241</v>
      </c>
      <c r="L205" s="96"/>
      <c r="M205" s="95"/>
      <c r="N205" s="38"/>
      <c r="O205" s="95"/>
      <c r="P205" s="95"/>
      <c r="Q205" s="87"/>
    </row>
    <row r="206" spans="2:18" ht="27.75" customHeight="1" x14ac:dyDescent="0.2">
      <c r="B206" s="87"/>
      <c r="C206" s="97"/>
      <c r="D206" s="22" t="str">
        <f>D13</f>
        <v xml:space="preserve"> WFP SL</v>
      </c>
      <c r="E206" s="22" t="str">
        <f>E13</f>
        <v xml:space="preserve">  WFP GUI</v>
      </c>
      <c r="F206" s="22" t="str">
        <f>F13</f>
        <v>IOM SL</v>
      </c>
      <c r="G206" s="22" t="str">
        <f>G13</f>
        <v>IOM GUI</v>
      </c>
      <c r="H206" s="98"/>
      <c r="I206" s="98"/>
      <c r="J206" s="276"/>
      <c r="K206" s="278"/>
      <c r="L206" s="96"/>
      <c r="M206" s="99"/>
      <c r="N206" s="100"/>
      <c r="O206" s="99"/>
      <c r="P206" s="99"/>
      <c r="Q206" s="87"/>
    </row>
    <row r="207" spans="2:18" ht="55.5" customHeight="1" x14ac:dyDescent="0.2">
      <c r="B207" s="87"/>
      <c r="C207" s="101" t="s">
        <v>242</v>
      </c>
      <c r="D207" s="102">
        <f>$D$201*K207</f>
        <v>1263869.1649850002</v>
      </c>
      <c r="E207" s="103">
        <f>$E$201*K207</f>
        <v>891106.84498500009</v>
      </c>
      <c r="F207" s="103">
        <f>$F$201*K207</f>
        <v>515011.71091999998</v>
      </c>
      <c r="G207" s="103">
        <f>$G$201*K207</f>
        <v>515012.37003999995</v>
      </c>
      <c r="H207" s="104">
        <f>$H$201*K207</f>
        <v>0</v>
      </c>
      <c r="I207" s="104">
        <f>$I$201*K207</f>
        <v>0</v>
      </c>
      <c r="J207" s="103">
        <f>SUM(D207:I207)</f>
        <v>3185000.0909299999</v>
      </c>
      <c r="K207" s="138">
        <v>0.7</v>
      </c>
      <c r="L207" s="105"/>
      <c r="M207" s="99"/>
      <c r="N207" s="100"/>
      <c r="O207" s="99"/>
      <c r="P207" s="99"/>
      <c r="Q207" s="87"/>
    </row>
    <row r="208" spans="2:18" ht="57.75" customHeight="1" x14ac:dyDescent="0.2">
      <c r="B208" s="259"/>
      <c r="C208" s="106" t="s">
        <v>243</v>
      </c>
      <c r="D208" s="102">
        <f>$D$201*K208</f>
        <v>541658.2135650001</v>
      </c>
      <c r="E208" s="103">
        <f>$E$201*K208</f>
        <v>381902.93356500001</v>
      </c>
      <c r="F208" s="103">
        <f>$F$201*K208</f>
        <v>220719.30468</v>
      </c>
      <c r="G208" s="107">
        <f>$G$201*K208</f>
        <v>220719.58715999997</v>
      </c>
      <c r="H208" s="107">
        <f>$H$201*K208</f>
        <v>0</v>
      </c>
      <c r="I208" s="107">
        <f>$I$201*K208</f>
        <v>0</v>
      </c>
      <c r="J208" s="107">
        <f>SUM(D208:I208)</f>
        <v>1365000.0389700001</v>
      </c>
      <c r="K208" s="139">
        <v>0.3</v>
      </c>
      <c r="L208" s="105"/>
      <c r="M208" s="108"/>
      <c r="N208" s="109"/>
      <c r="O208" s="108"/>
      <c r="P208" s="108"/>
    </row>
    <row r="209" spans="2:18" ht="57.75" customHeight="1" x14ac:dyDescent="0.2">
      <c r="B209" s="259"/>
      <c r="C209" s="106" t="s">
        <v>244</v>
      </c>
      <c r="D209" s="110">
        <f>$D$201*K209</f>
        <v>0</v>
      </c>
      <c r="E209" s="104">
        <f>$E$201*K209</f>
        <v>0</v>
      </c>
      <c r="F209" s="104">
        <f>$F$201*K209</f>
        <v>0</v>
      </c>
      <c r="G209" s="111">
        <f>$G$201*K209</f>
        <v>0</v>
      </c>
      <c r="H209" s="111">
        <f>$H$201*K209</f>
        <v>0</v>
      </c>
      <c r="I209" s="111">
        <f>$I$201*K209</f>
        <v>0</v>
      </c>
      <c r="J209" s="111">
        <f>SUM(D209:F209)</f>
        <v>0</v>
      </c>
      <c r="K209" s="140">
        <v>0</v>
      </c>
      <c r="L209" s="112"/>
      <c r="M209" s="113"/>
      <c r="N209" s="28"/>
      <c r="O209" s="113"/>
      <c r="P209" s="113"/>
    </row>
    <row r="210" spans="2:18" ht="38.25" customHeight="1" thickBot="1" x14ac:dyDescent="0.25">
      <c r="B210" s="259"/>
      <c r="C210" s="88" t="s">
        <v>245</v>
      </c>
      <c r="D210" s="89">
        <f t="shared" ref="D210:K210" si="18">SUM(D207:D209)</f>
        <v>1805527.3785500003</v>
      </c>
      <c r="E210" s="89">
        <f>SUM(E207:E209)</f>
        <v>1273009.7785500002</v>
      </c>
      <c r="F210" s="89">
        <f>SUM(F207:F209)</f>
        <v>735731.01560000004</v>
      </c>
      <c r="G210" s="89">
        <f t="shared" si="18"/>
        <v>735731.95719999995</v>
      </c>
      <c r="H210" s="114">
        <f t="shared" si="18"/>
        <v>0</v>
      </c>
      <c r="I210" s="114">
        <f t="shared" si="18"/>
        <v>0</v>
      </c>
      <c r="J210" s="89">
        <f>SUM(J207:J209)</f>
        <v>4550000.1299000001</v>
      </c>
      <c r="K210" s="115">
        <f t="shared" si="18"/>
        <v>1</v>
      </c>
      <c r="L210" s="116"/>
      <c r="M210" s="93"/>
      <c r="N210" s="93"/>
      <c r="O210" s="93"/>
      <c r="P210" s="93"/>
    </row>
    <row r="211" spans="2:18" ht="21.75" customHeight="1" thickBot="1" x14ac:dyDescent="0.25">
      <c r="B211" s="259"/>
      <c r="C211" s="117"/>
      <c r="D211" s="118"/>
      <c r="E211" s="118"/>
      <c r="F211" s="118"/>
      <c r="G211" s="118"/>
      <c r="H211" s="118"/>
      <c r="I211" s="118"/>
      <c r="J211" s="118"/>
      <c r="K211" s="118"/>
      <c r="L211" s="118"/>
      <c r="M211" s="93"/>
      <c r="N211" s="93"/>
      <c r="O211" s="93"/>
      <c r="P211" s="93"/>
    </row>
    <row r="212" spans="2:18" ht="49.5" customHeight="1" x14ac:dyDescent="0.2">
      <c r="B212" s="259"/>
      <c r="C212" s="119" t="s">
        <v>246</v>
      </c>
      <c r="D212" s="120">
        <f>SUM(K24,K34,K44,K54,K66,K76,K86,K96,K108,K118,K128,K138,K150,K160,K170,K180,K188)*1.07</f>
        <v>1859678.6287000002</v>
      </c>
      <c r="E212" s="94"/>
      <c r="F212" s="94"/>
      <c r="G212" s="94"/>
      <c r="H212" s="94"/>
      <c r="I212" s="94"/>
      <c r="J212" s="94"/>
      <c r="K212" s="121" t="s">
        <v>247</v>
      </c>
      <c r="L212" s="122"/>
      <c r="M212" s="123">
        <f>SUM(M188,M180,M170,M160,M150,M138,M128,M118,M108,M96,M86,M76,M66,M54,M44,M34,M24,M192)</f>
        <v>695047.79</v>
      </c>
      <c r="N212" s="123">
        <f>SUM(N188,N180,N170,N160,N150,N138,N128,N118,N108,N96,N86,N76,N66,N54,N44,N34,N24,N192)</f>
        <v>687948.41</v>
      </c>
      <c r="O212" s="123">
        <f>SUM(O24+O34+O44+O54+O66+O76+O86+O188+O192+O195)</f>
        <v>1687408.77</v>
      </c>
      <c r="P212" s="123">
        <f>SUM(P192:P196,P188,P180,P170,P160,P150,P138,P128,P118,P108,P96,P86,P76,P66,P54,P44,P34,P24)</f>
        <v>1189728.7650000001</v>
      </c>
    </row>
    <row r="213" spans="2:18" ht="28.5" customHeight="1" thickBot="1" x14ac:dyDescent="0.25">
      <c r="B213" s="259"/>
      <c r="C213" s="124" t="s">
        <v>248</v>
      </c>
      <c r="D213" s="125">
        <f>D212/J201</f>
        <v>0.40872056606751617</v>
      </c>
      <c r="E213" s="126"/>
      <c r="F213" s="126"/>
      <c r="G213" s="126"/>
      <c r="H213" s="126"/>
      <c r="I213" s="126"/>
      <c r="J213" s="126"/>
      <c r="K213" s="127" t="s">
        <v>249</v>
      </c>
      <c r="L213" s="128"/>
      <c r="M213" s="129">
        <f>M212/F199</f>
        <v>1.0108329260708144</v>
      </c>
      <c r="N213" s="129">
        <f>N212/G199</f>
        <v>1.0005067626821853</v>
      </c>
      <c r="O213" s="129">
        <f>O212/D199</f>
        <v>1.0000000029631231</v>
      </c>
      <c r="P213" s="129">
        <f>P212/E199</f>
        <v>1</v>
      </c>
    </row>
    <row r="214" spans="2:18" ht="28.5" customHeight="1" x14ac:dyDescent="0.2">
      <c r="B214" s="259"/>
      <c r="C214" s="260"/>
      <c r="D214" s="261"/>
      <c r="E214" s="130"/>
      <c r="F214" s="130"/>
      <c r="G214" s="130"/>
      <c r="H214" s="130"/>
      <c r="I214" s="130"/>
      <c r="J214" s="130"/>
    </row>
    <row r="215" spans="2:18" ht="32.25" customHeight="1" x14ac:dyDescent="0.2">
      <c r="B215" s="259"/>
      <c r="C215" s="124" t="s">
        <v>250</v>
      </c>
      <c r="D215" s="131">
        <f>SUM(D186:G187)*1.07</f>
        <v>321000</v>
      </c>
      <c r="E215" s="132"/>
      <c r="F215" s="132"/>
      <c r="G215" s="132"/>
      <c r="H215" s="132"/>
      <c r="I215" s="132"/>
      <c r="J215" s="132"/>
    </row>
    <row r="216" spans="2:18" ht="23.25" customHeight="1" x14ac:dyDescent="0.2">
      <c r="B216" s="259"/>
      <c r="C216" s="124" t="s">
        <v>251</v>
      </c>
      <c r="D216" s="133">
        <f>D215/J201</f>
        <v>7.0549448535302553E-2</v>
      </c>
      <c r="E216" s="132"/>
      <c r="F216" s="132"/>
      <c r="G216" s="132"/>
      <c r="H216" s="132"/>
      <c r="I216" s="132"/>
      <c r="J216" s="132"/>
      <c r="M216" s="8"/>
      <c r="O216" s="8"/>
      <c r="P216" s="8"/>
    </row>
    <row r="217" spans="2:18" ht="66.75" customHeight="1" thickBot="1" x14ac:dyDescent="0.25">
      <c r="B217" s="259"/>
      <c r="C217" s="262" t="s">
        <v>252</v>
      </c>
      <c r="D217" s="263"/>
      <c r="E217" s="134"/>
      <c r="F217" s="134"/>
      <c r="G217" s="134"/>
      <c r="H217" s="134"/>
      <c r="I217" s="134"/>
      <c r="J217" s="134"/>
    </row>
    <row r="218" spans="2:18" ht="55.5" customHeight="1" x14ac:dyDescent="0.2">
      <c r="B218" s="259"/>
      <c r="L218" s="135"/>
      <c r="M218" s="136"/>
      <c r="R218" s="20"/>
    </row>
    <row r="219" spans="2:18" ht="42.75" customHeight="1" x14ac:dyDescent="0.2">
      <c r="B219" s="259"/>
    </row>
    <row r="220" spans="2:18" ht="21.75" customHeight="1" x14ac:dyDescent="0.2">
      <c r="B220" s="259"/>
    </row>
    <row r="221" spans="2:18" ht="21.75" customHeight="1" x14ac:dyDescent="0.2">
      <c r="B221" s="259"/>
    </row>
    <row r="222" spans="2:18" ht="23.25" customHeight="1" x14ac:dyDescent="0.2">
      <c r="B222" s="259"/>
    </row>
    <row r="223" spans="2:18" ht="23.25" customHeight="1" x14ac:dyDescent="0.2"/>
    <row r="224" spans="2:18" ht="21.75" customHeight="1" x14ac:dyDescent="0.2"/>
    <row r="225" ht="16.5" customHeight="1" x14ac:dyDescent="0.2"/>
    <row r="226" ht="29.25" customHeight="1" x14ac:dyDescent="0.2"/>
    <row r="227" ht="24.75" customHeight="1" x14ac:dyDescent="0.2"/>
    <row r="228" ht="33" customHeight="1" x14ac:dyDescent="0.2"/>
    <row r="230" ht="15" customHeight="1" x14ac:dyDescent="0.2"/>
    <row r="231" ht="25.5" customHeight="1" x14ac:dyDescent="0.2"/>
  </sheetData>
  <mergeCells count="44">
    <mergeCell ref="B208:B222"/>
    <mergeCell ref="C214:D214"/>
    <mergeCell ref="C217:D217"/>
    <mergeCell ref="C196:J196"/>
    <mergeCell ref="C197:C198"/>
    <mergeCell ref="J197:J198"/>
    <mergeCell ref="C204:K204"/>
    <mergeCell ref="J205:J206"/>
    <mergeCell ref="K205:K206"/>
    <mergeCell ref="P192:P194"/>
    <mergeCell ref="Q192:Q194"/>
    <mergeCell ref="K195:K196"/>
    <mergeCell ref="M195:M196"/>
    <mergeCell ref="N195:N196"/>
    <mergeCell ref="O195:O196"/>
    <mergeCell ref="P195:P196"/>
    <mergeCell ref="L191:L194"/>
    <mergeCell ref="K192:K194"/>
    <mergeCell ref="M192:M194"/>
    <mergeCell ref="N192:N194"/>
    <mergeCell ref="O192:O194"/>
    <mergeCell ref="C140:Q140"/>
    <mergeCell ref="C141:Q141"/>
    <mergeCell ref="C151:Q151"/>
    <mergeCell ref="C161:Q161"/>
    <mergeCell ref="C171:Q171"/>
    <mergeCell ref="C129:Q129"/>
    <mergeCell ref="C35:Q35"/>
    <mergeCell ref="C45:Q45"/>
    <mergeCell ref="C56:Q56"/>
    <mergeCell ref="C57:Q57"/>
    <mergeCell ref="C67:Q67"/>
    <mergeCell ref="C77:Q77"/>
    <mergeCell ref="C87:Q87"/>
    <mergeCell ref="C98:Q98"/>
    <mergeCell ref="C99:Q99"/>
    <mergeCell ref="C109:Q109"/>
    <mergeCell ref="C119:Q119"/>
    <mergeCell ref="C25:Q25"/>
    <mergeCell ref="B2:E2"/>
    <mergeCell ref="B6:Q6"/>
    <mergeCell ref="B9:K9"/>
    <mergeCell ref="C14:Q14"/>
    <mergeCell ref="C15:Q15"/>
  </mergeCells>
  <phoneticPr fontId="20" type="noConversion"/>
  <conditionalFormatting sqref="D213">
    <cfRule type="cellIs" dxfId="20" priority="6" operator="lessThan">
      <formula>0.15</formula>
    </cfRule>
  </conditionalFormatting>
  <conditionalFormatting sqref="D216">
    <cfRule type="cellIs" dxfId="19" priority="5" operator="lessThan">
      <formula>0.05</formula>
    </cfRule>
  </conditionalFormatting>
  <conditionalFormatting sqref="K210:L210">
    <cfRule type="cellIs" dxfId="18" priority="4" operator="greaterThan">
      <formula>1</formula>
    </cfRule>
  </conditionalFormatting>
  <conditionalFormatting sqref="M209:P209">
    <cfRule type="cellIs" dxfId="17" priority="1" operator="greaterThan">
      <formula>1</formula>
    </cfRule>
  </conditionalFormatting>
  <dataValidations count="8">
    <dataValidation allowBlank="1" showInputMessage="1" showErrorMessage="1" prompt="Includes all related staff and temporary staff costs including base salary, post adjustment and all staff entitlements." sqref="L191" xr:uid="{F067C938-77B2-474C-A68E-70732513CA42}"/>
    <dataValidation allowBlank="1" showErrorMessage="1" prompt="% Towards Gender Equality and Women's Empowerment Must be Higher than 15%_x000a_" sqref="D215:J215" xr:uid="{6F79373B-6C88-474C-B282-CBD7570456CF}"/>
    <dataValidation allowBlank="1" showInputMessage="1" showErrorMessage="1" prompt="Insert name of recipient agency here _x000a_" sqref="D13:J13" xr:uid="{E687B092-EC84-4889-BFFA-BE38C4733984}"/>
    <dataValidation allowBlank="1" showInputMessage="1" showErrorMessage="1" prompt="Insert *text* description of Activity here" sqref="C172 C16 C26 C120 C36 C58 C68 C88 C78 C100 C110 C130 C142 C152 C162 C46" xr:uid="{A6387DBD-1216-4ECE-A105-3C90C8548A75}"/>
    <dataValidation allowBlank="1" showInputMessage="1" showErrorMessage="1" prompt="Insert *text* description of Output here" sqref="C15 C25 C35 C45 C57 C67 C77 C87 C99 C109 C119 C129 C141 C151 C161 C171" xr:uid="{4E91DA00-7F26-4F91-9CC7-B79C65988B7B}"/>
    <dataValidation allowBlank="1" showInputMessage="1" showErrorMessage="1" prompt="Insert *text* description of Outcome here" sqref="C140:Q140 C98:Q98 C56:Q56 C14:Q14" xr:uid="{DA74BACA-2248-4ED4-AA42-584BC84E57B2}"/>
    <dataValidation allowBlank="1" showInputMessage="1" showErrorMessage="1" prompt="M&amp;E Budget Cannot be Less than 5%_x000a_" sqref="D216:J216" xr:uid="{112262E4-A25A-48E6-BEBD-3597463B9B2F}"/>
    <dataValidation allowBlank="1" showInputMessage="1" showErrorMessage="1" prompt="% Towards Gender Equality and Women's Empowerment Must be Higher than 15%_x000a_" sqref="D213:J213" xr:uid="{03EA2017-A855-4255-8CA1-726E59EAAE49}"/>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78CA-ECCB-435C-97A8-858701E38FE6}">
  <dimension ref="B1:Q254"/>
  <sheetViews>
    <sheetView zoomScale="63" zoomScaleNormal="70" workbookViewId="0">
      <selection activeCell="H209" sqref="H209"/>
    </sheetView>
  </sheetViews>
  <sheetFormatPr baseColWidth="10" defaultColWidth="9.33203125" defaultRowHeight="16" x14ac:dyDescent="0.2"/>
  <cols>
    <col min="1" max="1" width="4.5" style="147" customWidth="1"/>
    <col min="2" max="2" width="3.33203125" style="147" customWidth="1"/>
    <col min="3" max="3" width="51.5" style="147" customWidth="1"/>
    <col min="4" max="4" width="34.33203125" style="148" customWidth="1"/>
    <col min="5" max="5" width="35" style="148" customWidth="1"/>
    <col min="6" max="9" width="34" style="148" customWidth="1"/>
    <col min="10" max="10" width="25.6640625" style="147" customWidth="1"/>
    <col min="11" max="11" width="21.5" style="147" customWidth="1"/>
    <col min="12" max="12" width="16.6640625" style="147" customWidth="1"/>
    <col min="13" max="13" width="19.5" style="147" customWidth="1"/>
    <col min="14" max="14" width="19" style="147" customWidth="1"/>
    <col min="15" max="15" width="26" style="147" customWidth="1"/>
    <col min="16" max="16" width="21.33203125" style="147" customWidth="1"/>
    <col min="17" max="17" width="7" style="147" customWidth="1"/>
    <col min="18" max="18" width="24.33203125" style="147" customWidth="1"/>
    <col min="19" max="19" width="26.5" style="147" customWidth="1"/>
    <col min="20" max="20" width="30.33203125" style="147" customWidth="1"/>
    <col min="21" max="21" width="33" style="147" customWidth="1"/>
    <col min="22" max="23" width="22.6640625" style="147" customWidth="1"/>
    <col min="24" max="24" width="23.5" style="147" customWidth="1"/>
    <col min="25" max="25" width="32.33203125" style="147" customWidth="1"/>
    <col min="26" max="26" width="9.33203125" style="147"/>
    <col min="27" max="27" width="17.6640625" style="147" customWidth="1"/>
    <col min="28" max="28" width="26.5" style="147" customWidth="1"/>
    <col min="29" max="29" width="22.5" style="147" customWidth="1"/>
    <col min="30" max="30" width="29.6640625" style="147" customWidth="1"/>
    <col min="31" max="31" width="23.5" style="147" customWidth="1"/>
    <col min="32" max="32" width="18.5" style="147" customWidth="1"/>
    <col min="33" max="33" width="17.5" style="147" customWidth="1"/>
    <col min="34" max="34" width="25.33203125" style="147" customWidth="1"/>
    <col min="35" max="16384" width="9.33203125" style="147"/>
  </cols>
  <sheetData>
    <row r="1" spans="2:16" ht="24" customHeight="1" x14ac:dyDescent="0.2">
      <c r="O1" s="149"/>
      <c r="P1" s="150"/>
    </row>
    <row r="2" spans="2:16" ht="47" x14ac:dyDescent="0.55000000000000004">
      <c r="C2" s="228" t="s">
        <v>0</v>
      </c>
      <c r="D2" s="228"/>
      <c r="E2" s="228"/>
      <c r="F2" s="228"/>
      <c r="G2" s="144"/>
      <c r="H2" s="144"/>
      <c r="I2" s="144"/>
      <c r="J2" s="1"/>
      <c r="K2" s="2"/>
      <c r="L2" s="2"/>
      <c r="O2" s="149"/>
      <c r="P2" s="150"/>
    </row>
    <row r="3" spans="2:16" ht="24" customHeight="1" x14ac:dyDescent="0.2">
      <c r="C3" s="6"/>
      <c r="D3" s="5"/>
      <c r="E3" s="5"/>
      <c r="F3" s="5"/>
      <c r="G3" s="5"/>
      <c r="H3" s="5"/>
      <c r="I3" s="5"/>
      <c r="J3" s="5"/>
      <c r="K3" s="5"/>
      <c r="L3" s="5"/>
      <c r="O3" s="149"/>
      <c r="P3" s="150"/>
    </row>
    <row r="4" spans="2:16" ht="24" customHeight="1" thickBot="1" x14ac:dyDescent="0.25">
      <c r="C4" s="6"/>
      <c r="D4" s="5"/>
      <c r="E4" s="5"/>
      <c r="F4" s="5"/>
      <c r="G4" s="5"/>
      <c r="H4" s="5"/>
      <c r="I4" s="5"/>
      <c r="J4" s="5"/>
      <c r="K4" s="5"/>
      <c r="L4" s="5"/>
      <c r="O4" s="149"/>
      <c r="P4" s="150"/>
    </row>
    <row r="5" spans="2:16" ht="30" customHeight="1" x14ac:dyDescent="0.45">
      <c r="C5" s="286" t="s">
        <v>1</v>
      </c>
      <c r="D5" s="287"/>
      <c r="E5" s="287"/>
      <c r="F5" s="287"/>
      <c r="G5" s="287"/>
      <c r="H5" s="287"/>
      <c r="I5" s="287"/>
      <c r="J5" s="288"/>
      <c r="M5" s="149"/>
      <c r="N5" s="150"/>
    </row>
    <row r="6" spans="2:16" ht="24" customHeight="1" x14ac:dyDescent="0.2">
      <c r="C6" s="289" t="s">
        <v>254</v>
      </c>
      <c r="D6" s="290"/>
      <c r="E6" s="290"/>
      <c r="F6" s="290"/>
      <c r="G6" s="290"/>
      <c r="H6" s="290"/>
      <c r="I6" s="290"/>
      <c r="J6" s="291"/>
      <c r="M6" s="149"/>
      <c r="N6" s="150"/>
    </row>
    <row r="7" spans="2:16" ht="24" customHeight="1" x14ac:dyDescent="0.2">
      <c r="C7" s="289"/>
      <c r="D7" s="290"/>
      <c r="E7" s="290"/>
      <c r="F7" s="290"/>
      <c r="G7" s="290"/>
      <c r="H7" s="290"/>
      <c r="I7" s="290"/>
      <c r="J7" s="291"/>
      <c r="M7" s="149"/>
      <c r="N7" s="150"/>
    </row>
    <row r="8" spans="2:16" ht="24" customHeight="1" thickBot="1" x14ac:dyDescent="0.25">
      <c r="C8" s="292"/>
      <c r="D8" s="293"/>
      <c r="E8" s="293"/>
      <c r="F8" s="293"/>
      <c r="G8" s="293"/>
      <c r="H8" s="293"/>
      <c r="I8" s="293"/>
      <c r="J8" s="294"/>
      <c r="M8" s="149"/>
      <c r="N8" s="150"/>
    </row>
    <row r="9" spans="2:16" ht="24" customHeight="1" thickBot="1" x14ac:dyDescent="0.25">
      <c r="C9" s="151"/>
      <c r="D9" s="151"/>
      <c r="E9" s="151"/>
      <c r="F9" s="151"/>
      <c r="G9" s="151"/>
      <c r="H9" s="151"/>
      <c r="I9" s="151"/>
      <c r="O9" s="149"/>
      <c r="P9" s="150"/>
    </row>
    <row r="10" spans="2:16" ht="24" customHeight="1" thickBot="1" x14ac:dyDescent="0.25">
      <c r="C10" s="295" t="s">
        <v>255</v>
      </c>
      <c r="D10" s="296"/>
      <c r="E10" s="296"/>
      <c r="F10" s="297"/>
      <c r="G10" s="152"/>
      <c r="H10" s="152"/>
      <c r="I10" s="152"/>
      <c r="O10" s="149"/>
      <c r="P10" s="150"/>
    </row>
    <row r="11" spans="2:16" ht="24" customHeight="1" x14ac:dyDescent="0.2">
      <c r="C11" s="151"/>
      <c r="D11" s="151"/>
      <c r="E11" s="151"/>
      <c r="F11" s="151"/>
      <c r="G11" s="151"/>
      <c r="H11" s="151"/>
      <c r="I11" s="151"/>
      <c r="O11" s="149"/>
      <c r="P11" s="150"/>
    </row>
    <row r="12" spans="2:16" ht="24" customHeight="1" x14ac:dyDescent="0.2">
      <c r="C12" s="151"/>
      <c r="D12" s="48" t="s">
        <v>256</v>
      </c>
      <c r="E12" s="48" t="s">
        <v>257</v>
      </c>
      <c r="F12" s="48" t="s">
        <v>258</v>
      </c>
      <c r="G12" s="48" t="s">
        <v>259</v>
      </c>
      <c r="H12" s="48" t="s">
        <v>260</v>
      </c>
      <c r="I12" s="48" t="s">
        <v>261</v>
      </c>
      <c r="J12" s="275" t="s">
        <v>12</v>
      </c>
      <c r="O12" s="149"/>
      <c r="P12" s="150"/>
    </row>
    <row r="13" spans="2:16" ht="24" customHeight="1" x14ac:dyDescent="0.2">
      <c r="C13" s="151"/>
      <c r="D13" s="79" t="str">
        <f>'[2]1) Budget Table'!D13</f>
        <v xml:space="preserve"> WFP SL</v>
      </c>
      <c r="E13" s="79" t="str">
        <f>'[2]1) Budget Table'!E13</f>
        <v xml:space="preserve">  WFP GUI</v>
      </c>
      <c r="F13" s="79" t="str">
        <f>'[2]1) Budget Table'!F13</f>
        <v>IOM SL</v>
      </c>
      <c r="G13" s="79" t="str">
        <f>'[2]1) Budget Table'!G13</f>
        <v>IOM GUI</v>
      </c>
      <c r="H13" s="153"/>
      <c r="I13" s="153"/>
      <c r="J13" s="276"/>
      <c r="O13" s="149"/>
      <c r="P13" s="150"/>
    </row>
    <row r="14" spans="2:16" ht="24" customHeight="1" x14ac:dyDescent="0.2">
      <c r="B14" s="279" t="s">
        <v>262</v>
      </c>
      <c r="C14" s="280"/>
      <c r="D14" s="280"/>
      <c r="E14" s="280"/>
      <c r="F14" s="280"/>
      <c r="G14" s="280"/>
      <c r="H14" s="280"/>
      <c r="I14" s="280"/>
      <c r="J14" s="281"/>
      <c r="O14" s="149"/>
      <c r="P14" s="150"/>
    </row>
    <row r="15" spans="2:16" ht="22.5" customHeight="1" x14ac:dyDescent="0.2">
      <c r="C15" s="279" t="s">
        <v>263</v>
      </c>
      <c r="D15" s="280"/>
      <c r="E15" s="280"/>
      <c r="F15" s="280"/>
      <c r="G15" s="280"/>
      <c r="H15" s="280"/>
      <c r="I15" s="280"/>
      <c r="J15" s="281"/>
      <c r="O15" s="149"/>
      <c r="P15" s="150"/>
    </row>
    <row r="16" spans="2:16" ht="24.75" customHeight="1" thickBot="1" x14ac:dyDescent="0.25">
      <c r="C16" s="154" t="s">
        <v>264</v>
      </c>
      <c r="D16" s="155">
        <f>'[2]1) Budget Table'!D24</f>
        <v>55100</v>
      </c>
      <c r="E16" s="155">
        <f>'[2]1) Budget Table'!E24</f>
        <v>55100</v>
      </c>
      <c r="F16" s="155">
        <f>'[2]1) Budget Table'!F24</f>
        <v>0</v>
      </c>
      <c r="G16" s="155">
        <f>'[2]1) Budget Table'!G24</f>
        <v>0</v>
      </c>
      <c r="H16" s="155">
        <f>'[2]1) Budget Table'!H24</f>
        <v>0</v>
      </c>
      <c r="I16" s="155">
        <f>'[2]1) Budget Table'!I24</f>
        <v>0</v>
      </c>
      <c r="J16" s="156">
        <f t="shared" ref="J16:J24" si="0">SUM(D16:I16)</f>
        <v>110200</v>
      </c>
      <c r="O16" s="149"/>
      <c r="P16" s="150"/>
    </row>
    <row r="17" spans="3:10" ht="21.75" customHeight="1" x14ac:dyDescent="0.2">
      <c r="C17" s="157" t="s">
        <v>265</v>
      </c>
      <c r="D17" s="145"/>
      <c r="E17" s="145"/>
      <c r="F17" s="145"/>
      <c r="G17" s="145"/>
      <c r="H17" s="145"/>
      <c r="I17" s="145"/>
      <c r="J17" s="158">
        <f t="shared" si="0"/>
        <v>0</v>
      </c>
    </row>
    <row r="18" spans="3:10" ht="17" x14ac:dyDescent="0.2">
      <c r="C18" s="159" t="s">
        <v>266</v>
      </c>
      <c r="D18" s="45">
        <v>5000</v>
      </c>
      <c r="E18" s="45">
        <v>5000</v>
      </c>
      <c r="F18" s="45"/>
      <c r="G18" s="45"/>
      <c r="H18" s="45"/>
      <c r="I18" s="45"/>
      <c r="J18" s="160">
        <f t="shared" si="0"/>
        <v>10000</v>
      </c>
    </row>
    <row r="19" spans="3:10" ht="15.75" customHeight="1" x14ac:dyDescent="0.2">
      <c r="C19" s="159" t="s">
        <v>267</v>
      </c>
      <c r="D19" s="161"/>
      <c r="E19" s="161"/>
      <c r="F19" s="161"/>
      <c r="G19" s="161"/>
      <c r="H19" s="161"/>
      <c r="I19" s="161"/>
      <c r="J19" s="160">
        <f t="shared" si="0"/>
        <v>0</v>
      </c>
    </row>
    <row r="20" spans="3:10" ht="17" x14ac:dyDescent="0.2">
      <c r="C20" s="162" t="s">
        <v>268</v>
      </c>
      <c r="D20" s="161">
        <v>5000</v>
      </c>
      <c r="E20" s="161">
        <v>5000</v>
      </c>
      <c r="F20" s="161"/>
      <c r="G20" s="161"/>
      <c r="H20" s="161"/>
      <c r="I20" s="161"/>
      <c r="J20" s="160">
        <f t="shared" si="0"/>
        <v>10000</v>
      </c>
    </row>
    <row r="21" spans="3:10" ht="17" x14ac:dyDescent="0.2">
      <c r="C21" s="159" t="s">
        <v>269</v>
      </c>
      <c r="D21" s="161"/>
      <c r="E21" s="161"/>
      <c r="F21" s="161"/>
      <c r="G21" s="161"/>
      <c r="H21" s="161"/>
      <c r="I21" s="161"/>
      <c r="J21" s="160">
        <f t="shared" si="0"/>
        <v>0</v>
      </c>
    </row>
    <row r="22" spans="3:10" ht="21.75" customHeight="1" x14ac:dyDescent="0.2">
      <c r="C22" s="159" t="s">
        <v>270</v>
      </c>
      <c r="D22" s="161">
        <v>31510.27</v>
      </c>
      <c r="E22" s="161">
        <v>19282.27</v>
      </c>
      <c r="F22" s="161"/>
      <c r="G22" s="161"/>
      <c r="H22" s="161"/>
      <c r="I22" s="161"/>
      <c r="J22" s="160">
        <f t="shared" si="0"/>
        <v>50792.54</v>
      </c>
    </row>
    <row r="23" spans="3:10" ht="21.75" customHeight="1" x14ac:dyDescent="0.2">
      <c r="C23" s="159" t="s">
        <v>271</v>
      </c>
      <c r="D23" s="161">
        <v>5000</v>
      </c>
      <c r="E23" s="161">
        <v>5000</v>
      </c>
      <c r="F23" s="161"/>
      <c r="G23" s="161"/>
      <c r="H23" s="161"/>
      <c r="I23" s="161"/>
      <c r="J23" s="160">
        <f t="shared" si="0"/>
        <v>10000</v>
      </c>
    </row>
    <row r="24" spans="3:10" ht="15.75" customHeight="1" x14ac:dyDescent="0.2">
      <c r="C24" s="163" t="s">
        <v>272</v>
      </c>
      <c r="D24" s="164">
        <f>SUM(D17:D23)</f>
        <v>46510.270000000004</v>
      </c>
      <c r="E24" s="164">
        <f>SUM(E17:E23)</f>
        <v>34282.270000000004</v>
      </c>
      <c r="F24" s="164">
        <f>SUM(F17:F23)</f>
        <v>0</v>
      </c>
      <c r="G24" s="165"/>
      <c r="H24" s="165"/>
      <c r="I24" s="165"/>
      <c r="J24" s="166">
        <f t="shared" si="0"/>
        <v>80792.540000000008</v>
      </c>
    </row>
    <row r="25" spans="3:10" s="148" customFormat="1" x14ac:dyDescent="0.2">
      <c r="C25" s="167"/>
      <c r="D25" s="168"/>
      <c r="E25" s="168"/>
      <c r="F25" s="168"/>
      <c r="G25" s="168"/>
      <c r="H25" s="168"/>
      <c r="I25" s="168"/>
      <c r="J25" s="169"/>
    </row>
    <row r="26" spans="3:10" x14ac:dyDescent="0.2">
      <c r="C26" s="279" t="s">
        <v>273</v>
      </c>
      <c r="D26" s="280"/>
      <c r="E26" s="280"/>
      <c r="F26" s="280"/>
      <c r="G26" s="280"/>
      <c r="H26" s="280"/>
      <c r="I26" s="280"/>
      <c r="J26" s="281"/>
    </row>
    <row r="27" spans="3:10" ht="27" customHeight="1" thickBot="1" x14ac:dyDescent="0.25">
      <c r="C27" s="154" t="s">
        <v>264</v>
      </c>
      <c r="D27" s="155">
        <f>'[2]1) Budget Table'!D34</f>
        <v>34700</v>
      </c>
      <c r="E27" s="155">
        <f>'[2]1) Budget Table'!E34</f>
        <v>34700</v>
      </c>
      <c r="F27" s="155">
        <f>'[2]1) Budget Table'!F34</f>
        <v>0</v>
      </c>
      <c r="G27" s="155"/>
      <c r="H27" s="155"/>
      <c r="I27" s="155"/>
      <c r="J27" s="156">
        <f t="shared" ref="J27:J35" si="1">SUM(D27:I27)</f>
        <v>69400</v>
      </c>
    </row>
    <row r="28" spans="3:10" ht="17" x14ac:dyDescent="0.2">
      <c r="C28" s="157" t="s">
        <v>265</v>
      </c>
      <c r="D28" s="170">
        <v>0</v>
      </c>
      <c r="E28" s="145"/>
      <c r="F28" s="145"/>
      <c r="G28" s="145"/>
      <c r="H28" s="145"/>
      <c r="I28" s="145"/>
      <c r="J28" s="158">
        <f t="shared" si="1"/>
        <v>0</v>
      </c>
    </row>
    <row r="29" spans="3:10" ht="17" x14ac:dyDescent="0.2">
      <c r="C29" s="159" t="s">
        <v>266</v>
      </c>
      <c r="D29" s="161">
        <v>0</v>
      </c>
      <c r="E29" s="45"/>
      <c r="F29" s="45"/>
      <c r="G29" s="45"/>
      <c r="H29" s="45"/>
      <c r="I29" s="45"/>
      <c r="J29" s="160">
        <f t="shared" si="1"/>
        <v>0</v>
      </c>
    </row>
    <row r="30" spans="3:10" ht="34" x14ac:dyDescent="0.2">
      <c r="C30" s="159" t="s">
        <v>267</v>
      </c>
      <c r="D30" s="161">
        <v>0</v>
      </c>
      <c r="E30" s="161"/>
      <c r="F30" s="161"/>
      <c r="G30" s="161"/>
      <c r="H30" s="161"/>
      <c r="I30" s="161"/>
      <c r="J30" s="160">
        <f t="shared" si="1"/>
        <v>0</v>
      </c>
    </row>
    <row r="31" spans="3:10" ht="17" x14ac:dyDescent="0.2">
      <c r="C31" s="162" t="s">
        <v>268</v>
      </c>
      <c r="D31" s="161">
        <v>0</v>
      </c>
      <c r="E31" s="161"/>
      <c r="F31" s="161"/>
      <c r="G31" s="161"/>
      <c r="H31" s="161"/>
      <c r="I31" s="161"/>
      <c r="J31" s="160">
        <f t="shared" si="1"/>
        <v>0</v>
      </c>
    </row>
    <row r="32" spans="3:10" ht="17" x14ac:dyDescent="0.2">
      <c r="C32" s="159" t="s">
        <v>269</v>
      </c>
      <c r="D32" s="161">
        <v>0</v>
      </c>
      <c r="E32" s="161"/>
      <c r="F32" s="161"/>
      <c r="G32" s="161"/>
      <c r="H32" s="161"/>
      <c r="I32" s="161"/>
      <c r="J32" s="160">
        <f t="shared" si="1"/>
        <v>0</v>
      </c>
    </row>
    <row r="33" spans="3:10" ht="17" x14ac:dyDescent="0.2">
      <c r="C33" s="159" t="s">
        <v>270</v>
      </c>
      <c r="D33" s="161">
        <v>49208.800000000003</v>
      </c>
      <c r="E33" s="161">
        <v>78406.31</v>
      </c>
      <c r="F33" s="161"/>
      <c r="G33" s="161"/>
      <c r="H33" s="161"/>
      <c r="I33" s="161"/>
      <c r="J33" s="160">
        <f t="shared" si="1"/>
        <v>127615.11</v>
      </c>
    </row>
    <row r="34" spans="3:10" ht="17" x14ac:dyDescent="0.2">
      <c r="C34" s="159" t="s">
        <v>271</v>
      </c>
      <c r="D34" s="161">
        <v>0</v>
      </c>
      <c r="E34" s="161"/>
      <c r="F34" s="161"/>
      <c r="G34" s="161"/>
      <c r="H34" s="161"/>
      <c r="I34" s="161"/>
      <c r="J34" s="160">
        <f t="shared" si="1"/>
        <v>0</v>
      </c>
    </row>
    <row r="35" spans="3:10" ht="17" x14ac:dyDescent="0.2">
      <c r="C35" s="163" t="s">
        <v>272</v>
      </c>
      <c r="D35" s="164">
        <f>SUM(D28:D34)</f>
        <v>49208.800000000003</v>
      </c>
      <c r="E35" s="164">
        <f>SUM(E28:E34)</f>
        <v>78406.31</v>
      </c>
      <c r="F35" s="164">
        <f>SUM(F28:F34)</f>
        <v>0</v>
      </c>
      <c r="G35" s="164"/>
      <c r="H35" s="164"/>
      <c r="I35" s="164"/>
      <c r="J35" s="160">
        <f t="shared" si="1"/>
        <v>127615.11</v>
      </c>
    </row>
    <row r="36" spans="3:10" s="148" customFormat="1" x14ac:dyDescent="0.2">
      <c r="C36" s="167"/>
      <c r="D36" s="168"/>
      <c r="E36" s="168"/>
      <c r="F36" s="168"/>
      <c r="G36" s="168"/>
      <c r="H36" s="168"/>
      <c r="I36" s="168"/>
      <c r="J36" s="171"/>
    </row>
    <row r="37" spans="3:10" x14ac:dyDescent="0.2">
      <c r="C37" s="279" t="s">
        <v>274</v>
      </c>
      <c r="D37" s="280"/>
      <c r="E37" s="280"/>
      <c r="F37" s="280"/>
      <c r="G37" s="280"/>
      <c r="H37" s="280"/>
      <c r="I37" s="280"/>
      <c r="J37" s="281"/>
    </row>
    <row r="38" spans="3:10" ht="21.75" customHeight="1" thickBot="1" x14ac:dyDescent="0.25">
      <c r="C38" s="154" t="s">
        <v>264</v>
      </c>
      <c r="D38" s="155">
        <f>'[2]1) Budget Table'!D44</f>
        <v>53600</v>
      </c>
      <c r="E38" s="155">
        <f>'[2]1) Budget Table'!E44</f>
        <v>53600</v>
      </c>
      <c r="F38" s="155">
        <f>'[2]1) Budget Table'!F44</f>
        <v>0</v>
      </c>
      <c r="G38" s="155"/>
      <c r="H38" s="155"/>
      <c r="I38" s="155"/>
      <c r="J38" s="156">
        <f t="shared" ref="J38:J46" si="2">SUM(D38:I38)</f>
        <v>107200</v>
      </c>
    </row>
    <row r="39" spans="3:10" ht="17" x14ac:dyDescent="0.2">
      <c r="C39" s="157" t="s">
        <v>265</v>
      </c>
      <c r="D39" s="170">
        <v>0</v>
      </c>
      <c r="E39" s="145"/>
      <c r="F39" s="145"/>
      <c r="G39" s="145"/>
      <c r="H39" s="145"/>
      <c r="I39" s="145"/>
      <c r="J39" s="158">
        <f t="shared" si="2"/>
        <v>0</v>
      </c>
    </row>
    <row r="40" spans="3:10" s="148" customFormat="1" ht="15.75" customHeight="1" x14ac:dyDescent="0.2">
      <c r="C40" s="159" t="s">
        <v>266</v>
      </c>
      <c r="D40" s="161">
        <v>0</v>
      </c>
      <c r="E40" s="45"/>
      <c r="F40" s="45"/>
      <c r="G40" s="45"/>
      <c r="H40" s="45"/>
      <c r="I40" s="45"/>
      <c r="J40" s="160">
        <f t="shared" si="2"/>
        <v>0</v>
      </c>
    </row>
    <row r="41" spans="3:10" s="148" customFormat="1" ht="34" x14ac:dyDescent="0.2">
      <c r="C41" s="159" t="s">
        <v>267</v>
      </c>
      <c r="D41" s="161">
        <v>0</v>
      </c>
      <c r="E41" s="161"/>
      <c r="F41" s="161"/>
      <c r="G41" s="161"/>
      <c r="H41" s="161"/>
      <c r="I41" s="161"/>
      <c r="J41" s="160">
        <f t="shared" si="2"/>
        <v>0</v>
      </c>
    </row>
    <row r="42" spans="3:10" s="148" customFormat="1" ht="17" x14ac:dyDescent="0.2">
      <c r="C42" s="162" t="s">
        <v>268</v>
      </c>
      <c r="D42" s="161">
        <v>0</v>
      </c>
      <c r="E42" s="161"/>
      <c r="F42" s="161"/>
      <c r="G42" s="161"/>
      <c r="H42" s="161"/>
      <c r="I42" s="161"/>
      <c r="J42" s="160">
        <f t="shared" si="2"/>
        <v>0</v>
      </c>
    </row>
    <row r="43" spans="3:10" ht="17" x14ac:dyDescent="0.2">
      <c r="C43" s="159" t="s">
        <v>269</v>
      </c>
      <c r="D43" s="161">
        <v>0</v>
      </c>
      <c r="E43" s="161"/>
      <c r="F43" s="161"/>
      <c r="G43" s="161"/>
      <c r="H43" s="161"/>
      <c r="I43" s="161"/>
      <c r="J43" s="160">
        <f t="shared" si="2"/>
        <v>0</v>
      </c>
    </row>
    <row r="44" spans="3:10" ht="17" x14ac:dyDescent="0.2">
      <c r="C44" s="159" t="s">
        <v>270</v>
      </c>
      <c r="D44" s="161">
        <v>46659.12</v>
      </c>
      <c r="E44" s="161">
        <v>60081.66</v>
      </c>
      <c r="F44" s="161"/>
      <c r="G44" s="161"/>
      <c r="H44" s="161"/>
      <c r="I44" s="161"/>
      <c r="J44" s="160">
        <f t="shared" si="2"/>
        <v>106740.78</v>
      </c>
    </row>
    <row r="45" spans="3:10" ht="17" x14ac:dyDescent="0.2">
      <c r="C45" s="159" t="s">
        <v>271</v>
      </c>
      <c r="D45" s="161">
        <v>0</v>
      </c>
      <c r="E45" s="161"/>
      <c r="F45" s="161"/>
      <c r="G45" s="161"/>
      <c r="H45" s="161"/>
      <c r="I45" s="161"/>
      <c r="J45" s="160">
        <f t="shared" si="2"/>
        <v>0</v>
      </c>
    </row>
    <row r="46" spans="3:10" ht="17" x14ac:dyDescent="0.2">
      <c r="C46" s="163" t="s">
        <v>272</v>
      </c>
      <c r="D46" s="164">
        <f>SUM(D39:D45)</f>
        <v>46659.12</v>
      </c>
      <c r="E46" s="164">
        <f>SUM(E39:E45)</f>
        <v>60081.66</v>
      </c>
      <c r="F46" s="164">
        <f>SUM(F39:F45)</f>
        <v>0</v>
      </c>
      <c r="G46" s="164"/>
      <c r="H46" s="164"/>
      <c r="I46" s="164"/>
      <c r="J46" s="160">
        <f t="shared" si="2"/>
        <v>106740.78</v>
      </c>
    </row>
    <row r="47" spans="3:10" x14ac:dyDescent="0.2">
      <c r="C47" s="279" t="s">
        <v>275</v>
      </c>
      <c r="D47" s="280"/>
      <c r="E47" s="280"/>
      <c r="F47" s="280"/>
      <c r="G47" s="280"/>
      <c r="H47" s="280"/>
      <c r="I47" s="280"/>
      <c r="J47" s="281"/>
    </row>
    <row r="48" spans="3:10" s="148" customFormat="1" x14ac:dyDescent="0.2">
      <c r="C48" s="172"/>
      <c r="D48" s="173"/>
      <c r="E48" s="173"/>
      <c r="F48" s="173"/>
      <c r="G48" s="173"/>
      <c r="H48" s="173"/>
      <c r="I48" s="173"/>
      <c r="J48" s="174"/>
    </row>
    <row r="49" spans="2:10" ht="20.25" customHeight="1" thickBot="1" x14ac:dyDescent="0.25">
      <c r="C49" s="154" t="s">
        <v>264</v>
      </c>
      <c r="D49" s="155">
        <f>'[2]1) Budget Table'!D54</f>
        <v>31600</v>
      </c>
      <c r="E49" s="155">
        <f>'[2]1) Budget Table'!E54</f>
        <v>31600</v>
      </c>
      <c r="F49" s="155">
        <f>'[2]1) Budget Table'!F54</f>
        <v>0</v>
      </c>
      <c r="G49" s="155"/>
      <c r="H49" s="155"/>
      <c r="I49" s="155"/>
      <c r="J49" s="156">
        <f t="shared" ref="J49:J57" si="3">SUM(D49:I49)</f>
        <v>63200</v>
      </c>
    </row>
    <row r="50" spans="2:10" ht="17" x14ac:dyDescent="0.2">
      <c r="C50" s="157" t="s">
        <v>265</v>
      </c>
      <c r="D50" s="145">
        <v>0</v>
      </c>
      <c r="E50" s="145">
        <v>0</v>
      </c>
      <c r="F50" s="145"/>
      <c r="G50" s="145"/>
      <c r="H50" s="145"/>
      <c r="I50" s="145"/>
      <c r="J50" s="158">
        <f t="shared" si="3"/>
        <v>0</v>
      </c>
    </row>
    <row r="51" spans="2:10" ht="15.75" customHeight="1" x14ac:dyDescent="0.2">
      <c r="C51" s="159" t="s">
        <v>266</v>
      </c>
      <c r="D51" s="145">
        <v>0</v>
      </c>
      <c r="E51" s="145">
        <v>0</v>
      </c>
      <c r="F51" s="45"/>
      <c r="G51" s="45"/>
      <c r="H51" s="45"/>
      <c r="I51" s="45"/>
      <c r="J51" s="160">
        <f t="shared" si="3"/>
        <v>0</v>
      </c>
    </row>
    <row r="52" spans="2:10" ht="32.25" customHeight="1" x14ac:dyDescent="0.2">
      <c r="C52" s="159" t="s">
        <v>267</v>
      </c>
      <c r="D52" s="145">
        <v>0</v>
      </c>
      <c r="E52" s="145">
        <v>0</v>
      </c>
      <c r="F52" s="161"/>
      <c r="G52" s="161"/>
      <c r="H52" s="161"/>
      <c r="I52" s="161"/>
      <c r="J52" s="160">
        <f t="shared" si="3"/>
        <v>0</v>
      </c>
    </row>
    <row r="53" spans="2:10" s="148" customFormat="1" ht="17" x14ac:dyDescent="0.2">
      <c r="C53" s="162" t="s">
        <v>268</v>
      </c>
      <c r="D53" s="145">
        <v>0</v>
      </c>
      <c r="E53" s="145">
        <v>0</v>
      </c>
      <c r="F53" s="161"/>
      <c r="G53" s="161"/>
      <c r="H53" s="161"/>
      <c r="I53" s="161"/>
      <c r="J53" s="160">
        <f t="shared" si="3"/>
        <v>0</v>
      </c>
    </row>
    <row r="54" spans="2:10" ht="17" x14ac:dyDescent="0.2">
      <c r="C54" s="159" t="s">
        <v>269</v>
      </c>
      <c r="D54" s="145">
        <v>0</v>
      </c>
      <c r="E54" s="145">
        <v>0</v>
      </c>
      <c r="F54" s="161"/>
      <c r="G54" s="161"/>
      <c r="H54" s="161"/>
      <c r="I54" s="161"/>
      <c r="J54" s="160">
        <f t="shared" si="3"/>
        <v>0</v>
      </c>
    </row>
    <row r="55" spans="2:10" ht="17" x14ac:dyDescent="0.2">
      <c r="C55" s="159" t="s">
        <v>270</v>
      </c>
      <c r="D55" s="145">
        <v>31600</v>
      </c>
      <c r="E55" s="145">
        <v>31600</v>
      </c>
      <c r="F55" s="161"/>
      <c r="G55" s="161"/>
      <c r="H55" s="161"/>
      <c r="I55" s="161"/>
      <c r="J55" s="160">
        <f t="shared" si="3"/>
        <v>63200</v>
      </c>
    </row>
    <row r="56" spans="2:10" ht="17" x14ac:dyDescent="0.2">
      <c r="C56" s="159" t="s">
        <v>271</v>
      </c>
      <c r="D56" s="161"/>
      <c r="E56" s="161"/>
      <c r="F56" s="161"/>
      <c r="G56" s="161"/>
      <c r="H56" s="161"/>
      <c r="I56" s="161"/>
      <c r="J56" s="160">
        <f t="shared" si="3"/>
        <v>0</v>
      </c>
    </row>
    <row r="57" spans="2:10" ht="21" customHeight="1" x14ac:dyDescent="0.2">
      <c r="C57" s="163" t="s">
        <v>272</v>
      </c>
      <c r="D57" s="164">
        <f>SUM(D50:D56)</f>
        <v>31600</v>
      </c>
      <c r="E57" s="164">
        <f>SUM(E50:E56)</f>
        <v>31600</v>
      </c>
      <c r="F57" s="164">
        <f>SUM(F50:F56)</f>
        <v>0</v>
      </c>
      <c r="G57" s="164"/>
      <c r="H57" s="164"/>
      <c r="I57" s="164"/>
      <c r="J57" s="160">
        <f t="shared" si="3"/>
        <v>63200</v>
      </c>
    </row>
    <row r="58" spans="2:10" s="148" customFormat="1" ht="22.5" customHeight="1" x14ac:dyDescent="0.2">
      <c r="C58" s="175"/>
      <c r="D58" s="168"/>
      <c r="E58" s="168"/>
      <c r="F58" s="168"/>
      <c r="G58" s="168"/>
      <c r="H58" s="168"/>
      <c r="I58" s="168"/>
      <c r="J58" s="171"/>
    </row>
    <row r="59" spans="2:10" x14ac:dyDescent="0.2">
      <c r="B59" s="279" t="s">
        <v>276</v>
      </c>
      <c r="C59" s="280"/>
      <c r="D59" s="280"/>
      <c r="E59" s="280"/>
      <c r="F59" s="280"/>
      <c r="G59" s="280"/>
      <c r="H59" s="280"/>
      <c r="I59" s="280"/>
      <c r="J59" s="281"/>
    </row>
    <row r="60" spans="2:10" x14ac:dyDescent="0.2">
      <c r="C60" s="279" t="s">
        <v>277</v>
      </c>
      <c r="D60" s="280"/>
      <c r="E60" s="280"/>
      <c r="F60" s="280"/>
      <c r="G60" s="280"/>
      <c r="H60" s="280"/>
      <c r="I60" s="280"/>
      <c r="J60" s="281"/>
    </row>
    <row r="61" spans="2:10" ht="24" customHeight="1" thickBot="1" x14ac:dyDescent="0.25">
      <c r="C61" s="154" t="s">
        <v>264</v>
      </c>
      <c r="D61" s="155">
        <f>'[2]1) Budget Table'!D66</f>
        <v>251744.77000000019</v>
      </c>
      <c r="E61" s="155">
        <f>'[2]1) Budget Table'!E66</f>
        <v>251744.77000000019</v>
      </c>
      <c r="F61" s="155">
        <f>'[2]1) Budget Table'!F66</f>
        <v>0</v>
      </c>
      <c r="G61" s="155"/>
      <c r="H61" s="155"/>
      <c r="I61" s="155"/>
      <c r="J61" s="156">
        <f t="shared" ref="J61:J69" si="4">SUM(D61:I61)</f>
        <v>503489.54000000039</v>
      </c>
    </row>
    <row r="62" spans="2:10" ht="15.75" customHeight="1" x14ac:dyDescent="0.2">
      <c r="C62" s="157" t="s">
        <v>265</v>
      </c>
      <c r="D62" s="145">
        <v>11937.5</v>
      </c>
      <c r="E62" s="145">
        <v>14937.5</v>
      </c>
      <c r="F62" s="145"/>
      <c r="G62" s="145"/>
      <c r="H62" s="145"/>
      <c r="I62" s="145"/>
      <c r="J62" s="158">
        <f t="shared" si="4"/>
        <v>26875</v>
      </c>
    </row>
    <row r="63" spans="2:10" ht="15.75" customHeight="1" x14ac:dyDescent="0.2">
      <c r="C63" s="159" t="s">
        <v>266</v>
      </c>
      <c r="D63" s="145">
        <v>9722.15</v>
      </c>
      <c r="E63" s="145">
        <v>9722.15</v>
      </c>
      <c r="F63" s="45"/>
      <c r="G63" s="45"/>
      <c r="H63" s="45"/>
      <c r="I63" s="45"/>
      <c r="J63" s="160">
        <f t="shared" si="4"/>
        <v>19444.3</v>
      </c>
    </row>
    <row r="64" spans="2:10" ht="15.75" customHeight="1" x14ac:dyDescent="0.2">
      <c r="C64" s="159" t="s">
        <v>267</v>
      </c>
      <c r="D64" s="145">
        <v>9648.5</v>
      </c>
      <c r="E64" s="145">
        <v>17648.5</v>
      </c>
      <c r="F64" s="161"/>
      <c r="G64" s="161"/>
      <c r="H64" s="161"/>
      <c r="I64" s="161"/>
      <c r="J64" s="160">
        <f t="shared" si="4"/>
        <v>27297</v>
      </c>
    </row>
    <row r="65" spans="2:10" ht="18.75" customHeight="1" x14ac:dyDescent="0.2">
      <c r="C65" s="162" t="s">
        <v>268</v>
      </c>
      <c r="D65" s="145">
        <v>10059.25</v>
      </c>
      <c r="E65" s="145">
        <v>18059.5</v>
      </c>
      <c r="F65" s="161"/>
      <c r="G65" s="161"/>
      <c r="H65" s="161"/>
      <c r="I65" s="161"/>
      <c r="J65" s="160">
        <f t="shared" si="4"/>
        <v>28118.75</v>
      </c>
    </row>
    <row r="66" spans="2:10" ht="17" x14ac:dyDescent="0.2">
      <c r="C66" s="159" t="s">
        <v>269</v>
      </c>
      <c r="D66" s="145">
        <v>8115.165</v>
      </c>
      <c r="E66" s="145">
        <v>13115.165000000001</v>
      </c>
      <c r="F66" s="161"/>
      <c r="G66" s="161"/>
      <c r="H66" s="161"/>
      <c r="I66" s="161"/>
      <c r="J66" s="160">
        <f t="shared" si="4"/>
        <v>21230.33</v>
      </c>
    </row>
    <row r="67" spans="2:10" s="148" customFormat="1" ht="21.75" customHeight="1" x14ac:dyDescent="0.2">
      <c r="B67" s="147"/>
      <c r="C67" s="159" t="s">
        <v>270</v>
      </c>
      <c r="D67" s="145">
        <v>10610</v>
      </c>
      <c r="E67" s="145">
        <v>12000</v>
      </c>
      <c r="F67" s="161"/>
      <c r="G67" s="161"/>
      <c r="H67" s="161"/>
      <c r="I67" s="161"/>
      <c r="J67" s="160">
        <f t="shared" si="4"/>
        <v>22610</v>
      </c>
    </row>
    <row r="68" spans="2:10" s="148" customFormat="1" ht="17" x14ac:dyDescent="0.2">
      <c r="B68" s="147"/>
      <c r="C68" s="159" t="s">
        <v>271</v>
      </c>
      <c r="D68" s="145">
        <v>10649.52</v>
      </c>
      <c r="E68" s="145">
        <v>11556.36</v>
      </c>
      <c r="F68" s="161"/>
      <c r="G68" s="161"/>
      <c r="H68" s="161"/>
      <c r="I68" s="161"/>
      <c r="J68" s="160">
        <f t="shared" si="4"/>
        <v>22205.88</v>
      </c>
    </row>
    <row r="69" spans="2:10" ht="17" x14ac:dyDescent="0.2">
      <c r="C69" s="163" t="s">
        <v>272</v>
      </c>
      <c r="D69" s="164">
        <f>SUM(D62:D68)</f>
        <v>70742.085000000006</v>
      </c>
      <c r="E69" s="164">
        <f>SUM(E62:E68)</f>
        <v>97039.175000000003</v>
      </c>
      <c r="F69" s="164">
        <f>SUM(F62:F68)</f>
        <v>0</v>
      </c>
      <c r="G69" s="164"/>
      <c r="H69" s="164"/>
      <c r="I69" s="164"/>
      <c r="J69" s="160">
        <f t="shared" si="4"/>
        <v>167781.26</v>
      </c>
    </row>
    <row r="70" spans="2:10" s="148" customFormat="1" x14ac:dyDescent="0.2">
      <c r="C70" s="167"/>
      <c r="D70" s="168"/>
      <c r="E70" s="168"/>
      <c r="F70" s="168"/>
      <c r="G70" s="168"/>
      <c r="H70" s="168"/>
      <c r="I70" s="168"/>
      <c r="J70" s="171"/>
    </row>
    <row r="71" spans="2:10" x14ac:dyDescent="0.2">
      <c r="B71" s="148"/>
      <c r="C71" s="279" t="s">
        <v>91</v>
      </c>
      <c r="D71" s="280"/>
      <c r="E71" s="280"/>
      <c r="F71" s="280"/>
      <c r="G71" s="280"/>
      <c r="H71" s="280"/>
      <c r="I71" s="280"/>
      <c r="J71" s="281"/>
    </row>
    <row r="72" spans="2:10" ht="21.75" customHeight="1" thickBot="1" x14ac:dyDescent="0.25">
      <c r="C72" s="154" t="s">
        <v>264</v>
      </c>
      <c r="D72" s="155">
        <f>'[2]1) Budget Table'!D76</f>
        <v>292730.72499999998</v>
      </c>
      <c r="E72" s="155">
        <f>'[2]1) Budget Table'!E76</f>
        <v>292730.72499999998</v>
      </c>
      <c r="F72" s="155">
        <f>'[2]1) Budget Table'!F76</f>
        <v>0</v>
      </c>
      <c r="G72" s="155"/>
      <c r="H72" s="155"/>
      <c r="I72" s="155"/>
      <c r="J72" s="156">
        <f t="shared" ref="J72:J80" si="5">SUM(D72:I72)</f>
        <v>585461.44999999995</v>
      </c>
    </row>
    <row r="73" spans="2:10" ht="15.75" customHeight="1" x14ac:dyDescent="0.2">
      <c r="C73" s="157" t="s">
        <v>265</v>
      </c>
      <c r="D73" s="145">
        <v>41556</v>
      </c>
      <c r="E73" s="145">
        <v>31556</v>
      </c>
      <c r="F73" s="145"/>
      <c r="G73" s="145"/>
      <c r="H73" s="145"/>
      <c r="I73" s="145"/>
      <c r="J73" s="158">
        <f t="shared" si="5"/>
        <v>73112</v>
      </c>
    </row>
    <row r="74" spans="2:10" ht="15.75" customHeight="1" x14ac:dyDescent="0.2">
      <c r="C74" s="159" t="s">
        <v>266</v>
      </c>
      <c r="D74" s="145">
        <v>55439.94</v>
      </c>
      <c r="E74" s="145">
        <v>35626.65</v>
      </c>
      <c r="F74" s="45"/>
      <c r="G74" s="45"/>
      <c r="H74" s="45"/>
      <c r="I74" s="45"/>
      <c r="J74" s="160">
        <f t="shared" si="5"/>
        <v>91066.59</v>
      </c>
    </row>
    <row r="75" spans="2:10" ht="15.75" customHeight="1" x14ac:dyDescent="0.2">
      <c r="C75" s="159" t="s">
        <v>267</v>
      </c>
      <c r="D75" s="145">
        <v>20228</v>
      </c>
      <c r="E75" s="145">
        <v>10228</v>
      </c>
      <c r="F75" s="161"/>
      <c r="G75" s="161"/>
      <c r="H75" s="161"/>
      <c r="I75" s="161"/>
      <c r="J75" s="160">
        <f t="shared" si="5"/>
        <v>30456</v>
      </c>
    </row>
    <row r="76" spans="2:10" ht="17" x14ac:dyDescent="0.2">
      <c r="C76" s="162" t="s">
        <v>268</v>
      </c>
      <c r="D76" s="145">
        <v>55549.5</v>
      </c>
      <c r="E76" s="145">
        <v>30320.09</v>
      </c>
      <c r="F76" s="161"/>
      <c r="G76" s="161"/>
      <c r="H76" s="161"/>
      <c r="I76" s="161"/>
      <c r="J76" s="160">
        <f t="shared" si="5"/>
        <v>85869.59</v>
      </c>
    </row>
    <row r="77" spans="2:10" ht="17" x14ac:dyDescent="0.2">
      <c r="C77" s="159" t="s">
        <v>269</v>
      </c>
      <c r="D77" s="145">
        <v>12810.165000000001</v>
      </c>
      <c r="E77" s="145">
        <v>12810.165000000001</v>
      </c>
      <c r="F77" s="161"/>
      <c r="G77" s="161"/>
      <c r="H77" s="161"/>
      <c r="I77" s="161"/>
      <c r="J77" s="160">
        <f t="shared" si="5"/>
        <v>25620.33</v>
      </c>
    </row>
    <row r="78" spans="2:10" ht="17" x14ac:dyDescent="0.2">
      <c r="C78" s="159" t="s">
        <v>270</v>
      </c>
      <c r="D78" s="145">
        <v>32346.334999999999</v>
      </c>
      <c r="E78" s="145">
        <v>22346.334999999999</v>
      </c>
      <c r="F78" s="161"/>
      <c r="G78" s="161"/>
      <c r="H78" s="161"/>
      <c r="I78" s="161"/>
      <c r="J78" s="160">
        <f t="shared" si="5"/>
        <v>54692.67</v>
      </c>
    </row>
    <row r="79" spans="2:10" ht="17" x14ac:dyDescent="0.2">
      <c r="C79" s="159" t="s">
        <v>271</v>
      </c>
      <c r="D79" s="145">
        <v>24614.075000000001</v>
      </c>
      <c r="E79" s="145">
        <v>24523.4</v>
      </c>
      <c r="F79" s="161"/>
      <c r="G79" s="161"/>
      <c r="H79" s="161"/>
      <c r="I79" s="161"/>
      <c r="J79" s="160">
        <f t="shared" si="5"/>
        <v>49137.475000000006</v>
      </c>
    </row>
    <row r="80" spans="2:10" ht="17" x14ac:dyDescent="0.2">
      <c r="C80" s="163" t="s">
        <v>272</v>
      </c>
      <c r="D80" s="164">
        <f>SUM(D73:D79)</f>
        <v>242544.01500000001</v>
      </c>
      <c r="E80" s="164">
        <f>SUM(E73:E79)</f>
        <v>167410.63999999998</v>
      </c>
      <c r="F80" s="164">
        <f>SUM(F73:F79)</f>
        <v>0</v>
      </c>
      <c r="G80" s="164"/>
      <c r="H80" s="164"/>
      <c r="I80" s="164"/>
      <c r="J80" s="160">
        <f t="shared" si="5"/>
        <v>409954.65500000003</v>
      </c>
    </row>
    <row r="81" spans="2:10" s="148" customFormat="1" x14ac:dyDescent="0.2">
      <c r="C81" s="167"/>
      <c r="D81" s="168"/>
      <c r="E81" s="168"/>
      <c r="F81" s="168"/>
      <c r="G81" s="168"/>
      <c r="H81" s="168"/>
      <c r="I81" s="168"/>
      <c r="J81" s="171"/>
    </row>
    <row r="82" spans="2:10" x14ac:dyDescent="0.2">
      <c r="C82" s="279" t="s">
        <v>103</v>
      </c>
      <c r="D82" s="280"/>
      <c r="E82" s="280"/>
      <c r="F82" s="280"/>
      <c r="G82" s="280"/>
      <c r="H82" s="280"/>
      <c r="I82" s="280"/>
      <c r="J82" s="281"/>
    </row>
    <row r="83" spans="2:10" ht="21.75" customHeight="1" thickBot="1" x14ac:dyDescent="0.25">
      <c r="B83" s="148"/>
      <c r="C83" s="154" t="s">
        <v>264</v>
      </c>
      <c r="D83" s="155">
        <f>'[2]1) Budget Table'!D86</f>
        <v>435253.27</v>
      </c>
      <c r="E83" s="155">
        <f>'[2]1) Budget Table'!E86</f>
        <v>435253.27</v>
      </c>
      <c r="F83" s="155">
        <f>'[2]1) Budget Table'!F86</f>
        <v>0</v>
      </c>
      <c r="G83" s="155"/>
      <c r="H83" s="155"/>
      <c r="I83" s="155"/>
      <c r="J83" s="156">
        <f t="shared" ref="J83:J91" si="6">SUM(D83:I83)</f>
        <v>870506.54</v>
      </c>
    </row>
    <row r="84" spans="2:10" ht="18" customHeight="1" x14ac:dyDescent="0.2">
      <c r="C84" s="157" t="s">
        <v>265</v>
      </c>
      <c r="D84" s="145">
        <f>46540-11024</f>
        <v>35516</v>
      </c>
      <c r="E84" s="145">
        <v>46540</v>
      </c>
      <c r="F84" s="145"/>
      <c r="G84" s="145"/>
      <c r="H84" s="145"/>
      <c r="I84" s="145"/>
      <c r="J84" s="158">
        <f t="shared" si="6"/>
        <v>82056</v>
      </c>
    </row>
    <row r="85" spans="2:10" ht="15.75" customHeight="1" x14ac:dyDescent="0.2">
      <c r="C85" s="159" t="s">
        <v>266</v>
      </c>
      <c r="D85" s="145">
        <v>77073.649999999994</v>
      </c>
      <c r="E85" s="145">
        <v>77073.649999999994</v>
      </c>
      <c r="F85" s="45"/>
      <c r="G85" s="45"/>
      <c r="H85" s="45"/>
      <c r="I85" s="45"/>
      <c r="J85" s="160">
        <f t="shared" si="6"/>
        <v>154147.29999999999</v>
      </c>
    </row>
    <row r="86" spans="2:10" s="148" customFormat="1" ht="15.75" customHeight="1" x14ac:dyDescent="0.2">
      <c r="B86" s="147"/>
      <c r="C86" s="159" t="s">
        <v>267</v>
      </c>
      <c r="D86" s="145">
        <v>55200</v>
      </c>
      <c r="E86" s="145">
        <v>55200</v>
      </c>
      <c r="F86" s="161"/>
      <c r="G86" s="161"/>
      <c r="H86" s="161"/>
      <c r="I86" s="161"/>
      <c r="J86" s="160">
        <f t="shared" si="6"/>
        <v>110400</v>
      </c>
    </row>
    <row r="87" spans="2:10" ht="17" x14ac:dyDescent="0.2">
      <c r="B87" s="148"/>
      <c r="C87" s="162" t="s">
        <v>268</v>
      </c>
      <c r="D87" s="145">
        <v>129363.07</v>
      </c>
      <c r="E87" s="145">
        <v>121362.92</v>
      </c>
      <c r="F87" s="161"/>
      <c r="G87" s="161"/>
      <c r="H87" s="161"/>
      <c r="I87" s="161"/>
      <c r="J87" s="160">
        <f t="shared" si="6"/>
        <v>250725.99</v>
      </c>
    </row>
    <row r="88" spans="2:10" ht="17" x14ac:dyDescent="0.2">
      <c r="B88" s="148"/>
      <c r="C88" s="159" t="s">
        <v>269</v>
      </c>
      <c r="D88" s="145">
        <v>17776.665000000001</v>
      </c>
      <c r="E88" s="145">
        <v>16776.665000000001</v>
      </c>
      <c r="F88" s="161"/>
      <c r="G88" s="161"/>
      <c r="H88" s="161"/>
      <c r="I88" s="161"/>
      <c r="J88" s="160">
        <f t="shared" si="6"/>
        <v>34553.33</v>
      </c>
    </row>
    <row r="89" spans="2:10" ht="17" x14ac:dyDescent="0.2">
      <c r="B89" s="148"/>
      <c r="C89" s="159" t="s">
        <v>270</v>
      </c>
      <c r="D89" s="145">
        <v>37650.834999999999</v>
      </c>
      <c r="E89" s="145">
        <v>33650.834999999999</v>
      </c>
      <c r="F89" s="161"/>
      <c r="G89" s="161"/>
      <c r="H89" s="161"/>
      <c r="I89" s="161"/>
      <c r="J89" s="160">
        <f t="shared" si="6"/>
        <v>71301.67</v>
      </c>
    </row>
    <row r="90" spans="2:10" ht="17" x14ac:dyDescent="0.2">
      <c r="C90" s="159" t="s">
        <v>271</v>
      </c>
      <c r="D90" s="145">
        <f>26062.12+11024</f>
        <v>37086.119999999995</v>
      </c>
      <c r="E90" s="145">
        <v>26062.12</v>
      </c>
      <c r="F90" s="161"/>
      <c r="G90" s="161"/>
      <c r="H90" s="161"/>
      <c r="I90" s="161"/>
      <c r="J90" s="160">
        <f t="shared" si="6"/>
        <v>63148.239999999991</v>
      </c>
    </row>
    <row r="91" spans="2:10" ht="17" x14ac:dyDescent="0.2">
      <c r="C91" s="163" t="s">
        <v>272</v>
      </c>
      <c r="D91" s="164">
        <f>SUM(D84:D90)</f>
        <v>389666.33999999997</v>
      </c>
      <c r="E91" s="164">
        <f>SUM(E84:E90)</f>
        <v>376666.19</v>
      </c>
      <c r="F91" s="164">
        <f>SUM(F84:F90)</f>
        <v>0</v>
      </c>
      <c r="G91" s="164"/>
      <c r="H91" s="164"/>
      <c r="I91" s="164"/>
      <c r="J91" s="160">
        <f t="shared" si="6"/>
        <v>766332.53</v>
      </c>
    </row>
    <row r="92" spans="2:10" s="148" customFormat="1" x14ac:dyDescent="0.2">
      <c r="C92" s="167"/>
      <c r="D92" s="168"/>
      <c r="E92" s="168"/>
      <c r="F92" s="168"/>
      <c r="G92" s="168"/>
      <c r="H92" s="168"/>
      <c r="I92" s="168"/>
      <c r="J92" s="171"/>
    </row>
    <row r="93" spans="2:10" x14ac:dyDescent="0.2">
      <c r="C93" s="279" t="s">
        <v>119</v>
      </c>
      <c r="D93" s="280"/>
      <c r="E93" s="280"/>
      <c r="F93" s="280"/>
      <c r="G93" s="280"/>
      <c r="H93" s="280"/>
      <c r="I93" s="280"/>
      <c r="J93" s="281"/>
    </row>
    <row r="94" spans="2:10" ht="21.75" customHeight="1" thickBot="1" x14ac:dyDescent="0.25">
      <c r="C94" s="154" t="s">
        <v>264</v>
      </c>
      <c r="D94" s="155">
        <f>'[2]1) Budget Table'!D96</f>
        <v>0</v>
      </c>
      <c r="E94" s="155">
        <f>'[2]1) Budget Table'!E96</f>
        <v>0</v>
      </c>
      <c r="F94" s="155">
        <f>'[2]1) Budget Table'!F96</f>
        <v>0</v>
      </c>
      <c r="G94" s="155"/>
      <c r="H94" s="155"/>
      <c r="I94" s="155"/>
      <c r="J94" s="156">
        <f t="shared" ref="J94:J102" si="7">SUM(D94:I94)</f>
        <v>0</v>
      </c>
    </row>
    <row r="95" spans="2:10" ht="15.75" customHeight="1" x14ac:dyDescent="0.2">
      <c r="C95" s="157" t="s">
        <v>265</v>
      </c>
      <c r="D95" s="170"/>
      <c r="E95" s="145"/>
      <c r="F95" s="145"/>
      <c r="G95" s="145"/>
      <c r="H95" s="145"/>
      <c r="I95" s="145"/>
      <c r="J95" s="158">
        <f t="shared" si="7"/>
        <v>0</v>
      </c>
    </row>
    <row r="96" spans="2:10" ht="15.75" customHeight="1" x14ac:dyDescent="0.2">
      <c r="B96" s="148"/>
      <c r="C96" s="159" t="s">
        <v>266</v>
      </c>
      <c r="D96" s="161"/>
      <c r="E96" s="45"/>
      <c r="F96" s="45"/>
      <c r="G96" s="45"/>
      <c r="H96" s="45"/>
      <c r="I96" s="45"/>
      <c r="J96" s="160">
        <f t="shared" si="7"/>
        <v>0</v>
      </c>
    </row>
    <row r="97" spans="2:10" ht="15.75" customHeight="1" x14ac:dyDescent="0.2">
      <c r="C97" s="159" t="s">
        <v>267</v>
      </c>
      <c r="D97" s="161"/>
      <c r="E97" s="161"/>
      <c r="F97" s="161"/>
      <c r="G97" s="161"/>
      <c r="H97" s="161"/>
      <c r="I97" s="161"/>
      <c r="J97" s="160">
        <f t="shared" si="7"/>
        <v>0</v>
      </c>
    </row>
    <row r="98" spans="2:10" ht="17" x14ac:dyDescent="0.2">
      <c r="C98" s="162" t="s">
        <v>268</v>
      </c>
      <c r="D98" s="161"/>
      <c r="E98" s="161"/>
      <c r="F98" s="161"/>
      <c r="G98" s="161"/>
      <c r="H98" s="161"/>
      <c r="I98" s="161"/>
      <c r="J98" s="160">
        <f t="shared" si="7"/>
        <v>0</v>
      </c>
    </row>
    <row r="99" spans="2:10" ht="17" x14ac:dyDescent="0.2">
      <c r="C99" s="159" t="s">
        <v>269</v>
      </c>
      <c r="D99" s="161"/>
      <c r="E99" s="161"/>
      <c r="F99" s="161"/>
      <c r="G99" s="161"/>
      <c r="H99" s="161"/>
      <c r="I99" s="161"/>
      <c r="J99" s="160">
        <f t="shared" si="7"/>
        <v>0</v>
      </c>
    </row>
    <row r="100" spans="2:10" ht="25.5" customHeight="1" x14ac:dyDescent="0.2">
      <c r="C100" s="159" t="s">
        <v>270</v>
      </c>
      <c r="D100" s="161"/>
      <c r="E100" s="161"/>
      <c r="F100" s="161"/>
      <c r="G100" s="161"/>
      <c r="H100" s="161"/>
      <c r="I100" s="161"/>
      <c r="J100" s="160">
        <f t="shared" si="7"/>
        <v>0</v>
      </c>
    </row>
    <row r="101" spans="2:10" ht="17" x14ac:dyDescent="0.2">
      <c r="B101" s="148"/>
      <c r="C101" s="159" t="s">
        <v>271</v>
      </c>
      <c r="D101" s="161"/>
      <c r="E101" s="161"/>
      <c r="F101" s="161"/>
      <c r="G101" s="161"/>
      <c r="H101" s="161"/>
      <c r="I101" s="161"/>
      <c r="J101" s="160">
        <f t="shared" si="7"/>
        <v>0</v>
      </c>
    </row>
    <row r="102" spans="2:10" ht="15.75" customHeight="1" x14ac:dyDescent="0.2">
      <c r="C102" s="163" t="s">
        <v>272</v>
      </c>
      <c r="D102" s="164">
        <f>SUM(D95:D101)</f>
        <v>0</v>
      </c>
      <c r="E102" s="164">
        <f>SUM(E95:E101)</f>
        <v>0</v>
      </c>
      <c r="F102" s="164">
        <f>SUM(F95:F101)</f>
        <v>0</v>
      </c>
      <c r="G102" s="164"/>
      <c r="H102" s="164"/>
      <c r="I102" s="164"/>
      <c r="J102" s="160">
        <f t="shared" si="7"/>
        <v>0</v>
      </c>
    </row>
    <row r="103" spans="2:10" ht="25.5" customHeight="1" x14ac:dyDescent="0.2">
      <c r="D103" s="147"/>
      <c r="E103" s="147"/>
      <c r="F103" s="147"/>
      <c r="G103" s="147"/>
      <c r="H103" s="147"/>
      <c r="I103" s="147"/>
    </row>
    <row r="104" spans="2:10" x14ac:dyDescent="0.2">
      <c r="B104" s="279" t="s">
        <v>278</v>
      </c>
      <c r="C104" s="280"/>
      <c r="D104" s="280"/>
      <c r="E104" s="280"/>
      <c r="F104" s="280"/>
      <c r="G104" s="280"/>
      <c r="H104" s="280"/>
      <c r="I104" s="280"/>
      <c r="J104" s="281"/>
    </row>
    <row r="105" spans="2:10" x14ac:dyDescent="0.2">
      <c r="C105" s="279" t="s">
        <v>130</v>
      </c>
      <c r="D105" s="280"/>
      <c r="E105" s="280"/>
      <c r="F105" s="280"/>
      <c r="G105" s="280"/>
      <c r="H105" s="280"/>
      <c r="I105" s="280"/>
      <c r="J105" s="281"/>
    </row>
    <row r="106" spans="2:10" ht="22.5" customHeight="1" thickBot="1" x14ac:dyDescent="0.25">
      <c r="C106" s="154" t="s">
        <v>264</v>
      </c>
      <c r="D106" s="155">
        <f>'[2]1) Budget Table'!D108</f>
        <v>0</v>
      </c>
      <c r="E106" s="155">
        <f>'[2]1) Budget Table'!E108</f>
        <v>0</v>
      </c>
      <c r="F106" s="155">
        <f>'[2]1) Budget Table'!F108</f>
        <v>215804.32</v>
      </c>
      <c r="G106" s="155">
        <f>'[2]1) Budget Table'!G108</f>
        <v>215805.2</v>
      </c>
      <c r="H106" s="155"/>
      <c r="I106" s="155"/>
      <c r="J106" s="156">
        <f t="shared" ref="J106:J114" si="8">SUM(D106:I106)</f>
        <v>431609.52</v>
      </c>
    </row>
    <row r="107" spans="2:10" ht="17" x14ac:dyDescent="0.2">
      <c r="C107" s="157" t="s">
        <v>265</v>
      </c>
      <c r="D107" s="170"/>
      <c r="E107" s="145"/>
      <c r="F107" s="145">
        <v>77475</v>
      </c>
      <c r="G107" s="145">
        <v>76083.78</v>
      </c>
      <c r="H107" s="145"/>
      <c r="I107" s="145"/>
      <c r="J107" s="158">
        <f>SUM(D107:I107)</f>
        <v>153558.78</v>
      </c>
    </row>
    <row r="108" spans="2:10" ht="17" x14ac:dyDescent="0.2">
      <c r="C108" s="159" t="s">
        <v>266</v>
      </c>
      <c r="D108" s="161"/>
      <c r="E108" s="45"/>
      <c r="F108" s="145">
        <v>0</v>
      </c>
      <c r="G108" s="145">
        <v>0</v>
      </c>
      <c r="H108" s="45"/>
      <c r="I108" s="45"/>
      <c r="J108" s="160">
        <f t="shared" si="8"/>
        <v>0</v>
      </c>
    </row>
    <row r="109" spans="2:10" ht="15.75" customHeight="1" x14ac:dyDescent="0.2">
      <c r="C109" s="159" t="s">
        <v>267</v>
      </c>
      <c r="D109" s="161"/>
      <c r="E109" s="161"/>
      <c r="F109" s="145">
        <v>0</v>
      </c>
      <c r="G109" s="145">
        <v>0</v>
      </c>
      <c r="H109" s="161"/>
      <c r="I109" s="161"/>
      <c r="J109" s="160">
        <f t="shared" si="8"/>
        <v>0</v>
      </c>
    </row>
    <row r="110" spans="2:10" ht="17" x14ac:dyDescent="0.2">
      <c r="C110" s="162" t="s">
        <v>268</v>
      </c>
      <c r="D110" s="161"/>
      <c r="E110" s="161"/>
      <c r="F110" s="145">
        <v>0</v>
      </c>
      <c r="G110" s="145">
        <v>0</v>
      </c>
      <c r="H110" s="161"/>
      <c r="I110" s="161"/>
      <c r="J110" s="160">
        <f t="shared" si="8"/>
        <v>0</v>
      </c>
    </row>
    <row r="111" spans="2:10" ht="17" x14ac:dyDescent="0.2">
      <c r="C111" s="159" t="s">
        <v>269</v>
      </c>
      <c r="D111" s="161"/>
      <c r="E111" s="161"/>
      <c r="F111" s="145">
        <v>10000</v>
      </c>
      <c r="G111" s="145">
        <v>10000</v>
      </c>
      <c r="H111" s="161"/>
      <c r="I111" s="161"/>
      <c r="J111" s="160">
        <f>SUM(D111:I111)</f>
        <v>20000</v>
      </c>
    </row>
    <row r="112" spans="2:10" ht="17" x14ac:dyDescent="0.2">
      <c r="C112" s="159" t="s">
        <v>270</v>
      </c>
      <c r="D112" s="161"/>
      <c r="E112" s="161"/>
      <c r="F112" s="145">
        <v>0</v>
      </c>
      <c r="G112" s="145">
        <v>0</v>
      </c>
      <c r="H112" s="161"/>
      <c r="I112" s="161"/>
      <c r="J112" s="160">
        <f t="shared" si="8"/>
        <v>0</v>
      </c>
    </row>
    <row r="113" spans="3:10" ht="17" x14ac:dyDescent="0.2">
      <c r="C113" s="159" t="s">
        <v>271</v>
      </c>
      <c r="D113" s="161"/>
      <c r="E113" s="161"/>
      <c r="F113" s="145">
        <f>104264.65</f>
        <v>104264.65</v>
      </c>
      <c r="G113" s="145">
        <f>126329.76+0.44</f>
        <v>126330.2</v>
      </c>
      <c r="H113" s="161"/>
      <c r="I113" s="161"/>
      <c r="J113" s="160">
        <f t="shared" si="8"/>
        <v>230594.84999999998</v>
      </c>
    </row>
    <row r="114" spans="3:10" ht="17" x14ac:dyDescent="0.2">
      <c r="C114" s="163" t="s">
        <v>272</v>
      </c>
      <c r="D114" s="164">
        <f>SUM(D107:D113)</f>
        <v>0</v>
      </c>
      <c r="E114" s="164">
        <f>SUM(E107:E113)</f>
        <v>0</v>
      </c>
      <c r="F114" s="164">
        <f>SUM(F107:F113)</f>
        <v>191739.65</v>
      </c>
      <c r="G114" s="164">
        <f>SUM(G107:G113)</f>
        <v>212413.97999999998</v>
      </c>
      <c r="H114" s="164"/>
      <c r="I114" s="164"/>
      <c r="J114" s="160">
        <f t="shared" si="8"/>
        <v>404153.63</v>
      </c>
    </row>
    <row r="115" spans="3:10" s="148" customFormat="1" x14ac:dyDescent="0.2">
      <c r="C115" s="167"/>
      <c r="D115" s="168"/>
      <c r="E115" s="168"/>
      <c r="F115" s="168"/>
      <c r="G115" s="168"/>
      <c r="H115" s="168"/>
      <c r="I115" s="168"/>
      <c r="J115" s="171"/>
    </row>
    <row r="116" spans="3:10" ht="15.75" customHeight="1" x14ac:dyDescent="0.2">
      <c r="C116" s="279" t="s">
        <v>279</v>
      </c>
      <c r="D116" s="280"/>
      <c r="E116" s="280"/>
      <c r="F116" s="280"/>
      <c r="G116" s="280"/>
      <c r="H116" s="280"/>
      <c r="I116" s="280"/>
      <c r="J116" s="281"/>
    </row>
    <row r="117" spans="3:10" ht="21.75" customHeight="1" thickBot="1" x14ac:dyDescent="0.25">
      <c r="C117" s="154" t="s">
        <v>264</v>
      </c>
      <c r="D117" s="155">
        <f>'[2]1) Budget Table'!D118</f>
        <v>0</v>
      </c>
      <c r="E117" s="155">
        <f>'[2]1) Budget Table'!E118</f>
        <v>0</v>
      </c>
      <c r="F117" s="155">
        <f>'[2]1) Budget Table'!F118</f>
        <v>285312.44</v>
      </c>
      <c r="G117" s="155">
        <f>'[2]1) Budget Table'!G118</f>
        <v>285312.44</v>
      </c>
      <c r="H117" s="155"/>
      <c r="I117" s="155"/>
      <c r="J117" s="156">
        <f>SUM(D117:I117)</f>
        <v>570624.88</v>
      </c>
    </row>
    <row r="118" spans="3:10" ht="17" x14ac:dyDescent="0.2">
      <c r="C118" s="157" t="s">
        <v>265</v>
      </c>
      <c r="D118" s="170"/>
      <c r="E118" s="145"/>
      <c r="F118" s="145">
        <v>62000</v>
      </c>
      <c r="G118" s="145">
        <v>61980</v>
      </c>
      <c r="H118" s="145"/>
      <c r="I118" s="145"/>
      <c r="J118" s="158">
        <f>SUM(D118:I118)</f>
        <v>123980</v>
      </c>
    </row>
    <row r="119" spans="3:10" ht="17" x14ac:dyDescent="0.2">
      <c r="C119" s="159" t="s">
        <v>266</v>
      </c>
      <c r="D119" s="161"/>
      <c r="E119" s="45"/>
      <c r="F119" s="145">
        <v>0</v>
      </c>
      <c r="G119" s="145">
        <v>0</v>
      </c>
      <c r="H119" s="45"/>
      <c r="I119" s="45"/>
      <c r="J119" s="160">
        <f t="shared" ref="J119:J125" si="9">SUM(D119:I119)</f>
        <v>0</v>
      </c>
    </row>
    <row r="120" spans="3:10" ht="34" x14ac:dyDescent="0.2">
      <c r="C120" s="159" t="s">
        <v>267</v>
      </c>
      <c r="D120" s="161"/>
      <c r="E120" s="161"/>
      <c r="F120" s="145">
        <v>35000</v>
      </c>
      <c r="G120" s="145">
        <v>40000</v>
      </c>
      <c r="H120" s="161"/>
      <c r="I120" s="161"/>
      <c r="J120" s="160">
        <f t="shared" si="9"/>
        <v>75000</v>
      </c>
    </row>
    <row r="121" spans="3:10" ht="17" x14ac:dyDescent="0.2">
      <c r="C121" s="162" t="s">
        <v>268</v>
      </c>
      <c r="D121" s="161"/>
      <c r="E121" s="161"/>
      <c r="F121" s="145">
        <v>155000</v>
      </c>
      <c r="G121" s="145">
        <v>155000</v>
      </c>
      <c r="H121" s="161"/>
      <c r="I121" s="161"/>
      <c r="J121" s="160">
        <f t="shared" si="9"/>
        <v>310000</v>
      </c>
    </row>
    <row r="122" spans="3:10" ht="17" x14ac:dyDescent="0.2">
      <c r="C122" s="159" t="s">
        <v>269</v>
      </c>
      <c r="D122" s="161"/>
      <c r="E122" s="161"/>
      <c r="F122" s="145">
        <v>0</v>
      </c>
      <c r="G122" s="145">
        <v>0</v>
      </c>
      <c r="H122" s="161"/>
      <c r="I122" s="161"/>
      <c r="J122" s="160">
        <f t="shared" si="9"/>
        <v>0</v>
      </c>
    </row>
    <row r="123" spans="3:10" ht="17" x14ac:dyDescent="0.2">
      <c r="C123" s="159" t="s">
        <v>270</v>
      </c>
      <c r="D123" s="161"/>
      <c r="E123" s="161"/>
      <c r="F123" s="145">
        <v>0</v>
      </c>
      <c r="G123" s="145">
        <v>0</v>
      </c>
      <c r="H123" s="161"/>
      <c r="I123" s="161"/>
      <c r="J123" s="160">
        <f t="shared" si="9"/>
        <v>0</v>
      </c>
    </row>
    <row r="124" spans="3:10" ht="17" x14ac:dyDescent="0.2">
      <c r="C124" s="159" t="s">
        <v>271</v>
      </c>
      <c r="D124" s="161"/>
      <c r="E124" s="161"/>
      <c r="F124" s="145">
        <v>38462.03</v>
      </c>
      <c r="G124" s="145">
        <v>38273.1</v>
      </c>
      <c r="H124" s="161"/>
      <c r="I124" s="161"/>
      <c r="J124" s="160">
        <f t="shared" si="9"/>
        <v>76735.13</v>
      </c>
    </row>
    <row r="125" spans="3:10" ht="17" x14ac:dyDescent="0.2">
      <c r="C125" s="163" t="s">
        <v>272</v>
      </c>
      <c r="D125" s="164">
        <f>SUM(D118:D124)</f>
        <v>0</v>
      </c>
      <c r="E125" s="164">
        <f>SUM(E118:E124)</f>
        <v>0</v>
      </c>
      <c r="F125" s="164">
        <f>SUM(F118:F124)</f>
        <v>290462.03000000003</v>
      </c>
      <c r="G125" s="164">
        <f>SUM(G118:G124)</f>
        <v>295253.09999999998</v>
      </c>
      <c r="H125" s="164"/>
      <c r="I125" s="164"/>
      <c r="J125" s="160">
        <f t="shared" si="9"/>
        <v>585715.13</v>
      </c>
    </row>
    <row r="126" spans="3:10" s="148" customFormat="1" x14ac:dyDescent="0.2">
      <c r="C126" s="167"/>
      <c r="D126" s="168"/>
      <c r="E126" s="168"/>
      <c r="F126" s="168"/>
      <c r="G126" s="168"/>
      <c r="H126" s="168"/>
      <c r="I126" s="168"/>
      <c r="J126" s="171"/>
    </row>
    <row r="127" spans="3:10" x14ac:dyDescent="0.2">
      <c r="C127" s="279" t="s">
        <v>159</v>
      </c>
      <c r="D127" s="280"/>
      <c r="E127" s="280"/>
      <c r="F127" s="280"/>
      <c r="G127" s="280"/>
      <c r="H127" s="280"/>
      <c r="I127" s="280"/>
      <c r="J127" s="281"/>
    </row>
    <row r="128" spans="3:10" ht="21" customHeight="1" thickBot="1" x14ac:dyDescent="0.25">
      <c r="C128" s="154" t="s">
        <v>264</v>
      </c>
      <c r="D128" s="155">
        <f>'[2]1) Budget Table'!D128</f>
        <v>0</v>
      </c>
      <c r="E128" s="155">
        <f>'[2]1) Budget Table'!E128</f>
        <v>0</v>
      </c>
      <c r="F128" s="155">
        <f>'[2]1) Budget Table'!F128</f>
        <v>151482.32</v>
      </c>
      <c r="G128" s="155">
        <f>'[2]1) Budget Table'!G128</f>
        <v>151482.32</v>
      </c>
      <c r="H128" s="155"/>
      <c r="I128" s="155"/>
      <c r="J128" s="156">
        <f t="shared" ref="J128:J136" si="10">SUM(D128:I128)</f>
        <v>302964.64</v>
      </c>
    </row>
    <row r="129" spans="3:10" ht="17" x14ac:dyDescent="0.2">
      <c r="C129" s="157" t="s">
        <v>265</v>
      </c>
      <c r="D129" s="170"/>
      <c r="E129" s="145"/>
      <c r="F129" s="145">
        <v>41485</v>
      </c>
      <c r="G129" s="145">
        <v>46485</v>
      </c>
      <c r="H129" s="145"/>
      <c r="I129" s="145"/>
      <c r="J129" s="158">
        <f>SUM(D129:I129)</f>
        <v>87970</v>
      </c>
    </row>
    <row r="130" spans="3:10" ht="17" x14ac:dyDescent="0.2">
      <c r="C130" s="159" t="s">
        <v>266</v>
      </c>
      <c r="D130" s="161"/>
      <c r="E130" s="45"/>
      <c r="F130" s="145">
        <v>0</v>
      </c>
      <c r="G130" s="145">
        <v>0</v>
      </c>
      <c r="H130" s="45"/>
      <c r="I130" s="45"/>
      <c r="J130" s="160">
        <f t="shared" si="10"/>
        <v>0</v>
      </c>
    </row>
    <row r="131" spans="3:10" ht="34" x14ac:dyDescent="0.2">
      <c r="C131" s="159" t="s">
        <v>267</v>
      </c>
      <c r="D131" s="161"/>
      <c r="E131" s="161"/>
      <c r="F131" s="145">
        <v>0</v>
      </c>
      <c r="G131" s="145">
        <v>0</v>
      </c>
      <c r="H131" s="161"/>
      <c r="I131" s="161"/>
      <c r="J131" s="160">
        <f t="shared" si="10"/>
        <v>0</v>
      </c>
    </row>
    <row r="132" spans="3:10" ht="17" x14ac:dyDescent="0.2">
      <c r="C132" s="162" t="s">
        <v>268</v>
      </c>
      <c r="D132" s="161"/>
      <c r="E132" s="161"/>
      <c r="F132" s="145">
        <v>0</v>
      </c>
      <c r="G132" s="145">
        <v>0</v>
      </c>
      <c r="H132" s="161"/>
      <c r="I132" s="161"/>
      <c r="J132" s="160">
        <f t="shared" si="10"/>
        <v>0</v>
      </c>
    </row>
    <row r="133" spans="3:10" ht="17" x14ac:dyDescent="0.2">
      <c r="C133" s="159" t="s">
        <v>269</v>
      </c>
      <c r="D133" s="161"/>
      <c r="E133" s="161"/>
      <c r="F133" s="145">
        <v>0</v>
      </c>
      <c r="G133" s="145">
        <v>0</v>
      </c>
      <c r="H133" s="161"/>
      <c r="I133" s="161"/>
      <c r="J133" s="160">
        <f t="shared" si="10"/>
        <v>0</v>
      </c>
    </row>
    <row r="134" spans="3:10" ht="17" x14ac:dyDescent="0.2">
      <c r="C134" s="159" t="s">
        <v>270</v>
      </c>
      <c r="D134" s="161"/>
      <c r="E134" s="161"/>
      <c r="F134" s="145">
        <v>0</v>
      </c>
      <c r="G134" s="145">
        <v>0</v>
      </c>
      <c r="H134" s="161"/>
      <c r="I134" s="161"/>
      <c r="J134" s="160">
        <f t="shared" si="10"/>
        <v>0</v>
      </c>
    </row>
    <row r="135" spans="3:10" ht="17" x14ac:dyDescent="0.2">
      <c r="C135" s="159" t="s">
        <v>271</v>
      </c>
      <c r="D135" s="161"/>
      <c r="E135" s="161"/>
      <c r="F135" s="145">
        <v>124680.44</v>
      </c>
      <c r="G135" s="145">
        <v>102192.21</v>
      </c>
      <c r="H135" s="161"/>
      <c r="I135" s="161"/>
      <c r="J135" s="160">
        <f t="shared" si="10"/>
        <v>226872.65000000002</v>
      </c>
    </row>
    <row r="136" spans="3:10" ht="17" x14ac:dyDescent="0.2">
      <c r="C136" s="163" t="s">
        <v>272</v>
      </c>
      <c r="D136" s="164">
        <f>SUM(D129:D135)</f>
        <v>0</v>
      </c>
      <c r="E136" s="164">
        <f>SUM(E129:E135)</f>
        <v>0</v>
      </c>
      <c r="F136" s="164">
        <f>SUM(F129:F135)</f>
        <v>166165.44</v>
      </c>
      <c r="G136" s="164">
        <f>SUM(G129:G135)</f>
        <v>148677.21000000002</v>
      </c>
      <c r="H136" s="164"/>
      <c r="I136" s="164"/>
      <c r="J136" s="160">
        <f t="shared" si="10"/>
        <v>314842.65000000002</v>
      </c>
    </row>
    <row r="137" spans="3:10" s="148" customFormat="1" x14ac:dyDescent="0.2">
      <c r="C137" s="167"/>
      <c r="D137" s="168"/>
      <c r="E137" s="168"/>
      <c r="F137" s="168"/>
      <c r="G137" s="168"/>
      <c r="H137" s="168"/>
      <c r="I137" s="168"/>
      <c r="J137" s="171"/>
    </row>
    <row r="138" spans="3:10" x14ac:dyDescent="0.2">
      <c r="C138" s="279" t="s">
        <v>172</v>
      </c>
      <c r="D138" s="280"/>
      <c r="E138" s="280"/>
      <c r="F138" s="280"/>
      <c r="G138" s="280"/>
      <c r="H138" s="280"/>
      <c r="I138" s="280"/>
      <c r="J138" s="281"/>
    </row>
    <row r="139" spans="3:10" ht="24" customHeight="1" thickBot="1" x14ac:dyDescent="0.25">
      <c r="C139" s="154" t="s">
        <v>264</v>
      </c>
      <c r="D139" s="155">
        <f>'[2]1) Budget Table'!D138</f>
        <v>0</v>
      </c>
      <c r="E139" s="155">
        <f>'[2]1) Budget Table'!E138</f>
        <v>0</v>
      </c>
      <c r="F139" s="155">
        <f>'[2]1) Budget Table'!F138</f>
        <v>0</v>
      </c>
      <c r="G139" s="155"/>
      <c r="H139" s="155"/>
      <c r="I139" s="155"/>
      <c r="J139" s="156">
        <f t="shared" ref="J139:J147" si="11">SUM(D139:I139)</f>
        <v>0</v>
      </c>
    </row>
    <row r="140" spans="3:10" ht="15.75" customHeight="1" x14ac:dyDescent="0.2">
      <c r="C140" s="157" t="s">
        <v>265</v>
      </c>
      <c r="D140" s="170"/>
      <c r="E140" s="145"/>
      <c r="F140" s="145"/>
      <c r="G140" s="145"/>
      <c r="H140" s="145"/>
      <c r="I140" s="145"/>
      <c r="J140" s="158">
        <f t="shared" si="11"/>
        <v>0</v>
      </c>
    </row>
    <row r="141" spans="3:10" ht="17" x14ac:dyDescent="0.2">
      <c r="C141" s="159" t="s">
        <v>266</v>
      </c>
      <c r="D141" s="161"/>
      <c r="E141" s="45"/>
      <c r="F141" s="45"/>
      <c r="G141" s="45"/>
      <c r="H141" s="45"/>
      <c r="I141" s="45"/>
      <c r="J141" s="160">
        <f t="shared" si="11"/>
        <v>0</v>
      </c>
    </row>
    <row r="142" spans="3:10" ht="15.75" customHeight="1" x14ac:dyDescent="0.2">
      <c r="C142" s="159" t="s">
        <v>267</v>
      </c>
      <c r="D142" s="161"/>
      <c r="E142" s="161"/>
      <c r="F142" s="161"/>
      <c r="G142" s="161"/>
      <c r="H142" s="161"/>
      <c r="I142" s="161"/>
      <c r="J142" s="160">
        <f t="shared" si="11"/>
        <v>0</v>
      </c>
    </row>
    <row r="143" spans="3:10" ht="17" x14ac:dyDescent="0.2">
      <c r="C143" s="162" t="s">
        <v>268</v>
      </c>
      <c r="D143" s="161"/>
      <c r="E143" s="161"/>
      <c r="F143" s="161"/>
      <c r="G143" s="161"/>
      <c r="H143" s="161"/>
      <c r="I143" s="161"/>
      <c r="J143" s="160">
        <f t="shared" si="11"/>
        <v>0</v>
      </c>
    </row>
    <row r="144" spans="3:10" ht="17" x14ac:dyDescent="0.2">
      <c r="C144" s="159" t="s">
        <v>269</v>
      </c>
      <c r="D144" s="161"/>
      <c r="E144" s="161"/>
      <c r="F144" s="161"/>
      <c r="G144" s="161"/>
      <c r="H144" s="161"/>
      <c r="I144" s="161"/>
      <c r="J144" s="160">
        <f t="shared" si="11"/>
        <v>0</v>
      </c>
    </row>
    <row r="145" spans="2:10" ht="15.75" customHeight="1" x14ac:dyDescent="0.2">
      <c r="C145" s="159" t="s">
        <v>270</v>
      </c>
      <c r="D145" s="161"/>
      <c r="E145" s="161"/>
      <c r="F145" s="161"/>
      <c r="G145" s="161"/>
      <c r="H145" s="161"/>
      <c r="I145" s="161"/>
      <c r="J145" s="160">
        <f t="shared" si="11"/>
        <v>0</v>
      </c>
    </row>
    <row r="146" spans="2:10" ht="17" x14ac:dyDescent="0.2">
      <c r="C146" s="159" t="s">
        <v>271</v>
      </c>
      <c r="D146" s="161"/>
      <c r="E146" s="161"/>
      <c r="F146" s="161"/>
      <c r="G146" s="161"/>
      <c r="H146" s="161"/>
      <c r="I146" s="161"/>
      <c r="J146" s="160">
        <f t="shared" si="11"/>
        <v>0</v>
      </c>
    </row>
    <row r="147" spans="2:10" ht="17" x14ac:dyDescent="0.2">
      <c r="C147" s="163" t="s">
        <v>272</v>
      </c>
      <c r="D147" s="164">
        <f>SUM(D140:D146)</f>
        <v>0</v>
      </c>
      <c r="E147" s="164">
        <f>SUM(E140:E146)</f>
        <v>0</v>
      </c>
      <c r="F147" s="164">
        <f>SUM(F140:F146)</f>
        <v>0</v>
      </c>
      <c r="G147" s="164"/>
      <c r="H147" s="164"/>
      <c r="I147" s="164"/>
      <c r="J147" s="160">
        <f t="shared" si="11"/>
        <v>0</v>
      </c>
    </row>
    <row r="149" spans="2:10" x14ac:dyDescent="0.2">
      <c r="B149" s="279" t="s">
        <v>280</v>
      </c>
      <c r="C149" s="280"/>
      <c r="D149" s="280"/>
      <c r="E149" s="280"/>
      <c r="F149" s="280"/>
      <c r="G149" s="280"/>
      <c r="H149" s="280"/>
      <c r="I149" s="280"/>
      <c r="J149" s="281"/>
    </row>
    <row r="150" spans="2:10" x14ac:dyDescent="0.2">
      <c r="C150" s="279" t="s">
        <v>182</v>
      </c>
      <c r="D150" s="280"/>
      <c r="E150" s="280"/>
      <c r="F150" s="280"/>
      <c r="G150" s="280"/>
      <c r="H150" s="280"/>
      <c r="I150" s="280"/>
      <c r="J150" s="281"/>
    </row>
    <row r="151" spans="2:10" ht="24" customHeight="1" thickBot="1" x14ac:dyDescent="0.25">
      <c r="C151" s="154" t="s">
        <v>264</v>
      </c>
      <c r="D151" s="155">
        <f>'[2]1) Budget Table'!D150</f>
        <v>0</v>
      </c>
      <c r="E151" s="155">
        <f>'[2]1) Budget Table'!E150</f>
        <v>0</v>
      </c>
      <c r="F151" s="155">
        <f>'[2]1) Budget Table'!F150</f>
        <v>0</v>
      </c>
      <c r="G151" s="155"/>
      <c r="H151" s="155"/>
      <c r="I151" s="155"/>
      <c r="J151" s="156">
        <f t="shared" ref="J151:J159" si="12">SUM(D151:I151)</f>
        <v>0</v>
      </c>
    </row>
    <row r="152" spans="2:10" ht="24.75" customHeight="1" x14ac:dyDescent="0.2">
      <c r="C152" s="157" t="s">
        <v>265</v>
      </c>
      <c r="D152" s="170"/>
      <c r="E152" s="145"/>
      <c r="F152" s="145"/>
      <c r="G152" s="145"/>
      <c r="H152" s="145"/>
      <c r="I152" s="145"/>
      <c r="J152" s="158">
        <f t="shared" si="12"/>
        <v>0</v>
      </c>
    </row>
    <row r="153" spans="2:10" ht="15.75" customHeight="1" x14ac:dyDescent="0.2">
      <c r="C153" s="159" t="s">
        <v>266</v>
      </c>
      <c r="D153" s="161"/>
      <c r="E153" s="45"/>
      <c r="F153" s="45"/>
      <c r="G153" s="45"/>
      <c r="H153" s="45"/>
      <c r="I153" s="45"/>
      <c r="J153" s="160">
        <f t="shared" si="12"/>
        <v>0</v>
      </c>
    </row>
    <row r="154" spans="2:10" ht="15.75" customHeight="1" x14ac:dyDescent="0.2">
      <c r="C154" s="159" t="s">
        <v>267</v>
      </c>
      <c r="D154" s="161"/>
      <c r="E154" s="161"/>
      <c r="F154" s="161"/>
      <c r="G154" s="161"/>
      <c r="H154" s="161"/>
      <c r="I154" s="161"/>
      <c r="J154" s="160">
        <f t="shared" si="12"/>
        <v>0</v>
      </c>
    </row>
    <row r="155" spans="2:10" ht="15.75" customHeight="1" x14ac:dyDescent="0.2">
      <c r="C155" s="162" t="s">
        <v>268</v>
      </c>
      <c r="D155" s="161"/>
      <c r="E155" s="161"/>
      <c r="F155" s="161"/>
      <c r="G155" s="161"/>
      <c r="H155" s="161"/>
      <c r="I155" s="161"/>
      <c r="J155" s="160">
        <f t="shared" si="12"/>
        <v>0</v>
      </c>
    </row>
    <row r="156" spans="2:10" ht="15.75" customHeight="1" x14ac:dyDescent="0.2">
      <c r="C156" s="159" t="s">
        <v>269</v>
      </c>
      <c r="D156" s="161"/>
      <c r="E156" s="161"/>
      <c r="F156" s="161"/>
      <c r="G156" s="161"/>
      <c r="H156" s="161"/>
      <c r="I156" s="161"/>
      <c r="J156" s="160">
        <f t="shared" si="12"/>
        <v>0</v>
      </c>
    </row>
    <row r="157" spans="2:10" ht="15.75" customHeight="1" x14ac:dyDescent="0.2">
      <c r="C157" s="159" t="s">
        <v>270</v>
      </c>
      <c r="D157" s="161"/>
      <c r="E157" s="161"/>
      <c r="F157" s="161"/>
      <c r="G157" s="161"/>
      <c r="H157" s="161"/>
      <c r="I157" s="161"/>
      <c r="J157" s="160">
        <f t="shared" si="12"/>
        <v>0</v>
      </c>
    </row>
    <row r="158" spans="2:10" ht="15.75" customHeight="1" x14ac:dyDescent="0.2">
      <c r="C158" s="159" t="s">
        <v>271</v>
      </c>
      <c r="D158" s="161"/>
      <c r="E158" s="161"/>
      <c r="F158" s="161"/>
      <c r="G158" s="161"/>
      <c r="H158" s="161"/>
      <c r="I158" s="161"/>
      <c r="J158" s="160">
        <f t="shared" si="12"/>
        <v>0</v>
      </c>
    </row>
    <row r="159" spans="2:10" ht="15.75" customHeight="1" x14ac:dyDescent="0.2">
      <c r="C159" s="163" t="s">
        <v>272</v>
      </c>
      <c r="D159" s="164">
        <f>SUM(D152:D158)</f>
        <v>0</v>
      </c>
      <c r="E159" s="164">
        <f>SUM(E152:E158)</f>
        <v>0</v>
      </c>
      <c r="F159" s="164">
        <f>SUM(F152:F158)</f>
        <v>0</v>
      </c>
      <c r="G159" s="164"/>
      <c r="H159" s="164"/>
      <c r="I159" s="164"/>
      <c r="J159" s="160">
        <f t="shared" si="12"/>
        <v>0</v>
      </c>
    </row>
    <row r="160" spans="2:10" s="148" customFormat="1" ht="15.75" customHeight="1" x14ac:dyDescent="0.2">
      <c r="C160" s="167"/>
      <c r="D160" s="168"/>
      <c r="E160" s="168"/>
      <c r="F160" s="168"/>
      <c r="G160" s="168"/>
      <c r="H160" s="168"/>
      <c r="I160" s="168"/>
      <c r="J160" s="171"/>
    </row>
    <row r="161" spans="3:10" ht="15.75" customHeight="1" x14ac:dyDescent="0.2">
      <c r="C161" s="279" t="s">
        <v>191</v>
      </c>
      <c r="D161" s="280"/>
      <c r="E161" s="280"/>
      <c r="F161" s="280"/>
      <c r="G161" s="280"/>
      <c r="H161" s="280"/>
      <c r="I161" s="280"/>
      <c r="J161" s="281"/>
    </row>
    <row r="162" spans="3:10" ht="21" customHeight="1" thickBot="1" x14ac:dyDescent="0.25">
      <c r="C162" s="154" t="s">
        <v>264</v>
      </c>
      <c r="D162" s="155">
        <f>'[2]1) Budget Table'!D160</f>
        <v>0</v>
      </c>
      <c r="E162" s="155">
        <f>'[2]1) Budget Table'!E160</f>
        <v>0</v>
      </c>
      <c r="F162" s="155">
        <f>'[2]1) Budget Table'!F160</f>
        <v>0</v>
      </c>
      <c r="G162" s="155"/>
      <c r="H162" s="155"/>
      <c r="I162" s="155"/>
      <c r="J162" s="156">
        <f t="shared" ref="J162:J170" si="13">SUM(D162:I162)</f>
        <v>0</v>
      </c>
    </row>
    <row r="163" spans="3:10" ht="15.75" customHeight="1" x14ac:dyDescent="0.2">
      <c r="C163" s="157" t="s">
        <v>265</v>
      </c>
      <c r="D163" s="170"/>
      <c r="E163" s="145"/>
      <c r="F163" s="145"/>
      <c r="G163" s="145"/>
      <c r="H163" s="145"/>
      <c r="I163" s="145"/>
      <c r="J163" s="158">
        <f t="shared" si="13"/>
        <v>0</v>
      </c>
    </row>
    <row r="164" spans="3:10" ht="15.75" customHeight="1" x14ac:dyDescent="0.2">
      <c r="C164" s="159" t="s">
        <v>266</v>
      </c>
      <c r="D164" s="161"/>
      <c r="E164" s="45"/>
      <c r="F164" s="45"/>
      <c r="G164" s="45"/>
      <c r="H164" s="45"/>
      <c r="I164" s="45"/>
      <c r="J164" s="160">
        <f t="shared" si="13"/>
        <v>0</v>
      </c>
    </row>
    <row r="165" spans="3:10" ht="15.75" customHeight="1" x14ac:dyDescent="0.2">
      <c r="C165" s="159" t="s">
        <v>267</v>
      </c>
      <c r="D165" s="161"/>
      <c r="E165" s="161"/>
      <c r="F165" s="161"/>
      <c r="G165" s="161"/>
      <c r="H165" s="161"/>
      <c r="I165" s="161"/>
      <c r="J165" s="160">
        <f t="shared" si="13"/>
        <v>0</v>
      </c>
    </row>
    <row r="166" spans="3:10" ht="15.75" customHeight="1" x14ac:dyDescent="0.2">
      <c r="C166" s="162" t="s">
        <v>268</v>
      </c>
      <c r="D166" s="161"/>
      <c r="E166" s="161"/>
      <c r="F166" s="161"/>
      <c r="G166" s="161"/>
      <c r="H166" s="161"/>
      <c r="I166" s="161"/>
      <c r="J166" s="160">
        <f t="shared" si="13"/>
        <v>0</v>
      </c>
    </row>
    <row r="167" spans="3:10" ht="15.75" customHeight="1" x14ac:dyDescent="0.2">
      <c r="C167" s="159" t="s">
        <v>269</v>
      </c>
      <c r="D167" s="161"/>
      <c r="E167" s="161"/>
      <c r="F167" s="161"/>
      <c r="G167" s="161"/>
      <c r="H167" s="161"/>
      <c r="I167" s="161"/>
      <c r="J167" s="160">
        <f t="shared" si="13"/>
        <v>0</v>
      </c>
    </row>
    <row r="168" spans="3:10" ht="15.75" customHeight="1" x14ac:dyDescent="0.2">
      <c r="C168" s="159" t="s">
        <v>270</v>
      </c>
      <c r="D168" s="161"/>
      <c r="E168" s="161"/>
      <c r="F168" s="161"/>
      <c r="G168" s="161"/>
      <c r="H168" s="161"/>
      <c r="I168" s="161"/>
      <c r="J168" s="160">
        <f t="shared" si="13"/>
        <v>0</v>
      </c>
    </row>
    <row r="169" spans="3:10" ht="15.75" customHeight="1" x14ac:dyDescent="0.2">
      <c r="C169" s="159" t="s">
        <v>271</v>
      </c>
      <c r="D169" s="161"/>
      <c r="E169" s="161"/>
      <c r="F169" s="161"/>
      <c r="G169" s="161"/>
      <c r="H169" s="161"/>
      <c r="I169" s="161"/>
      <c r="J169" s="160">
        <f t="shared" si="13"/>
        <v>0</v>
      </c>
    </row>
    <row r="170" spans="3:10" ht="15.75" customHeight="1" x14ac:dyDescent="0.2">
      <c r="C170" s="163" t="s">
        <v>272</v>
      </c>
      <c r="D170" s="164">
        <f>SUM(D163:D169)</f>
        <v>0</v>
      </c>
      <c r="E170" s="164">
        <f>SUM(E163:E169)</f>
        <v>0</v>
      </c>
      <c r="F170" s="164">
        <f>SUM(F163:F169)</f>
        <v>0</v>
      </c>
      <c r="G170" s="164"/>
      <c r="H170" s="164"/>
      <c r="I170" s="164"/>
      <c r="J170" s="160">
        <f t="shared" si="13"/>
        <v>0</v>
      </c>
    </row>
    <row r="171" spans="3:10" s="148" customFormat="1" ht="15.75" customHeight="1" x14ac:dyDescent="0.2">
      <c r="C171" s="167"/>
      <c r="D171" s="168"/>
      <c r="E171" s="168"/>
      <c r="F171" s="168"/>
      <c r="G171" s="168"/>
      <c r="H171" s="168"/>
      <c r="I171" s="168"/>
      <c r="J171" s="171"/>
    </row>
    <row r="172" spans="3:10" ht="15.75" customHeight="1" x14ac:dyDescent="0.2">
      <c r="C172" s="279" t="s">
        <v>200</v>
      </c>
      <c r="D172" s="280"/>
      <c r="E172" s="280"/>
      <c r="F172" s="280"/>
      <c r="G172" s="280"/>
      <c r="H172" s="280"/>
      <c r="I172" s="280"/>
      <c r="J172" s="281"/>
    </row>
    <row r="173" spans="3:10" ht="19.5" customHeight="1" thickBot="1" x14ac:dyDescent="0.25">
      <c r="C173" s="154" t="s">
        <v>264</v>
      </c>
      <c r="D173" s="155">
        <f>'[2]1) Budget Table'!D170</f>
        <v>0</v>
      </c>
      <c r="E173" s="155">
        <f>'[2]1) Budget Table'!E170</f>
        <v>0</v>
      </c>
      <c r="F173" s="155">
        <f>'[2]1) Budget Table'!F170</f>
        <v>0</v>
      </c>
      <c r="G173" s="155"/>
      <c r="H173" s="155"/>
      <c r="I173" s="155"/>
      <c r="J173" s="156">
        <f t="shared" ref="J173:J181" si="14">SUM(D173:I173)</f>
        <v>0</v>
      </c>
    </row>
    <row r="174" spans="3:10" ht="15.75" customHeight="1" x14ac:dyDescent="0.2">
      <c r="C174" s="157" t="s">
        <v>265</v>
      </c>
      <c r="D174" s="170"/>
      <c r="E174" s="145"/>
      <c r="F174" s="145"/>
      <c r="G174" s="145"/>
      <c r="H174" s="145"/>
      <c r="I174" s="145"/>
      <c r="J174" s="158">
        <f t="shared" si="14"/>
        <v>0</v>
      </c>
    </row>
    <row r="175" spans="3:10" ht="15.75" customHeight="1" x14ac:dyDescent="0.2">
      <c r="C175" s="159" t="s">
        <v>266</v>
      </c>
      <c r="D175" s="161"/>
      <c r="E175" s="45"/>
      <c r="F175" s="45"/>
      <c r="G175" s="45"/>
      <c r="H175" s="45"/>
      <c r="I175" s="45"/>
      <c r="J175" s="160">
        <f t="shared" si="14"/>
        <v>0</v>
      </c>
    </row>
    <row r="176" spans="3:10" ht="15.75" customHeight="1" x14ac:dyDescent="0.2">
      <c r="C176" s="159" t="s">
        <v>267</v>
      </c>
      <c r="D176" s="161"/>
      <c r="E176" s="161"/>
      <c r="F176" s="161"/>
      <c r="G176" s="161"/>
      <c r="H176" s="161"/>
      <c r="I176" s="161"/>
      <c r="J176" s="160">
        <f t="shared" si="14"/>
        <v>0</v>
      </c>
    </row>
    <row r="177" spans="3:10" ht="15.75" customHeight="1" x14ac:dyDescent="0.2">
      <c r="C177" s="162" t="s">
        <v>268</v>
      </c>
      <c r="D177" s="161"/>
      <c r="E177" s="161"/>
      <c r="F177" s="161"/>
      <c r="G177" s="161"/>
      <c r="H177" s="161"/>
      <c r="I177" s="161"/>
      <c r="J177" s="160">
        <f t="shared" si="14"/>
        <v>0</v>
      </c>
    </row>
    <row r="178" spans="3:10" ht="15.75" customHeight="1" x14ac:dyDescent="0.2">
      <c r="C178" s="159" t="s">
        <v>269</v>
      </c>
      <c r="D178" s="161"/>
      <c r="E178" s="161"/>
      <c r="F178" s="161"/>
      <c r="G178" s="161"/>
      <c r="H178" s="161"/>
      <c r="I178" s="161"/>
      <c r="J178" s="160">
        <f t="shared" si="14"/>
        <v>0</v>
      </c>
    </row>
    <row r="179" spans="3:10" ht="15.75" customHeight="1" x14ac:dyDescent="0.2">
      <c r="C179" s="159" t="s">
        <v>270</v>
      </c>
      <c r="D179" s="161"/>
      <c r="E179" s="161"/>
      <c r="F179" s="161"/>
      <c r="G179" s="161"/>
      <c r="H179" s="161"/>
      <c r="I179" s="161"/>
      <c r="J179" s="160">
        <f t="shared" si="14"/>
        <v>0</v>
      </c>
    </row>
    <row r="180" spans="3:10" ht="15.75" customHeight="1" x14ac:dyDescent="0.2">
      <c r="C180" s="159" t="s">
        <v>271</v>
      </c>
      <c r="D180" s="161"/>
      <c r="E180" s="161"/>
      <c r="F180" s="161"/>
      <c r="G180" s="161"/>
      <c r="H180" s="161"/>
      <c r="I180" s="161"/>
      <c r="J180" s="160">
        <f t="shared" si="14"/>
        <v>0</v>
      </c>
    </row>
    <row r="181" spans="3:10" ht="15.75" customHeight="1" x14ac:dyDescent="0.2">
      <c r="C181" s="163" t="s">
        <v>272</v>
      </c>
      <c r="D181" s="164">
        <f>SUM(D174:D180)</f>
        <v>0</v>
      </c>
      <c r="E181" s="164">
        <f>SUM(E174:E180)</f>
        <v>0</v>
      </c>
      <c r="F181" s="164">
        <f>SUM(F174:F180)</f>
        <v>0</v>
      </c>
      <c r="G181" s="164"/>
      <c r="H181" s="164"/>
      <c r="I181" s="164"/>
      <c r="J181" s="160">
        <f t="shared" si="14"/>
        <v>0</v>
      </c>
    </row>
    <row r="182" spans="3:10" s="148" customFormat="1" ht="15.75" customHeight="1" x14ac:dyDescent="0.2">
      <c r="C182" s="167"/>
      <c r="D182" s="168"/>
      <c r="E182" s="168"/>
      <c r="F182" s="168"/>
      <c r="G182" s="168"/>
      <c r="H182" s="168"/>
      <c r="I182" s="168"/>
      <c r="J182" s="171"/>
    </row>
    <row r="183" spans="3:10" ht="15.75" customHeight="1" x14ac:dyDescent="0.2">
      <c r="C183" s="279" t="s">
        <v>209</v>
      </c>
      <c r="D183" s="280"/>
      <c r="E183" s="280"/>
      <c r="F183" s="280"/>
      <c r="G183" s="280"/>
      <c r="H183" s="280"/>
      <c r="I183" s="280"/>
      <c r="J183" s="281"/>
    </row>
    <row r="184" spans="3:10" ht="22.5" customHeight="1" thickBot="1" x14ac:dyDescent="0.25">
      <c r="C184" s="154" t="s">
        <v>264</v>
      </c>
      <c r="D184" s="155">
        <f>'[2]1) Budget Table'!D180</f>
        <v>0</v>
      </c>
      <c r="E184" s="155">
        <f>'[2]1) Budget Table'!E180</f>
        <v>0</v>
      </c>
      <c r="F184" s="155">
        <f>'[2]1) Budget Table'!F180</f>
        <v>0</v>
      </c>
      <c r="G184" s="155"/>
      <c r="H184" s="155"/>
      <c r="I184" s="155"/>
      <c r="J184" s="156">
        <f t="shared" ref="J184:J192" si="15">SUM(D184:I184)</f>
        <v>0</v>
      </c>
    </row>
    <row r="185" spans="3:10" ht="15.75" customHeight="1" x14ac:dyDescent="0.2">
      <c r="C185" s="157" t="s">
        <v>265</v>
      </c>
      <c r="D185" s="170"/>
      <c r="E185" s="145"/>
      <c r="F185" s="145"/>
      <c r="G185" s="145"/>
      <c r="H185" s="145"/>
      <c r="I185" s="145"/>
      <c r="J185" s="158">
        <f t="shared" si="15"/>
        <v>0</v>
      </c>
    </row>
    <row r="186" spans="3:10" ht="15.75" customHeight="1" x14ac:dyDescent="0.2">
      <c r="C186" s="159" t="s">
        <v>266</v>
      </c>
      <c r="D186" s="161"/>
      <c r="E186" s="45"/>
      <c r="F186" s="45"/>
      <c r="G186" s="45"/>
      <c r="H186" s="45"/>
      <c r="I186" s="45"/>
      <c r="J186" s="160">
        <f t="shared" si="15"/>
        <v>0</v>
      </c>
    </row>
    <row r="187" spans="3:10" ht="15.75" customHeight="1" x14ac:dyDescent="0.2">
      <c r="C187" s="159" t="s">
        <v>267</v>
      </c>
      <c r="D187" s="161"/>
      <c r="E187" s="161"/>
      <c r="F187" s="161"/>
      <c r="G187" s="161"/>
      <c r="H187" s="161"/>
      <c r="I187" s="161"/>
      <c r="J187" s="160">
        <f t="shared" si="15"/>
        <v>0</v>
      </c>
    </row>
    <row r="188" spans="3:10" ht="15.75" customHeight="1" x14ac:dyDescent="0.2">
      <c r="C188" s="162" t="s">
        <v>268</v>
      </c>
      <c r="D188" s="161"/>
      <c r="E188" s="161"/>
      <c r="F188" s="161"/>
      <c r="G188" s="161"/>
      <c r="H188" s="161"/>
      <c r="I188" s="161"/>
      <c r="J188" s="160">
        <f t="shared" si="15"/>
        <v>0</v>
      </c>
    </row>
    <row r="189" spans="3:10" ht="15.75" customHeight="1" x14ac:dyDescent="0.2">
      <c r="C189" s="159" t="s">
        <v>269</v>
      </c>
      <c r="D189" s="161"/>
      <c r="E189" s="161"/>
      <c r="F189" s="161"/>
      <c r="G189" s="161"/>
      <c r="H189" s="161"/>
      <c r="I189" s="161"/>
      <c r="J189" s="160">
        <f t="shared" si="15"/>
        <v>0</v>
      </c>
    </row>
    <row r="190" spans="3:10" ht="15.75" customHeight="1" x14ac:dyDescent="0.2">
      <c r="C190" s="159" t="s">
        <v>270</v>
      </c>
      <c r="D190" s="161"/>
      <c r="E190" s="161"/>
      <c r="F190" s="161"/>
      <c r="G190" s="161"/>
      <c r="H190" s="161"/>
      <c r="I190" s="161"/>
      <c r="J190" s="160">
        <f t="shared" si="15"/>
        <v>0</v>
      </c>
    </row>
    <row r="191" spans="3:10" ht="15.75" customHeight="1" x14ac:dyDescent="0.2">
      <c r="C191" s="159" t="s">
        <v>271</v>
      </c>
      <c r="D191" s="161"/>
      <c r="E191" s="161"/>
      <c r="F191" s="161"/>
      <c r="G191" s="161"/>
      <c r="H191" s="161"/>
      <c r="I191" s="161"/>
      <c r="J191" s="160">
        <f t="shared" si="15"/>
        <v>0</v>
      </c>
    </row>
    <row r="192" spans="3:10" ht="15.75" customHeight="1" x14ac:dyDescent="0.2">
      <c r="C192" s="163" t="s">
        <v>272</v>
      </c>
      <c r="D192" s="164">
        <f>SUM(D185:D191)</f>
        <v>0</v>
      </c>
      <c r="E192" s="164">
        <f>SUM(E185:E191)</f>
        <v>0</v>
      </c>
      <c r="F192" s="164">
        <f>SUM(F185:F191)</f>
        <v>0</v>
      </c>
      <c r="G192" s="164"/>
      <c r="H192" s="164"/>
      <c r="I192" s="164"/>
      <c r="J192" s="160">
        <f t="shared" si="15"/>
        <v>0</v>
      </c>
    </row>
    <row r="193" spans="3:10" ht="15.75" customHeight="1" x14ac:dyDescent="0.2"/>
    <row r="194" spans="3:10" ht="15.75" customHeight="1" x14ac:dyDescent="0.2">
      <c r="C194" s="279" t="s">
        <v>281</v>
      </c>
      <c r="D194" s="280"/>
      <c r="E194" s="280"/>
      <c r="F194" s="280"/>
      <c r="G194" s="280"/>
      <c r="H194" s="280"/>
      <c r="I194" s="280"/>
      <c r="J194" s="281"/>
    </row>
    <row r="195" spans="3:10" ht="19.5" customHeight="1" thickBot="1" x14ac:dyDescent="0.25">
      <c r="C195" s="154" t="s">
        <v>282</v>
      </c>
      <c r="D195" s="155">
        <f>'[2]1) Budget Table'!D187</f>
        <v>532680</v>
      </c>
      <c r="E195" s="155">
        <f>'[2]1) Budget Table'!E187</f>
        <v>35000</v>
      </c>
      <c r="F195" s="155">
        <f>'[2]1) Budget Table'!F187</f>
        <v>35000</v>
      </c>
      <c r="G195" s="155">
        <f>'[2]1) Budget Table'!G187</f>
        <v>35000</v>
      </c>
      <c r="H195" s="155"/>
      <c r="I195" s="155"/>
      <c r="J195" s="156">
        <f t="shared" ref="J195:J203" si="16">SUM(D195:I195)</f>
        <v>637680</v>
      </c>
    </row>
    <row r="196" spans="3:10" ht="15.75" customHeight="1" x14ac:dyDescent="0.2">
      <c r="C196" s="157" t="s">
        <v>265</v>
      </c>
      <c r="D196" s="170">
        <f>160008.82+28545.79</f>
        <v>188554.61000000002</v>
      </c>
      <c r="E196" s="145">
        <v>24341.731</v>
      </c>
      <c r="F196" s="145">
        <v>0</v>
      </c>
      <c r="G196" s="145">
        <v>0</v>
      </c>
      <c r="H196" s="145"/>
      <c r="I196" s="145"/>
      <c r="J196" s="158">
        <f t="shared" si="16"/>
        <v>212896.34100000001</v>
      </c>
    </row>
    <row r="197" spans="3:10" ht="15.75" customHeight="1" x14ac:dyDescent="0.2">
      <c r="C197" s="159" t="s">
        <v>266</v>
      </c>
      <c r="D197" s="161"/>
      <c r="E197" s="45">
        <v>5000</v>
      </c>
      <c r="F197" s="145">
        <v>5000</v>
      </c>
      <c r="G197" s="145">
        <v>5000</v>
      </c>
      <c r="H197" s="45"/>
      <c r="I197" s="45"/>
      <c r="J197" s="160">
        <f t="shared" si="16"/>
        <v>15000</v>
      </c>
    </row>
    <row r="198" spans="3:10" ht="15.75" customHeight="1" x14ac:dyDescent="0.2">
      <c r="C198" s="159" t="s">
        <v>267</v>
      </c>
      <c r="D198" s="161"/>
      <c r="E198" s="161"/>
      <c r="F198" s="145">
        <v>0</v>
      </c>
      <c r="G198" s="145">
        <v>0</v>
      </c>
      <c r="H198" s="161"/>
      <c r="I198" s="161"/>
      <c r="J198" s="160">
        <f t="shared" si="16"/>
        <v>0</v>
      </c>
    </row>
    <row r="199" spans="3:10" ht="15.75" customHeight="1" x14ac:dyDescent="0.2">
      <c r="C199" s="162" t="s">
        <v>268</v>
      </c>
      <c r="D199" s="161">
        <v>98874.97</v>
      </c>
      <c r="E199" s="161"/>
      <c r="F199" s="145">
        <v>0</v>
      </c>
      <c r="G199" s="145">
        <v>0</v>
      </c>
      <c r="H199" s="161"/>
      <c r="I199" s="161"/>
      <c r="J199" s="160">
        <f t="shared" si="16"/>
        <v>98874.97</v>
      </c>
    </row>
    <row r="200" spans="3:10" ht="15.75" customHeight="1" x14ac:dyDescent="0.2">
      <c r="C200" s="159" t="s">
        <v>269</v>
      </c>
      <c r="D200" s="161">
        <v>18283.02</v>
      </c>
      <c r="E200" s="161"/>
      <c r="F200" s="145">
        <v>25680.67</v>
      </c>
      <c r="G200" s="145">
        <v>14000</v>
      </c>
      <c r="H200" s="161"/>
      <c r="I200" s="161"/>
      <c r="J200" s="160">
        <f t="shared" si="16"/>
        <v>57963.69</v>
      </c>
    </row>
    <row r="201" spans="3:10" ht="15.75" customHeight="1" x14ac:dyDescent="0.2">
      <c r="C201" s="159" t="s">
        <v>270</v>
      </c>
      <c r="D201" s="161"/>
      <c r="E201" s="161"/>
      <c r="F201" s="145">
        <v>0</v>
      </c>
      <c r="G201" s="145">
        <v>0</v>
      </c>
      <c r="H201" s="161"/>
      <c r="I201" s="161"/>
      <c r="J201" s="160">
        <f t="shared" si="16"/>
        <v>0</v>
      </c>
    </row>
    <row r="202" spans="3:10" ht="15.75" customHeight="1" x14ac:dyDescent="0.2">
      <c r="C202" s="159" t="s">
        <v>271</v>
      </c>
      <c r="D202" s="161"/>
      <c r="E202" s="161"/>
      <c r="F202" s="145">
        <v>15000</v>
      </c>
      <c r="G202" s="145">
        <v>12604.12</v>
      </c>
      <c r="H202" s="161"/>
      <c r="I202" s="161"/>
      <c r="J202" s="160">
        <f t="shared" si="16"/>
        <v>27604.120000000003</v>
      </c>
    </row>
    <row r="203" spans="3:10" ht="15.75" customHeight="1" x14ac:dyDescent="0.2">
      <c r="C203" s="163" t="s">
        <v>272</v>
      </c>
      <c r="D203" s="164">
        <f>SUM(D196:D202)</f>
        <v>305712.60000000003</v>
      </c>
      <c r="E203" s="164">
        <f>SUM(E196:E202)</f>
        <v>29341.731</v>
      </c>
      <c r="F203" s="164">
        <f>SUM(F196:F202)</f>
        <v>45680.67</v>
      </c>
      <c r="G203" s="164">
        <f>SUM(G196:G202)</f>
        <v>31604.120000000003</v>
      </c>
      <c r="H203" s="164"/>
      <c r="I203" s="164"/>
      <c r="J203" s="160">
        <f t="shared" si="16"/>
        <v>412339.12099999998</v>
      </c>
    </row>
    <row r="204" spans="3:10" ht="15.75" customHeight="1" thickBot="1" x14ac:dyDescent="0.25"/>
    <row r="205" spans="3:10" ht="19.5" customHeight="1" thickBot="1" x14ac:dyDescent="0.25">
      <c r="C205" s="282" t="s">
        <v>231</v>
      </c>
      <c r="D205" s="283"/>
      <c r="E205" s="283"/>
      <c r="F205" s="283"/>
      <c r="G205" s="283"/>
      <c r="H205" s="283"/>
      <c r="I205" s="283"/>
      <c r="J205" s="284"/>
    </row>
    <row r="206" spans="3:10" ht="19.5" customHeight="1" x14ac:dyDescent="0.2">
      <c r="C206" s="176"/>
      <c r="D206" s="177" t="s">
        <v>232</v>
      </c>
      <c r="E206" s="177" t="s">
        <v>233</v>
      </c>
      <c r="F206" s="177" t="s">
        <v>234</v>
      </c>
      <c r="G206" s="177" t="s">
        <v>235</v>
      </c>
      <c r="H206" s="177" t="s">
        <v>236</v>
      </c>
      <c r="I206" s="177" t="s">
        <v>237</v>
      </c>
      <c r="J206" s="285" t="s">
        <v>231</v>
      </c>
    </row>
    <row r="207" spans="3:10" ht="19.5" customHeight="1" x14ac:dyDescent="0.2">
      <c r="C207" s="176"/>
      <c r="D207" s="178" t="str">
        <f>'[2]1) Budget Table'!D13</f>
        <v xml:space="preserve"> WFP SL</v>
      </c>
      <c r="E207" s="178" t="str">
        <f>'[2]1) Budget Table'!E13</f>
        <v xml:space="preserve">  WFP GUI</v>
      </c>
      <c r="F207" s="178" t="str">
        <f>'[2]1) Budget Table'!F13</f>
        <v>IOM SL</v>
      </c>
      <c r="G207" s="178" t="str">
        <f>'[2]1) Budget Table'!G13</f>
        <v>IOM GUI</v>
      </c>
      <c r="H207" s="178">
        <f>'[2]1) Budget Table'!H13</f>
        <v>0</v>
      </c>
      <c r="I207" s="178">
        <f>'[2]1) Budget Table'!I13</f>
        <v>0</v>
      </c>
      <c r="J207" s="278"/>
    </row>
    <row r="208" spans="3:10" ht="19.5" customHeight="1" x14ac:dyDescent="0.2">
      <c r="C208" s="179" t="s">
        <v>265</v>
      </c>
      <c r="D208" s="180">
        <f>SUM(D185,D174,D163,D152,D140,D129,D118,D107,D95,D84,D73,D62,D50,D39,D28,D17,D196)+56974.5+104470.89</f>
        <v>439009.5</v>
      </c>
      <c r="E208" s="180">
        <f>SUM(E185,E174,E163,E152,E140,E129,E118,E107,E95,E84,E73,E62,E50,E39,E28,E17,E196)+55163.3</f>
        <v>172538.53100000002</v>
      </c>
      <c r="F208" s="180">
        <f>SUM(F185,F174,F163,F152,F140,F129,F118,F107,F95,F84,F73,F62,F50,F39,F28,F17,F196)</f>
        <v>180960</v>
      </c>
      <c r="G208" s="180">
        <f>SUM(G185,G174,G163,G152,G140,G129,G118,G107,G95,G84,G73,G62,G50,G39,G28,G17,G196)</f>
        <v>184548.78</v>
      </c>
      <c r="H208" s="181"/>
      <c r="I208" s="181"/>
      <c r="J208" s="182">
        <f t="shared" ref="J208:J215" si="17">SUM(D208:I208)</f>
        <v>977056.81099999999</v>
      </c>
    </row>
    <row r="209" spans="3:16" ht="34.5" customHeight="1" x14ac:dyDescent="0.2">
      <c r="C209" s="179" t="s">
        <v>266</v>
      </c>
      <c r="D209" s="180">
        <f>SUM(D186,D175,D164,D153,D141,D130,D119,D108,D96,D85,D74,D63,D51,D40,D29,D18,D197)</f>
        <v>147235.74</v>
      </c>
      <c r="E209" s="180">
        <f>SUM(E186,E175,E164,E153,E141,E130,E119,E108,E96,E85,E74,E63,E51,E40,E29,E18,E197)+192394</f>
        <v>324816.44999999995</v>
      </c>
      <c r="F209" s="180">
        <f t="shared" ref="F209:G209" si="18">SUM(F186,F175,F164,F153,F141,F130,F119,F108,F96,F85,F74,F63,F51,F40,F29,F18,F197)</f>
        <v>5000</v>
      </c>
      <c r="G209" s="180">
        <f t="shared" si="18"/>
        <v>5000</v>
      </c>
      <c r="H209" s="181"/>
      <c r="I209" s="181"/>
      <c r="J209" s="183">
        <f t="shared" si="17"/>
        <v>482052.18999999994</v>
      </c>
    </row>
    <row r="210" spans="3:16" ht="48" customHeight="1" x14ac:dyDescent="0.2">
      <c r="C210" s="179" t="s">
        <v>267</v>
      </c>
      <c r="D210" s="180">
        <f>SUM(D187,D176,D165,D154,D142,D131,D120,D109,D97,D86,D75,D64,D52,D41,D30,D19,D198)+86599.23</f>
        <v>171675.72999999998</v>
      </c>
      <c r="E210" s="180">
        <f>SUM(E187,E176,E165,E154,E142,E131,E120,E109,E97,E86,E75,E64,E52,E41,E30,E19,E198)+66395.89+1000</f>
        <v>150472.39000000001</v>
      </c>
      <c r="F210" s="180">
        <f>SUM(F187,F176,F165,F154,F142,F131,F120,F109,F97,F86,F75,F64,F52,F41,F30,F19,F198)+1</f>
        <v>35001</v>
      </c>
      <c r="G210" s="180">
        <f>SUM(G187,G176,G165,G154,G142,G131,G120,G109,G97,G86,G75,G64,G52,G41,G30,G19,G198)+650</f>
        <v>40650</v>
      </c>
      <c r="H210" s="181"/>
      <c r="I210" s="181"/>
      <c r="J210" s="183">
        <f t="shared" si="17"/>
        <v>397799.12</v>
      </c>
    </row>
    <row r="211" spans="3:16" ht="33" customHeight="1" x14ac:dyDescent="0.2">
      <c r="C211" s="184" t="s">
        <v>268</v>
      </c>
      <c r="D211" s="180">
        <f>SUM(D188,D177,D166,D155,D143,D132,D121,D110,D98,D87,D76,D65,D53,D42,D31,D20,D199)+222712.21</f>
        <v>521559</v>
      </c>
      <c r="E211" s="180">
        <f t="shared" ref="D211:G214" si="19">SUM(E188,E177,E166,E155,E143,E132,E121,E110,E98,E87,E76,E65,E53,E42,E31,E20,E199)</f>
        <v>174742.51</v>
      </c>
      <c r="F211" s="180">
        <f>SUM(F188,F177,F166,F155,F143,F132,F121,F110,F98,F87,F76,F65,F53,F42,F31,F20,F199)-6000</f>
        <v>149000</v>
      </c>
      <c r="G211" s="180">
        <f>SUM(G188,G177,G166,G155,G143,G132,G121,G110,G98,G87,G76,G65,G53,G42,G31,G20,G199)+2</f>
        <v>155002</v>
      </c>
      <c r="H211" s="181"/>
      <c r="I211" s="181"/>
      <c r="J211" s="183">
        <f t="shared" si="17"/>
        <v>1000303.51</v>
      </c>
    </row>
    <row r="212" spans="3:16" ht="21" customHeight="1" x14ac:dyDescent="0.2">
      <c r="C212" s="179" t="s">
        <v>269</v>
      </c>
      <c r="D212" s="180">
        <f>SUM(D189,D178,D167,D156,D144,D133,D122,D111,D99,D88,D77,D66,D54,D43,D32,D21,D200)+14989</f>
        <v>71974.014999999999</v>
      </c>
      <c r="E212" s="180">
        <f t="shared" si="19"/>
        <v>42701.995000000003</v>
      </c>
      <c r="F212" s="180">
        <f>SUM(F189,F178,F167,F156,F144,F133,F122,F111,F99,F88,F77,F66,F54,F43,F32,F21,F200)-1000</f>
        <v>34680.67</v>
      </c>
      <c r="G212" s="180">
        <f>SUM(G189,G178,G167,G156,G144,G133,G122,G111,G99,G88,G77,G66,G54,G43,G32,G21,G200)-1000</f>
        <v>23000</v>
      </c>
      <c r="H212" s="181"/>
      <c r="I212" s="181"/>
      <c r="J212" s="183">
        <f t="shared" si="17"/>
        <v>172356.68</v>
      </c>
      <c r="K212" s="57"/>
      <c r="L212" s="57"/>
      <c r="M212" s="57"/>
      <c r="N212" s="57"/>
      <c r="O212" s="57"/>
      <c r="P212" s="185"/>
    </row>
    <row r="213" spans="3:16" ht="39.75" customHeight="1" x14ac:dyDescent="0.2">
      <c r="C213" s="179" t="s">
        <v>270</v>
      </c>
      <c r="D213" s="180">
        <f>SUM(D190,D179,D168,D157,D145,D134,D123,D112,D100,D89,D78,D67,D55,D44,D33,D22,D201)+19000+19</f>
        <v>258604.36000000002</v>
      </c>
      <c r="E213" s="180">
        <f>SUM(E190,E179,E168,E157,E145,E134,E123,E112,E100,E89,E78,E67,E55,E44,E33,E22,E201)+4</f>
        <v>257371.41</v>
      </c>
      <c r="F213" s="180">
        <f t="shared" si="19"/>
        <v>0</v>
      </c>
      <c r="G213" s="180">
        <f t="shared" si="19"/>
        <v>0</v>
      </c>
      <c r="H213" s="181"/>
      <c r="I213" s="181"/>
      <c r="J213" s="183">
        <f t="shared" si="17"/>
        <v>515975.77</v>
      </c>
      <c r="K213" s="57"/>
      <c r="L213" s="57"/>
      <c r="M213" s="57"/>
      <c r="N213" s="57"/>
      <c r="O213" s="57"/>
      <c r="P213" s="185"/>
    </row>
    <row r="214" spans="3:16" ht="23.25" customHeight="1" x14ac:dyDescent="0.2">
      <c r="C214" s="179" t="s">
        <v>271</v>
      </c>
      <c r="D214" s="186">
        <f t="shared" si="19"/>
        <v>77349.714999999997</v>
      </c>
      <c r="E214" s="186">
        <f>SUM(E191,E180,E169,E158,E146,E135,E124,E113,E101,E90,E79,E68,E56,E45,E34,E23,E202)-56</f>
        <v>67085.88</v>
      </c>
      <c r="F214" s="186">
        <f>SUM(F191,F180,F169,F158,F146,F135,F124,F113,F101,F90,F79,F68,F56,F45,F34,F23,F202)+550</f>
        <v>282957.12</v>
      </c>
      <c r="G214" s="186">
        <f t="shared" si="19"/>
        <v>279399.63</v>
      </c>
      <c r="H214" s="187"/>
      <c r="I214" s="187"/>
      <c r="J214" s="183">
        <f t="shared" si="17"/>
        <v>706792.34499999997</v>
      </c>
      <c r="K214" s="57"/>
      <c r="L214" s="57"/>
      <c r="M214" s="57"/>
      <c r="N214" s="57"/>
      <c r="O214" s="57"/>
      <c r="P214" s="185"/>
    </row>
    <row r="215" spans="3:16" ht="22.5" customHeight="1" x14ac:dyDescent="0.2">
      <c r="C215" s="188" t="s">
        <v>283</v>
      </c>
      <c r="D215" s="189">
        <f>SUM(D208:D214)</f>
        <v>1687408.06</v>
      </c>
      <c r="E215" s="189">
        <f>SUM(E208:E214)</f>
        <v>1189729.1660000002</v>
      </c>
      <c r="F215" s="189">
        <f>SUM(F208:F214)</f>
        <v>687598.79</v>
      </c>
      <c r="G215" s="189">
        <f>SUM(G208:G214)</f>
        <v>687600.41</v>
      </c>
      <c r="H215" s="190"/>
      <c r="I215" s="190"/>
      <c r="J215" s="191">
        <f t="shared" si="17"/>
        <v>4252336.426</v>
      </c>
      <c r="K215" s="57"/>
      <c r="L215" s="57"/>
      <c r="M215" s="57"/>
      <c r="N215" s="57"/>
      <c r="O215" s="57"/>
      <c r="P215" s="185"/>
    </row>
    <row r="216" spans="3:16" ht="26.25" customHeight="1" thickBot="1" x14ac:dyDescent="0.25">
      <c r="C216" s="192" t="s">
        <v>284</v>
      </c>
      <c r="D216" s="193">
        <f>D215*0.07</f>
        <v>118118.56420000001</v>
      </c>
      <c r="E216" s="193">
        <f t="shared" ref="E216:J216" si="20">E215*0.07</f>
        <v>83281.041620000018</v>
      </c>
      <c r="F216" s="193">
        <f t="shared" si="20"/>
        <v>48131.915300000008</v>
      </c>
      <c r="G216" s="193">
        <f t="shared" si="20"/>
        <v>48132.02870000001</v>
      </c>
      <c r="H216" s="194"/>
      <c r="I216" s="194"/>
      <c r="J216" s="195">
        <f t="shared" si="20"/>
        <v>297663.54982000001</v>
      </c>
      <c r="K216" s="94"/>
      <c r="L216" s="94"/>
      <c r="M216" s="94"/>
      <c r="N216" s="94"/>
      <c r="O216" s="196"/>
      <c r="P216" s="148"/>
    </row>
    <row r="217" spans="3:16" ht="23.25" customHeight="1" thickBot="1" x14ac:dyDescent="0.25">
      <c r="C217" s="197" t="s">
        <v>285</v>
      </c>
      <c r="D217" s="198">
        <f>SUM(D215:D216)</f>
        <v>1805526.6242</v>
      </c>
      <c r="E217" s="198">
        <f t="shared" ref="E217:J217" si="21">SUM(E215:E216)</f>
        <v>1273010.2076200002</v>
      </c>
      <c r="F217" s="198">
        <f>SUM(F215:F216)</f>
        <v>735730.70530000003</v>
      </c>
      <c r="G217" s="198">
        <f>SUM(G215:G216)</f>
        <v>735732.43870000006</v>
      </c>
      <c r="H217" s="199"/>
      <c r="I217" s="199"/>
      <c r="J217" s="200">
        <f t="shared" si="21"/>
        <v>4549999.9758200003</v>
      </c>
      <c r="K217" s="94"/>
      <c r="L217" s="94"/>
      <c r="M217" s="94"/>
      <c r="N217" s="94"/>
      <c r="O217" s="196"/>
      <c r="P217" s="148"/>
    </row>
    <row r="218" spans="3:16" ht="15.75" customHeight="1" x14ac:dyDescent="0.2">
      <c r="O218" s="201"/>
    </row>
    <row r="219" spans="3:16" ht="15.75" customHeight="1" x14ac:dyDescent="0.2">
      <c r="K219" s="146"/>
      <c r="L219" s="146"/>
      <c r="O219" s="201"/>
    </row>
    <row r="220" spans="3:16" ht="15.75" customHeight="1" x14ac:dyDescent="0.2">
      <c r="K220" s="146"/>
      <c r="L220" s="146"/>
    </row>
    <row r="221" spans="3:16" ht="40.5" customHeight="1" x14ac:dyDescent="0.2">
      <c r="K221" s="146"/>
      <c r="L221" s="146"/>
      <c r="O221" s="202"/>
    </row>
    <row r="222" spans="3:16" ht="24.75" customHeight="1" x14ac:dyDescent="0.2">
      <c r="K222" s="146"/>
      <c r="L222" s="146"/>
      <c r="O222" s="202"/>
    </row>
    <row r="223" spans="3:16" ht="41.25" customHeight="1" x14ac:dyDescent="0.2">
      <c r="K223" s="203"/>
      <c r="L223" s="146"/>
      <c r="O223" s="202"/>
    </row>
    <row r="224" spans="3:16" ht="51.75" customHeight="1" x14ac:dyDescent="0.2">
      <c r="K224" s="203"/>
      <c r="L224" s="146"/>
      <c r="O224" s="202"/>
    </row>
    <row r="225" spans="3:17" ht="42" customHeight="1" x14ac:dyDescent="0.2">
      <c r="K225" s="146"/>
      <c r="L225" s="146"/>
      <c r="O225" s="202"/>
    </row>
    <row r="226" spans="3:17" s="148" customFormat="1" ht="42" customHeight="1" x14ac:dyDescent="0.2">
      <c r="C226" s="147"/>
      <c r="J226" s="147"/>
      <c r="K226" s="147"/>
      <c r="L226" s="146"/>
      <c r="M226" s="147"/>
      <c r="N226" s="147"/>
      <c r="O226" s="202"/>
      <c r="P226" s="147"/>
    </row>
    <row r="227" spans="3:17" s="148" customFormat="1" ht="42" customHeight="1" x14ac:dyDescent="0.2">
      <c r="C227" s="147"/>
      <c r="J227" s="147"/>
      <c r="K227" s="147"/>
      <c r="L227" s="146"/>
      <c r="M227" s="147"/>
      <c r="N227" s="147"/>
      <c r="O227" s="147"/>
      <c r="P227" s="147"/>
    </row>
    <row r="228" spans="3:17" s="148" customFormat="1" ht="63.75" customHeight="1" x14ac:dyDescent="0.2">
      <c r="C228" s="147"/>
      <c r="J228" s="147"/>
      <c r="K228" s="147"/>
      <c r="L228" s="201"/>
      <c r="M228" s="147"/>
      <c r="N228" s="147"/>
      <c r="O228" s="147"/>
      <c r="P228" s="147"/>
    </row>
    <row r="229" spans="3:17" s="148" customFormat="1" ht="42" customHeight="1" x14ac:dyDescent="0.2">
      <c r="C229" s="147"/>
      <c r="J229" s="147"/>
      <c r="K229" s="147"/>
      <c r="L229" s="147"/>
      <c r="M229" s="147"/>
      <c r="N229" s="147"/>
      <c r="O229" s="147"/>
      <c r="P229" s="201"/>
    </row>
    <row r="230" spans="3:17" ht="23.25" customHeight="1" x14ac:dyDescent="0.2"/>
    <row r="231" spans="3:17" ht="27.75" customHeight="1" x14ac:dyDescent="0.2"/>
    <row r="232" spans="3:17" ht="55.5" customHeight="1" x14ac:dyDescent="0.2"/>
    <row r="233" spans="3:17" ht="57.75" customHeight="1" x14ac:dyDescent="0.2"/>
    <row r="234" spans="3:17" ht="21.75" customHeight="1" x14ac:dyDescent="0.2"/>
    <row r="235" spans="3:17" ht="49.5" customHeight="1" x14ac:dyDescent="0.2"/>
    <row r="236" spans="3:17" ht="28.5" customHeight="1" x14ac:dyDescent="0.2"/>
    <row r="237" spans="3:17" ht="28.5" customHeight="1" x14ac:dyDescent="0.2"/>
    <row r="238" spans="3:17" ht="28.5" customHeight="1" x14ac:dyDescent="0.2"/>
    <row r="239" spans="3:17" ht="23.25" customHeight="1" x14ac:dyDescent="0.2">
      <c r="Q239" s="201"/>
    </row>
    <row r="240" spans="3:17" ht="43.5" customHeight="1" x14ac:dyDescent="0.2">
      <c r="Q240" s="201"/>
    </row>
    <row r="241" spans="17:17" ht="55.5" customHeight="1" x14ac:dyDescent="0.2"/>
    <row r="242" spans="17:17" ht="42.75" customHeight="1" x14ac:dyDescent="0.2">
      <c r="Q242" s="201"/>
    </row>
    <row r="243" spans="17:17" ht="21.75" customHeight="1" x14ac:dyDescent="0.2">
      <c r="Q243" s="201"/>
    </row>
    <row r="244" spans="17:17" ht="21.75" customHeight="1" x14ac:dyDescent="0.2">
      <c r="Q244" s="201"/>
    </row>
    <row r="245" spans="17:17" ht="23.25" customHeight="1" x14ac:dyDescent="0.2"/>
    <row r="246" spans="17:17" ht="23.25" customHeight="1" x14ac:dyDescent="0.2"/>
    <row r="247" spans="17:17" ht="21.75" customHeight="1" x14ac:dyDescent="0.2"/>
    <row r="248" spans="17:17" ht="16.5" customHeight="1" x14ac:dyDescent="0.2"/>
    <row r="249" spans="17:17" ht="29.25" customHeight="1" x14ac:dyDescent="0.2"/>
    <row r="250" spans="17:17" ht="24.75" customHeight="1" x14ac:dyDescent="0.2"/>
    <row r="251" spans="17:17" ht="33" customHeight="1" x14ac:dyDescent="0.2"/>
    <row r="253" spans="17:17" ht="15" customHeight="1" x14ac:dyDescent="0.2"/>
    <row r="254" spans="17:17" ht="25.5" customHeight="1" x14ac:dyDescent="0.2"/>
  </sheetData>
  <mergeCells count="28">
    <mergeCell ref="B14:J14"/>
    <mergeCell ref="C2:F2"/>
    <mergeCell ref="C5:J5"/>
    <mergeCell ref="C6:J8"/>
    <mergeCell ref="C10:F10"/>
    <mergeCell ref="J12:J13"/>
    <mergeCell ref="C116:J116"/>
    <mergeCell ref="C15:J15"/>
    <mergeCell ref="C26:J26"/>
    <mergeCell ref="C37:J37"/>
    <mergeCell ref="C47:J47"/>
    <mergeCell ref="B59:J59"/>
    <mergeCell ref="C60:J60"/>
    <mergeCell ref="C71:J71"/>
    <mergeCell ref="C82:J82"/>
    <mergeCell ref="C93:J93"/>
    <mergeCell ref="B104:J104"/>
    <mergeCell ref="C105:J105"/>
    <mergeCell ref="C183:J183"/>
    <mergeCell ref="C194:J194"/>
    <mergeCell ref="C205:J205"/>
    <mergeCell ref="J206:J207"/>
    <mergeCell ref="C127:J127"/>
    <mergeCell ref="C138:J138"/>
    <mergeCell ref="B149:J149"/>
    <mergeCell ref="C150:J150"/>
    <mergeCell ref="C161:J161"/>
    <mergeCell ref="C172:J172"/>
  </mergeCells>
  <conditionalFormatting sqref="J24">
    <cfRule type="cellIs" dxfId="16" priority="17" operator="notEqual">
      <formula>$J$16</formula>
    </cfRule>
  </conditionalFormatting>
  <conditionalFormatting sqref="J35">
    <cfRule type="cellIs" dxfId="15" priority="16" operator="notEqual">
      <formula>$J$27</formula>
    </cfRule>
  </conditionalFormatting>
  <conditionalFormatting sqref="J46">
    <cfRule type="cellIs" dxfId="14" priority="15" operator="notEqual">
      <formula>$J$38</formula>
    </cfRule>
  </conditionalFormatting>
  <conditionalFormatting sqref="J57">
    <cfRule type="cellIs" dxfId="13" priority="14" operator="notEqual">
      <formula>$J$49</formula>
    </cfRule>
  </conditionalFormatting>
  <conditionalFormatting sqref="J69">
    <cfRule type="cellIs" dxfId="12" priority="13" operator="notEqual">
      <formula>$J$61</formula>
    </cfRule>
  </conditionalFormatting>
  <conditionalFormatting sqref="J80">
    <cfRule type="cellIs" dxfId="11" priority="12" operator="notEqual">
      <formula>$J$72</formula>
    </cfRule>
  </conditionalFormatting>
  <conditionalFormatting sqref="J91">
    <cfRule type="cellIs" dxfId="10" priority="11" operator="notEqual">
      <formula>$J$83</formula>
    </cfRule>
  </conditionalFormatting>
  <conditionalFormatting sqref="J102">
    <cfRule type="cellIs" dxfId="9" priority="10" operator="notEqual">
      <formula>$J$94</formula>
    </cfRule>
  </conditionalFormatting>
  <conditionalFormatting sqref="J114">
    <cfRule type="cellIs" dxfId="8" priority="9" operator="notEqual">
      <formula>$J$106</formula>
    </cfRule>
  </conditionalFormatting>
  <conditionalFormatting sqref="J125">
    <cfRule type="cellIs" dxfId="7" priority="8" operator="notEqual">
      <formula>$J$117</formula>
    </cfRule>
  </conditionalFormatting>
  <conditionalFormatting sqref="J136">
    <cfRule type="cellIs" dxfId="6" priority="7" operator="notEqual">
      <formula>$J$128</formula>
    </cfRule>
  </conditionalFormatting>
  <conditionalFormatting sqref="J147">
    <cfRule type="cellIs" dxfId="5" priority="6" operator="notEqual">
      <formula>$J$139</formula>
    </cfRule>
  </conditionalFormatting>
  <conditionalFormatting sqref="J159">
    <cfRule type="cellIs" dxfId="4" priority="5" operator="notEqual">
      <formula>$J$151</formula>
    </cfRule>
  </conditionalFormatting>
  <conditionalFormatting sqref="J170">
    <cfRule type="cellIs" dxfId="3" priority="4" operator="notEqual">
      <formula>$J$162</formula>
    </cfRule>
  </conditionalFormatting>
  <conditionalFormatting sqref="J181">
    <cfRule type="cellIs" dxfId="2" priority="3" operator="notEqual">
      <formula>$J$162</formula>
    </cfRule>
  </conditionalFormatting>
  <conditionalFormatting sqref="J192">
    <cfRule type="cellIs" dxfId="1" priority="2" operator="notEqual">
      <formula>$J$184</formula>
    </cfRule>
  </conditionalFormatting>
  <conditionalFormatting sqref="J203">
    <cfRule type="cellIs" dxfId="0" priority="1" operator="notEqual">
      <formula>$J$195</formula>
    </cfRule>
  </conditionalFormatting>
  <dataValidations count="8">
    <dataValidation allowBlank="1" showInputMessage="1" showErrorMessage="1" prompt="Output totals must match the original total from Table 1, and will show as red if not. " sqref="J24" xr:uid="{19E3B923-B5FA-4B2A-8861-D1C3CE540EDD}"/>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36B2972B-22DF-4C66-A6D1-D8E737971944}"/>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1722C0F7-F4A7-4A72-AC10-1ABEEB2409D9}"/>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0EEFFC59-927E-4B72-9F60-104DCED938C4}"/>
    <dataValidation allowBlank="1" showInputMessage="1" showErrorMessage="1" prompt="Includes staff and non-staff travel paid for by the organization directly related to a project." sqref="C21 C32 C43 C54 C66 C77 C88 C99 C111 C122 C133 C144 C156 C167 C178 C189 C212 C200" xr:uid="{E2465326-5216-4891-A8D8-E054D112AD19}"/>
    <dataValidation allowBlank="1" showInputMessage="1" showErrorMessage="1" prompt="Services contracted by an organization which follow the normal procurement processes." sqref="C20 C31 C42 C53 C65 C76 C87 C98 C110 C121 C132 C143 C155 C166 C177 C188 C211 C199" xr:uid="{E4D2D0C5-A8B7-49A5-B6CD-5F6C167CCDCE}"/>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E147C6E7-5454-49A2-92F1-331FFC9D903E}"/>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6951FCBD-2179-4845-B434-93B2BF04F935}"/>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2A1BB-0751-4FBB-A97B-EBC285DB626B}">
  <dimension ref="B1:J25"/>
  <sheetViews>
    <sheetView topLeftCell="A10" zoomScale="80" zoomScaleNormal="80" workbookViewId="0">
      <selection activeCell="K13" sqref="K13"/>
    </sheetView>
  </sheetViews>
  <sheetFormatPr baseColWidth="10" defaultColWidth="8.6640625" defaultRowHeight="15" x14ac:dyDescent="0.2"/>
  <cols>
    <col min="1" max="1" width="12.5" customWidth="1"/>
    <col min="2" max="2" width="20.5" customWidth="1"/>
    <col min="3" max="8" width="25.5" customWidth="1"/>
    <col min="9" max="9" width="24.5" customWidth="1"/>
    <col min="10" max="10" width="18.5" customWidth="1"/>
    <col min="11" max="11" width="21.6640625" customWidth="1"/>
    <col min="12" max="13" width="15.6640625" bestFit="1" customWidth="1"/>
    <col min="14" max="14" width="11.33203125" bestFit="1" customWidth="1"/>
  </cols>
  <sheetData>
    <row r="1" spans="2:9" ht="16" thickBot="1" x14ac:dyDescent="0.25"/>
    <row r="2" spans="2:9" s="204" customFormat="1" ht="16" x14ac:dyDescent="0.2">
      <c r="B2" s="298" t="s">
        <v>286</v>
      </c>
      <c r="C2" s="299"/>
      <c r="D2" s="299"/>
      <c r="E2" s="299"/>
      <c r="F2" s="299"/>
      <c r="G2" s="299"/>
      <c r="H2" s="299"/>
      <c r="I2" s="300"/>
    </row>
    <row r="3" spans="2:9" s="204" customFormat="1" ht="17" thickBot="1" x14ac:dyDescent="0.25">
      <c r="B3" s="301"/>
      <c r="C3" s="302"/>
      <c r="D3" s="302"/>
      <c r="E3" s="302"/>
      <c r="F3" s="302"/>
      <c r="G3" s="302"/>
      <c r="H3" s="302"/>
      <c r="I3" s="303"/>
    </row>
    <row r="4" spans="2:9" s="204" customFormat="1" ht="17" thickBot="1" x14ac:dyDescent="0.25"/>
    <row r="5" spans="2:9" s="204" customFormat="1" ht="17" thickBot="1" x14ac:dyDescent="0.25">
      <c r="B5" s="282" t="s">
        <v>231</v>
      </c>
      <c r="C5" s="283"/>
      <c r="D5" s="283"/>
      <c r="E5" s="283"/>
      <c r="F5" s="283"/>
      <c r="G5" s="283"/>
      <c r="H5" s="283"/>
      <c r="I5" s="284"/>
    </row>
    <row r="6" spans="2:9" s="204" customFormat="1" ht="17" x14ac:dyDescent="0.2">
      <c r="B6" s="176"/>
      <c r="C6" s="177" t="s">
        <v>256</v>
      </c>
      <c r="D6" s="177" t="s">
        <v>257</v>
      </c>
      <c r="E6" s="177" t="s">
        <v>258</v>
      </c>
      <c r="F6" s="177" t="s">
        <v>259</v>
      </c>
      <c r="G6" s="177" t="s">
        <v>260</v>
      </c>
      <c r="H6" s="177" t="s">
        <v>261</v>
      </c>
      <c r="I6" s="285" t="s">
        <v>231</v>
      </c>
    </row>
    <row r="7" spans="2:9" s="204" customFormat="1" ht="17" x14ac:dyDescent="0.2">
      <c r="B7" s="176"/>
      <c r="C7" s="178" t="str">
        <f>'[2]1) Budget Table'!D13</f>
        <v xml:space="preserve"> WFP SL</v>
      </c>
      <c r="D7" s="178" t="str">
        <f>'[2]1) Budget Table'!E13</f>
        <v xml:space="preserve">  WFP GUI</v>
      </c>
      <c r="E7" s="178" t="str">
        <f>'[2]1) Budget Table'!F13</f>
        <v>IOM SL</v>
      </c>
      <c r="F7" s="178" t="str">
        <f>'[2]1) Budget Table'!G13</f>
        <v>IOM GUI</v>
      </c>
      <c r="G7" s="178">
        <f>'[2]1) Budget Table'!H13</f>
        <v>0</v>
      </c>
      <c r="H7" s="178">
        <f>'[2]1) Budget Table'!I13</f>
        <v>0</v>
      </c>
      <c r="I7" s="278"/>
    </row>
    <row r="8" spans="2:9" s="204" customFormat="1" ht="34" x14ac:dyDescent="0.2">
      <c r="B8" s="179" t="s">
        <v>265</v>
      </c>
      <c r="C8" s="180">
        <v>439009.5</v>
      </c>
      <c r="D8" s="180">
        <v>172538.53100000002</v>
      </c>
      <c r="E8" s="180">
        <v>180960</v>
      </c>
      <c r="F8" s="180">
        <v>184548.78</v>
      </c>
      <c r="G8" s="181"/>
      <c r="H8" s="181"/>
      <c r="I8" s="182">
        <f t="shared" ref="I8:I12" si="0">SUM(C8:H8)</f>
        <v>977056.81099999999</v>
      </c>
    </row>
    <row r="9" spans="2:9" s="204" customFormat="1" ht="51" x14ac:dyDescent="0.2">
      <c r="B9" s="179" t="s">
        <v>266</v>
      </c>
      <c r="C9" s="180">
        <v>147235.74</v>
      </c>
      <c r="D9" s="180">
        <v>324816.44999999995</v>
      </c>
      <c r="E9" s="180">
        <v>5000</v>
      </c>
      <c r="F9" s="180">
        <v>5000</v>
      </c>
      <c r="G9" s="181"/>
      <c r="H9" s="181"/>
      <c r="I9" s="183">
        <f t="shared" si="0"/>
        <v>482052.18999999994</v>
      </c>
    </row>
    <row r="10" spans="2:9" s="204" customFormat="1" ht="68" x14ac:dyDescent="0.2">
      <c r="B10" s="179" t="s">
        <v>267</v>
      </c>
      <c r="C10" s="180">
        <v>171675.72999999998</v>
      </c>
      <c r="D10" s="180">
        <v>150472.39000000001</v>
      </c>
      <c r="E10" s="180">
        <v>35001</v>
      </c>
      <c r="F10" s="180">
        <v>40650</v>
      </c>
      <c r="G10" s="181"/>
      <c r="H10" s="181"/>
      <c r="I10" s="183">
        <f t="shared" si="0"/>
        <v>397799.12</v>
      </c>
    </row>
    <row r="11" spans="2:9" s="204" customFormat="1" ht="17" x14ac:dyDescent="0.2">
      <c r="B11" s="184" t="s">
        <v>268</v>
      </c>
      <c r="C11" s="180">
        <v>521559</v>
      </c>
      <c r="D11" s="180">
        <v>174742.51</v>
      </c>
      <c r="E11" s="180">
        <v>149000</v>
      </c>
      <c r="F11" s="180">
        <v>155002</v>
      </c>
      <c r="G11" s="181"/>
      <c r="H11" s="181"/>
      <c r="I11" s="183">
        <f>SUM(C11:H11)</f>
        <v>1000303.51</v>
      </c>
    </row>
    <row r="12" spans="2:9" s="204" customFormat="1" ht="17" x14ac:dyDescent="0.2">
      <c r="B12" s="179" t="s">
        <v>269</v>
      </c>
      <c r="C12" s="180">
        <v>71974.014999999999</v>
      </c>
      <c r="D12" s="180">
        <v>42701.995000000003</v>
      </c>
      <c r="E12" s="180">
        <v>34680.67</v>
      </c>
      <c r="F12" s="180">
        <v>23000</v>
      </c>
      <c r="G12" s="181"/>
      <c r="H12" s="181"/>
      <c r="I12" s="183">
        <f t="shared" si="0"/>
        <v>172356.68</v>
      </c>
    </row>
    <row r="13" spans="2:9" s="204" customFormat="1" ht="34" x14ac:dyDescent="0.2">
      <c r="B13" s="179" t="s">
        <v>270</v>
      </c>
      <c r="C13" s="180">
        <v>258604.36000000002</v>
      </c>
      <c r="D13" s="180">
        <v>257371.41</v>
      </c>
      <c r="E13" s="180">
        <v>0</v>
      </c>
      <c r="F13" s="180">
        <v>0</v>
      </c>
      <c r="G13" s="181"/>
      <c r="H13" s="181"/>
      <c r="I13" s="183">
        <f>SUM(C13:H13)</f>
        <v>515975.77</v>
      </c>
    </row>
    <row r="14" spans="2:9" s="204" customFormat="1" ht="35" thickBot="1" x14ac:dyDescent="0.25">
      <c r="B14" s="205" t="s">
        <v>271</v>
      </c>
      <c r="C14" s="193">
        <v>77349.714999999997</v>
      </c>
      <c r="D14" s="193">
        <v>67085.88</v>
      </c>
      <c r="E14" s="180">
        <v>282957.12</v>
      </c>
      <c r="F14" s="180">
        <v>279399.63</v>
      </c>
      <c r="G14" s="194"/>
      <c r="H14" s="194"/>
      <c r="I14" s="206">
        <f>SUM(C14:H14)</f>
        <v>706792.34499999997</v>
      </c>
    </row>
    <row r="15" spans="2:9" s="204" customFormat="1" ht="30" customHeight="1" x14ac:dyDescent="0.2">
      <c r="B15" s="207" t="s">
        <v>287</v>
      </c>
      <c r="C15" s="208">
        <v>1687408.06</v>
      </c>
      <c r="D15" s="208">
        <v>1189729.1660000002</v>
      </c>
      <c r="E15" s="208">
        <v>687598.79</v>
      </c>
      <c r="F15" s="208">
        <v>687600.41</v>
      </c>
      <c r="G15" s="209"/>
      <c r="H15" s="209"/>
      <c r="I15" s="210">
        <f>SUM(C15:H15)</f>
        <v>4252336.426</v>
      </c>
    </row>
    <row r="16" spans="2:9" s="204" customFormat="1" ht="19.5" customHeight="1" x14ac:dyDescent="0.2">
      <c r="B16" s="188" t="s">
        <v>284</v>
      </c>
      <c r="C16" s="211">
        <v>118118.56420000001</v>
      </c>
      <c r="D16" s="211">
        <v>83281.041620000018</v>
      </c>
      <c r="E16" s="211">
        <v>48131.915300000008</v>
      </c>
      <c r="F16" s="211">
        <v>48132.02870000001</v>
      </c>
      <c r="G16" s="211"/>
      <c r="H16" s="211"/>
      <c r="I16" s="211">
        <f t="shared" ref="I16" si="1">I15*0.07</f>
        <v>297663.54982000001</v>
      </c>
    </row>
    <row r="17" spans="2:10" s="204" customFormat="1" ht="25.5" customHeight="1" thickBot="1" x14ac:dyDescent="0.25">
      <c r="B17" s="212" t="s">
        <v>12</v>
      </c>
      <c r="C17" s="213">
        <f>C15+C16</f>
        <v>1805526.6242</v>
      </c>
      <c r="D17" s="213">
        <f t="shared" ref="D17" si="2">D15+D16</f>
        <v>1273010.2076200002</v>
      </c>
      <c r="E17" s="213">
        <f>E15+E16</f>
        <v>735730.70530000003</v>
      </c>
      <c r="F17" s="213">
        <f>F15+F16</f>
        <v>735732.43870000006</v>
      </c>
      <c r="G17" s="214"/>
      <c r="H17" s="214"/>
      <c r="I17" s="213">
        <f>I15+I16</f>
        <v>4549999.9758200003</v>
      </c>
    </row>
    <row r="18" spans="2:10" s="204" customFormat="1" ht="17" thickBot="1" x14ac:dyDescent="0.25"/>
    <row r="19" spans="2:10" s="204" customFormat="1" ht="15.75" customHeight="1" x14ac:dyDescent="0.2">
      <c r="B19" s="271" t="s">
        <v>240</v>
      </c>
      <c r="C19" s="272"/>
      <c r="D19" s="272"/>
      <c r="E19" s="272"/>
      <c r="F19" s="273"/>
      <c r="G19" s="273"/>
      <c r="H19" s="273"/>
      <c r="I19" s="273"/>
      <c r="J19" s="215"/>
    </row>
    <row r="20" spans="2:10" ht="17" x14ac:dyDescent="0.2">
      <c r="B20" s="97"/>
      <c r="C20" s="22" t="s">
        <v>288</v>
      </c>
      <c r="D20" s="22" t="s">
        <v>289</v>
      </c>
      <c r="E20" s="22" t="s">
        <v>290</v>
      </c>
      <c r="F20" s="22" t="s">
        <v>291</v>
      </c>
      <c r="G20" s="22" t="s">
        <v>292</v>
      </c>
      <c r="H20" s="22" t="s">
        <v>293</v>
      </c>
      <c r="I20" s="216" t="s">
        <v>285</v>
      </c>
      <c r="J20" s="217" t="s">
        <v>241</v>
      </c>
    </row>
    <row r="21" spans="2:10" ht="17" x14ac:dyDescent="0.2">
      <c r="B21" s="97"/>
      <c r="C21" s="22" t="str">
        <f>'[2]1) Budget Table'!D13</f>
        <v xml:space="preserve"> WFP SL</v>
      </c>
      <c r="D21" s="22" t="str">
        <f>'[2]1) Budget Table'!E13</f>
        <v xml:space="preserve">  WFP GUI</v>
      </c>
      <c r="E21" s="22" t="str">
        <f>'[2]1) Budget Table'!F13</f>
        <v>IOM SL</v>
      </c>
      <c r="F21" s="22" t="str">
        <f>'[2]1) Budget Table'!G13</f>
        <v>IOM GUI</v>
      </c>
      <c r="G21" s="216">
        <v>0</v>
      </c>
      <c r="H21" s="216">
        <v>0</v>
      </c>
      <c r="I21" s="216"/>
      <c r="J21" s="217"/>
    </row>
    <row r="22" spans="2:10" ht="23.25" customHeight="1" x14ac:dyDescent="0.2">
      <c r="B22" s="101" t="s">
        <v>242</v>
      </c>
      <c r="C22" s="218">
        <f>'[2]1) Budget Table'!D206</f>
        <v>1263869.1649850002</v>
      </c>
      <c r="D22" s="218">
        <f>'[2]1) Budget Table'!E206</f>
        <v>891106.84498500009</v>
      </c>
      <c r="E22" s="218">
        <f>'[2]1) Budget Table'!F206</f>
        <v>515011.71091999998</v>
      </c>
      <c r="F22" s="218">
        <f>'[2]1) Budget Table'!G206</f>
        <v>515012.37003999995</v>
      </c>
      <c r="G22" s="218">
        <f>'[2]1) Budget Table'!H206</f>
        <v>0</v>
      </c>
      <c r="H22" s="218">
        <f>'[2]1) Budget Table'!I206</f>
        <v>0</v>
      </c>
      <c r="I22" s="219">
        <f>'[2]1) Budget Table'!J206</f>
        <v>3185000.0909299999</v>
      </c>
      <c r="J22" s="220">
        <f>'[2]1) Budget Table'!K206</f>
        <v>0.7</v>
      </c>
    </row>
    <row r="23" spans="2:10" ht="24.75" customHeight="1" x14ac:dyDescent="0.2">
      <c r="B23" s="101" t="s">
        <v>243</v>
      </c>
      <c r="C23" s="218">
        <f>'[2]1) Budget Table'!D207</f>
        <v>541658.2135650001</v>
      </c>
      <c r="D23" s="218">
        <f>'[2]1) Budget Table'!E207</f>
        <v>381902.93356500001</v>
      </c>
      <c r="E23" s="218">
        <f>'[2]1) Budget Table'!F207</f>
        <v>220719.30468</v>
      </c>
      <c r="F23" s="218">
        <f>'[2]1) Budget Table'!G207</f>
        <v>220719.58715999997</v>
      </c>
      <c r="G23" s="218">
        <f>'[2]1) Budget Table'!H207</f>
        <v>0</v>
      </c>
      <c r="H23" s="218">
        <f>'[2]1) Budget Table'!I207</f>
        <v>0</v>
      </c>
      <c r="I23" s="219">
        <f>'[2]1) Budget Table'!J207</f>
        <v>1365000.0389700001</v>
      </c>
      <c r="J23" s="220">
        <f>'[2]1) Budget Table'!K207</f>
        <v>0.3</v>
      </c>
    </row>
    <row r="24" spans="2:10" ht="24.75" customHeight="1" x14ac:dyDescent="0.2">
      <c r="B24" s="101" t="s">
        <v>294</v>
      </c>
      <c r="C24" s="218">
        <f>'[2]1) Budget Table'!D208</f>
        <v>0</v>
      </c>
      <c r="D24" s="218">
        <f>'[2]1) Budget Table'!E208</f>
        <v>0</v>
      </c>
      <c r="E24" s="218">
        <f>'[2]1) Budget Table'!F208</f>
        <v>0</v>
      </c>
      <c r="F24" s="218">
        <f>'[2]1) Budget Table'!G208</f>
        <v>0</v>
      </c>
      <c r="G24" s="218">
        <f>'[2]1) Budget Table'!H208</f>
        <v>0</v>
      </c>
      <c r="H24" s="218">
        <f>'[2]1) Budget Table'!I208</f>
        <v>0</v>
      </c>
      <c r="I24" s="219">
        <f>'[2]1) Budget Table'!J208</f>
        <v>0</v>
      </c>
      <c r="J24" s="220">
        <f>'[2]1) Budget Table'!K208</f>
        <v>0</v>
      </c>
    </row>
    <row r="25" spans="2:10" ht="18" thickBot="1" x14ac:dyDescent="0.25">
      <c r="B25" s="88" t="s">
        <v>285</v>
      </c>
      <c r="C25" s="221">
        <f>'[2]1) Budget Table'!D209</f>
        <v>1805527.3785500003</v>
      </c>
      <c r="D25" s="221">
        <f>'[2]1) Budget Table'!E209</f>
        <v>1273009.7785500002</v>
      </c>
      <c r="E25" s="221">
        <f>'[2]1) Budget Table'!F209</f>
        <v>735731.01560000004</v>
      </c>
      <c r="F25" s="221">
        <f>'[2]1) Budget Table'!G209</f>
        <v>735731.95719999995</v>
      </c>
      <c r="G25" s="222">
        <f>'[2]1) Budget Table'!H209</f>
        <v>0</v>
      </c>
      <c r="H25" s="222">
        <f>'[2]1) Budget Table'!I209</f>
        <v>0</v>
      </c>
      <c r="I25" s="223">
        <f>'[2]1) Budget Table'!J209</f>
        <v>4550000.1299000001</v>
      </c>
      <c r="J25" s="224"/>
    </row>
  </sheetData>
  <mergeCells count="4">
    <mergeCell ref="B2:I3"/>
    <mergeCell ref="B5:I5"/>
    <mergeCell ref="I6:I7"/>
    <mergeCell ref="B19:I19"/>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B14" xr:uid="{F87954A2-8046-4506-B364-49C21BDBAC8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81C852D-44BD-47DE-88A5-F42DF17A1609}"/>
    <dataValidation allowBlank="1" showInputMessage="1" showErrorMessage="1" prompt="Services contracted by an organization which follow the normal procurement processes." sqref="B11" xr:uid="{548D00F2-8566-4AFD-AEAE-90D03ECE719C}"/>
    <dataValidation allowBlank="1" showInputMessage="1" showErrorMessage="1" prompt="Includes staff and non-staff travel paid for by the organization directly related to a project." sqref="B12" xr:uid="{B9010EC6-C9A1-474C-B769-972F46A3170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E7712EC7-50ED-4EBE-8CA1-B432988DC2F5}"/>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F03062DD-6FA1-4F44-92B4-AFEBADC391CA}"/>
    <dataValidation allowBlank="1" showInputMessage="1" showErrorMessage="1" prompt="Includes all related staff and temporary staff costs including base salary, post adjustment and all staff entitlements." sqref="B8" xr:uid="{F60929B8-2ED6-4104-BA05-F828D6F50A5B}"/>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MPTF_00006_00832</ProjectId>
    <FundCode xmlns="f9695bc1-6109-4dcd-a27a-f8a0370b00e2">MPTF_00006</FundCode>
    <Comments xmlns="f9695bc1-6109-4dcd-a27a-f8a0370b00e2">Project Financial report</Comments>
    <Active xmlns="f9695bc1-6109-4dcd-a27a-f8a0370b00e2">Yes</Active>
    <DocumentDate xmlns="b1528a4b-5ccb-40f7-a09e-43427183cd95">2024-08-08T07:00:00+00:00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2D9D12EA-72E8-438A-A05A-00FDEE73CC31}"/>
</file>

<file path=customXml/itemProps2.xml><?xml version="1.0" encoding="utf-8"?>
<ds:datastoreItem xmlns:ds="http://schemas.openxmlformats.org/officeDocument/2006/customXml" ds:itemID="{29D28DB6-B779-42D8-9B8A-5C6EE48C5334}"/>
</file>

<file path=customXml/itemProps3.xml><?xml version="1.0" encoding="utf-8"?>
<ds:datastoreItem xmlns:ds="http://schemas.openxmlformats.org/officeDocument/2006/customXml" ds:itemID="{7B174894-A007-41D0-B8D8-429E8C598C6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1) Budget Table</vt:lpstr>
      <vt:lpstr>2) By Category</vt:lpstr>
      <vt:lpstr>5) -For MPTF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20240808-FINAL project financial report.xlsx</dc:title>
  <dc:creator>Madina DIALLO</dc:creator>
  <cp:lastModifiedBy>PDA</cp:lastModifiedBy>
  <dcterms:created xsi:type="dcterms:W3CDTF">2023-11-07T12:11:03Z</dcterms:created>
  <dcterms:modified xsi:type="dcterms:W3CDTF">2024-08-08T15:44:25Z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