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warchild-my.sharepoint.com/personal/leonardo_ramirez_warchild_net/Documents/Documents/PROJECTS/CO4024 UNA77 MAE KIWE INTERCULTURAL/FUNDS REQUEST/3rd REQUEST/"/>
    </mc:Choice>
  </mc:AlternateContent>
  <xr:revisionPtr revIDLastSave="42" documentId="8_{A898C2BD-DE2B-49F5-A394-3AE8851E6FA9}" xr6:coauthVersionLast="47" xr6:coauthVersionMax="47" xr10:uidLastSave="{1D0D806C-AEE7-48FD-931B-8276F3ADB74E}"/>
  <bookViews>
    <workbookView xWindow="-110" yWindow="-110" windowWidth="19420" windowHeight="10420" tabRatio="889" xr2:uid="{00000000-000D-0000-FFFF-FFFF00000000}"/>
  </bookViews>
  <sheets>
    <sheet name="Instructions" sheetId="46" r:id="rId1"/>
    <sheet name="1) Budget Tables" sheetId="23" r:id="rId2"/>
    <sheet name="2) By Category" sheetId="24" r:id="rId3"/>
    <sheet name="3) Explanatory Notes" sheetId="25" r:id="rId4"/>
    <sheet name="4) -For PBSO Use-" sheetId="47" r:id="rId5"/>
    <sheet name="5) -For MPTF Use-" sheetId="45" r:id="rId6"/>
    <sheet name="SOURCE INFO" sheetId="44" r:id="rId7"/>
  </sheets>
  <externalReferences>
    <externalReference r:id="rId8"/>
  </externalReferences>
  <calcPr calcId="191028"/>
  <pivotCaches>
    <pivotCache cacheId="47"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44" l="1"/>
  <c r="L11" i="44" s="1"/>
  <c r="I176" i="23"/>
  <c r="I180" i="23" l="1"/>
  <c r="D180" i="23" l="1"/>
  <c r="G180" i="23" s="1"/>
  <c r="D192" i="23"/>
  <c r="G179" i="23"/>
  <c r="I93" i="23"/>
  <c r="I103" i="23"/>
  <c r="I61" i="23"/>
  <c r="D25" i="45" l="1"/>
  <c r="E25" i="45"/>
  <c r="D45" i="47" l="1"/>
  <c r="D43" i="47"/>
  <c r="C40" i="47"/>
  <c r="D47" i="47" s="1"/>
  <c r="D34" i="47"/>
  <c r="D33" i="47"/>
  <c r="D32" i="47"/>
  <c r="C29" i="47"/>
  <c r="D36" i="47" s="1"/>
  <c r="D25" i="47"/>
  <c r="D23" i="47"/>
  <c r="D21" i="47"/>
  <c r="C18" i="47"/>
  <c r="D24" i="47" s="1"/>
  <c r="D14" i="47"/>
  <c r="D13" i="47"/>
  <c r="D12" i="47"/>
  <c r="D10" i="47"/>
  <c r="C7" i="47"/>
  <c r="D11" i="47" s="1"/>
  <c r="C8" i="47" s="1"/>
  <c r="E20" i="45"/>
  <c r="D20" i="45"/>
  <c r="C20" i="45"/>
  <c r="F14" i="45"/>
  <c r="F13" i="45"/>
  <c r="F12" i="45"/>
  <c r="F11" i="45"/>
  <c r="F10" i="45"/>
  <c r="D15" i="45"/>
  <c r="F9" i="45"/>
  <c r="E15" i="45"/>
  <c r="E6" i="45"/>
  <c r="D6" i="45"/>
  <c r="C6" i="45"/>
  <c r="I177" i="23"/>
  <c r="I175" i="23"/>
  <c r="I181" i="23" l="1"/>
  <c r="I182" i="23" s="1"/>
  <c r="D35" i="47"/>
  <c r="C30" i="47" s="1"/>
  <c r="D22" i="47"/>
  <c r="C19" i="47" s="1"/>
  <c r="D44" i="47"/>
  <c r="C41" i="47" s="1"/>
  <c r="D46" i="47"/>
  <c r="D16" i="45"/>
  <c r="D17" i="45" s="1"/>
  <c r="E16" i="45"/>
  <c r="E17" i="45" s="1"/>
  <c r="F8" i="45"/>
  <c r="C15" i="45"/>
  <c r="C16" i="45" l="1"/>
  <c r="C17" i="45" s="1"/>
  <c r="F15" i="45"/>
  <c r="F16" i="45" l="1"/>
  <c r="F17" i="45" s="1"/>
  <c r="E208" i="24" l="1"/>
  <c r="G207" i="24"/>
  <c r="F207" i="24"/>
  <c r="E207" i="24"/>
  <c r="D207" i="24"/>
  <c r="G206" i="24"/>
  <c r="F206" i="24"/>
  <c r="E206" i="24"/>
  <c r="D206" i="24"/>
  <c r="F205" i="24"/>
  <c r="E205" i="24"/>
  <c r="D205" i="24"/>
  <c r="G205" i="24" s="1"/>
  <c r="G204" i="24"/>
  <c r="F204" i="24"/>
  <c r="E204" i="24"/>
  <c r="D204" i="24"/>
  <c r="F203" i="24"/>
  <c r="G203" i="24" s="1"/>
  <c r="E203" i="24"/>
  <c r="D203" i="24"/>
  <c r="F202" i="24"/>
  <c r="E202" i="24"/>
  <c r="D202" i="24"/>
  <c r="G202" i="24" s="1"/>
  <c r="G201" i="24"/>
  <c r="F201" i="24"/>
  <c r="E201" i="24"/>
  <c r="D201" i="24"/>
  <c r="D199" i="24"/>
  <c r="F196" i="24"/>
  <c r="G196" i="24" s="1"/>
  <c r="E196" i="24"/>
  <c r="D196" i="24"/>
  <c r="G195" i="24"/>
  <c r="G194" i="24"/>
  <c r="G193" i="24"/>
  <c r="G192" i="24"/>
  <c r="G191" i="24"/>
  <c r="G190" i="24"/>
  <c r="G189" i="24"/>
  <c r="F185" i="24"/>
  <c r="E185" i="24"/>
  <c r="D185" i="24"/>
  <c r="G185" i="24" s="1"/>
  <c r="G184" i="24"/>
  <c r="G183" i="24"/>
  <c r="G182" i="24"/>
  <c r="G181" i="24"/>
  <c r="G180" i="24"/>
  <c r="G179" i="24"/>
  <c r="G178" i="24"/>
  <c r="G174" i="24"/>
  <c r="F174" i="24"/>
  <c r="E174" i="24"/>
  <c r="D174" i="24"/>
  <c r="G173" i="24"/>
  <c r="G172" i="24"/>
  <c r="G171" i="24"/>
  <c r="G170" i="24"/>
  <c r="G169" i="24"/>
  <c r="G168" i="24"/>
  <c r="G167" i="24"/>
  <c r="F163" i="24"/>
  <c r="E163" i="24"/>
  <c r="D163" i="24"/>
  <c r="G163" i="24" s="1"/>
  <c r="G162" i="24"/>
  <c r="G161" i="24"/>
  <c r="G160" i="24"/>
  <c r="G159" i="24"/>
  <c r="G158" i="24"/>
  <c r="G157" i="24"/>
  <c r="G156" i="24"/>
  <c r="F152" i="24"/>
  <c r="G152" i="24" s="1"/>
  <c r="E152" i="24"/>
  <c r="D152" i="24"/>
  <c r="G151" i="24"/>
  <c r="G150" i="24"/>
  <c r="G149" i="24"/>
  <c r="G148" i="24"/>
  <c r="G147" i="24"/>
  <c r="G146" i="24"/>
  <c r="G145" i="24"/>
  <c r="F140" i="24"/>
  <c r="E140" i="24"/>
  <c r="D140" i="24"/>
  <c r="G140" i="24" s="1"/>
  <c r="G139" i="24"/>
  <c r="G138" i="24"/>
  <c r="G137" i="24"/>
  <c r="G136" i="24"/>
  <c r="G135" i="24"/>
  <c r="G134" i="24"/>
  <c r="G133" i="24"/>
  <c r="F129" i="24"/>
  <c r="G129" i="24" s="1"/>
  <c r="E129" i="24"/>
  <c r="D129" i="24"/>
  <c r="G128" i="24"/>
  <c r="G127" i="24"/>
  <c r="G126" i="24"/>
  <c r="G125" i="24"/>
  <c r="G124" i="24"/>
  <c r="G123" i="24"/>
  <c r="G122" i="24"/>
  <c r="F118" i="24"/>
  <c r="E118" i="24"/>
  <c r="D118" i="24"/>
  <c r="G117" i="24"/>
  <c r="G116" i="24"/>
  <c r="G115" i="24"/>
  <c r="G114" i="24"/>
  <c r="G113" i="24"/>
  <c r="G112" i="24"/>
  <c r="G111" i="24"/>
  <c r="F107" i="24"/>
  <c r="G107" i="24" s="1"/>
  <c r="E107" i="24"/>
  <c r="D107" i="24"/>
  <c r="G106" i="24"/>
  <c r="G105" i="24"/>
  <c r="G104" i="24"/>
  <c r="G103" i="24"/>
  <c r="G102" i="24"/>
  <c r="G101" i="24"/>
  <c r="G100" i="24"/>
  <c r="F95" i="24"/>
  <c r="E95" i="24"/>
  <c r="D95" i="24"/>
  <c r="G94" i="24"/>
  <c r="G93" i="24"/>
  <c r="G92" i="24"/>
  <c r="G91" i="24"/>
  <c r="G90" i="24"/>
  <c r="G89" i="24"/>
  <c r="G88" i="24"/>
  <c r="G84" i="24"/>
  <c r="F84" i="24"/>
  <c r="E84" i="24"/>
  <c r="D84" i="24"/>
  <c r="G83" i="24"/>
  <c r="G82" i="24"/>
  <c r="G81" i="24"/>
  <c r="G80" i="24"/>
  <c r="G79" i="24"/>
  <c r="G78" i="24"/>
  <c r="G77" i="24"/>
  <c r="F73" i="24"/>
  <c r="E73" i="24"/>
  <c r="D73" i="24"/>
  <c r="G73" i="24" s="1"/>
  <c r="G72" i="24"/>
  <c r="G71" i="24"/>
  <c r="G70" i="24"/>
  <c r="G69" i="24"/>
  <c r="G68" i="24"/>
  <c r="G67" i="24"/>
  <c r="G66" i="24"/>
  <c r="G62" i="24"/>
  <c r="F62" i="24"/>
  <c r="E62" i="24"/>
  <c r="D62" i="24"/>
  <c r="G61" i="24"/>
  <c r="G60" i="24"/>
  <c r="G59" i="24"/>
  <c r="G58" i="24"/>
  <c r="G57" i="24"/>
  <c r="G56" i="24"/>
  <c r="G55" i="24"/>
  <c r="F50" i="24"/>
  <c r="E50" i="24"/>
  <c r="D50" i="24"/>
  <c r="G50" i="24" s="1"/>
  <c r="G49" i="24"/>
  <c r="G48" i="24"/>
  <c r="G47" i="24"/>
  <c r="G46" i="24"/>
  <c r="G45" i="24"/>
  <c r="G44" i="24"/>
  <c r="G43" i="24"/>
  <c r="F39" i="24"/>
  <c r="G39" i="24" s="1"/>
  <c r="E39" i="24"/>
  <c r="D39" i="24"/>
  <c r="G38" i="24"/>
  <c r="G37" i="24"/>
  <c r="G36" i="24"/>
  <c r="G35" i="24"/>
  <c r="G34" i="24"/>
  <c r="G33" i="24"/>
  <c r="G32" i="24"/>
  <c r="F28" i="24"/>
  <c r="E28" i="24"/>
  <c r="D28" i="24"/>
  <c r="G28" i="24" s="1"/>
  <c r="G27" i="24"/>
  <c r="G26" i="24"/>
  <c r="G25" i="24"/>
  <c r="G24" i="24"/>
  <c r="G23" i="24"/>
  <c r="G22" i="24"/>
  <c r="G21" i="24"/>
  <c r="F17" i="24"/>
  <c r="G17" i="24" s="1"/>
  <c r="E17" i="24"/>
  <c r="D17" i="24"/>
  <c r="G16" i="24"/>
  <c r="G15" i="24"/>
  <c r="G14" i="24"/>
  <c r="G13" i="24"/>
  <c r="G12" i="24"/>
  <c r="G11" i="24"/>
  <c r="G10" i="24"/>
  <c r="D6" i="24"/>
  <c r="D208" i="23"/>
  <c r="F199" i="23"/>
  <c r="E199" i="23"/>
  <c r="D198" i="23"/>
  <c r="F191" i="23"/>
  <c r="E191" i="23"/>
  <c r="D190" i="23"/>
  <c r="F181" i="23"/>
  <c r="E181" i="23"/>
  <c r="D181" i="23"/>
  <c r="G178" i="23"/>
  <c r="G177" i="23"/>
  <c r="G176" i="23"/>
  <c r="G175" i="23"/>
  <c r="I172" i="23"/>
  <c r="F172" i="23"/>
  <c r="F177" i="24" s="1"/>
  <c r="E172" i="23"/>
  <c r="E177" i="24" s="1"/>
  <c r="D172" i="23"/>
  <c r="D177" i="24" s="1"/>
  <c r="G171" i="23"/>
  <c r="G170" i="23"/>
  <c r="G169" i="23"/>
  <c r="G168" i="23"/>
  <c r="G167" i="23"/>
  <c r="G166" i="23"/>
  <c r="G165" i="23"/>
  <c r="G164" i="23"/>
  <c r="I162" i="23"/>
  <c r="F162" i="23"/>
  <c r="F166" i="24" s="1"/>
  <c r="E162" i="23"/>
  <c r="E166" i="24" s="1"/>
  <c r="D162" i="23"/>
  <c r="G161" i="23"/>
  <c r="G160" i="23"/>
  <c r="G159" i="23"/>
  <c r="G158" i="23"/>
  <c r="G157" i="23"/>
  <c r="G156" i="23"/>
  <c r="G155" i="23"/>
  <c r="G154" i="23"/>
  <c r="I152" i="23"/>
  <c r="F152" i="23"/>
  <c r="F155" i="24" s="1"/>
  <c r="E152" i="23"/>
  <c r="E155" i="24" s="1"/>
  <c r="D152" i="23"/>
  <c r="D155" i="24" s="1"/>
  <c r="G151" i="23"/>
  <c r="G150" i="23"/>
  <c r="G149" i="23"/>
  <c r="G148" i="23"/>
  <c r="G147" i="23"/>
  <c r="G146" i="23"/>
  <c r="G145" i="23"/>
  <c r="G144" i="23"/>
  <c r="I142" i="23"/>
  <c r="F142" i="23"/>
  <c r="F144" i="24" s="1"/>
  <c r="E142" i="23"/>
  <c r="E144" i="24" s="1"/>
  <c r="D142" i="23"/>
  <c r="G141" i="23"/>
  <c r="G140" i="23"/>
  <c r="G139" i="23"/>
  <c r="G138" i="23"/>
  <c r="G137" i="23"/>
  <c r="G136" i="23"/>
  <c r="G135" i="23"/>
  <c r="H142" i="23" s="1"/>
  <c r="G134" i="23"/>
  <c r="I130" i="23"/>
  <c r="F130" i="23"/>
  <c r="F132" i="24" s="1"/>
  <c r="E130" i="23"/>
  <c r="E132" i="24" s="1"/>
  <c r="D130" i="23"/>
  <c r="G129" i="23"/>
  <c r="G128" i="23"/>
  <c r="G127" i="23"/>
  <c r="G126" i="23"/>
  <c r="G125" i="23"/>
  <c r="G124" i="23"/>
  <c r="G123" i="23"/>
  <c r="G122" i="23"/>
  <c r="I120" i="23"/>
  <c r="G120" i="23"/>
  <c r="F120" i="23"/>
  <c r="F121" i="24" s="1"/>
  <c r="E120" i="23"/>
  <c r="E121" i="24" s="1"/>
  <c r="D120" i="23"/>
  <c r="G119" i="23"/>
  <c r="G118" i="23"/>
  <c r="G117" i="23"/>
  <c r="G116" i="23"/>
  <c r="G115" i="23"/>
  <c r="G114" i="23"/>
  <c r="G113" i="23"/>
  <c r="G112" i="23"/>
  <c r="F110" i="23"/>
  <c r="F110" i="24" s="1"/>
  <c r="E110" i="23"/>
  <c r="E110" i="24" s="1"/>
  <c r="D110" i="23"/>
  <c r="D110" i="24" s="1"/>
  <c r="G109" i="23"/>
  <c r="G108" i="23"/>
  <c r="G107" i="23"/>
  <c r="G106" i="23"/>
  <c r="G105" i="23"/>
  <c r="G104" i="23"/>
  <c r="G103" i="23"/>
  <c r="G102" i="23"/>
  <c r="F100" i="23"/>
  <c r="F99" i="24" s="1"/>
  <c r="E100" i="23"/>
  <c r="E99" i="24" s="1"/>
  <c r="D100" i="23"/>
  <c r="D99" i="24" s="1"/>
  <c r="G99" i="23"/>
  <c r="G98" i="23"/>
  <c r="G97" i="23"/>
  <c r="G96" i="23"/>
  <c r="G95" i="23"/>
  <c r="G94" i="23"/>
  <c r="G93" i="23"/>
  <c r="G92" i="23"/>
  <c r="I88" i="23"/>
  <c r="F88" i="23"/>
  <c r="E88" i="23"/>
  <c r="E87" i="24" s="1"/>
  <c r="D88" i="23"/>
  <c r="D87" i="24" s="1"/>
  <c r="G87" i="23"/>
  <c r="G86" i="23"/>
  <c r="G85" i="23"/>
  <c r="G84" i="23"/>
  <c r="G83" i="23"/>
  <c r="G82" i="23"/>
  <c r="G81" i="23"/>
  <c r="G80" i="23"/>
  <c r="F78" i="23"/>
  <c r="F76" i="24" s="1"/>
  <c r="E78" i="23"/>
  <c r="E76" i="24" s="1"/>
  <c r="D78" i="23"/>
  <c r="G77" i="23"/>
  <c r="G76" i="23"/>
  <c r="G75" i="23"/>
  <c r="G74" i="23"/>
  <c r="G73" i="23"/>
  <c r="G72" i="23"/>
  <c r="G71" i="23"/>
  <c r="G70" i="23"/>
  <c r="H78" i="23" s="1"/>
  <c r="F68" i="23"/>
  <c r="F65" i="24" s="1"/>
  <c r="E68" i="23"/>
  <c r="E65" i="24" s="1"/>
  <c r="D68" i="23"/>
  <c r="D65" i="24" s="1"/>
  <c r="G67" i="23"/>
  <c r="G66" i="23"/>
  <c r="G65" i="23"/>
  <c r="G64" i="23"/>
  <c r="G63" i="23"/>
  <c r="G62" i="23"/>
  <c r="G61" i="23"/>
  <c r="G60" i="23"/>
  <c r="F58" i="23"/>
  <c r="F54" i="24" s="1"/>
  <c r="E58" i="23"/>
  <c r="E54" i="24" s="1"/>
  <c r="D58" i="23"/>
  <c r="D54" i="24" s="1"/>
  <c r="G57" i="23"/>
  <c r="G56" i="23"/>
  <c r="G55" i="23"/>
  <c r="G54" i="23"/>
  <c r="G53" i="23"/>
  <c r="G52" i="23"/>
  <c r="G51" i="23"/>
  <c r="G50" i="23"/>
  <c r="I46" i="23"/>
  <c r="F46" i="23"/>
  <c r="F42" i="24" s="1"/>
  <c r="E46" i="23"/>
  <c r="E42" i="24" s="1"/>
  <c r="D46" i="23"/>
  <c r="D42" i="24" s="1"/>
  <c r="G45" i="23"/>
  <c r="G44" i="23"/>
  <c r="G43" i="23"/>
  <c r="G42" i="23"/>
  <c r="G41" i="23"/>
  <c r="G40" i="23"/>
  <c r="G39" i="23"/>
  <c r="G38" i="23"/>
  <c r="F36" i="23"/>
  <c r="E36" i="23"/>
  <c r="E31" i="24" s="1"/>
  <c r="D36" i="23"/>
  <c r="D31" i="24" s="1"/>
  <c r="G35" i="23"/>
  <c r="G34" i="23"/>
  <c r="G33" i="23"/>
  <c r="G32" i="23"/>
  <c r="G31" i="23"/>
  <c r="G30" i="23"/>
  <c r="G29" i="23"/>
  <c r="G28" i="23"/>
  <c r="F26" i="23"/>
  <c r="E26" i="23"/>
  <c r="E20" i="24" s="1"/>
  <c r="D26" i="23"/>
  <c r="D20" i="24" s="1"/>
  <c r="G25" i="23"/>
  <c r="G24" i="23"/>
  <c r="G23" i="23"/>
  <c r="G22" i="23"/>
  <c r="G26" i="23" s="1"/>
  <c r="G21" i="23"/>
  <c r="G20" i="23"/>
  <c r="G19" i="23"/>
  <c r="G18" i="23"/>
  <c r="F16" i="23"/>
  <c r="F9" i="24" s="1"/>
  <c r="E16" i="23"/>
  <c r="E9" i="24" s="1"/>
  <c r="D16" i="23"/>
  <c r="G15" i="23"/>
  <c r="G14" i="23"/>
  <c r="G13" i="23"/>
  <c r="G12" i="23"/>
  <c r="G11" i="23"/>
  <c r="G10" i="23"/>
  <c r="G9" i="23"/>
  <c r="G8" i="23"/>
  <c r="I92" i="23"/>
  <c r="I94" i="23"/>
  <c r="I72" i="23"/>
  <c r="I102" i="23"/>
  <c r="I28" i="23"/>
  <c r="I8" i="23"/>
  <c r="I60" i="23"/>
  <c r="I105" i="23"/>
  <c r="I30" i="23"/>
  <c r="I50" i="23"/>
  <c r="I29" i="23"/>
  <c r="I9" i="23"/>
  <c r="I70" i="23"/>
  <c r="I18" i="23"/>
  <c r="I71" i="23"/>
  <c r="I106" i="23"/>
  <c r="I19" i="23"/>
  <c r="G42" i="24" l="1"/>
  <c r="H120" i="23"/>
  <c r="G110" i="23"/>
  <c r="G142" i="23"/>
  <c r="G78" i="23"/>
  <c r="H152" i="23"/>
  <c r="H162" i="23"/>
  <c r="H58" i="23"/>
  <c r="H26" i="23"/>
  <c r="G16" i="23"/>
  <c r="G177" i="24"/>
  <c r="G46" i="23"/>
  <c r="G36" i="23"/>
  <c r="H36" i="23"/>
  <c r="G100" i="23"/>
  <c r="G99" i="24"/>
  <c r="G88" i="23"/>
  <c r="H88" i="23"/>
  <c r="H100" i="23"/>
  <c r="G58" i="23"/>
  <c r="G54" i="24"/>
  <c r="G162" i="23"/>
  <c r="G152" i="23"/>
  <c r="G172" i="23"/>
  <c r="E192" i="23"/>
  <c r="E193" i="23" s="1"/>
  <c r="E201" i="23" s="1"/>
  <c r="F192" i="23"/>
  <c r="F193" i="23" s="1"/>
  <c r="F200" i="23" s="1"/>
  <c r="G110" i="24"/>
  <c r="H16" i="23"/>
  <c r="I100" i="23"/>
  <c r="I68" i="23"/>
  <c r="I26" i="23"/>
  <c r="I110" i="23"/>
  <c r="I78" i="23"/>
  <c r="I58" i="23"/>
  <c r="I16" i="23"/>
  <c r="I36" i="23"/>
  <c r="E188" i="24"/>
  <c r="G181" i="23"/>
  <c r="H181" i="23"/>
  <c r="F188" i="24"/>
  <c r="G65" i="24"/>
  <c r="F20" i="24"/>
  <c r="G20" i="24" s="1"/>
  <c r="F87" i="24"/>
  <c r="G87" i="24" s="1"/>
  <c r="D166" i="24"/>
  <c r="G166" i="24" s="1"/>
  <c r="F208" i="24"/>
  <c r="F31" i="24"/>
  <c r="G31" i="24" s="1"/>
  <c r="G95" i="24"/>
  <c r="D132" i="24"/>
  <c r="G132" i="24" s="1"/>
  <c r="H68" i="23"/>
  <c r="H130" i="23"/>
  <c r="D9" i="24"/>
  <c r="G9" i="24" s="1"/>
  <c r="H46" i="23"/>
  <c r="G68" i="23"/>
  <c r="D76" i="24"/>
  <c r="G76" i="24" s="1"/>
  <c r="H110" i="23"/>
  <c r="G130" i="23"/>
  <c r="D144" i="24"/>
  <c r="G144" i="24" s="1"/>
  <c r="H172" i="23"/>
  <c r="D188" i="24"/>
  <c r="G118" i="24"/>
  <c r="G155" i="24"/>
  <c r="D208" i="24"/>
  <c r="D121" i="24"/>
  <c r="G121" i="24" s="1"/>
  <c r="I205" i="23" l="1"/>
  <c r="E194" i="23"/>
  <c r="G188" i="24"/>
  <c r="D205" i="23"/>
  <c r="F201" i="23"/>
  <c r="F203" i="23" s="1"/>
  <c r="E200" i="23"/>
  <c r="E203" i="23" s="1"/>
  <c r="D209" i="24"/>
  <c r="D210" i="24" s="1"/>
  <c r="G208" i="24"/>
  <c r="F194" i="23"/>
  <c r="G192" i="23"/>
  <c r="D193" i="23"/>
  <c r="D194" i="23" s="1"/>
  <c r="I206" i="23" l="1"/>
  <c r="D201" i="23"/>
  <c r="D202" i="23"/>
  <c r="D200" i="23"/>
  <c r="D209" i="23"/>
  <c r="D206" i="23"/>
  <c r="G193" i="23"/>
  <c r="G194" i="23"/>
  <c r="G202" i="23" l="1"/>
  <c r="C24" i="45"/>
  <c r="F24" i="45" s="1"/>
  <c r="G200" i="23"/>
  <c r="C22" i="45"/>
  <c r="C23" i="45"/>
  <c r="F23" i="45" s="1"/>
  <c r="G201" i="23"/>
  <c r="D203" i="23"/>
  <c r="I183" i="23" l="1"/>
  <c r="C25" i="45"/>
  <c r="F22" i="45"/>
  <c r="G203" i="23"/>
  <c r="F25" i="45" l="1"/>
  <c r="G22" i="45" l="1"/>
  <c r="G24" i="45"/>
  <c r="G25" i="45"/>
  <c r="G23" i="45"/>
</calcChain>
</file>

<file path=xl/sharedStrings.xml><?xml version="1.0" encoding="utf-8"?>
<sst xmlns="http://schemas.openxmlformats.org/spreadsheetml/2006/main" count="646" uniqueCount="361">
  <si>
    <t>Annex D - PBF Project Budget</t>
  </si>
  <si>
    <t>CSO Version</t>
  </si>
  <si>
    <t xml:space="preserve">Annex D - PBF Project Budget </t>
  </si>
  <si>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</si>
  <si>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</si>
  <si>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</si>
  <si>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Recipient Organization</t>
  </si>
  <si>
    <t>Recipient Organization 2 Budget</t>
  </si>
  <si>
    <t>Recipient Organization 3 Budget</t>
  </si>
  <si>
    <t>Total</t>
  </si>
  <si>
    <r>
      <rPr>
        <b/>
        <sz val="12"/>
        <color theme="1"/>
        <rFont val="Calibri"/>
        <family val="2"/>
        <scheme val="minor"/>
      </rPr>
      <t xml:space="preserve">% of budget </t>
    </r>
    <r>
      <rPr>
        <sz val="12"/>
        <color theme="1"/>
        <rFont val="Calibri"/>
        <family val="2"/>
        <scheme val="minor"/>
      </rPr>
      <t xml:space="preserve">per activity allocated to </t>
    </r>
    <r>
      <rPr>
        <b/>
        <sz val="12"/>
        <color theme="1"/>
        <rFont val="Calibri"/>
        <family val="2"/>
        <scheme val="minor"/>
      </rPr>
      <t xml:space="preserve">Gender Equality and Women's Empowerment (GEWE) </t>
    </r>
    <r>
      <rPr>
        <sz val="12"/>
        <color theme="1"/>
        <rFont val="Calibri"/>
        <family val="2"/>
        <scheme val="minor"/>
      </rPr>
      <t>(if any):</t>
    </r>
  </si>
  <si>
    <r>
      <t xml:space="preserve">Current level of </t>
    </r>
    <r>
      <rPr>
        <b/>
        <sz val="12"/>
        <color theme="1"/>
        <rFont val="Calibri"/>
        <family val="2"/>
        <scheme val="minor"/>
      </rPr>
      <t>expenditure/ commitment</t>
    </r>
    <r>
      <rPr>
        <sz val="12"/>
        <color theme="1"/>
        <rFont val="Calibri"/>
        <family val="2"/>
        <scheme val="minor"/>
      </rPr>
      <t xml:space="preserve"> (to be completed at time of project progress reporting)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</si>
  <si>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</si>
  <si>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</si>
  <si>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</si>
  <si>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Output 1.1:</t>
  </si>
  <si>
    <t>Activity 1.1.1:</t>
  </si>
  <si>
    <t>Activity 1.1.2:</t>
  </si>
  <si>
    <t>Activity 1.1.3:</t>
  </si>
  <si>
    <t>Activity 1.1.4</t>
  </si>
  <si>
    <t>Activity 1.1.5</t>
  </si>
  <si>
    <t>Activity 1.1.6</t>
  </si>
  <si>
    <t>Activity 1.1.7</t>
  </si>
  <si>
    <t>Activity 1.1.8</t>
  </si>
  <si>
    <t>Output Total</t>
  </si>
  <si>
    <t>Output 1.2:</t>
  </si>
  <si>
    <t>Activity 1.2.1</t>
  </si>
  <si>
    <t>Activity 1.2.2</t>
  </si>
  <si>
    <t>Activity 1.2.3</t>
  </si>
  <si>
    <t>Activity 1.2.4</t>
  </si>
  <si>
    <t>Activity 1.2.5</t>
  </si>
  <si>
    <t>Activity 1.2.6</t>
  </si>
  <si>
    <t>Activity 1.2.7</t>
  </si>
  <si>
    <t>Activity 1.2.8</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</si>
  <si>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</si>
  <si>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</si>
  <si>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</si>
  <si>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</si>
  <si>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</si>
  <si>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</si>
  <si>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</si>
  <si>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</si>
  <si>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</si>
  <si>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</si>
  <si>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</si>
  <si>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</si>
  <si>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</si>
  <si>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</si>
  <si>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</si>
  <si>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</si>
  <si>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</si>
  <si>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</si>
  <si>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</si>
  <si>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Outcome 2.1</t>
  </si>
  <si>
    <t>Activity 2.1.1</t>
  </si>
  <si>
    <t>Activity 2.1.2</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</si>
  <si>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</si>
  <si>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</si>
  <si>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</si>
  <si>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</si>
  <si>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</si>
  <si>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</si>
  <si>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</si>
  <si>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</si>
  <si>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</si>
  <si>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</si>
  <si>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</si>
  <si>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</si>
  <si>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</si>
  <si>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</si>
  <si>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</si>
  <si>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</si>
  <si>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</si>
  <si>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</si>
  <si>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</si>
  <si>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</si>
  <si>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</si>
  <si>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</si>
  <si>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</si>
  <si>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</si>
  <si>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</si>
  <si>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</si>
  <si>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</si>
  <si>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</si>
  <si>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</si>
  <si>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</si>
  <si>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</si>
  <si>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</si>
  <si>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</si>
  <si>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</si>
  <si>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</si>
  <si>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</si>
  <si>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</si>
  <si>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</si>
  <si>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</si>
  <si>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</si>
  <si>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</si>
  <si>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</si>
  <si>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</si>
  <si>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</si>
  <si>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</si>
  <si>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</si>
  <si>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</si>
  <si>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</si>
  <si>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</si>
  <si>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</si>
  <si>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</si>
  <si>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</si>
  <si>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</si>
  <si>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</si>
  <si>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</si>
  <si>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</si>
  <si>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</si>
  <si>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</si>
  <si>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</si>
  <si>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</si>
  <si>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</si>
  <si>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</si>
  <si>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</si>
  <si>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</si>
  <si>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</si>
  <si>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</si>
  <si>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</si>
  <si>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</si>
  <si>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</si>
  <si>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</si>
  <si>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</si>
  <si>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</si>
  <si>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</si>
  <si>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</si>
  <si>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</si>
  <si>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</si>
  <si>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</si>
  <si>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</si>
  <si>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</si>
  <si>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</si>
  <si>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</si>
  <si>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</si>
  <si>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</si>
  <si>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</si>
  <si>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</si>
  <si>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</si>
  <si>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</si>
  <si>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</si>
  <si>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</si>
  <si>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</si>
  <si>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</si>
  <si>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</si>
  <si>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</si>
  <si>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</si>
  <si>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</si>
  <si>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</si>
  <si>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</si>
  <si>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</si>
  <si>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</si>
  <si>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</si>
  <si>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</si>
  <si>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</si>
  <si>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</si>
  <si>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</si>
  <si>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</si>
  <si>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</si>
  <si>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</si>
  <si>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</si>
  <si>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</si>
  <si>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</si>
  <si>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</si>
  <si>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Budget for independent audit</t>
  </si>
  <si>
    <t>Total Additional Costs</t>
  </si>
  <si>
    <t>Totals</t>
  </si>
  <si>
    <t>Recipient Organization 2</t>
  </si>
  <si>
    <t>Recipient Organization 3</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</si>
  <si>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</si>
  <si>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</si>
  <si>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</si>
  <si>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</si>
  <si>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</si>
  <si>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</si>
  <si>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</si>
  <si>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</si>
  <si>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</si>
  <si>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</si>
  <si>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</si>
  <si>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</si>
  <si>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</si>
  <si>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</si>
  <si>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</si>
  <si>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</si>
  <si>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Recipient Agency 2</t>
  </si>
  <si>
    <t>Recipient Agency 3</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</si>
  <si>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</si>
  <si>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</si>
  <si>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</si>
  <si>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</si>
  <si>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</si>
  <si>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</si>
  <si>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</si>
  <si>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</si>
  <si>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</si>
  <si>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</si>
  <si>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</si>
  <si>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</si>
  <si>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</si>
  <si>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</si>
  <si>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</si>
  <si>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</si>
  <si>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</si>
  <si>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</si>
  <si>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</si>
  <si>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</si>
  <si>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</si>
  <si>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Subtotal</t>
  </si>
  <si>
    <t>7% Indirect Costs</t>
  </si>
  <si>
    <t>TOTAL</t>
  </si>
  <si>
    <t>Local collectives led by young Afro-descendant and Indigenous feminists have strengthened their organizational capacities and aligned their narratives, anti-racist, decolonial and feminist approaches</t>
  </si>
  <si>
    <t>Afro-descendant and indigenous youth collectives work together with the community to identify and rehabilitate spaces as safe hubs</t>
  </si>
  <si>
    <t>USD 14,000 directly benefiting youth collectives. A consultant is included for the production of the documentary, this is preferably somebody from the youth collectives. Next consultant communication will guide the process during the project duration, together with a communication assistant from one of the youth collectives.</t>
  </si>
  <si>
    <t>Development and implementation of work and sustainability plans for each hub (including maintenance management of physical facilities and equipment, protocols and agreements for the management of the hub, etc.).</t>
  </si>
  <si>
    <t>Provide technical assistance in legal and operational aspects to youth groups for their organizational strengthening</t>
  </si>
  <si>
    <t>Development and implementation of creative methodologies to use art to create and disseminate gender-sensitive narratives and ethnicities for peacebuilding, based on what youth-led collectives already do</t>
  </si>
  <si>
    <t>Publication and dissemination of an annual report on protection risks and cases occurring in communities, as well as strategies for change and peacebuilding that can be replicated in other communities</t>
  </si>
  <si>
    <t>Mapping of key actors of formal and informal protection systems for prevention and response to protection risks associated with political participation</t>
  </si>
  <si>
    <t>Facilitate preparatory meetings with public officials and local government actors prior to youth-led training sessions</t>
  </si>
  <si>
    <t>Conducting youth-led training sessions for institutional actors, in which young people train decision-makers and stakeholders on intersectionality, gender, patriarchy, ethnicity and indigenous and Afro-descendant epistemologies, to strengthen the assertive application of public policies and institutional programs</t>
  </si>
  <si>
    <t>External Audit</t>
  </si>
  <si>
    <t>External Evaluation</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</si>
  <si>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</si>
  <si>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</si>
  <si>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</si>
  <si>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</si>
  <si>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</si>
  <si>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</si>
  <si>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</si>
  <si>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</si>
  <si>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r>
      <t>(</t>
    </r>
    <r>
      <rPr>
        <b/>
        <sz val="12"/>
        <color rgb="FF000000"/>
        <rFont val="Calibri"/>
        <family val="2"/>
      </rPr>
      <t>A</t>
    </r>
    <r>
      <rPr>
        <sz val="12"/>
        <color rgb="FF000000"/>
        <rFont val="Calibri"/>
        <family val="2"/>
      </rPr>
      <t>) Identification, rehabilitation and operationalization of an existing communal centre / public space  to create a safe hub for youth to come together. This hub will also function as the offices for the youth collectives and the implementing partners. The space is to be rehabilitated in consultation with the youth and feminist collectives in order to ensure a gender transformative/sensitive space (safe, brave feminist spaces). 
(</t>
    </r>
    <r>
      <rPr>
        <b/>
        <sz val="12"/>
        <color rgb="FF000000"/>
        <rFont val="Calibri"/>
        <family val="2"/>
      </rPr>
      <t>B</t>
    </r>
    <r>
      <rPr>
        <sz val="12"/>
        <color rgb="FF000000"/>
        <rFont val="Calibri"/>
        <family val="2"/>
      </rPr>
      <t>) Methodological support for the identification of an existing community center/public space and rehabilitation of the space to create a safe center for young people to gather in a space free of chauvinism, racism and discrimination</t>
    </r>
  </si>
  <si>
    <t>Creating safe spaces for young women leaders and actors to ensure promotion of collaborative work between afro-colombian and indigenous feminist collectives focusing on women's participation, gender rights of marginalised women and girls, education and employbility of afro-colombian women and girls, etc.</t>
  </si>
  <si>
    <t>EUR 146,000 directly benefiting the youth collectives of which USD 40,000 for equipment (furniture, computers) and USD 45,000 for rent of the Hubs. A monthly lumpsum will be provided to the youth collectives to cover for refreshments during meetings and workshops. It includes a monthly budget for travel within the department. Capacity building is provided by Finance and Partnership Coordinator.</t>
  </si>
  <si>
    <t xml:space="preserve">It is sought to maintain spaces where the young Afro-colombian and Indigenous youth leaders (mostly women)  can safely convene and build their strategies and plans for work around SGBV, SRHR, conversations around child marriage, participation for young women leaders in dialogues around bodily autonomy free of external threat, along with political participation of youth. </t>
  </si>
  <si>
    <t>EUR 38,000 directly benefitting youth collectives, for the hiring of an admin assistant in each location from the youth collectives. This line includes capacity building.</t>
  </si>
  <si>
    <t xml:space="preserve">Afro-descendant and Indigenous youth collectives have increased their knowledge and skills on administrative and organizational management, as well as on leadership, political decision-making and advocacy  </t>
  </si>
  <si>
    <t>Will ensure affirmative action towards representation and participation of women and girls in the capacity building sessions focused at improved technical and organisational capacity</t>
  </si>
  <si>
    <t>USD 5,000 directly benefiting the youth collectives. This is for contracting a lawyer which can support in legal issues, like registration of the collectives. This line also includes capacity building by Finance and Partnership Coordinator.</t>
  </si>
  <si>
    <t xml:space="preserve">Special measures are in place to ensure equitable particiaption and representation of women and men in the consultations.
Gender responsive approaches for safe participation will be mainstreamed in the advocacy skills sessions and in the implementation of  collaborative leadership toolkit </t>
  </si>
  <si>
    <t>This includes contracts for design of of education material .</t>
  </si>
  <si>
    <t xml:space="preserve">Afro-descendant and indigenous youth collectives participate in exchanges of knowledge on intersectionality, gender, patriarchy, ethnicity and indigenous and Afro-descendant epistemologies </t>
  </si>
  <si>
    <t>Design and implementation of methodologies for the realization of 3 meetings for exchanges of knowledge between groups of young women and men from Afro-descendant and indigenous communities. Realization of exchanges between groups 1 per territory with feminism gender approach and community work through urban art.</t>
  </si>
  <si>
    <t>The exchanges will include sessions on gender specific issues such as sexual violence as a weapon and tactic of war, importance of women's participation and gender perspective in combating gender based violence, peace process and mediation efforts.
Additionally, one of the three meetings will focus on the gender equality approach for the different ethnic groups: Afro-descendants and indigenous people</t>
  </si>
  <si>
    <t>Majority of the sensitization work will be done around gender related dimensions of violence and conflict. The outome will contribute to addressing gender inequality in access and decision making, and ultimately in conflict resolution and peacebuilding</t>
  </si>
  <si>
    <t>USD 43,000 directly benefits the youth collectives for the hiring of facilitators from the collectives (2 per location) who will implement the activities, reaching 3,800 youth. The facilitators will receive a technical training by the Child Protection and PSS Coordinator.
Budget also includes autonomous exchange spaces per region to prepare for the knoweledge exchange</t>
  </si>
  <si>
    <t xml:space="preserve">Implementation of a mentoring program for Afro-descendant and indigenous youth groups to promote the construction of a youth-led agenda for the consolidation of local peace from an Afrofeminist and decolonial feminist perspective 
</t>
  </si>
  <si>
    <t xml:space="preserve">While gender equality is not the main purpose of this activity, majority of action plan will focus on afro-feminist and decolonial feminist epsitemologies and importance of gender perspective in peacebuilding.
Gender equality conversations emerging from afro-colombian and indigenous feminist epistemologies are mainstreamed in the consolidation of the local peace agenda as well as in the academic programme for the youth groups. </t>
  </si>
  <si>
    <t>USD 32,000 directly benefiting the youth collectives for mentoring (capacity building) by the Protection and Gender Officers, Project Officers and Child Protection and PSS Coordinator..</t>
  </si>
  <si>
    <t>Afro-descendant and Indigenous youth collectives, particularly young women, have strengthened protection mechanisms and support networks for young people and civil society members who speak out on political and/or societal issues or participate in political processes.</t>
  </si>
  <si>
    <t xml:space="preserve">Indigenous and Afro-descendant young women and men are supported in forming an autonomous observatory that monitors and generates reports on protection risks related to political participation with gender, youth and ethnic perspectives </t>
  </si>
  <si>
    <r>
      <rPr>
        <sz val="12"/>
        <color rgb="FF000000"/>
        <rFont val="Calibri"/>
        <family val="2"/>
      </rPr>
      <t>(</t>
    </r>
    <r>
      <rPr>
        <b/>
        <sz val="12"/>
        <color rgb="FF000000"/>
        <rFont val="Calibri"/>
        <family val="2"/>
      </rPr>
      <t>A</t>
    </r>
    <r>
      <rPr>
        <sz val="12"/>
        <color rgb="FF000000"/>
        <rFont val="Calibri"/>
        <family val="2"/>
      </rPr>
      <t>) Design and implementation of a system for collecting and analyzing data on protection risks in the three locations. 
(</t>
    </r>
    <r>
      <rPr>
        <b/>
        <sz val="12"/>
        <color rgb="FF000000"/>
        <rFont val="Calibri"/>
        <family val="2"/>
      </rPr>
      <t>B</t>
    </r>
    <r>
      <rPr>
        <sz val="12"/>
        <color rgb="FF000000"/>
        <rFont val="Calibri"/>
        <family val="2"/>
      </rPr>
      <t>) Strengthen a participatory and community monitoring strategy that contributes to the functioning of the autonomous observatory</t>
    </r>
  </si>
  <si>
    <t>(A) Monitoring and Assessment of security will be undertaken with the aim of policy reform where the ToR considers security implications for women and men and response to violence against women and girls. (B) the observatory will also include monitoring of gender specific protection risks.
It is important to mention that this participatory monitoring strategy will be led by each of the communities, which are mostly women and young people; likewise, that the categories will contemplate intersectionality in terms of gender, youth, ethnicity and class.</t>
  </si>
  <si>
    <t>EUR 13,000 directly benefiting youth. Aim to handover the system to the youth collectives. Budget includes a IT consultant (USD 4,500), procurement of software (USD 2,500) and annual subscription for the softward. The IT consultant will travel to all locations for training.
It also includes a consultancy contract for monitoring strategy</t>
  </si>
  <si>
    <t xml:space="preserve">A big part of the report will also highlight security and protection risks for women and girls especially from a gender perspective with the aim of demanding better protection for young women leaders in peacebuilding work in order to increase their meaningful participation in the PB process. </t>
  </si>
  <si>
    <t>Budget includes printing of the annual reports, as well as annual events in each location to disseminate the report.</t>
  </si>
  <si>
    <t>Young women and men from Afro-descendant and Indigenous communities have developed contextualized digital and analogue tools, as mechanisms for self-protection and community protection</t>
  </si>
  <si>
    <t>Depending on the kind of protections risks will be mapped. However, the mapping excercise will identify gender specific threats to women leaders in their political participation. 
The mapping must necessarily contemplate the differentiated risks facing the body of women and young people in order to be able to carry out a broad and complete exercise around the effects of women and young people, this to provide safe tools for participation</t>
  </si>
  <si>
    <t>Budget includes support of Protection &amp; Gender Officers and Child Protection &amp; PSS Coordinator</t>
  </si>
  <si>
    <t xml:space="preserve">Adaptation, implementation and socialization of online (App/ OJO) and offline security protocols for the protection of young women and men from Afro-descendant and indigenous communities     </t>
  </si>
  <si>
    <t>if not more women, the activity will ensure equal number of women and men. While the protocol will also have self-protection components for SGBV risks for young women and girls.
Secondly, there will be an adaptation to the security protocols from a gender perspective. This in order to provide differentiated tools for women when developing protocols and using the tools.</t>
  </si>
  <si>
    <t>Afro-descendant and Indigenous youth facilitate and promote community-led initiatives aimed at enhancing the protection of youth involved in political and peacebuilding processes.</t>
  </si>
  <si>
    <t xml:space="preserve">Consolidation of the hub as a safe, brave feminist space. </t>
  </si>
  <si>
    <t>Ensuring, equal number of women and men (and representation of non-binary identities) in consultations for the development of toolbox. The toolbox will include tools for awareness raising campaigns and outreach around Prevention of Sexual Exploitation Abuse and Harassment (PSEAH).</t>
  </si>
  <si>
    <t>USD 4,000 directly benefitting youth. This includes the support of the Protection &amp; Gender officers.</t>
  </si>
  <si>
    <r>
      <rPr>
        <sz val="12"/>
        <color rgb="FF000000"/>
        <rFont val="Calibri"/>
        <family val="2"/>
      </rPr>
      <t>(</t>
    </r>
    <r>
      <rPr>
        <b/>
        <sz val="12"/>
        <color rgb="FF000000"/>
        <rFont val="Calibri"/>
        <family val="2"/>
      </rPr>
      <t>A</t>
    </r>
    <r>
      <rPr>
        <sz val="12"/>
        <color rgb="FF000000"/>
        <rFont val="Calibri"/>
        <family val="2"/>
      </rPr>
      <t>) Process of technical strengthening in community-led protection and mentoring for the constitution of community strategies for the prevention of risks associated with political participation and conflict to ensure safe participation. 
(</t>
    </r>
    <r>
      <rPr>
        <b/>
        <sz val="12"/>
        <color rgb="FF000000"/>
        <rFont val="Calibri"/>
        <family val="2"/>
      </rPr>
      <t>B</t>
    </r>
    <r>
      <rPr>
        <sz val="12"/>
        <color rgb="FF000000"/>
        <rFont val="Calibri"/>
        <family val="2"/>
      </rPr>
      <t>) Promote a meeting between the three zones to build a map of risks and build a path of self-protection and resistance based on the knowledge and practices of the participating communities, strengthening them with digital tools.</t>
    </r>
  </si>
  <si>
    <t>As most of the life threats are targeted at women human rights defenders due to their gender identity. Hence, this action will aim at special measures to ensure that women leaders are able to safely advocate for the rights of their communities and increase their participation in peacebuilding process. 
One of the main objectives of the project: Increasing participation of afro-colombian and indigenous women and girls with the aim of afro-feminist and de-colonial feminist perspective is incroporated in the peacebuilding efforts of the state.
The meeting foresees the meeting of the three communities, which are led by women and youth. A meeting is proposed that enables the exchange of knowledge and practices in the key of self-protection and resistance, which in the indigenous and Afro case has been millenary, also thanks to the learning of the adult women of the population group.</t>
  </si>
  <si>
    <t>USD 17,000 for communities to initiate 30 implementation plans for community led protection for youth at risk. A communication consultant and community assistant (from the youth collectives) will support the process.</t>
  </si>
  <si>
    <t>Consolidation of a communication and visibility campaign</t>
  </si>
  <si>
    <t xml:space="preserve">Based on the gender analysis special measures will be taken to ensure that equal numbers of men and women are participating in the consultation for the development of communication strategy. 
Secondly, the campaign will have targeted messages for women and men around gender equality and awareness generation around prevalent SGBV risks for afro-colombian and indigenous communities.
The pieces of communication that will be the product of the communication strategy will be built from a gender perspective and the messages that will be consolidated are directly linked to the participation of women and youth, as well as to mitigate their security risks. Communication is conceived as a tool of sensitivity to the issue it convenes, but also as a protective shield for the communities that decide to make themselves visible or their leaders.
</t>
  </si>
  <si>
    <t>Includes contractor for communication strategy.</t>
  </si>
  <si>
    <t>Regional, traditional local authorities and communities have improved their knowledge and perceptions of the participation of young people and women from Afro-descendant and indigenous communities regarding their perspectives, ambitions and needs in local and regional peacebuilding and political processes</t>
  </si>
  <si>
    <t>Afro-descendant and Indigenous youth, particularly young women, participate in participation scenarios with decision-makers from local and national state institutions and train them on youth-sensitive, ethnic-sensitive and gender-responsive policies, programming and thinking</t>
  </si>
  <si>
    <r>
      <rPr>
        <sz val="12"/>
        <color rgb="FF000000"/>
        <rFont val="Calibri"/>
        <family val="2"/>
      </rPr>
      <t>(</t>
    </r>
    <r>
      <rPr>
        <b/>
        <sz val="12"/>
        <color rgb="FF000000"/>
        <rFont val="Calibri"/>
        <family val="2"/>
      </rPr>
      <t>A</t>
    </r>
    <r>
      <rPr>
        <sz val="12"/>
        <color rgb="FF000000"/>
        <rFont val="Calibri"/>
        <family val="2"/>
      </rPr>
      <t>) Mapping of key political actors, stakeholders and intersectoral participation spaces at the local and regional level. 
(</t>
    </r>
    <r>
      <rPr>
        <b/>
        <sz val="12"/>
        <color rgb="FF000000"/>
        <rFont val="Calibri"/>
        <family val="2"/>
      </rPr>
      <t>B</t>
    </r>
    <r>
      <rPr>
        <sz val="12"/>
        <color rgb="FF000000"/>
        <rFont val="Calibri"/>
        <family val="2"/>
      </rPr>
      <t>) Methodological support to the construction of the mapping of key political actors and spaces for participation at the local and regional level, emphasizing the existing grassroots organizations in the territories.</t>
    </r>
  </si>
  <si>
    <t xml:space="preserve">Based on the gender analysis special measures will be taken to ensure that equal numbers of men and women are participating in the mapping exercise.
The mapping must necessarily consider how the political scenario is configured in terms of the women and youth agenda in order to be able to carry out a broad and complete exercise around the effects on women and youth, in order to provide safe participation tools.
</t>
  </si>
  <si>
    <t>Includes travel costs for participants.</t>
  </si>
  <si>
    <t>Given that historically women and girls have limited participation in decision making spaces, special measures will be taken to ensure at least equal number of women and men are represented in the agreement signing for quorum
It is expected that these previous meetings will be led by women and that the necessary issues will be addressed to advance the visibility of these population groups</t>
  </si>
  <si>
    <t>As one of the aspects on which the youth collectives will increase their skills and advocate for with the institutional actor will also focus on gender responsive public policies, institutional programming and peacebuilding process.</t>
  </si>
  <si>
    <t>USD 31,000 directly benefiting youth collectives, e.g. for hiring 6 facilitators from the collectives.. 4 sessions in each location to be organised. This includes the support of the Protection &amp; Gender officer, the Project Officer and the Child Protection and PSS Coordinator.</t>
  </si>
  <si>
    <t>Youth collectives design and organize advocacy initiatives for communities on Afro-feminist, Indigenous and decolonial feminist perspectives in peacebuilding processes and political decision-making</t>
  </si>
  <si>
    <t>Design and implementation of a communication and advocacy strategy for each of the locations</t>
  </si>
  <si>
    <t xml:space="preserve"> As part of the advocacy and awareness raising campaign will focus on gender issues and women's participation and will have targeted messages for women and men </t>
  </si>
  <si>
    <t>This includes travel for participants and consultant for communication strategy</t>
  </si>
  <si>
    <t>Co-creation and deployment of awareness and promotion campaigns led by youth groups in new formats and with online and offline reach</t>
  </si>
  <si>
    <t>The co-creation process will ensure will sought that the participating public is 60% women. While the awareness and promotion campaign will also focus on gender specific issues around SGBV, child marriage and several others issues identified by the youth collectives. 
The communication campaigns incorporate the gender approach in their content and production.</t>
  </si>
  <si>
    <t>Consolidation of a decalogue (illustrated guide) of good practices in leadership and advocacy in ethnic communities, including lessons learned and tactics with the potential to be replicated in communities with similar characteristics</t>
  </si>
  <si>
    <t>The decalogue will include lessons from afro-colombian, indigenous and decolonial feminist epistemologies as tools for gender responsive/feminist leadership models.
Likewise, it will be sought that the participating public is 60% women.</t>
  </si>
  <si>
    <t xml:space="preserve">Production of a documentary on the analysis of the conflict and with a vision of peace from a youth, Afrofeminist and indigenous perspective, also reflecting on the achievements of the project </t>
  </si>
  <si>
    <t>Gender analysis will be mainstreamed in the documentary on conflict analysis and will highlight gendered impact of the conflict.
Additionally, the documentary will incorporate afro-feminists and decolonial feminists epistemologies around the notion of territorial peace</t>
  </si>
  <si>
    <t>USD 14,000 directly benefiting youth collectives. A consultant is included for the production of the documentary, this is preferably somebody from the youth collectives. A communication consultant will guide the process during the project duration, together with a communication assistant from one of the youth collectives.</t>
  </si>
  <si>
    <r>
      <t>(</t>
    </r>
    <r>
      <rPr>
        <b/>
        <sz val="12"/>
        <color rgb="FF000000"/>
        <rFont val="Calibri"/>
        <family val="2"/>
      </rPr>
      <t>A</t>
    </r>
    <r>
      <rPr>
        <sz val="12"/>
        <color rgb="FF000000"/>
        <rFont val="Calibri"/>
        <family val="2"/>
      </rPr>
      <t>) Educational and peacebuilding activities in each territory to reflect on the ethnic chapter of the peace agreement and strengthen community protection structures
(</t>
    </r>
    <r>
      <rPr>
        <b/>
        <sz val="12"/>
        <color rgb="FF000000"/>
        <rFont val="Calibri"/>
        <family val="2"/>
      </rPr>
      <t>B</t>
    </r>
    <r>
      <rPr>
        <sz val="12"/>
        <color rgb="FF000000"/>
        <rFont val="Calibri"/>
        <family val="2"/>
      </rPr>
      <t>) Information sessions on the implementation of the ethnic chapter of the agreement for delegates from the Municipal Youth Council, ethnic organizations, communities, school boards and others</t>
    </r>
  </si>
  <si>
    <t>As part of the advocacy and awareness raising campaign will focus on gender issues and women's participation
Additionally, one of the educatial and peacebuilding activities will focus on the gender equality approach for the different ethnic groups as mentioned in the ethnic chapter of the peacce agreement</t>
  </si>
  <si>
    <t>USD 25,000 directly benefiting the youth collective (includes capacity building), partly used for hiring 6 facilitators from the youth collectives.
Budget also includes travel of participants.</t>
  </si>
  <si>
    <t xml:space="preserve">Carrying out a closing event with regional, traditional and local authorities as well as community members and other relevant stakeholders. </t>
  </si>
  <si>
    <t xml:space="preserve">Each event will highlight the peace agreements commitment towards improved participation of marginalised women and girls in the decision making processes. </t>
  </si>
  <si>
    <t>Staffing</t>
  </si>
  <si>
    <t>The project staff will also have personnels focused on implementation of activities with youth collectives with the main focus on gender, participation and PSEAH considerations.
Ensuring alignment with the gender equality narratives and requirements of the project, while ensuring safe and  equitable participation of marginalised gender identities.</t>
  </si>
  <si>
    <t>Includes Sr Project Coordinator and support from War Child coordination team (Log Security Coordinator, HR Coordinator, Program Manager and Finance Coordinator)</t>
  </si>
  <si>
    <t>Diverse items</t>
  </si>
  <si>
    <t>N.A.</t>
  </si>
  <si>
    <t>This includes security training, laptops for field team, service contracts for accountants services and lawyer, office rent in project location, and contribution to office rent in Bogota</t>
  </si>
  <si>
    <t>M&amp;E team and equipment</t>
  </si>
  <si>
    <t>Thsi includes contribution to M&amp;E Coordinator, a M&amp;E officer based in the project location, 2 laptops and tablets to collect data, and a budget for base- and endline</t>
  </si>
  <si>
    <t>For MPTFO Use</t>
  </si>
  <si>
    <t>Third Tranche:</t>
  </si>
  <si>
    <r>
      <t>(</t>
    </r>
    <r>
      <rPr>
        <b/>
        <sz val="12"/>
        <color rgb="FF000000"/>
        <rFont val="Calibri"/>
        <family val="2"/>
      </rPr>
      <t>A</t>
    </r>
    <r>
      <rPr>
        <sz val="12"/>
        <color rgb="FF000000"/>
        <rFont val="Calibri"/>
        <family val="2"/>
      </rPr>
      <t>) Design and implementation of a program to strengthen advocacy skills under an analysis of: audiences, windows of opportunity, advocacy cycles and citizen shielding and a differential approach to gender and youth to strengthen safe participation mechanisms. Human rights, conflict resolution and communication strategy. 
(</t>
    </r>
    <r>
      <rPr>
        <b/>
        <sz val="12"/>
        <color rgb="FF000000"/>
        <rFont val="Calibri"/>
        <family val="2"/>
      </rPr>
      <t>B</t>
    </r>
    <r>
      <rPr>
        <sz val="12"/>
        <color rgb="FF000000"/>
        <rFont val="Calibri"/>
        <family val="2"/>
      </rPr>
      <t>) Implementation of a toolkit for collaborative leadership (gender and ethnic responsive); toolbox specialized in strengthening skills to work collaboratively with various actors in the ecosystem.
(</t>
    </r>
    <r>
      <rPr>
        <b/>
        <sz val="12"/>
        <color rgb="FF000000"/>
        <rFont val="Calibri"/>
        <family val="2"/>
      </rPr>
      <t>C</t>
    </r>
    <r>
      <rPr>
        <sz val="12"/>
        <color rgb="FF000000"/>
        <rFont val="Calibri"/>
        <family val="2"/>
      </rPr>
      <t>) Design and implementation of an academic program of political training of youth groups (in the 3 regions) with a differential focus on gender and youth to strengthen safe participation mechanisms. Human rights, conflict resolution, communication. 
Training for 18 months</t>
    </r>
  </si>
  <si>
    <t>1.1.1.</t>
  </si>
  <si>
    <t>1.1.2.</t>
  </si>
  <si>
    <t>1.2.1.</t>
  </si>
  <si>
    <t>1.2.2.</t>
  </si>
  <si>
    <t>1.3.1.</t>
  </si>
  <si>
    <t>1.3.2.</t>
  </si>
  <si>
    <t>1.3.3.</t>
  </si>
  <si>
    <t>2.1.1.</t>
  </si>
  <si>
    <t>2.2.1.</t>
  </si>
  <si>
    <t>2.3.1.</t>
  </si>
  <si>
    <t>2.3.2.</t>
  </si>
  <si>
    <t>2.3.3.</t>
  </si>
  <si>
    <t>3.1.1.</t>
  </si>
  <si>
    <t>3.1.3.</t>
  </si>
  <si>
    <t>3.2.1.</t>
  </si>
  <si>
    <t>3.2.4.</t>
  </si>
  <si>
    <t>3.2.5.</t>
  </si>
  <si>
    <t>4.1.1.</t>
  </si>
  <si>
    <t>4.2.2.</t>
  </si>
  <si>
    <t>4.2.3.</t>
  </si>
  <si>
    <t>4.2.4.</t>
  </si>
  <si>
    <t>4.2.5.</t>
  </si>
  <si>
    <t>4.2.7.</t>
  </si>
  <si>
    <t>4.3.1.</t>
  </si>
  <si>
    <t>4.3.2.</t>
  </si>
  <si>
    <t>4.3.3.</t>
  </si>
  <si>
    <t>4.3.5.</t>
  </si>
  <si>
    <t>Etiquetas de fila</t>
  </si>
  <si>
    <t>Suma de Curr. amount</t>
  </si>
  <si>
    <t>Suma de Amount</t>
  </si>
  <si>
    <t>Suma de USD</t>
  </si>
  <si>
    <t>(en blanco)</t>
  </si>
  <si>
    <t>Total general</t>
  </si>
  <si>
    <t>Suma de Suma de USD</t>
  </si>
  <si>
    <t xml:space="preserve">Sub-Total </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</si>
  <si>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</si>
  <si>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For PBSO Use</t>
  </si>
  <si>
    <t>Outcome 1</t>
  </si>
  <si>
    <t>Outcome Budget</t>
  </si>
  <si>
    <t>Total Outcome Budget Towards SDGs</t>
  </si>
  <si>
    <t>SDG</t>
  </si>
  <si>
    <t>SDG %</t>
  </si>
  <si>
    <t>Total Towards SDG</t>
  </si>
  <si>
    <t>Outcome 2</t>
  </si>
  <si>
    <t>Outcome 3</t>
  </si>
  <si>
    <t>Outcome 4</t>
  </si>
  <si>
    <t>3.1.2.</t>
  </si>
  <si>
    <t>2.2.2.</t>
  </si>
  <si>
    <t>3.2.2.</t>
  </si>
  <si>
    <t>ALL CURRENT PERIOD</t>
  </si>
  <si>
    <t>ICR 7%</t>
  </si>
  <si>
    <t>Indirect suport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</si>
</sst>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0.00_);_(&quot;$&quot;* \(#,##0.00\);_(&quot;$&quot;* &quot;-&quot;??_);_(@_)"/>
    <numFmt numFmtId="165" formatCode="_(* #,##0.00_);_(* \(#,##0.00\);_(* &quot;-&quot;??_);_(@_)"/>
    <numFmt numFmtId="167" formatCode="_(&quot;$&quot;* #,##0_);_(&quot;$&quot;* \(#,##0\);_(&quot;$&quot;* &quot;-&quot;??_);_(@_)"/>
  </numFmts>
  <fonts count="29"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36"/>
      <color theme="1"/>
      <name val="Calibri"/>
      <family val="2"/>
      <scheme val="minor"/>
    </font>
    <font>
      <sz val="36"/>
      <color theme="1"/>
      <name val="Calibri"/>
      <family val="2"/>
      <scheme val="minor"/>
    </font>
    <font>
      <b/>
      <sz val="12"/>
      <color rgb="FF00B0F0"/>
      <name val="Calibri"/>
      <family val="2"/>
      <scheme val="minor"/>
    </font>
    <font>
      <b/>
      <sz val="24"/>
      <color rgb="FF00B0F0"/>
      <name val="Calibri"/>
      <family val="2"/>
      <scheme val="minor"/>
    </font>
    <font>
      <b/>
      <sz val="14"/>
      <color theme="1"/>
      <name val="Calibri"/>
      <family val="2"/>
      <scheme val="minor"/>
    </font>
    <font>
      <sz val="12"/>
      <name val="Calibri"/>
      <family val="2"/>
      <scheme val="minor"/>
    </font>
    <font>
      <sz val="12"/>
      <color theme="1"/>
      <name val="Calibri (Body)"/>
    </font>
    <font>
      <sz val="12"/>
      <color rgb="FF000000"/>
      <name val="Calibri"/>
      <family val="2"/>
    </font>
    <font>
      <b/>
      <sz val="12"/>
      <color rgb="FF000000"/>
      <name val="Calibri"/>
      <family val="2"/>
    </font>
    <font>
      <i/>
      <sz val="12"/>
      <color theme="1"/>
      <name val="Calibri"/>
      <family val="2"/>
      <scheme val="minor"/>
    </font>
    <font>
      <i/>
      <sz val="12"/>
      <color rgb="FF000000"/>
      <name val="Calibri"/>
      <family val="2"/>
      <scheme val="minor"/>
    </font>
    <font>
      <sz val="12"/>
      <color rgb="FF000000"/>
      <name val="Calibri (Body)"/>
    </font>
    <font>
      <sz val="12"/>
      <color rgb="FF000000"/>
      <name val="Calibri"/>
      <family val="2"/>
      <scheme val="minor"/>
    </font>
    <font>
      <i/>
      <sz val="12"/>
      <color rgb="FF000000"/>
      <name val="Calibri (Body)"/>
    </font>
    <font>
      <b/>
      <sz val="28"/>
      <color theme="1"/>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rgb="FFFFFFFF"/>
        <bgColor indexed="64"/>
      </patternFill>
    </fill>
    <fill>
      <patternFill patternType="solid">
        <fgColor theme="8" tint="0.79998168889431442"/>
        <bgColor indexed="64"/>
      </patternFill>
    </fill>
    <fill>
      <patternFill patternType="solid">
        <fgColor theme="4" tint="-0.499984740745262"/>
        <bgColor indexed="64"/>
      </patternFill>
    </fill>
    <fill>
      <patternFill patternType="solid">
        <fgColor rgb="FFFFFF00"/>
        <bgColor indexed="64"/>
      </patternFill>
    </fill>
  </fills>
  <borders count="5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s>
  <cellStyleXfs count="4">
    <xf numFmtId="0" fontId="0" fillId="0" borderId="0"/>
    <xf numFmtId="164"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cellStyleXfs>
  <cellXfs count="320">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5" fillId="0" borderId="0" xfId="0" applyFont="1" applyAlignment="1">
      <alignment vertical="center" wrapText="1"/>
    </xf>
    <xf numFmtId="0" fontId="2" fillId="3" borderId="0" xfId="0" applyFont="1" applyFill="1" applyAlignment="1">
      <alignment vertical="center" wrapText="1"/>
    </xf>
    <xf numFmtId="0" fontId="0" fillId="0" borderId="19" xfId="0" applyBorder="1"/>
    <xf numFmtId="0" fontId="0" fillId="0" borderId="20" xfId="0" applyBorder="1" applyAlignment="1">
      <alignment wrapText="1"/>
    </xf>
    <xf numFmtId="0" fontId="0" fillId="0" borderId="21" xfId="0" applyBorder="1" applyAlignment="1">
      <alignment wrapText="1"/>
    </xf>
    <xf numFmtId="0" fontId="3" fillId="0" borderId="6" xfId="0" applyFont="1" applyBorder="1"/>
    <xf numFmtId="164" fontId="2" fillId="0" borderId="0" xfId="0" applyNumberFormat="1" applyFont="1" applyAlignment="1">
      <alignment vertical="center" wrapText="1"/>
    </xf>
    <xf numFmtId="0" fontId="2" fillId="2" borderId="13" xfId="0" applyFont="1" applyFill="1" applyBorder="1" applyAlignment="1">
      <alignment vertical="center" wrapText="1"/>
    </xf>
    <xf numFmtId="0" fontId="2" fillId="3" borderId="0" xfId="0" applyFont="1" applyFill="1" applyAlignment="1" applyProtection="1">
      <alignment vertical="center" wrapText="1"/>
      <protection locked="0"/>
    </xf>
    <xf numFmtId="164" fontId="9" fillId="0" borderId="0" xfId="1" applyFont="1" applyFill="1" applyBorder="1" applyAlignment="1" applyProtection="1">
      <alignment vertical="center" wrapText="1"/>
    </xf>
    <xf numFmtId="164" fontId="2" fillId="2" borderId="3" xfId="1" applyFont="1" applyFill="1" applyBorder="1" applyAlignment="1" applyProtection="1">
      <alignment horizontal="center" vertical="center" wrapText="1"/>
    </xf>
    <xf numFmtId="0" fontId="6" fillId="2" borderId="8" xfId="0" applyFont="1" applyFill="1" applyBorder="1" applyAlignment="1">
      <alignment vertical="center" wrapText="1"/>
    </xf>
    <xf numFmtId="164" fontId="6"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6"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0" fillId="0" borderId="0" xfId="0" applyFont="1" applyAlignment="1">
      <alignment wrapText="1"/>
    </xf>
    <xf numFmtId="0" fontId="11"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8" fillId="0" borderId="0" xfId="0" applyFont="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2" fillId="0" borderId="0" xfId="1" applyFont="1" applyFill="1" applyBorder="1" applyAlignment="1" applyProtection="1">
      <alignment horizontal="center" vertical="center" wrapText="1"/>
    </xf>
    <xf numFmtId="0" fontId="5" fillId="2" borderId="3" xfId="0" applyFont="1" applyFill="1" applyBorder="1" applyAlignment="1">
      <alignment vertical="center" wrapText="1"/>
    </xf>
    <xf numFmtId="0" fontId="5" fillId="2" borderId="3" xfId="0" applyFont="1" applyFill="1" applyBorder="1" applyAlignment="1" applyProtection="1">
      <alignment vertical="center" wrapText="1"/>
      <protection locked="0"/>
    </xf>
    <xf numFmtId="164" fontId="2" fillId="2" borderId="3" xfId="0" applyNumberFormat="1" applyFont="1" applyFill="1" applyBorder="1" applyAlignment="1">
      <alignment horizontal="center" wrapText="1"/>
    </xf>
    <xf numFmtId="164" fontId="2" fillId="4" borderId="3" xfId="1" applyFont="1" applyFill="1" applyBorder="1" applyAlignment="1" applyProtection="1">
      <alignment wrapText="1"/>
    </xf>
    <xf numFmtId="164" fontId="2" fillId="0" borderId="0" xfId="0" applyNumberFormat="1" applyFont="1" applyAlignment="1">
      <alignment wrapText="1"/>
    </xf>
    <xf numFmtId="164" fontId="5" fillId="0" borderId="0" xfId="1" applyFont="1" applyFill="1" applyBorder="1" applyAlignment="1">
      <alignment horizontal="right" vertical="center" wrapText="1"/>
    </xf>
    <xf numFmtId="0" fontId="2" fillId="2" borderId="36" xfId="0" applyFont="1" applyFill="1" applyBorder="1" applyAlignment="1">
      <alignment horizontal="center" wrapText="1"/>
    </xf>
    <xf numFmtId="164" fontId="2" fillId="2" borderId="3" xfId="0" applyNumberFormat="1" applyFont="1" applyFill="1" applyBorder="1" applyAlignment="1">
      <alignment wrapText="1"/>
    </xf>
    <xf numFmtId="0" fontId="5" fillId="2" borderId="36" xfId="0" applyFont="1" applyFill="1" applyBorder="1" applyAlignment="1">
      <alignment vertical="center" wrapText="1"/>
    </xf>
    <xf numFmtId="164" fontId="2" fillId="2" borderId="36" xfId="0" applyNumberFormat="1" applyFont="1" applyFill="1" applyBorder="1" applyAlignment="1">
      <alignment wrapText="1"/>
    </xf>
    <xf numFmtId="0" fontId="2" fillId="2" borderId="14" xfId="0" applyFont="1" applyFill="1" applyBorder="1" applyAlignment="1">
      <alignment horizontal="left" wrapText="1"/>
    </xf>
    <xf numFmtId="164" fontId="2" fillId="2" borderId="14" xfId="0" applyNumberFormat="1" applyFont="1" applyFill="1" applyBorder="1" applyAlignment="1">
      <alignment horizontal="center" wrapText="1"/>
    </xf>
    <xf numFmtId="164" fontId="2" fillId="2" borderId="14" xfId="0" applyNumberFormat="1" applyFont="1" applyFill="1" applyBorder="1" applyAlignment="1">
      <alignment wrapText="1"/>
    </xf>
    <xf numFmtId="164" fontId="2" fillId="4" borderId="3" xfId="1" applyFont="1" applyFill="1" applyBorder="1" applyAlignment="1">
      <alignmen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164" fontId="2" fillId="2" borderId="35" xfId="0" applyNumberFormat="1" applyFont="1" applyFill="1" applyBorder="1" applyAlignment="1">
      <alignment wrapText="1"/>
    </xf>
    <xf numFmtId="164" fontId="2" fillId="2" borderId="9" xfId="0" applyNumberFormat="1" applyFont="1" applyFill="1" applyBorder="1" applyAlignment="1">
      <alignment wrapText="1"/>
    </xf>
    <xf numFmtId="164" fontId="2" fillId="2" borderId="15" xfId="0" applyNumberFormat="1" applyFont="1" applyFill="1" applyBorder="1" applyAlignment="1">
      <alignment wrapText="1"/>
    </xf>
    <xf numFmtId="0" fontId="2" fillId="2" borderId="11" xfId="0" applyFont="1" applyFill="1" applyBorder="1" applyAlignment="1">
      <alignment horizontal="center" wrapText="1"/>
    </xf>
    <xf numFmtId="164" fontId="2" fillId="2" borderId="29" xfId="1" applyFont="1" applyFill="1" applyBorder="1" applyAlignment="1">
      <alignment wrapText="1"/>
    </xf>
    <xf numFmtId="164" fontId="2" fillId="2" borderId="30" xfId="0" applyNumberFormat="1" applyFont="1" applyFill="1" applyBorder="1" applyAlignment="1">
      <alignment wrapText="1"/>
    </xf>
    <xf numFmtId="0" fontId="2" fillId="2" borderId="3" xfId="0" applyFont="1" applyFill="1" applyBorder="1" applyAlignment="1">
      <alignment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4" xfId="1" applyFont="1" applyFill="1" applyBorder="1" applyAlignment="1" applyProtection="1">
      <alignment vertical="center" wrapText="1"/>
    </xf>
    <xf numFmtId="164" fontId="2" fillId="2" borderId="34" xfId="1" applyFont="1" applyFill="1" applyBorder="1" applyAlignment="1" applyProtection="1">
      <alignment vertical="center" wrapText="1"/>
    </xf>
    <xf numFmtId="9" fontId="2" fillId="2" borderId="15" xfId="2" applyFont="1" applyFill="1" applyBorder="1" applyAlignment="1" applyProtection="1">
      <alignment vertical="center" wrapText="1"/>
    </xf>
    <xf numFmtId="0" fontId="3" fillId="2" borderId="25" xfId="0" applyFont="1" applyFill="1" applyBorder="1" applyAlignment="1">
      <alignment horizontal="left" vertical="center" wrapText="1"/>
    </xf>
    <xf numFmtId="16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164" fontId="2" fillId="2" borderId="9" xfId="2" applyNumberFormat="1" applyFont="1" applyFill="1" applyBorder="1" applyAlignment="1" applyProtection="1">
      <alignment wrapText="1"/>
    </xf>
    <xf numFmtId="164" fontId="2" fillId="2" borderId="15" xfId="1" applyFont="1" applyFill="1" applyBorder="1" applyAlignment="1" applyProtection="1">
      <alignment vertical="center" wrapText="1"/>
    </xf>
    <xf numFmtId="0" fontId="2" fillId="2" borderId="36" xfId="0" applyFont="1" applyFill="1" applyBorder="1" applyAlignment="1">
      <alignment vertical="center" wrapText="1"/>
    </xf>
    <xf numFmtId="0" fontId="2" fillId="2" borderId="31" xfId="0" applyFont="1" applyFill="1" applyBorder="1" applyAlignment="1">
      <alignment vertical="center" wrapText="1"/>
    </xf>
    <xf numFmtId="164" fontId="2" fillId="2" borderId="5" xfId="1" applyFont="1" applyFill="1" applyBorder="1" applyAlignment="1" applyProtection="1">
      <alignment vertical="center" wrapText="1"/>
    </xf>
    <xf numFmtId="164" fontId="2" fillId="2" borderId="37" xfId="1" applyFont="1" applyFill="1" applyBorder="1" applyAlignment="1" applyProtection="1">
      <alignment vertical="center" wrapText="1"/>
    </xf>
    <xf numFmtId="0" fontId="2" fillId="2" borderId="3" xfId="1" applyNumberFormat="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0" fontId="2" fillId="4" borderId="39" xfId="0" applyFont="1" applyFill="1" applyBorder="1" applyAlignment="1">
      <alignment vertical="center" wrapText="1"/>
    </xf>
    <xf numFmtId="164" fontId="2" fillId="2" borderId="2" xfId="1" applyFont="1" applyFill="1" applyBorder="1" applyAlignment="1" applyProtection="1">
      <alignment horizontal="center" vertical="center" wrapText="1"/>
    </xf>
    <xf numFmtId="0" fontId="2" fillId="2" borderId="2" xfId="1" applyNumberFormat="1" applyFont="1" applyFill="1" applyBorder="1" applyAlignment="1" applyProtection="1">
      <alignment vertical="center" wrapText="1"/>
    </xf>
    <xf numFmtId="164" fontId="2" fillId="2" borderId="42" xfId="1" applyFont="1" applyFill="1" applyBorder="1" applyAlignment="1" applyProtection="1">
      <alignment vertical="center" wrapText="1"/>
    </xf>
    <xf numFmtId="164" fontId="2" fillId="2" borderId="0" xfId="1" applyFont="1" applyFill="1" applyBorder="1" applyAlignment="1">
      <alignment wrapText="1"/>
    </xf>
    <xf numFmtId="164" fontId="2" fillId="2" borderId="45" xfId="1" applyFont="1" applyFill="1" applyBorder="1" applyAlignment="1">
      <alignment wrapText="1"/>
    </xf>
    <xf numFmtId="0" fontId="6" fillId="2" borderId="31" xfId="0" applyFont="1" applyFill="1" applyBorder="1" applyAlignment="1">
      <alignment vertical="center" wrapText="1"/>
    </xf>
    <xf numFmtId="164" fontId="2" fillId="2" borderId="12" xfId="0" applyNumberFormat="1" applyFont="1" applyFill="1" applyBorder="1" applyAlignment="1">
      <alignment wrapText="1"/>
    </xf>
    <xf numFmtId="164" fontId="2" fillId="2" borderId="13" xfId="1" applyFont="1" applyFill="1" applyBorder="1" applyAlignment="1" applyProtection="1">
      <alignment wrapText="1"/>
    </xf>
    <xf numFmtId="164" fontId="2" fillId="2" borderId="14" xfId="1" applyFont="1" applyFill="1" applyBorder="1" applyAlignment="1">
      <alignment wrapText="1"/>
    </xf>
    <xf numFmtId="164" fontId="2" fillId="2" borderId="22" xfId="1" applyFont="1" applyFill="1" applyBorder="1" applyAlignment="1">
      <alignment wrapText="1"/>
    </xf>
    <xf numFmtId="164" fontId="2" fillId="2" borderId="17" xfId="0" applyNumberFormat="1" applyFont="1" applyFill="1" applyBorder="1" applyAlignment="1">
      <alignment wrapText="1"/>
    </xf>
    <xf numFmtId="0" fontId="12" fillId="0" borderId="0" xfId="0" applyFont="1" applyAlignment="1">
      <alignment wrapText="1"/>
    </xf>
    <xf numFmtId="9" fontId="2" fillId="3" borderId="9" xfId="2" applyFont="1" applyFill="1" applyBorder="1" applyAlignment="1" applyProtection="1">
      <alignment vertical="center" wrapText="1"/>
      <protection locked="0"/>
    </xf>
    <xf numFmtId="9" fontId="2" fillId="3" borderId="28" xfId="2" applyFont="1" applyFill="1" applyBorder="1" applyAlignment="1" applyProtection="1">
      <alignment vertical="center" wrapText="1"/>
      <protection locked="0"/>
    </xf>
    <xf numFmtId="10" fontId="2" fillId="2" borderId="9" xfId="2" applyNumberFormat="1" applyFont="1" applyFill="1" applyBorder="1" applyAlignment="1" applyProtection="1">
      <alignment wrapText="1"/>
    </xf>
    <xf numFmtId="164" fontId="2" fillId="3" borderId="0" xfId="1" applyFont="1" applyFill="1" applyBorder="1" applyAlignment="1" applyProtection="1">
      <alignment vertical="center" wrapText="1"/>
      <protection locked="0"/>
    </xf>
    <xf numFmtId="164" fontId="0" fillId="0" borderId="0" xfId="1" applyFont="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Fill="1" applyBorder="1" applyAlignment="1">
      <alignment wrapText="1"/>
    </xf>
    <xf numFmtId="164" fontId="11" fillId="0" borderId="0" xfId="1" applyFont="1" applyBorder="1" applyAlignment="1">
      <alignment wrapText="1"/>
    </xf>
    <xf numFmtId="164" fontId="2" fillId="2" borderId="25" xfId="0" applyNumberFormat="1" applyFont="1" applyFill="1" applyBorder="1" applyAlignment="1">
      <alignment vertical="center" wrapText="1"/>
    </xf>
    <xf numFmtId="164" fontId="0" fillId="2" borderId="16" xfId="1" applyFont="1" applyFill="1" applyBorder="1" applyAlignment="1">
      <alignment vertical="center" wrapText="1"/>
    </xf>
    <xf numFmtId="0" fontId="3" fillId="2" borderId="13" xfId="0" applyFont="1" applyFill="1" applyBorder="1" applyAlignment="1">
      <alignment wrapText="1"/>
    </xf>
    <xf numFmtId="0" fontId="2" fillId="2" borderId="5" xfId="0" applyFont="1" applyFill="1" applyBorder="1" applyAlignment="1">
      <alignment horizontal="center" vertical="center" wrapText="1"/>
    </xf>
    <xf numFmtId="0" fontId="1" fillId="2" borderId="3" xfId="0" applyFont="1" applyFill="1" applyBorder="1" applyAlignment="1">
      <alignment horizontal="center" vertical="center" wrapText="1"/>
    </xf>
    <xf numFmtId="164" fontId="2" fillId="3" borderId="3" xfId="1" applyFont="1" applyFill="1" applyBorder="1" applyAlignment="1" applyProtection="1">
      <alignment horizontal="center" vertical="center" wrapText="1"/>
    </xf>
    <xf numFmtId="164" fontId="0" fillId="0" borderId="0" xfId="1" applyFont="1" applyFill="1" applyBorder="1" applyAlignment="1">
      <alignment vertical="center" wrapText="1"/>
    </xf>
    <xf numFmtId="9" fontId="3" fillId="0" borderId="0" xfId="2" applyFont="1" applyFill="1" applyBorder="1" applyAlignment="1">
      <alignment wrapText="1"/>
    </xf>
    <xf numFmtId="0" fontId="14" fillId="0" borderId="47" xfId="0" applyFont="1" applyBorder="1" applyAlignment="1">
      <alignment horizontal="left" wrapText="1"/>
    </xf>
    <xf numFmtId="0" fontId="2" fillId="0" borderId="3" xfId="0" applyFont="1" applyBorder="1" applyAlignment="1" applyProtection="1">
      <alignment horizontal="center" vertical="center" wrapText="1"/>
      <protection locked="0"/>
    </xf>
    <xf numFmtId="164" fontId="1" fillId="3" borderId="0" xfId="1" applyFont="1" applyFill="1" applyBorder="1" applyAlignment="1" applyProtection="1">
      <alignment vertical="center" wrapText="1"/>
      <protection locked="0"/>
    </xf>
    <xf numFmtId="0" fontId="1" fillId="0" borderId="3" xfId="0" applyFont="1" applyBorder="1" applyAlignment="1" applyProtection="1">
      <alignment horizontal="left" vertical="top" wrapText="1"/>
      <protection locked="0"/>
    </xf>
    <xf numFmtId="164" fontId="1" fillId="0" borderId="3" xfId="1" applyFont="1" applyBorder="1" applyAlignment="1" applyProtection="1">
      <alignment horizontal="center" vertical="center" wrapText="1"/>
      <protection locked="0"/>
    </xf>
    <xf numFmtId="16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164" fontId="1" fillId="3" borderId="3" xfId="1" applyFont="1" applyFill="1" applyBorder="1" applyAlignment="1" applyProtection="1">
      <alignment horizontal="center" vertical="center" wrapText="1"/>
      <protection locked="0"/>
    </xf>
    <xf numFmtId="0" fontId="1" fillId="0" borderId="0" xfId="0" applyFont="1" applyAlignment="1">
      <alignment wrapText="1"/>
    </xf>
    <xf numFmtId="0" fontId="1" fillId="3" borderId="0" xfId="0" applyFont="1" applyFill="1" applyAlignment="1">
      <alignment wrapText="1"/>
    </xf>
    <xf numFmtId="0" fontId="1" fillId="2" borderId="3" xfId="0" applyFont="1" applyFill="1" applyBorder="1" applyAlignment="1">
      <alignment vertical="center" wrapText="1"/>
    </xf>
    <xf numFmtId="164" fontId="1" fillId="0" borderId="0" xfId="1" applyFont="1" applyFill="1" applyBorder="1" applyAlignment="1" applyProtection="1">
      <alignment horizontal="center" vertical="center" wrapText="1"/>
    </xf>
    <xf numFmtId="0" fontId="1" fillId="3" borderId="3" xfId="0" applyFont="1" applyFill="1" applyBorder="1" applyAlignment="1" applyProtection="1">
      <alignment horizontal="left" vertical="top" wrapText="1"/>
      <protection locked="0"/>
    </xf>
    <xf numFmtId="9" fontId="1" fillId="3" borderId="3" xfId="2" applyFont="1" applyFill="1" applyBorder="1" applyAlignment="1" applyProtection="1">
      <alignment horizontal="center" vertical="center"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164" fontId="1" fillId="3" borderId="0" xfId="1" applyFont="1" applyFill="1" applyBorder="1" applyAlignment="1" applyProtection="1">
      <alignment horizontal="center" vertical="center" wrapText="1"/>
      <protection locked="0"/>
    </xf>
    <xf numFmtId="0" fontId="1" fillId="3" borderId="3" xfId="0" applyFont="1" applyFill="1" applyBorder="1" applyAlignment="1" applyProtection="1">
      <alignment vertical="center" wrapText="1"/>
      <protection locked="0"/>
    </xf>
    <xf numFmtId="164" fontId="1" fillId="0" borderId="3" xfId="1" applyFont="1" applyBorder="1" applyAlignment="1" applyProtection="1">
      <alignment vertical="center" wrapText="1"/>
      <protection locked="0"/>
    </xf>
    <xf numFmtId="16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164" fontId="1" fillId="2" borderId="2" xfId="0" applyNumberFormat="1" applyFont="1" applyFill="1" applyBorder="1" applyAlignment="1">
      <alignment vertical="center" wrapText="1"/>
    </xf>
    <xf numFmtId="164" fontId="1" fillId="2" borderId="3" xfId="0" applyNumberFormat="1" applyFont="1" applyFill="1" applyBorder="1" applyAlignment="1">
      <alignment vertical="center" wrapText="1"/>
    </xf>
    <xf numFmtId="164" fontId="1" fillId="2" borderId="4" xfId="0" applyNumberFormat="1" applyFont="1" applyFill="1" applyBorder="1" applyAlignment="1">
      <alignment vertical="center" wrapText="1"/>
    </xf>
    <xf numFmtId="0" fontId="1" fillId="0" borderId="0" xfId="0" applyFont="1" applyAlignment="1" applyProtection="1">
      <alignment vertical="center" wrapText="1"/>
      <protection locked="0"/>
    </xf>
    <xf numFmtId="164" fontId="1" fillId="0" borderId="0" xfId="1" applyFont="1" applyFill="1" applyBorder="1" applyAlignment="1" applyProtection="1">
      <alignment vertical="center" wrapText="1"/>
      <protection locked="0"/>
    </xf>
    <xf numFmtId="0" fontId="1" fillId="0" borderId="0" xfId="0" applyFont="1" applyAlignment="1">
      <alignment vertical="center" wrapText="1"/>
    </xf>
    <xf numFmtId="164" fontId="1" fillId="0" borderId="36" xfId="0" applyNumberFormat="1" applyFont="1" applyBorder="1" applyAlignment="1" applyProtection="1">
      <alignment wrapText="1"/>
      <protection locked="0"/>
    </xf>
    <xf numFmtId="164" fontId="1" fillId="3" borderId="36" xfId="1" applyFont="1" applyFill="1" applyBorder="1" applyAlignment="1" applyProtection="1">
      <alignment horizontal="center" vertical="center" wrapText="1"/>
      <protection locked="0"/>
    </xf>
    <xf numFmtId="164" fontId="1" fillId="0" borderId="3" xfId="0" applyNumberFormat="1" applyFont="1" applyBorder="1" applyAlignment="1" applyProtection="1">
      <alignment wrapText="1"/>
      <protection locked="0"/>
    </xf>
    <xf numFmtId="164" fontId="1" fillId="2" borderId="36" xfId="0" applyNumberFormat="1" applyFont="1" applyFill="1" applyBorder="1" applyAlignment="1">
      <alignment wrapText="1"/>
    </xf>
    <xf numFmtId="164" fontId="1" fillId="2" borderId="43" xfId="0" applyNumberFormat="1" applyFont="1" applyFill="1" applyBorder="1" applyAlignment="1">
      <alignment wrapText="1"/>
    </xf>
    <xf numFmtId="164" fontId="1" fillId="3" borderId="0" xfId="1" applyFont="1" applyFill="1" applyBorder="1" applyAlignment="1" applyProtection="1">
      <alignment vertical="center" wrapText="1"/>
    </xf>
    <xf numFmtId="164" fontId="1" fillId="2" borderId="3" xfId="0" applyNumberFormat="1" applyFont="1" applyFill="1" applyBorder="1" applyAlignment="1">
      <alignment wrapText="1"/>
    </xf>
    <xf numFmtId="164" fontId="1" fillId="2" borderId="44" xfId="0" applyNumberFormat="1" applyFont="1" applyFill="1" applyBorder="1" applyAlignment="1">
      <alignment wrapText="1"/>
    </xf>
    <xf numFmtId="164" fontId="1" fillId="2" borderId="42" xfId="0" applyNumberFormat="1" applyFont="1" applyFill="1" applyBorder="1" applyAlignment="1">
      <alignment wrapText="1"/>
    </xf>
    <xf numFmtId="164" fontId="1" fillId="2" borderId="14" xfId="0" applyNumberFormat="1" applyFont="1" applyFill="1" applyBorder="1" applyAlignment="1">
      <alignment wrapText="1"/>
    </xf>
    <xf numFmtId="164" fontId="1" fillId="2" borderId="8" xfId="1" applyFont="1" applyFill="1" applyBorder="1" applyAlignment="1" applyProtection="1">
      <alignment wrapText="1"/>
    </xf>
    <xf numFmtId="164" fontId="1" fillId="2" borderId="3" xfId="1" applyFont="1" applyFill="1" applyBorder="1" applyAlignment="1">
      <alignment wrapText="1"/>
    </xf>
    <xf numFmtId="164" fontId="1" fillId="3" borderId="0" xfId="0" applyNumberFormat="1" applyFont="1" applyFill="1" applyAlignment="1">
      <alignment vertical="center" wrapText="1"/>
    </xf>
    <xf numFmtId="0" fontId="1" fillId="3" borderId="0" xfId="0" applyFont="1" applyFill="1" applyAlignment="1">
      <alignment horizontal="center" vertical="center" wrapText="1"/>
    </xf>
    <xf numFmtId="164" fontId="1" fillId="2" borderId="9" xfId="0" applyNumberFormat="1" applyFont="1" applyFill="1" applyBorder="1" applyAlignment="1">
      <alignment vertical="center" wrapText="1"/>
    </xf>
    <xf numFmtId="0" fontId="0" fillId="0" borderId="0" xfId="0" applyAlignment="1">
      <alignment horizontal="left"/>
    </xf>
    <xf numFmtId="0" fontId="11" fillId="0" borderId="0" xfId="0" applyFont="1" applyAlignment="1">
      <alignment horizontal="center" vertical="center" wrapText="1"/>
    </xf>
    <xf numFmtId="0" fontId="0" fillId="0" borderId="0" xfId="0" applyAlignment="1">
      <alignment horizontal="center" vertical="center" wrapText="1"/>
    </xf>
    <xf numFmtId="0" fontId="17" fillId="0" borderId="3" xfId="0" applyFont="1" applyBorder="1" applyAlignment="1" applyProtection="1">
      <alignment horizontal="left" vertical="center" wrapText="1"/>
      <protection locked="0"/>
    </xf>
    <xf numFmtId="0" fontId="19" fillId="3" borderId="3" xfId="1" applyNumberFormat="1" applyFont="1" applyFill="1" applyBorder="1" applyAlignment="1" applyProtection="1">
      <alignment horizontal="center" vertical="center" wrapText="1"/>
      <protection locked="0"/>
    </xf>
    <xf numFmtId="0" fontId="1" fillId="3" borderId="3" xfId="1" applyNumberFormat="1" applyFont="1" applyFill="1" applyBorder="1" applyAlignment="1" applyProtection="1">
      <alignment horizontal="center" vertical="center" wrapText="1"/>
      <protection locked="0"/>
    </xf>
    <xf numFmtId="9" fontId="20" fillId="0" borderId="3" xfId="2" quotePrefix="1" applyFont="1" applyBorder="1" applyAlignment="1" applyProtection="1">
      <alignment horizontal="center" vertical="center" wrapText="1"/>
      <protection locked="0"/>
    </xf>
    <xf numFmtId="49" fontId="1" fillId="0" borderId="3" xfId="1" applyNumberFormat="1" applyFont="1" applyBorder="1" applyAlignment="1" applyProtection="1">
      <alignment horizontal="center" vertical="center" wrapText="1"/>
      <protection locked="0"/>
    </xf>
    <xf numFmtId="49" fontId="1" fillId="3" borderId="3" xfId="1" applyNumberFormat="1" applyFont="1" applyFill="1" applyBorder="1" applyAlignment="1" applyProtection="1">
      <alignment horizontal="center" vertical="center" wrapText="1"/>
      <protection locked="0"/>
    </xf>
    <xf numFmtId="164" fontId="20" fillId="0" borderId="3" xfId="1" applyFont="1" applyBorder="1" applyAlignment="1" applyProtection="1">
      <alignment horizontal="center" vertical="center" wrapText="1"/>
      <protection locked="0"/>
    </xf>
    <xf numFmtId="0" fontId="19" fillId="0" borderId="3" xfId="1" applyNumberFormat="1" applyFont="1" applyBorder="1" applyAlignment="1" applyProtection="1">
      <alignment horizontal="center" vertical="center" wrapText="1"/>
      <protection locked="0"/>
    </xf>
    <xf numFmtId="164" fontId="15" fillId="0" borderId="3" xfId="1" applyFont="1" applyBorder="1" applyAlignment="1" applyProtection="1">
      <alignment horizontal="center" vertical="center" wrapText="1"/>
      <protection locked="0"/>
    </xf>
    <xf numFmtId="164" fontId="19" fillId="0" borderId="3" xfId="1" applyFont="1" applyBorder="1" applyAlignment="1" applyProtection="1">
      <alignment horizontal="center" vertical="center" wrapText="1"/>
      <protection locked="0"/>
    </xf>
    <xf numFmtId="0" fontId="20" fillId="0" borderId="3" xfId="1" applyNumberFormat="1" applyFont="1" applyBorder="1" applyAlignment="1" applyProtection="1">
      <alignment horizontal="center" vertical="center" wrapText="1"/>
      <protection locked="0"/>
    </xf>
    <xf numFmtId="0" fontId="17" fillId="6" borderId="3" xfId="0" applyFont="1" applyFill="1" applyBorder="1" applyAlignment="1" applyProtection="1">
      <alignment horizontal="left" vertical="center" wrapText="1"/>
      <protection locked="0"/>
    </xf>
    <xf numFmtId="49" fontId="15" fillId="0" borderId="3" xfId="1" applyNumberFormat="1" applyFont="1" applyBorder="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23" fillId="0" borderId="3" xfId="1" applyNumberFormat="1" applyFont="1" applyBorder="1" applyAlignment="1" applyProtection="1">
      <alignment horizontal="center" vertical="center" wrapText="1"/>
      <protection locked="0"/>
    </xf>
    <xf numFmtId="0" fontId="1" fillId="0" borderId="3" xfId="0" applyFont="1" applyBorder="1" applyAlignment="1" applyProtection="1">
      <alignment horizontal="left" vertical="center" wrapText="1"/>
      <protection locked="0"/>
    </xf>
    <xf numFmtId="9" fontId="22" fillId="0" borderId="3" xfId="2" applyFont="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49" fontId="1" fillId="0" borderId="3" xfId="0" applyNumberFormat="1" applyFont="1" applyBorder="1" applyAlignment="1" applyProtection="1">
      <alignment horizontal="center" vertical="center" wrapText="1"/>
      <protection locked="0"/>
    </xf>
    <xf numFmtId="164" fontId="19" fillId="0" borderId="3" xfId="1" applyFont="1" applyBorder="1" applyAlignment="1" applyProtection="1">
      <alignment vertical="center" wrapText="1"/>
      <protection locked="0"/>
    </xf>
    <xf numFmtId="165" fontId="1" fillId="3" borderId="0" xfId="3" applyFont="1" applyFill="1" applyBorder="1" applyAlignment="1" applyProtection="1">
      <alignment vertical="center" wrapText="1"/>
      <protection locked="0"/>
    </xf>
    <xf numFmtId="0" fontId="2" fillId="3" borderId="0" xfId="0" applyFont="1" applyFill="1" applyAlignment="1" applyProtection="1">
      <alignment horizontal="center" vertical="center" wrapText="1"/>
      <protection locked="0"/>
    </xf>
    <xf numFmtId="0" fontId="1"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164" fontId="2" fillId="0" borderId="2" xfId="0" applyNumberFormat="1" applyFont="1" applyBorder="1" applyAlignment="1">
      <alignment wrapText="1"/>
    </xf>
    <xf numFmtId="164" fontId="9" fillId="3" borderId="0" xfId="1" applyFont="1" applyFill="1" applyBorder="1" applyAlignment="1" applyProtection="1">
      <alignment vertical="center" wrapText="1"/>
      <protection locked="0"/>
    </xf>
    <xf numFmtId="0" fontId="1" fillId="0" borderId="0" xfId="0" applyFont="1"/>
    <xf numFmtId="0" fontId="6" fillId="2" borderId="13" xfId="0" applyFont="1" applyFill="1" applyBorder="1" applyAlignment="1">
      <alignment vertical="center" wrapText="1"/>
    </xf>
    <xf numFmtId="164" fontId="1" fillId="2" borderId="52" xfId="1" applyFont="1" applyFill="1" applyBorder="1" applyAlignment="1" applyProtection="1">
      <alignment wrapText="1"/>
    </xf>
    <xf numFmtId="164" fontId="1" fillId="2" borderId="3" xfId="1" applyFont="1" applyFill="1" applyBorder="1" applyAlignment="1">
      <alignment vertical="center" wrapText="1"/>
    </xf>
    <xf numFmtId="9" fontId="2" fillId="2" borderId="9" xfId="2" applyFont="1" applyFill="1" applyBorder="1" applyAlignment="1">
      <alignment vertical="center" wrapText="1"/>
    </xf>
    <xf numFmtId="4" fontId="0" fillId="0" borderId="0" xfId="0" applyNumberFormat="1"/>
    <xf numFmtId="0" fontId="0" fillId="0" borderId="0" xfId="0" pivotButton="1"/>
    <xf numFmtId="164" fontId="1" fillId="0" borderId="3" xfId="1" applyFont="1" applyFill="1" applyBorder="1" applyAlignment="1" applyProtection="1">
      <alignment vertical="center" wrapText="1"/>
      <protection locked="0"/>
    </xf>
    <xf numFmtId="164" fontId="2" fillId="2" borderId="43" xfId="1" applyFont="1" applyFill="1" applyBorder="1" applyAlignment="1">
      <alignment wrapText="1"/>
    </xf>
    <xf numFmtId="164" fontId="2" fillId="2" borderId="3" xfId="1" applyFont="1" applyFill="1" applyBorder="1" applyAlignment="1">
      <alignment wrapText="1"/>
    </xf>
    <xf numFmtId="0" fontId="1" fillId="2" borderId="16" xfId="0" applyFont="1" applyFill="1" applyBorder="1"/>
    <xf numFmtId="164" fontId="2" fillId="2" borderId="4" xfId="2" applyNumberFormat="1" applyFont="1" applyFill="1" applyBorder="1" applyAlignment="1">
      <alignment vertical="center" wrapText="1"/>
    </xf>
    <xf numFmtId="164" fontId="3" fillId="2" borderId="14" xfId="0" applyNumberFormat="1" applyFont="1" applyFill="1" applyBorder="1"/>
    <xf numFmtId="0" fontId="24" fillId="7" borderId="6" xfId="0" applyFont="1" applyFill="1" applyBorder="1" applyAlignment="1">
      <alignment vertical="top"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top"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vertical="top"/>
    </xf>
    <xf numFmtId="0" fontId="0" fillId="2" borderId="13" xfId="0" applyFill="1" applyBorder="1" applyAlignment="1">
      <alignment vertical="top"/>
    </xf>
    <xf numFmtId="164" fontId="0" fillId="2" borderId="15" xfId="0" applyNumberFormat="1" applyFill="1" applyBorder="1" applyAlignment="1">
      <alignment vertical="center"/>
    </xf>
    <xf numFmtId="0" fontId="0" fillId="2" borderId="8" xfId="0" applyFill="1" applyBorder="1" applyAlignment="1">
      <alignment vertical="center" wrapText="1"/>
    </xf>
    <xf numFmtId="0" fontId="0" fillId="2" borderId="8" xfId="0" applyFill="1" applyBorder="1" applyAlignment="1">
      <alignment wrapText="1"/>
    </xf>
    <xf numFmtId="0" fontId="0" fillId="2" borderId="8" xfId="0" applyFill="1" applyBorder="1"/>
    <xf numFmtId="0" fontId="0" fillId="2" borderId="13" xfId="0" applyFill="1" applyBorder="1"/>
    <xf numFmtId="0" fontId="28" fillId="8" borderId="0" xfId="0" applyFont="1" applyFill="1" applyAlignment="1">
      <alignment horizontal="center"/>
    </xf>
    <xf numFmtId="0" fontId="26" fillId="0" borderId="0" xfId="0" applyFont="1" applyAlignment="1">
      <alignment horizontal="center"/>
    </xf>
    <xf numFmtId="0" fontId="0" fillId="0" borderId="25" xfId="0" applyBorder="1"/>
    <xf numFmtId="0" fontId="0" fillId="0" borderId="8" xfId="0" applyBorder="1"/>
    <xf numFmtId="0" fontId="0" fillId="0" borderId="13" xfId="0" applyBorder="1"/>
    <xf numFmtId="165" fontId="0" fillId="0" borderId="16" xfId="3" applyFont="1" applyBorder="1"/>
    <xf numFmtId="165" fontId="0" fillId="0" borderId="9" xfId="3" applyFont="1" applyBorder="1"/>
    <xf numFmtId="165" fontId="0" fillId="0" borderId="15" xfId="3" applyFont="1" applyBorder="1"/>
    <xf numFmtId="165" fontId="3" fillId="0" borderId="0" xfId="0" applyNumberFormat="1" applyFont="1"/>
    <xf numFmtId="43" fontId="0" fillId="0" borderId="0" xfId="0" applyNumberFormat="1" applyAlignment="1">
      <alignment horizontal="center" vertical="center" wrapText="1"/>
    </xf>
    <xf numFmtId="4" fontId="0" fillId="8" borderId="0" xfId="0" applyNumberFormat="1" applyFill="1" applyAlignment="1">
      <alignment horizontal="centerContinuous"/>
    </xf>
    <xf numFmtId="0" fontId="28" fillId="8" borderId="0" xfId="0" applyFont="1" applyFill="1" applyAlignment="1">
      <alignment horizontal="left"/>
    </xf>
    <xf numFmtId="164" fontId="2" fillId="2" borderId="36" xfId="1" applyFont="1" applyFill="1" applyBorder="1" applyAlignment="1" applyProtection="1">
      <alignment horizontal="center" vertical="center" wrapText="1"/>
    </xf>
    <xf numFmtId="9" fontId="2" fillId="9" borderId="0" xfId="2" applyFont="1" applyFill="1" applyBorder="1" applyAlignment="1" applyProtection="1">
      <alignment vertical="center" wrapText="1"/>
      <protection locked="0"/>
    </xf>
    <xf numFmtId="9" fontId="3" fillId="9" borderId="15" xfId="2" applyFont="1" applyFill="1" applyBorder="1" applyAlignment="1">
      <alignment wrapText="1"/>
    </xf>
    <xf numFmtId="9" fontId="2" fillId="9" borderId="9" xfId="2" applyFont="1" applyFill="1" applyBorder="1" applyAlignment="1">
      <alignment vertical="center" wrapText="1"/>
    </xf>
    <xf numFmtId="0" fontId="2" fillId="4" borderId="36" xfId="0" applyFont="1" applyFill="1" applyBorder="1" applyAlignment="1" applyProtection="1">
      <alignment vertical="center" wrapText="1"/>
      <protection locked="0"/>
    </xf>
    <xf numFmtId="164" fontId="2" fillId="4" borderId="36" xfId="1" applyFont="1" applyFill="1" applyBorder="1" applyAlignment="1" applyProtection="1">
      <alignment vertical="center" wrapText="1"/>
    </xf>
    <xf numFmtId="164" fontId="2" fillId="3" borderId="36" xfId="1" applyFont="1" applyFill="1" applyBorder="1" applyAlignment="1" applyProtection="1">
      <alignment horizontal="center" vertical="center" wrapText="1"/>
    </xf>
    <xf numFmtId="0" fontId="1" fillId="3" borderId="36" xfId="0" applyFont="1" applyFill="1" applyBorder="1" applyAlignment="1" applyProtection="1">
      <alignment horizontal="center" vertical="center" wrapText="1"/>
      <protection locked="0"/>
    </xf>
    <xf numFmtId="0" fontId="13" fillId="0" borderId="0" xfId="0" applyFont="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5" xfId="0" applyFont="1" applyFill="1" applyBorder="1" applyAlignment="1" applyProtection="1">
      <alignment horizontal="center" vertical="center" wrapText="1"/>
      <protection locked="0"/>
    </xf>
    <xf numFmtId="0" fontId="2" fillId="2" borderId="36" xfId="0" applyFont="1" applyFill="1" applyBorder="1" applyAlignment="1" applyProtection="1">
      <alignment horizontal="center" vertical="center" wrapText="1"/>
      <protection locked="0"/>
    </xf>
    <xf numFmtId="0" fontId="2" fillId="2" borderId="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0" borderId="0" xfId="0" applyFont="1" applyAlignment="1">
      <alignment horizontal="center" vertical="center" wrapText="1"/>
    </xf>
    <xf numFmtId="0" fontId="3" fillId="2" borderId="7"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0" fillId="5" borderId="13" xfId="0" applyFill="1" applyBorder="1" applyAlignment="1">
      <alignment horizontal="center" vertical="center" wrapText="1"/>
    </xf>
    <xf numFmtId="0" fontId="0" fillId="5" borderId="15" xfId="0"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10" xfId="0" applyFont="1" applyFill="1" applyBorder="1" applyAlignment="1">
      <alignment horizontal="center" vertical="center" wrapText="1"/>
    </xf>
    <xf numFmtId="164" fontId="2" fillId="2" borderId="28" xfId="1" applyFont="1" applyFill="1" applyBorder="1" applyAlignment="1" applyProtection="1">
      <alignment horizontal="center" vertical="center" wrapText="1"/>
      <protection locked="0"/>
    </xf>
    <xf numFmtId="164" fontId="2" fillId="2" borderId="35" xfId="1" applyFont="1" applyFill="1" applyBorder="1" applyAlignment="1" applyProtection="1">
      <alignment horizontal="center" vertical="center" wrapText="1"/>
      <protection locked="0"/>
    </xf>
    <xf numFmtId="164" fontId="2" fillId="2" borderId="5" xfId="1" applyFont="1" applyFill="1" applyBorder="1" applyAlignment="1" applyProtection="1">
      <alignment horizontal="center" vertical="center" wrapText="1"/>
    </xf>
    <xf numFmtId="164" fontId="2" fillId="2" borderId="36" xfId="1" applyFont="1" applyFill="1" applyBorder="1" applyAlignment="1" applyProtection="1">
      <alignment horizontal="center" vertical="center" wrapText="1"/>
    </xf>
    <xf numFmtId="0" fontId="2" fillId="3" borderId="3" xfId="0"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164" fontId="1" fillId="3" borderId="3" xfId="1" applyFont="1" applyFill="1" applyBorder="1" applyAlignment="1" applyProtection="1">
      <alignment horizontal="left" vertical="top" wrapText="1"/>
      <protection locked="0"/>
    </xf>
    <xf numFmtId="0" fontId="17" fillId="3" borderId="3" xfId="0" applyFont="1" applyFill="1" applyBorder="1" applyAlignment="1" applyProtection="1">
      <alignment horizontal="left" vertical="top" wrapText="1"/>
      <protection locked="0"/>
    </xf>
    <xf numFmtId="0" fontId="22" fillId="3" borderId="3" xfId="0" applyFont="1" applyFill="1" applyBorder="1" applyAlignment="1" applyProtection="1">
      <alignment horizontal="left" vertical="top" wrapText="1"/>
      <protection locked="0"/>
    </xf>
    <xf numFmtId="164" fontId="22" fillId="3" borderId="3" xfId="1" applyFont="1" applyFill="1" applyBorder="1" applyAlignment="1" applyProtection="1">
      <alignment horizontal="left" vertical="top" wrapText="1"/>
      <protection locked="0"/>
    </xf>
    <xf numFmtId="0" fontId="2" fillId="4" borderId="38"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14" fillId="0" borderId="47" xfId="0" applyFont="1" applyBorder="1" applyAlignment="1">
      <alignment horizontal="left" wrapText="1"/>
    </xf>
    <xf numFmtId="49" fontId="2" fillId="3" borderId="3" xfId="0" applyNumberFormat="1" applyFont="1" applyFill="1" applyBorder="1" applyAlignment="1" applyProtection="1">
      <alignment horizontal="left" vertical="top" wrapText="1"/>
      <protection locked="0"/>
    </xf>
    <xf numFmtId="49" fontId="16" fillId="3" borderId="3" xfId="0" applyNumberFormat="1" applyFont="1" applyFill="1" applyBorder="1" applyAlignment="1" applyProtection="1">
      <alignment horizontal="left" vertical="top" wrapText="1"/>
      <protection locked="0"/>
    </xf>
    <xf numFmtId="49" fontId="1" fillId="3" borderId="3" xfId="0" applyNumberFormat="1" applyFont="1" applyFill="1" applyBorder="1" applyAlignment="1" applyProtection="1">
      <alignment horizontal="left" vertical="top" wrapText="1"/>
      <protection locked="0"/>
    </xf>
    <xf numFmtId="0" fontId="21" fillId="3" borderId="3" xfId="0" applyFont="1" applyFill="1" applyBorder="1" applyAlignment="1" applyProtection="1">
      <alignment horizontal="left" vertical="top" wrapText="1"/>
      <protection locked="0"/>
    </xf>
    <xf numFmtId="0" fontId="6" fillId="3" borderId="3"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0" fontId="2" fillId="2" borderId="46"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3" xfId="0" applyFont="1" applyFill="1" applyBorder="1" applyAlignment="1">
      <alignment horizontal="center" wrapText="1"/>
    </xf>
    <xf numFmtId="0" fontId="2" fillId="2" borderId="24" xfId="0" applyFont="1" applyFill="1" applyBorder="1" applyAlignment="1">
      <alignment horizontal="center" wrapText="1"/>
    </xf>
    <xf numFmtId="0" fontId="2" fillId="2" borderId="18" xfId="0" applyFont="1" applyFill="1" applyBorder="1" applyAlignment="1">
      <alignment horizontal="center" wrapText="1"/>
    </xf>
    <xf numFmtId="0" fontId="2" fillId="2" borderId="3" xfId="0" applyFont="1" applyFill="1" applyBorder="1" applyAlignment="1">
      <alignment horizontal="left" wrapText="1"/>
    </xf>
    <xf numFmtId="164" fontId="3" fillId="2" borderId="41" xfId="0" applyNumberFormat="1" applyFont="1" applyFill="1" applyBorder="1" applyAlignment="1">
      <alignment horizontal="center"/>
    </xf>
    <xf numFmtId="164" fontId="3" fillId="2" borderId="56" xfId="0" applyNumberFormat="1" applyFont="1" applyFill="1" applyBorder="1" applyAlignment="1">
      <alignment horizontal="center"/>
    </xf>
    <xf numFmtId="0" fontId="3" fillId="7" borderId="48" xfId="0" applyFont="1" applyFill="1" applyBorder="1" applyAlignment="1">
      <alignment horizontal="center" vertical="center"/>
    </xf>
    <xf numFmtId="0" fontId="3" fillId="7" borderId="49" xfId="0" applyFont="1" applyFill="1" applyBorder="1" applyAlignment="1">
      <alignment horizontal="center" vertical="center"/>
    </xf>
    <xf numFmtId="0" fontId="3" fillId="7" borderId="50" xfId="0" applyFont="1" applyFill="1" applyBorder="1" applyAlignment="1">
      <alignment horizontal="center" vertical="center"/>
    </xf>
    <xf numFmtId="0" fontId="3" fillId="7" borderId="51" xfId="0" applyFont="1" applyFill="1" applyBorder="1" applyAlignment="1">
      <alignment horizontal="center" vertical="center"/>
    </xf>
    <xf numFmtId="0" fontId="3" fillId="7" borderId="22" xfId="0" applyFont="1" applyFill="1" applyBorder="1" applyAlignment="1">
      <alignment horizontal="center" vertical="center"/>
    </xf>
    <xf numFmtId="0" fontId="3" fillId="7" borderId="17" xfId="0" applyFont="1" applyFill="1" applyBorder="1" applyAlignment="1">
      <alignment horizontal="center" vertical="center"/>
    </xf>
    <xf numFmtId="0" fontId="3" fillId="2" borderId="38" xfId="0" applyFont="1" applyFill="1" applyBorder="1" applyAlignment="1">
      <alignment horizontal="left"/>
    </xf>
    <xf numFmtId="0" fontId="3" fillId="2" borderId="39" xfId="0" applyFont="1" applyFill="1" applyBorder="1" applyAlignment="1">
      <alignment horizontal="left"/>
    </xf>
    <xf numFmtId="0" fontId="3" fillId="2" borderId="40" xfId="0" applyFont="1" applyFill="1" applyBorder="1" applyAlignment="1">
      <alignment horizontal="left"/>
    </xf>
    <xf numFmtId="49" fontId="0" fillId="2" borderId="53" xfId="0" applyNumberFormat="1" applyFill="1" applyBorder="1" applyAlignment="1">
      <alignment horizontal="center" wrapText="1"/>
    </xf>
    <xf numFmtId="49" fontId="0" fillId="2" borderId="54" xfId="0" applyNumberFormat="1" applyFill="1" applyBorder="1" applyAlignment="1">
      <alignment horizontal="center" wrapText="1"/>
    </xf>
    <xf numFmtId="49" fontId="0" fillId="2" borderId="55" xfId="0" applyNumberFormat="1" applyFill="1" applyBorder="1" applyAlignment="1">
      <alignment horizontal="center" wrapText="1"/>
    </xf>
    <xf numFmtId="164" fontId="3" fillId="2" borderId="4" xfId="0" applyNumberFormat="1" applyFont="1" applyFill="1" applyBorder="1" applyAlignment="1">
      <alignment horizontal="center"/>
    </xf>
    <xf numFmtId="164" fontId="3" fillId="2" borderId="32" xfId="0" applyNumberFormat="1" applyFont="1" applyFill="1" applyBorder="1" applyAlignment="1">
      <alignment horizontal="center"/>
    </xf>
    <xf numFmtId="0" fontId="0" fillId="2" borderId="53" xfId="0" applyFill="1" applyBorder="1" applyAlignment="1">
      <alignment horizontal="center" wrapText="1"/>
    </xf>
    <xf numFmtId="0" fontId="0" fillId="2" borderId="54" xfId="0" applyFill="1" applyBorder="1" applyAlignment="1">
      <alignment horizontal="center" wrapText="1"/>
    </xf>
    <xf numFmtId="0" fontId="0" fillId="2" borderId="55" xfId="0" applyFill="1" applyBorder="1" applyAlignment="1">
      <alignment horizontal="center" wrapText="1"/>
    </xf>
    <xf numFmtId="0" fontId="2" fillId="7" borderId="48" xfId="0" applyFont="1" applyFill="1" applyBorder="1" applyAlignment="1">
      <alignment horizontal="center" vertical="center"/>
    </xf>
    <xf numFmtId="0" fontId="2" fillId="7" borderId="49" xfId="0" applyFont="1" applyFill="1" applyBorder="1" applyAlignment="1">
      <alignment horizontal="center" vertical="center"/>
    </xf>
    <xf numFmtId="0" fontId="2" fillId="7" borderId="50" xfId="0" applyFont="1" applyFill="1" applyBorder="1" applyAlignment="1">
      <alignment horizontal="center" vertical="center"/>
    </xf>
    <xf numFmtId="0" fontId="2" fillId="7" borderId="51" xfId="0" applyFont="1" applyFill="1" applyBorder="1" applyAlignment="1">
      <alignment horizontal="center" vertical="center"/>
    </xf>
    <xf numFmtId="0" fontId="2" fillId="7" borderId="22" xfId="0" applyFont="1" applyFill="1" applyBorder="1" applyAlignment="1">
      <alignment horizontal="center" vertical="center"/>
    </xf>
    <xf numFmtId="0" fontId="2" fillId="7" borderId="17" xfId="0" applyFont="1" applyFill="1" applyBorder="1" applyAlignment="1">
      <alignment horizontal="center" vertical="center"/>
    </xf>
    <xf numFmtId="0" fontId="2" fillId="2" borderId="46" xfId="0" applyFont="1" applyFill="1" applyBorder="1" applyAlignment="1">
      <alignment horizontal="center" wrapText="1"/>
    </xf>
    <xf numFmtId="0" fontId="2" fillId="2" borderId="36" xfId="0" applyFont="1" applyFill="1" applyBorder="1" applyAlignment="1">
      <alignment horizontal="center" wrapText="1"/>
    </xf>
    <xf numFmtId="0" fontId="2" fillId="2" borderId="31" xfId="0" applyFont="1" applyFill="1" applyBorder="1" applyAlignment="1">
      <alignment horizontal="center" vertical="center" wrapText="1"/>
    </xf>
    <xf numFmtId="0" fontId="2" fillId="2" borderId="10" xfId="0" applyFont="1" applyFill="1" applyBorder="1" applyAlignment="1">
      <alignment horizontal="center" vertical="center" wrapText="1"/>
    </xf>
    <xf numFmtId="165" fontId="1" fillId="0" borderId="0" xfId="3" applyFont="1"/>
    <xf numFmtId="167" fontId="1" fillId="2" borderId="36" xfId="0" applyNumberFormat="1" applyFont="1" applyFill="1" applyBorder="1" applyAlignment="1">
      <alignment wrapText="1"/>
    </xf>
    <xf numFmtId="167" fontId="1" fillId="2" borderId="14" xfId="0" applyNumberFormat="1" applyFont="1" applyFill="1" applyBorder="1" applyAlignment="1">
      <alignment wrapText="1"/>
    </xf>
    <xf numFmtId="167" fontId="2" fillId="2" borderId="3" xfId="1" applyNumberFormat="1" applyFont="1" applyFill="1" applyBorder="1" applyAlignment="1">
      <alignment wrapText="1"/>
    </xf>
    <xf numFmtId="167" fontId="2" fillId="2" borderId="14" xfId="1" applyNumberFormat="1" applyFont="1" applyFill="1" applyBorder="1" applyAlignment="1">
      <alignment wrapText="1"/>
    </xf>
    <xf numFmtId="165" fontId="2" fillId="9" borderId="0" xfId="3" applyNumberFormat="1" applyFont="1" applyFill="1" applyBorder="1" applyAlignment="1" applyProtection="1">
      <alignment vertical="center" wrapText="1"/>
      <protection locked="0"/>
    </xf>
    <xf numFmtId="167" fontId="2" fillId="2" borderId="35" xfId="0" applyNumberFormat="1" applyFont="1" applyFill="1" applyBorder="1" applyAlignment="1">
      <alignment wrapText="1"/>
    </xf>
    <xf numFmtId="167" fontId="2" fillId="2" borderId="9" xfId="0" applyNumberFormat="1" applyFont="1" applyFill="1" applyBorder="1" applyAlignment="1">
      <alignment wrapText="1"/>
    </xf>
    <xf numFmtId="167" fontId="2" fillId="2" borderId="15" xfId="0" applyNumberFormat="1" applyFont="1" applyFill="1" applyBorder="1" applyAlignment="1">
      <alignment wrapText="1"/>
    </xf>
    <xf numFmtId="167" fontId="2" fillId="2" borderId="26" xfId="0" applyNumberFormat="1" applyFont="1" applyFill="1" applyBorder="1" applyAlignment="1">
      <alignment wrapText="1"/>
    </xf>
    <xf numFmtId="164" fontId="2" fillId="2" borderId="43" xfId="1" applyNumberFormat="1" applyFont="1" applyFill="1" applyBorder="1" applyAlignment="1">
      <alignment wrapText="1"/>
    </xf>
    <xf numFmtId="10" fontId="1" fillId="0" borderId="0" xfId="2" applyNumberFormat="1" applyFont="1"/>
    <xf numFmtId="164" fontId="2" fillId="2" borderId="14" xfId="1" applyNumberFormat="1" applyFont="1" applyFill="1" applyBorder="1" applyAlignment="1">
      <alignment wrapText="1"/>
    </xf>
  </cellXfs>
  <cellStyles count="4">
    <cellStyle name="Millares" xfId="3" builtinId="3"/>
    <cellStyle name="Moneda" xfId="1" builtinId="4"/>
    <cellStyle name="Normal" xfId="0" builtinId="0"/>
    <cellStyle name="Porcentaje" xfId="2" builtinId="5"/>
  </cellStyles>
  <dxfs count="50">
    <dxf>
      <numFmt numFmtId="4" formatCode="#,##0.00"/>
    </dxf>
    <dxf>
      <numFmt numFmtId="4" formatCode="#,##0.0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s>
  <tableStyles count="0" defaultTableStyle="TableStyleMedium2" defaultPivotStyle="PivotStyleLight16"/>
  <colors>
    <mruColors>
      <color rgb="FFFFFFCC"/>
      <color rgb="FFCCFFCC"/>
      <color rgb="FFCCECFF"/>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warchild-my.sharepoint.com/personal/leonardo_ramirez_warchild_net/Documents/Documents/PROJECTS/CO4024%20UNA77%20MAE%20KIWE%20INTERCULTURAL/Annex_D_project_budget_.xlsx" TargetMode="External"/><Relationship Id="rId1" Type="http://schemas.openxmlformats.org/officeDocument/2006/relationships/externalLinkPath" Target="Annex_D_project_budget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1) Budget Table"/>
      <sheetName val="2) By Category"/>
      <sheetName val="3) Explanatory Notes"/>
      <sheetName val="4) -For PBSO Use-"/>
      <sheetName val="5) -For MPTF Use-"/>
      <sheetName val="Dropdowns"/>
      <sheetName val="Sheet2"/>
    </sheetNames>
    <sheetDataSet>
      <sheetData sheetId="0" refreshError="1"/>
      <sheetData sheetId="1">
        <row r="4">
          <cell r="D4" t="str">
            <v>Recipient Organization 1</v>
          </cell>
          <cell r="E4" t="str">
            <v>Recipient Organization 2</v>
          </cell>
          <cell r="F4" t="str">
            <v>Recipient Organization 3</v>
          </cell>
        </row>
        <row r="15">
          <cell r="D15">
            <v>0</v>
          </cell>
          <cell r="E15">
            <v>0</v>
          </cell>
          <cell r="F15">
            <v>0</v>
          </cell>
        </row>
        <row r="25">
          <cell r="D25">
            <v>0</v>
          </cell>
          <cell r="E25">
            <v>0</v>
          </cell>
          <cell r="F25">
            <v>0</v>
          </cell>
        </row>
        <row r="35">
          <cell r="D35">
            <v>0</v>
          </cell>
          <cell r="E35">
            <v>0</v>
          </cell>
          <cell r="F35">
            <v>0</v>
          </cell>
        </row>
        <row r="45">
          <cell r="D45">
            <v>0</v>
          </cell>
          <cell r="E45">
            <v>0</v>
          </cell>
          <cell r="F45">
            <v>0</v>
          </cell>
        </row>
        <row r="57">
          <cell r="D57">
            <v>0</v>
          </cell>
          <cell r="E57">
            <v>0</v>
          </cell>
          <cell r="F57">
            <v>0</v>
          </cell>
        </row>
        <row r="67">
          <cell r="D67">
            <v>0</v>
          </cell>
          <cell r="E67">
            <v>0</v>
          </cell>
          <cell r="F67">
            <v>0</v>
          </cell>
        </row>
        <row r="77">
          <cell r="D77">
            <v>0</v>
          </cell>
          <cell r="E77">
            <v>0</v>
          </cell>
          <cell r="F77">
            <v>0</v>
          </cell>
        </row>
        <row r="87">
          <cell r="D87">
            <v>0</v>
          </cell>
          <cell r="E87">
            <v>0</v>
          </cell>
          <cell r="F87">
            <v>0</v>
          </cell>
        </row>
        <row r="99">
          <cell r="D99">
            <v>0</v>
          </cell>
          <cell r="E99">
            <v>0</v>
          </cell>
          <cell r="F99">
            <v>0</v>
          </cell>
        </row>
        <row r="109">
          <cell r="D109">
            <v>0</v>
          </cell>
          <cell r="E109">
            <v>0</v>
          </cell>
          <cell r="F109">
            <v>0</v>
          </cell>
        </row>
        <row r="119">
          <cell r="D119">
            <v>0</v>
          </cell>
          <cell r="E119">
            <v>0</v>
          </cell>
          <cell r="F119">
            <v>0</v>
          </cell>
        </row>
        <row r="129">
          <cell r="D129">
            <v>0</v>
          </cell>
          <cell r="E129">
            <v>0</v>
          </cell>
          <cell r="F129">
            <v>0</v>
          </cell>
        </row>
        <row r="141">
          <cell r="D141">
            <v>0</v>
          </cell>
          <cell r="E141">
            <v>0</v>
          </cell>
          <cell r="F141">
            <v>0</v>
          </cell>
        </row>
        <row r="151">
          <cell r="D151">
            <v>0</v>
          </cell>
          <cell r="E151">
            <v>0</v>
          </cell>
          <cell r="F151">
            <v>0</v>
          </cell>
        </row>
        <row r="161">
          <cell r="D161">
            <v>0</v>
          </cell>
          <cell r="E161">
            <v>0</v>
          </cell>
          <cell r="F161">
            <v>0</v>
          </cell>
        </row>
        <row r="171">
          <cell r="D171">
            <v>0</v>
          </cell>
          <cell r="E171">
            <v>0</v>
          </cell>
          <cell r="F171">
            <v>0</v>
          </cell>
        </row>
      </sheetData>
      <sheetData sheetId="2">
        <row r="199">
          <cell r="D199">
            <v>0</v>
          </cell>
        </row>
      </sheetData>
      <sheetData sheetId="3" refreshError="1"/>
      <sheetData sheetId="4" refreshError="1"/>
      <sheetData sheetId="5" refreshError="1"/>
      <sheetData sheetId="6" refreshError="1"/>
      <sheetData sheetId="7"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eonardo Ramirez" refreshedDate="45610.670389583334" createdVersion="8" refreshedVersion="8" minRefreshableVersion="3" recordCount="59" xr:uid="{D983A182-5265-45BE-BB35-834551EC1CDA}">
  <cacheSource type="worksheet">
    <worksheetSource ref="B4:E63" sheet="SOURCE INFO"/>
  </cacheSource>
  <cacheFields count="4">
    <cacheField name="Etiquetas de fila" numFmtId="0">
      <sharedItems containsBlank="1" count="31">
        <s v="1.1.1."/>
        <s v="1.1.2."/>
        <s v="1.2.1."/>
        <s v="1.2.2."/>
        <s v="1.3.1."/>
        <s v="1.3.2."/>
        <s v="1.3.3."/>
        <s v="2.1.1."/>
        <s v="2.2.1."/>
        <s v="2.3.1."/>
        <s v="2.3.2."/>
        <s v="2.3.3."/>
        <s v="3.1.1."/>
        <s v="3.1.3."/>
        <s v="3.2.1."/>
        <s v="3.2.4."/>
        <s v="3.2.5."/>
        <s v="4.1.1."/>
        <s v="4.2.2."/>
        <s v="4.2.3."/>
        <s v="4.2.4."/>
        <s v="4.2.5."/>
        <s v="4.2.7."/>
        <s v="4.3.1."/>
        <s v="4.3.2."/>
        <s v="4.3.3."/>
        <s v="4.3.5."/>
        <m/>
        <s v="2.2.2."/>
        <s v="3.1.2."/>
        <s v="3.2.2."/>
      </sharedItems>
    </cacheField>
    <cacheField name="Suma de Curr. amount" numFmtId="4">
      <sharedItems containsString="0" containsBlank="1" containsNumber="1" minValue="13445" maxValue="304508727.50999999"/>
    </cacheField>
    <cacheField name="Suma de Amount" numFmtId="4">
      <sharedItems containsString="0" containsBlank="1" containsNumber="1" minValue="3.3" maxValue="70378.419999999634"/>
    </cacheField>
    <cacheField name="Suma de USD" numFmtId="4">
      <sharedItems containsString="0" containsBlank="1" containsNumber="1" minValue="3.5821499999999995" maxValue="76243.27831400008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9">
  <r>
    <x v="0"/>
    <n v="239323712.54999995"/>
    <n v="54584.459999999955"/>
    <n v="58533.760990000017"/>
  </r>
  <r>
    <x v="1"/>
    <n v="118737763.49000011"/>
    <n v="26890.220000000008"/>
    <n v="29277.405848000002"/>
  </r>
  <r>
    <x v="2"/>
    <n v="18023920.140000001"/>
    <n v="4045.7900000000009"/>
    <n v="4366.9118690000041"/>
  </r>
  <r>
    <x v="3"/>
    <n v="304508727.50999999"/>
    <n v="68738.22000000003"/>
    <n v="74041.590683999835"/>
  </r>
  <r>
    <x v="4"/>
    <n v="143683796.37"/>
    <n v="32499.450000000019"/>
    <n v="35089.589152000059"/>
  </r>
  <r>
    <x v="5"/>
    <n v="90317594.409999982"/>
    <n v="20401.329999999998"/>
    <n v="22069.309659999984"/>
  </r>
  <r>
    <x v="6"/>
    <n v="38512850.75"/>
    <n v="8658.2599999999948"/>
    <n v="9388.4204059999956"/>
  </r>
  <r>
    <x v="7"/>
    <n v="65351683.929999992"/>
    <n v="14992.380000000008"/>
    <n v="16015.181664999996"/>
  </r>
  <r>
    <x v="8"/>
    <n v="15548709.069999997"/>
    <n v="3554.69"/>
    <n v="3851.5614150000001"/>
  </r>
  <r>
    <x v="9"/>
    <n v="4163358.88"/>
    <n v="933.38999999999987"/>
    <n v="1010.6626739999999"/>
  </r>
  <r>
    <x v="10"/>
    <n v="66563228.200000003"/>
    <n v="15218.330000000002"/>
    <n v="16512.512054000003"/>
  </r>
  <r>
    <x v="11"/>
    <n v="4034999"/>
    <n v="927.96999999999991"/>
    <n v="1002.436641"/>
  </r>
  <r>
    <x v="12"/>
    <n v="3000000"/>
    <n v="693.99"/>
    <n v="762.34801500000003"/>
  </r>
  <r>
    <x v="13"/>
    <n v="62061128.310000025"/>
    <n v="13975.340000000011"/>
    <n v="15146.810347999992"/>
  </r>
  <r>
    <x v="14"/>
    <n v="3741620"/>
    <n v="865.5"/>
    <n v="950.27029000000005"/>
  </r>
  <r>
    <x v="15"/>
    <n v="29143530.800000001"/>
    <n v="6471.4600000000009"/>
    <n v="7003.2422699999997"/>
  </r>
  <r>
    <x v="16"/>
    <n v="50723546.600000009"/>
    <n v="11379.610000000008"/>
    <n v="12347.903723999994"/>
  </r>
  <r>
    <x v="17"/>
    <n v="120018203.68000001"/>
    <n v="26536.06"/>
    <n v="28767.824354000019"/>
  </r>
  <r>
    <x v="18"/>
    <n v="5423220"/>
    <n v="1249.44"/>
    <n v="1328.2424980000001"/>
  </r>
  <r>
    <x v="19"/>
    <n v="32174718.120000001"/>
    <n v="7396.86"/>
    <n v="7882.3114049999995"/>
  </r>
  <r>
    <x v="20"/>
    <n v="4400000"/>
    <n v="977.43000000000006"/>
    <n v="1051.135432"/>
  </r>
  <r>
    <x v="21"/>
    <n v="14432470"/>
    <n v="3280.8700000000013"/>
    <n v="3572.3957489999998"/>
  </r>
  <r>
    <x v="22"/>
    <n v="67029535"/>
    <n v="14989.389999999994"/>
    <n v="16088.539509000006"/>
  </r>
  <r>
    <x v="23"/>
    <n v="60749692.540000007"/>
    <n v="13392.569999999998"/>
    <n v="14514.769105999998"/>
  </r>
  <r>
    <x v="24"/>
    <n v="3562650"/>
    <n v="790.31999999999994"/>
    <n v="859.84911300000022"/>
  </r>
  <r>
    <x v="25"/>
    <n v="10724906.039999999"/>
    <n v="2465.62"/>
    <n v="2627.437246"/>
  </r>
  <r>
    <x v="26"/>
    <n v="10573818"/>
    <n v="2303.3700000000003"/>
    <n v="2484.8380919999995"/>
  </r>
  <r>
    <x v="27"/>
    <m/>
    <m/>
    <m/>
  </r>
  <r>
    <x v="27"/>
    <m/>
    <m/>
    <m/>
  </r>
  <r>
    <x v="27"/>
    <m/>
    <m/>
    <m/>
  </r>
  <r>
    <x v="27"/>
    <m/>
    <m/>
    <m/>
  </r>
  <r>
    <x v="0"/>
    <n v="164067033.48999995"/>
    <n v="39760.879999999946"/>
    <n v="43129.508312000115"/>
  </r>
  <r>
    <x v="1"/>
    <n v="43900972.520000055"/>
    <n v="10486.229999999989"/>
    <n v="11437.023835000002"/>
  </r>
  <r>
    <x v="2"/>
    <n v="47661352.959999993"/>
    <n v="11508.789999999995"/>
    <n v="12510.391901999999"/>
  </r>
  <r>
    <x v="3"/>
    <n v="158425579.32999998"/>
    <n v="37876.630000000034"/>
    <n v="41156.984872999987"/>
  </r>
  <r>
    <x v="4"/>
    <n v="165697561.59999999"/>
    <n v="40102.159999999996"/>
    <n v="43463.049360999976"/>
  </r>
  <r>
    <x v="5"/>
    <n v="289878841.24000013"/>
    <n v="70378.419999999634"/>
    <n v="76243.278314000083"/>
  </r>
  <r>
    <x v="6"/>
    <n v="58717693.610000014"/>
    <n v="14198.130000000001"/>
    <n v="15415.591069"/>
  </r>
  <r>
    <x v="7"/>
    <n v="107959033.95000003"/>
    <n v="26253.179999999997"/>
    <n v="28494.414684999989"/>
  </r>
  <r>
    <x v="8"/>
    <n v="40423016.849999994"/>
    <n v="9968.8199999999888"/>
    <n v="10742.589711000004"/>
  </r>
  <r>
    <x v="28"/>
    <n v="211910635.26999995"/>
    <n v="52070.19999999999"/>
    <n v="56171.295217999999"/>
  </r>
  <r>
    <x v="9"/>
    <n v="12686620.139999999"/>
    <n v="3075.1099999999992"/>
    <n v="3326.5768079999998"/>
  </r>
  <r>
    <x v="10"/>
    <n v="16713734.74"/>
    <n v="3975.0000000000014"/>
    <n v="4343.3258559999986"/>
  </r>
  <r>
    <x v="11"/>
    <n v="87083925"/>
    <n v="21335.859999999993"/>
    <n v="23050.146781999996"/>
  </r>
  <r>
    <x v="12"/>
    <n v="131266924.53"/>
    <n v="32205.059999999983"/>
    <n v="34942.671050000004"/>
  </r>
  <r>
    <x v="29"/>
    <n v="11629295"/>
    <n v="2745.4799999999982"/>
    <n v="3014.5084119999988"/>
  </r>
  <r>
    <x v="13"/>
    <n v="151510012.68000004"/>
    <n v="36356.859999999986"/>
    <n v="39643.975856000026"/>
  </r>
  <r>
    <x v="14"/>
    <n v="57435700"/>
    <n v="13931.739999999965"/>
    <n v="15080.713514999954"/>
  </r>
  <r>
    <x v="30"/>
    <n v="55648604.460000001"/>
    <n v="12961.040000000005"/>
    <n v="14330.499880000001"/>
  </r>
  <r>
    <x v="15"/>
    <n v="19234678"/>
    <n v="4595.4799999999977"/>
    <n v="4999.6908189999995"/>
  </r>
  <r>
    <x v="16"/>
    <n v="76134385.289999992"/>
    <n v="18450.249999999985"/>
    <n v="20029.779479000012"/>
  </r>
  <r>
    <x v="17"/>
    <n v="142313495.97000006"/>
    <n v="34398.939999999995"/>
    <n v="37352.007792999997"/>
  </r>
  <r>
    <x v="18"/>
    <n v="5109229"/>
    <n v="1225.9099999999999"/>
    <n v="1334.4088060000001"/>
  </r>
  <r>
    <x v="20"/>
    <n v="40876280"/>
    <n v="10024.790000000003"/>
    <n v="10856.742955000002"/>
  </r>
  <r>
    <x v="21"/>
    <n v="4616683.5"/>
    <n v="1123.1300000000001"/>
    <n v="1213.5176109999998"/>
  </r>
  <r>
    <x v="22"/>
    <n v="6494605"/>
    <n v="1484.9599999999991"/>
    <n v="1609.3771320000001"/>
  </r>
  <r>
    <x v="23"/>
    <n v="67329936.159999996"/>
    <n v="16298.99"/>
    <n v="17684.556443999991"/>
  </r>
  <r>
    <x v="24"/>
    <n v="13445"/>
    <n v="3.3"/>
    <n v="3.5821499999999995"/>
  </r>
  <r>
    <x v="26"/>
    <n v="5935835"/>
    <n v="1443.0200000000007"/>
    <n v="1559.86049800000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B3094FA-11BF-4380-84C1-EBF10BC4E57B}" name="TablaDinámica1" cacheId="4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G4:H36" firstHeaderRow="1" firstDataRow="1" firstDataCol="1"/>
  <pivotFields count="4">
    <pivotField axis="axisRow" showAll="0" sortType="ascending">
      <items count="32">
        <item x="0"/>
        <item x="1"/>
        <item x="2"/>
        <item x="3"/>
        <item x="4"/>
        <item x="5"/>
        <item x="6"/>
        <item x="7"/>
        <item x="8"/>
        <item x="28"/>
        <item x="9"/>
        <item x="10"/>
        <item x="11"/>
        <item x="12"/>
        <item x="29"/>
        <item x="13"/>
        <item x="14"/>
        <item x="30"/>
        <item x="15"/>
        <item x="16"/>
        <item x="17"/>
        <item x="18"/>
        <item x="19"/>
        <item x="20"/>
        <item x="21"/>
        <item x="22"/>
        <item x="23"/>
        <item x="24"/>
        <item x="25"/>
        <item x="26"/>
        <item x="27"/>
        <item t="default"/>
      </items>
    </pivotField>
    <pivotField showAll="0"/>
    <pivotField showAll="0"/>
    <pivotField dataField="1" showAll="0"/>
  </pivotFields>
  <rowFields count="1">
    <field x="0"/>
  </rowFields>
  <rowItems count="3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t="grand">
      <x/>
    </i>
  </rowItems>
  <colItems count="1">
    <i/>
  </colItems>
  <dataFields count="1">
    <dataField name="Suma de Suma de USD" fld="3" baseField="0" baseItem="0" numFmtId="4"/>
  </dataFields>
  <formats count="2">
    <format dxfId="49">
      <pivotArea outline="0" collapsedLevelsAreSubtotals="1" fieldPosition="0"/>
    </format>
    <format dxfId="48">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C85E4-B083-4E47-AC12-0D480CECFB5B}">
  <sheetPr>
    <tabColor theme="4" tint="0.79998168889431442"/>
  </sheetPr>
  <dimension ref="B2:E3"/>
  <sheetViews>
    <sheetView showGridLines="0" tabSelected="1" topLeftCell="A3" zoomScale="80" zoomScaleNormal="80" workbookViewId="0"/>
  </sheetViews>
  <sheetFormatPr baseColWidth="10" defaultColWidth="8.7265625" defaultRowHeight="14.5" x14ac:dyDescent="0.35"/>
  <cols>
    <col min="2" max="2" width="127.26953125" customWidth="1"/>
  </cols>
  <sheetData>
    <row r="2" spans="2:5" ht="36.75" customHeight="1" thickBot="1" x14ac:dyDescent="0.4">
      <c r="B2" s="231" t="s">
        <v>0</v>
      </c>
      <c r="C2" s="231"/>
      <c r="D2" s="231"/>
      <c r="E2" s="231"/>
    </row>
    <row r="3" spans="2:5" ht="295.5" customHeight="1" thickBot="1" x14ac:dyDescent="0.4">
      <c r="B3" s="196" t="s">
        <v>344</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3906C-88E8-4DE0-80EC-3F3AD64951A5}">
  <sheetPr>
    <tabColor theme="9" tint="-0.249977111117893"/>
    <pageSetUpPr fitToPage="1"/>
  </sheetPr>
  <dimension ref="A1:L215"/>
  <sheetViews>
    <sheetView showGridLines="0" showZeros="0" zoomScale="47" zoomScaleNormal="47" workbookViewId="0">
      <pane ySplit="5" topLeftCell="A177" activePane="bottomLeft" state="frozen"/>
      <selection activeCell="C19" sqref="C19:H19"/>
      <selection pane="bottomLeft" activeCell="I206" sqref="I206"/>
    </sheetView>
  </sheetViews>
  <sheetFormatPr baseColWidth="10" defaultColWidth="9.1796875" defaultRowHeight="14.5" x14ac:dyDescent="0.35"/>
  <cols>
    <col min="1" max="1" width="6.81640625" style="25" customWidth="1"/>
    <col min="2" max="2" width="30.7265625" style="25" customWidth="1"/>
    <col min="3" max="3" width="46.1796875" style="25" customWidth="1"/>
    <col min="4" max="4" width="24.26953125" style="25" customWidth="1"/>
    <col min="5" max="6" width="23.1796875" style="25" customWidth="1"/>
    <col min="7" max="7" width="25.54296875" style="25" customWidth="1"/>
    <col min="8" max="8" width="31.453125" style="25" customWidth="1"/>
    <col min="9" max="9" width="28.1796875" style="94" customWidth="1"/>
    <col min="10" max="10" width="33" style="94" customWidth="1"/>
    <col min="11" max="11" width="35.81640625" style="156" customWidth="1"/>
    <col min="12" max="12" width="18.81640625" style="25" customWidth="1"/>
    <col min="13" max="13" width="9.1796875" style="25"/>
    <col min="14" max="14" width="17.7265625" style="25" customWidth="1"/>
    <col min="15" max="15" width="26.453125" style="25" customWidth="1"/>
    <col min="16" max="16" width="22.453125" style="25" customWidth="1"/>
    <col min="17" max="17" width="29.7265625" style="25" customWidth="1"/>
    <col min="18" max="18" width="23.453125" style="25" customWidth="1"/>
    <col min="19" max="19" width="18.453125" style="25" customWidth="1"/>
    <col min="20" max="20" width="17.453125" style="25" customWidth="1"/>
    <col min="21" max="21" width="25.1796875" style="25" customWidth="1"/>
    <col min="22" max="16384" width="9.1796875" style="25"/>
  </cols>
  <sheetData>
    <row r="1" spans="1:12" ht="46" hidden="1" x14ac:dyDescent="1">
      <c r="B1" s="231" t="s">
        <v>2</v>
      </c>
      <c r="C1" s="231"/>
      <c r="D1" s="231"/>
      <c r="E1" s="231"/>
      <c r="F1" s="23"/>
      <c r="G1" s="23"/>
      <c r="H1" s="24"/>
      <c r="I1" s="100"/>
      <c r="J1" s="100"/>
      <c r="K1" s="155"/>
    </row>
    <row r="2" spans="1:12" ht="15.5" hidden="1" x14ac:dyDescent="0.35">
      <c r="B2" s="89" t="s">
        <v>1</v>
      </c>
    </row>
    <row r="3" spans="1:12" ht="18.5" hidden="1" x14ac:dyDescent="0.45">
      <c r="B3" s="262" t="s">
        <v>3</v>
      </c>
      <c r="C3" s="262"/>
      <c r="D3" s="262"/>
      <c r="E3" s="262"/>
    </row>
    <row r="4" spans="1:12" ht="18.5" hidden="1" x14ac:dyDescent="0.45">
      <c r="B4" s="109"/>
      <c r="C4" s="109"/>
      <c r="D4" s="109"/>
      <c r="E4" s="109"/>
    </row>
    <row r="5" spans="1:12" ht="77.5" x14ac:dyDescent="0.35">
      <c r="B5" s="105" t="s">
        <v>4</v>
      </c>
      <c r="C5" s="105" t="s">
        <v>5</v>
      </c>
      <c r="D5" s="110" t="s">
        <v>6</v>
      </c>
      <c r="E5" s="105" t="s">
        <v>7</v>
      </c>
      <c r="F5" s="105" t="s">
        <v>8</v>
      </c>
      <c r="G5" s="105" t="s">
        <v>9</v>
      </c>
      <c r="H5" s="105" t="s">
        <v>10</v>
      </c>
      <c r="I5" s="105" t="s">
        <v>11</v>
      </c>
      <c r="J5" s="105" t="s">
        <v>12</v>
      </c>
      <c r="K5" s="105" t="s">
        <v>13</v>
      </c>
      <c r="L5" s="31"/>
    </row>
    <row r="6" spans="1:12" ht="15.5" x14ac:dyDescent="0.35">
      <c r="B6" s="59" t="s">
        <v>14</v>
      </c>
      <c r="C6" s="263" t="s">
        <v>214</v>
      </c>
      <c r="D6" s="263"/>
      <c r="E6" s="263"/>
      <c r="F6" s="263"/>
      <c r="G6" s="263"/>
      <c r="H6" s="263"/>
      <c r="I6" s="254"/>
      <c r="J6" s="254"/>
      <c r="K6" s="263"/>
      <c r="L6" s="12"/>
    </row>
    <row r="7" spans="1:12" ht="15.5" x14ac:dyDescent="0.35">
      <c r="B7" s="59" t="s">
        <v>15</v>
      </c>
      <c r="C7" s="264" t="s">
        <v>215</v>
      </c>
      <c r="D7" s="265"/>
      <c r="E7" s="265"/>
      <c r="F7" s="265"/>
      <c r="G7" s="265"/>
      <c r="H7" s="265"/>
      <c r="I7" s="256"/>
      <c r="J7" s="256"/>
      <c r="K7" s="265"/>
      <c r="L7" s="33"/>
    </row>
    <row r="8" spans="1:12" ht="262" customHeight="1" x14ac:dyDescent="0.35">
      <c r="B8" s="119" t="s">
        <v>16</v>
      </c>
      <c r="C8" s="157" t="s">
        <v>234</v>
      </c>
      <c r="D8" s="113">
        <v>178305.50162162163</v>
      </c>
      <c r="E8" s="113"/>
      <c r="F8" s="113"/>
      <c r="G8" s="114">
        <f>D8</f>
        <v>178305.50162162163</v>
      </c>
      <c r="H8" s="115">
        <v>1</v>
      </c>
      <c r="I8" s="113">
        <f>GETPIVOTDATA("Suma de USD",'SOURCE INFO'!$G$4,"Etiquetas de fila","1.1.1.")</f>
        <v>101663.26930200013</v>
      </c>
      <c r="J8" s="158" t="s">
        <v>235</v>
      </c>
      <c r="K8" s="159" t="s">
        <v>236</v>
      </c>
      <c r="L8" s="120"/>
    </row>
    <row r="9" spans="1:12" ht="186" x14ac:dyDescent="0.35">
      <c r="B9" s="119" t="s">
        <v>17</v>
      </c>
      <c r="C9" s="157" t="s">
        <v>217</v>
      </c>
      <c r="D9" s="113">
        <v>74985.564864864864</v>
      </c>
      <c r="E9" s="113"/>
      <c r="F9" s="113"/>
      <c r="G9" s="114">
        <f t="shared" ref="G9:G15" si="0">D9</f>
        <v>74985.564864864864</v>
      </c>
      <c r="H9" s="115">
        <v>0.8</v>
      </c>
      <c r="I9" s="113">
        <f>GETPIVOTDATA("Suma de USD",'SOURCE INFO'!$G$4,"Etiquetas de fila","1.1.2.")</f>
        <v>40714.429683000002</v>
      </c>
      <c r="J9" s="160" t="s">
        <v>237</v>
      </c>
      <c r="K9" s="161" t="s">
        <v>238</v>
      </c>
      <c r="L9" s="120"/>
    </row>
    <row r="10" spans="1:12" ht="15.5" hidden="1" x14ac:dyDescent="0.35">
      <c r="B10" s="119" t="s">
        <v>18</v>
      </c>
      <c r="C10" s="112"/>
      <c r="D10" s="113"/>
      <c r="E10" s="113"/>
      <c r="F10" s="113"/>
      <c r="G10" s="114">
        <f t="shared" si="0"/>
        <v>0</v>
      </c>
      <c r="H10" s="115"/>
      <c r="I10" s="113"/>
      <c r="J10" s="116"/>
      <c r="K10" s="161"/>
      <c r="L10" s="120"/>
    </row>
    <row r="11" spans="1:12" ht="15.5" hidden="1" x14ac:dyDescent="0.35">
      <c r="B11" s="119" t="s">
        <v>19</v>
      </c>
      <c r="C11" s="112"/>
      <c r="D11" s="113"/>
      <c r="E11" s="113"/>
      <c r="F11" s="113"/>
      <c r="G11" s="114">
        <f t="shared" si="0"/>
        <v>0</v>
      </c>
      <c r="H11" s="115"/>
      <c r="I11" s="113"/>
      <c r="J11" s="116"/>
      <c r="K11" s="161"/>
      <c r="L11" s="120"/>
    </row>
    <row r="12" spans="1:12" ht="15.5" hidden="1" x14ac:dyDescent="0.35">
      <c r="B12" s="119" t="s">
        <v>20</v>
      </c>
      <c r="C12" s="112"/>
      <c r="D12" s="113"/>
      <c r="E12" s="113"/>
      <c r="F12" s="113"/>
      <c r="G12" s="114">
        <f t="shared" si="0"/>
        <v>0</v>
      </c>
      <c r="H12" s="115"/>
      <c r="I12" s="113"/>
      <c r="J12" s="116"/>
      <c r="K12" s="161"/>
      <c r="L12" s="120"/>
    </row>
    <row r="13" spans="1:12" ht="15.5" hidden="1" x14ac:dyDescent="0.35">
      <c r="B13" s="119" t="s">
        <v>21</v>
      </c>
      <c r="C13" s="112"/>
      <c r="D13" s="113"/>
      <c r="E13" s="113"/>
      <c r="F13" s="113"/>
      <c r="G13" s="114">
        <f t="shared" si="0"/>
        <v>0</v>
      </c>
      <c r="H13" s="115"/>
      <c r="I13" s="113"/>
      <c r="J13" s="116"/>
      <c r="K13" s="161"/>
      <c r="L13" s="120"/>
    </row>
    <row r="14" spans="1:12" ht="15.5" hidden="1" x14ac:dyDescent="0.35">
      <c r="B14" s="119" t="s">
        <v>22</v>
      </c>
      <c r="C14" s="121"/>
      <c r="D14" s="116"/>
      <c r="E14" s="116"/>
      <c r="F14" s="116"/>
      <c r="G14" s="114">
        <f t="shared" si="0"/>
        <v>0</v>
      </c>
      <c r="H14" s="122"/>
      <c r="I14" s="116"/>
      <c r="J14" s="116"/>
      <c r="K14" s="162"/>
      <c r="L14" s="120"/>
    </row>
    <row r="15" spans="1:12" ht="15.5" hidden="1" x14ac:dyDescent="0.35">
      <c r="A15" s="26"/>
      <c r="B15" s="119" t="s">
        <v>23</v>
      </c>
      <c r="C15" s="121"/>
      <c r="D15" s="116"/>
      <c r="E15" s="116"/>
      <c r="F15" s="116"/>
      <c r="G15" s="114">
        <f t="shared" si="0"/>
        <v>0</v>
      </c>
      <c r="H15" s="122"/>
      <c r="I15" s="116"/>
      <c r="J15" s="116"/>
      <c r="K15" s="162"/>
    </row>
    <row r="16" spans="1:12" ht="15.5" x14ac:dyDescent="0.35">
      <c r="A16" s="26"/>
      <c r="C16" s="59" t="s">
        <v>24</v>
      </c>
      <c r="D16" s="13">
        <f>SUM(D8:D15)</f>
        <v>253291.0664864865</v>
      </c>
      <c r="E16" s="13">
        <f>SUM(E8:E15)</f>
        <v>0</v>
      </c>
      <c r="F16" s="13">
        <f>SUM(F8:F15)</f>
        <v>0</v>
      </c>
      <c r="G16" s="13">
        <f>SUM(G8:G15)</f>
        <v>253291.0664864865</v>
      </c>
      <c r="H16" s="13">
        <f>(H8*G8)+(H9*G9)+(H10*G10)+(H11*G11)+(H12*G12)+(H13*G13)+(H14*G14)+(H15*G15)</f>
        <v>238293.95351351352</v>
      </c>
      <c r="I16" s="13">
        <f>SUM(I8:I15)</f>
        <v>142377.69898500014</v>
      </c>
      <c r="J16" s="106"/>
      <c r="K16" s="162"/>
      <c r="L16" s="34"/>
    </row>
    <row r="17" spans="1:12" ht="15.5" x14ac:dyDescent="0.35">
      <c r="A17" s="26"/>
      <c r="B17" s="59" t="s">
        <v>25</v>
      </c>
      <c r="C17" s="266" t="s">
        <v>239</v>
      </c>
      <c r="D17" s="258"/>
      <c r="E17" s="258"/>
      <c r="F17" s="258"/>
      <c r="G17" s="258"/>
      <c r="H17" s="258"/>
      <c r="I17" s="259"/>
      <c r="J17" s="259"/>
      <c r="K17" s="258"/>
      <c r="L17" s="33"/>
    </row>
    <row r="18" spans="1:12" ht="108.5" x14ac:dyDescent="0.35">
      <c r="A18" s="26"/>
      <c r="B18" s="119" t="s">
        <v>26</v>
      </c>
      <c r="C18" s="157" t="s">
        <v>218</v>
      </c>
      <c r="D18" s="113">
        <v>25484.027297297296</v>
      </c>
      <c r="E18" s="113"/>
      <c r="F18" s="113"/>
      <c r="G18" s="114">
        <f>D18</f>
        <v>25484.027297297296</v>
      </c>
      <c r="H18" s="115">
        <v>0.3</v>
      </c>
      <c r="I18" s="113">
        <f>GETPIVOTDATA("Suma de USD",'SOURCE INFO'!$G$4,"Etiquetas de fila","1.2.1.")</f>
        <v>16877.303771000003</v>
      </c>
      <c r="J18" s="163" t="s">
        <v>240</v>
      </c>
      <c r="K18" s="161" t="s">
        <v>241</v>
      </c>
      <c r="L18" s="120"/>
    </row>
    <row r="19" spans="1:12" ht="324" customHeight="1" x14ac:dyDescent="0.35">
      <c r="A19" s="26"/>
      <c r="B19" s="119" t="s">
        <v>27</v>
      </c>
      <c r="C19" s="157" t="s">
        <v>308</v>
      </c>
      <c r="D19" s="113">
        <v>144989.76000000001</v>
      </c>
      <c r="E19" s="113"/>
      <c r="F19" s="113"/>
      <c r="G19" s="114">
        <f t="shared" ref="G19:G25" si="1">D19</f>
        <v>144989.76000000001</v>
      </c>
      <c r="H19" s="115">
        <v>0.3</v>
      </c>
      <c r="I19" s="113">
        <f>GETPIVOTDATA("Suma de USD",'SOURCE INFO'!$G$4,"Etiquetas de fila","1.2.2.")</f>
        <v>115198.57555699983</v>
      </c>
      <c r="J19" s="164" t="s">
        <v>242</v>
      </c>
      <c r="K19" s="161" t="s">
        <v>243</v>
      </c>
      <c r="L19" s="120"/>
    </row>
    <row r="20" spans="1:12" ht="15.5" hidden="1" x14ac:dyDescent="0.35">
      <c r="A20" s="26"/>
      <c r="B20" s="119" t="s">
        <v>28</v>
      </c>
      <c r="C20" s="112"/>
      <c r="D20" s="113"/>
      <c r="E20" s="113"/>
      <c r="F20" s="113"/>
      <c r="G20" s="114">
        <f t="shared" si="1"/>
        <v>0</v>
      </c>
      <c r="H20" s="115"/>
      <c r="I20" s="113"/>
      <c r="J20" s="113"/>
      <c r="K20" s="161"/>
      <c r="L20" s="120"/>
    </row>
    <row r="21" spans="1:12" ht="15.5" hidden="1" x14ac:dyDescent="0.35">
      <c r="A21" s="26"/>
      <c r="B21" s="119" t="s">
        <v>29</v>
      </c>
      <c r="C21" s="112"/>
      <c r="D21" s="113"/>
      <c r="E21" s="113"/>
      <c r="F21" s="113"/>
      <c r="G21" s="114">
        <f t="shared" si="1"/>
        <v>0</v>
      </c>
      <c r="H21" s="115"/>
      <c r="I21" s="113"/>
      <c r="J21" s="113"/>
      <c r="K21" s="161"/>
      <c r="L21" s="120"/>
    </row>
    <row r="22" spans="1:12" ht="15.5" hidden="1" x14ac:dyDescent="0.35">
      <c r="A22" s="26"/>
      <c r="B22" s="119" t="s">
        <v>30</v>
      </c>
      <c r="C22" s="112"/>
      <c r="D22" s="113"/>
      <c r="E22" s="113"/>
      <c r="F22" s="113"/>
      <c r="G22" s="114">
        <f t="shared" si="1"/>
        <v>0</v>
      </c>
      <c r="H22" s="115"/>
      <c r="I22" s="113"/>
      <c r="J22" s="113"/>
      <c r="K22" s="161"/>
      <c r="L22" s="120"/>
    </row>
    <row r="23" spans="1:12" ht="15.5" hidden="1" x14ac:dyDescent="0.35">
      <c r="A23" s="26"/>
      <c r="B23" s="119" t="s">
        <v>31</v>
      </c>
      <c r="C23" s="112"/>
      <c r="D23" s="113"/>
      <c r="E23" s="113"/>
      <c r="F23" s="113"/>
      <c r="G23" s="114">
        <f t="shared" si="1"/>
        <v>0</v>
      </c>
      <c r="H23" s="115"/>
      <c r="I23" s="113"/>
      <c r="J23" s="113"/>
      <c r="K23" s="161"/>
      <c r="L23" s="120"/>
    </row>
    <row r="24" spans="1:12" ht="15.5" hidden="1" x14ac:dyDescent="0.35">
      <c r="A24" s="26"/>
      <c r="B24" s="119" t="s">
        <v>32</v>
      </c>
      <c r="C24" s="121"/>
      <c r="D24" s="116"/>
      <c r="E24" s="116"/>
      <c r="F24" s="116"/>
      <c r="G24" s="114">
        <f t="shared" si="1"/>
        <v>0</v>
      </c>
      <c r="H24" s="122"/>
      <c r="I24" s="116"/>
      <c r="J24" s="116"/>
      <c r="K24" s="162"/>
      <c r="L24" s="120"/>
    </row>
    <row r="25" spans="1:12" ht="15.5" hidden="1" x14ac:dyDescent="0.35">
      <c r="A25" s="26"/>
      <c r="B25" s="119" t="s">
        <v>33</v>
      </c>
      <c r="C25" s="121"/>
      <c r="D25" s="116"/>
      <c r="E25" s="116"/>
      <c r="F25" s="116"/>
      <c r="G25" s="114">
        <f t="shared" si="1"/>
        <v>0</v>
      </c>
      <c r="H25" s="122"/>
      <c r="I25" s="116"/>
      <c r="J25" s="116"/>
      <c r="K25" s="162"/>
      <c r="L25" s="120"/>
    </row>
    <row r="26" spans="1:12" ht="15.5" x14ac:dyDescent="0.35">
      <c r="A26" s="26"/>
      <c r="C26" s="59" t="s">
        <v>24</v>
      </c>
      <c r="D26" s="16">
        <f>SUM(D18:D25)</f>
        <v>170473.7872972973</v>
      </c>
      <c r="E26" s="16">
        <f t="shared" ref="E26:G26" si="2">SUM(E18:E25)</f>
        <v>0</v>
      </c>
      <c r="F26" s="16">
        <f t="shared" si="2"/>
        <v>0</v>
      </c>
      <c r="G26" s="16">
        <f t="shared" si="2"/>
        <v>170473.7872972973</v>
      </c>
      <c r="H26" s="13">
        <f>(H18*G18)+(H19*G19)+(H20*G20)+(H21*G21)+(H22*G22)+(H23*G23)+(H24*G24)+(H25*G25)</f>
        <v>51142.136189189187</v>
      </c>
      <c r="I26" s="13">
        <f>SUM(I18:I25)</f>
        <v>132075.87932799984</v>
      </c>
      <c r="J26" s="106"/>
      <c r="K26" s="162"/>
      <c r="L26" s="34"/>
    </row>
    <row r="27" spans="1:12" ht="15.5" x14ac:dyDescent="0.35">
      <c r="A27" s="26"/>
      <c r="B27" s="59" t="s">
        <v>34</v>
      </c>
      <c r="C27" s="255" t="s">
        <v>244</v>
      </c>
      <c r="D27" s="255"/>
      <c r="E27" s="255"/>
      <c r="F27" s="255"/>
      <c r="G27" s="255"/>
      <c r="H27" s="255"/>
      <c r="I27" s="256"/>
      <c r="J27" s="256"/>
      <c r="K27" s="255"/>
      <c r="L27" s="33"/>
    </row>
    <row r="28" spans="1:12" ht="217" x14ac:dyDescent="0.35">
      <c r="A28" s="26"/>
      <c r="B28" s="119" t="s">
        <v>35</v>
      </c>
      <c r="C28" s="157" t="s">
        <v>245</v>
      </c>
      <c r="D28" s="165">
        <v>91501.01999999999</v>
      </c>
      <c r="E28" s="113"/>
      <c r="F28" s="113"/>
      <c r="G28" s="114">
        <f>D28</f>
        <v>91501.01999999999</v>
      </c>
      <c r="H28" s="115">
        <v>0.6</v>
      </c>
      <c r="I28" s="113">
        <f>GETPIVOTDATA("Suma de USD",'SOURCE INFO'!$G$4,"Etiquetas de fila","1.3.1.")</f>
        <v>78552.638513000042</v>
      </c>
      <c r="J28" s="164" t="s">
        <v>246</v>
      </c>
      <c r="K28" s="161"/>
      <c r="L28" s="120"/>
    </row>
    <row r="29" spans="1:12" ht="170.5" x14ac:dyDescent="0.35">
      <c r="A29" s="26"/>
      <c r="B29" s="119" t="s">
        <v>36</v>
      </c>
      <c r="C29" s="157" t="s">
        <v>219</v>
      </c>
      <c r="D29" s="113">
        <v>142373.07243243244</v>
      </c>
      <c r="E29" s="113"/>
      <c r="F29" s="113"/>
      <c r="G29" s="114">
        <f t="shared" ref="G29:G35" si="3">D29</f>
        <v>142373.07243243244</v>
      </c>
      <c r="H29" s="115">
        <v>0.5</v>
      </c>
      <c r="I29" s="113">
        <f>GETPIVOTDATA("Suma de USD",'SOURCE INFO'!$G$4,"Etiquetas de fila","1.3.2.")</f>
        <v>98312.587974000067</v>
      </c>
      <c r="J29" s="166" t="s">
        <v>247</v>
      </c>
      <c r="K29" s="161" t="s">
        <v>248</v>
      </c>
      <c r="L29" s="120"/>
    </row>
    <row r="30" spans="1:12" ht="232.5" x14ac:dyDescent="0.35">
      <c r="A30" s="26"/>
      <c r="B30" s="119" t="s">
        <v>37</v>
      </c>
      <c r="C30" s="157" t="s">
        <v>249</v>
      </c>
      <c r="D30" s="113">
        <v>35190.334054054052</v>
      </c>
      <c r="E30" s="113"/>
      <c r="F30" s="113"/>
      <c r="G30" s="114">
        <f t="shared" si="3"/>
        <v>35190.334054054052</v>
      </c>
      <c r="H30" s="115">
        <v>0.5</v>
      </c>
      <c r="I30" s="113">
        <f>GETPIVOTDATA("Suma de USD",'SOURCE INFO'!$G$4,"Etiquetas de fila","1.3.3.")</f>
        <v>24804.011474999996</v>
      </c>
      <c r="J30" s="167" t="s">
        <v>250</v>
      </c>
      <c r="K30" s="161" t="s">
        <v>251</v>
      </c>
      <c r="L30" s="120"/>
    </row>
    <row r="31" spans="1:12" ht="15.5" hidden="1" x14ac:dyDescent="0.35">
      <c r="A31" s="26"/>
      <c r="B31" s="119" t="s">
        <v>38</v>
      </c>
      <c r="C31" s="112"/>
      <c r="D31" s="113"/>
      <c r="E31" s="113"/>
      <c r="F31" s="113"/>
      <c r="G31" s="114">
        <f t="shared" si="3"/>
        <v>0</v>
      </c>
      <c r="H31" s="115"/>
      <c r="I31" s="113"/>
      <c r="J31" s="113"/>
      <c r="K31" s="161"/>
      <c r="L31" s="120"/>
    </row>
    <row r="32" spans="1:12" s="26" customFormat="1" ht="15.5" hidden="1" x14ac:dyDescent="0.35">
      <c r="B32" s="119" t="s">
        <v>39</v>
      </c>
      <c r="C32" s="112"/>
      <c r="D32" s="113"/>
      <c r="E32" s="113"/>
      <c r="F32" s="113"/>
      <c r="G32" s="114">
        <f t="shared" si="3"/>
        <v>0</v>
      </c>
      <c r="H32" s="115"/>
      <c r="I32" s="113"/>
      <c r="J32" s="113"/>
      <c r="K32" s="161"/>
      <c r="L32" s="120"/>
    </row>
    <row r="33" spans="1:12" s="26" customFormat="1" ht="15.5" hidden="1" x14ac:dyDescent="0.35">
      <c r="B33" s="119" t="s">
        <v>40</v>
      </c>
      <c r="C33" s="112"/>
      <c r="D33" s="113"/>
      <c r="E33" s="113"/>
      <c r="F33" s="113"/>
      <c r="G33" s="114">
        <f t="shared" si="3"/>
        <v>0</v>
      </c>
      <c r="H33" s="115"/>
      <c r="I33" s="113"/>
      <c r="J33" s="113"/>
      <c r="K33" s="161"/>
      <c r="L33" s="120"/>
    </row>
    <row r="34" spans="1:12" s="26" customFormat="1" ht="15.5" hidden="1" x14ac:dyDescent="0.35">
      <c r="A34" s="25"/>
      <c r="B34" s="119" t="s">
        <v>41</v>
      </c>
      <c r="C34" s="121"/>
      <c r="D34" s="116"/>
      <c r="E34" s="116"/>
      <c r="F34" s="116"/>
      <c r="G34" s="114">
        <f t="shared" si="3"/>
        <v>0</v>
      </c>
      <c r="H34" s="122"/>
      <c r="I34" s="116"/>
      <c r="J34" s="116"/>
      <c r="K34" s="162"/>
      <c r="L34" s="120"/>
    </row>
    <row r="35" spans="1:12" ht="15.5" hidden="1" x14ac:dyDescent="0.35">
      <c r="B35" s="119" t="s">
        <v>42</v>
      </c>
      <c r="C35" s="121"/>
      <c r="D35" s="116"/>
      <c r="E35" s="116"/>
      <c r="F35" s="116"/>
      <c r="G35" s="114">
        <f t="shared" si="3"/>
        <v>0</v>
      </c>
      <c r="H35" s="122"/>
      <c r="I35" s="116"/>
      <c r="J35" s="116"/>
      <c r="K35" s="162"/>
      <c r="L35" s="120"/>
    </row>
    <row r="36" spans="1:12" ht="15.5" x14ac:dyDescent="0.35">
      <c r="C36" s="59" t="s">
        <v>24</v>
      </c>
      <c r="D36" s="16">
        <f>SUM(D28:D35)</f>
        <v>269064.42648648645</v>
      </c>
      <c r="E36" s="16">
        <f t="shared" ref="E36:G36" si="4">SUM(E28:E35)</f>
        <v>0</v>
      </c>
      <c r="F36" s="16">
        <f t="shared" si="4"/>
        <v>0</v>
      </c>
      <c r="G36" s="16">
        <f t="shared" si="4"/>
        <v>269064.42648648645</v>
      </c>
      <c r="H36" s="13">
        <f>(H28*G28)+(H29*G29)+(H30*G30)+(H31*G31)+(H32*G32)+(H33*G33)+(H34*G34)+(H35*G35)</f>
        <v>143682.31524324324</v>
      </c>
      <c r="I36" s="13">
        <f>SUM(I28:I35)</f>
        <v>201669.23796200013</v>
      </c>
      <c r="J36" s="106"/>
      <c r="K36" s="162"/>
      <c r="L36" s="34"/>
    </row>
    <row r="37" spans="1:12" ht="15.5" hidden="1" x14ac:dyDescent="0.35">
      <c r="B37" s="59" t="s">
        <v>43</v>
      </c>
      <c r="C37" s="255"/>
      <c r="D37" s="255"/>
      <c r="E37" s="255"/>
      <c r="F37" s="255"/>
      <c r="G37" s="255"/>
      <c r="H37" s="255"/>
      <c r="I37" s="256"/>
      <c r="J37" s="256"/>
      <c r="K37" s="255"/>
      <c r="L37" s="33"/>
    </row>
    <row r="38" spans="1:12" ht="15.5" hidden="1" x14ac:dyDescent="0.35">
      <c r="B38" s="119" t="s">
        <v>44</v>
      </c>
      <c r="C38" s="112"/>
      <c r="D38" s="113"/>
      <c r="E38" s="113"/>
      <c r="F38" s="113"/>
      <c r="G38" s="114">
        <f>D38</f>
        <v>0</v>
      </c>
      <c r="H38" s="115"/>
      <c r="I38" s="113"/>
      <c r="J38" s="113"/>
      <c r="K38" s="161"/>
      <c r="L38" s="120"/>
    </row>
    <row r="39" spans="1:12" ht="15.5" hidden="1" x14ac:dyDescent="0.35">
      <c r="B39" s="119" t="s">
        <v>45</v>
      </c>
      <c r="C39" s="112"/>
      <c r="D39" s="113"/>
      <c r="E39" s="113"/>
      <c r="F39" s="113"/>
      <c r="G39" s="114">
        <f t="shared" ref="G39:G45" si="5">D39</f>
        <v>0</v>
      </c>
      <c r="H39" s="115"/>
      <c r="I39" s="113"/>
      <c r="J39" s="113"/>
      <c r="K39" s="161"/>
      <c r="L39" s="120"/>
    </row>
    <row r="40" spans="1:12" ht="15.5" hidden="1" x14ac:dyDescent="0.35">
      <c r="B40" s="119" t="s">
        <v>46</v>
      </c>
      <c r="C40" s="112"/>
      <c r="D40" s="113"/>
      <c r="E40" s="113"/>
      <c r="F40" s="113"/>
      <c r="G40" s="114">
        <f t="shared" si="5"/>
        <v>0</v>
      </c>
      <c r="H40" s="115"/>
      <c r="I40" s="113"/>
      <c r="J40" s="113"/>
      <c r="K40" s="161"/>
      <c r="L40" s="120"/>
    </row>
    <row r="41" spans="1:12" ht="15.5" hidden="1" x14ac:dyDescent="0.35">
      <c r="B41" s="119" t="s">
        <v>47</v>
      </c>
      <c r="C41" s="112"/>
      <c r="D41" s="113"/>
      <c r="E41" s="113"/>
      <c r="F41" s="113"/>
      <c r="G41" s="114">
        <f t="shared" si="5"/>
        <v>0</v>
      </c>
      <c r="H41" s="115"/>
      <c r="I41" s="113"/>
      <c r="J41" s="113"/>
      <c r="K41" s="161"/>
      <c r="L41" s="120"/>
    </row>
    <row r="42" spans="1:12" ht="15.5" hidden="1" x14ac:dyDescent="0.35">
      <c r="B42" s="119" t="s">
        <v>48</v>
      </c>
      <c r="C42" s="112"/>
      <c r="D42" s="113"/>
      <c r="E42" s="113"/>
      <c r="F42" s="113"/>
      <c r="G42" s="114">
        <f t="shared" si="5"/>
        <v>0</v>
      </c>
      <c r="H42" s="115"/>
      <c r="I42" s="113"/>
      <c r="J42" s="113"/>
      <c r="K42" s="161"/>
      <c r="L42" s="120"/>
    </row>
    <row r="43" spans="1:12" ht="15.5" hidden="1" x14ac:dyDescent="0.35">
      <c r="A43" s="26"/>
      <c r="B43" s="119" t="s">
        <v>49</v>
      </c>
      <c r="C43" s="112"/>
      <c r="D43" s="113"/>
      <c r="E43" s="113"/>
      <c r="F43" s="113"/>
      <c r="G43" s="114">
        <f t="shared" si="5"/>
        <v>0</v>
      </c>
      <c r="H43" s="115"/>
      <c r="I43" s="113"/>
      <c r="J43" s="113"/>
      <c r="K43" s="161"/>
      <c r="L43" s="120"/>
    </row>
    <row r="44" spans="1:12" s="26" customFormat="1" ht="15.5" hidden="1" x14ac:dyDescent="0.35">
      <c r="A44" s="25"/>
      <c r="B44" s="119" t="s">
        <v>50</v>
      </c>
      <c r="C44" s="121"/>
      <c r="D44" s="116"/>
      <c r="E44" s="116"/>
      <c r="F44" s="116"/>
      <c r="G44" s="114">
        <f t="shared" si="5"/>
        <v>0</v>
      </c>
      <c r="H44" s="122"/>
      <c r="I44" s="116"/>
      <c r="J44" s="116"/>
      <c r="K44" s="162"/>
      <c r="L44" s="120"/>
    </row>
    <row r="45" spans="1:12" ht="15.5" hidden="1" x14ac:dyDescent="0.35">
      <c r="B45" s="119" t="s">
        <v>51</v>
      </c>
      <c r="C45" s="121"/>
      <c r="D45" s="116"/>
      <c r="E45" s="116"/>
      <c r="F45" s="116"/>
      <c r="G45" s="114">
        <f t="shared" si="5"/>
        <v>0</v>
      </c>
      <c r="H45" s="122"/>
      <c r="I45" s="116"/>
      <c r="J45" s="116"/>
      <c r="K45" s="162"/>
      <c r="L45" s="120"/>
    </row>
    <row r="46" spans="1:12" ht="15.5" hidden="1" x14ac:dyDescent="0.35">
      <c r="C46" s="59" t="s">
        <v>24</v>
      </c>
      <c r="D46" s="13">
        <f>SUM(D38:D45)</f>
        <v>0</v>
      </c>
      <c r="E46" s="13">
        <f t="shared" ref="E46:G46" si="6">SUM(E38:E45)</f>
        <v>0</v>
      </c>
      <c r="F46" s="13">
        <f t="shared" si="6"/>
        <v>0</v>
      </c>
      <c r="G46" s="13">
        <f t="shared" si="6"/>
        <v>0</v>
      </c>
      <c r="H46" s="13">
        <f>(H38*G38)+(H39*G39)+(H40*G40)+(H41*G41)+(H42*G42)+(H43*G43)+(H44*G44)+(H45*G45)</f>
        <v>0</v>
      </c>
      <c r="I46" s="13">
        <f>SUM(I38:I45)</f>
        <v>0</v>
      </c>
      <c r="J46" s="106"/>
      <c r="K46" s="162"/>
      <c r="L46" s="34"/>
    </row>
    <row r="47" spans="1:12" ht="15.5" x14ac:dyDescent="0.35">
      <c r="B47" s="123"/>
      <c r="C47" s="124"/>
      <c r="D47" s="125"/>
      <c r="E47" s="125"/>
      <c r="F47" s="125"/>
      <c r="G47" s="125"/>
      <c r="H47" s="125"/>
      <c r="I47" s="125"/>
      <c r="J47" s="125"/>
      <c r="K47" s="125"/>
      <c r="L47" s="120"/>
    </row>
    <row r="48" spans="1:12" ht="15.5" x14ac:dyDescent="0.35">
      <c r="B48" s="59" t="s">
        <v>52</v>
      </c>
      <c r="C48" s="267" t="s">
        <v>252</v>
      </c>
      <c r="D48" s="253"/>
      <c r="E48" s="253"/>
      <c r="F48" s="253"/>
      <c r="G48" s="253"/>
      <c r="H48" s="253"/>
      <c r="I48" s="254"/>
      <c r="J48" s="254"/>
      <c r="K48" s="253"/>
      <c r="L48" s="12"/>
    </row>
    <row r="49" spans="1:12" ht="15.5" x14ac:dyDescent="0.35">
      <c r="B49" s="59" t="s">
        <v>53</v>
      </c>
      <c r="C49" s="268" t="s">
        <v>253</v>
      </c>
      <c r="D49" s="255"/>
      <c r="E49" s="255"/>
      <c r="F49" s="255"/>
      <c r="G49" s="255"/>
      <c r="H49" s="255"/>
      <c r="I49" s="256"/>
      <c r="J49" s="256"/>
      <c r="K49" s="255"/>
      <c r="L49" s="33"/>
    </row>
    <row r="50" spans="1:12" ht="294.5" x14ac:dyDescent="0.35">
      <c r="B50" s="119" t="s">
        <v>54</v>
      </c>
      <c r="C50" s="157" t="s">
        <v>254</v>
      </c>
      <c r="D50" s="113">
        <v>54729.449459459451</v>
      </c>
      <c r="E50" s="113"/>
      <c r="F50" s="113"/>
      <c r="G50" s="114">
        <f>D50</f>
        <v>54729.449459459451</v>
      </c>
      <c r="H50" s="115">
        <v>0.5</v>
      </c>
      <c r="I50" s="113">
        <f>GETPIVOTDATA("Suma de USD",'SOURCE INFO'!$G$4,"Etiquetas de fila","2.1.1.")</f>
        <v>44509.596349999985</v>
      </c>
      <c r="J50" s="164" t="s">
        <v>255</v>
      </c>
      <c r="K50" s="161" t="s">
        <v>256</v>
      </c>
      <c r="L50" s="120"/>
    </row>
    <row r="51" spans="1:12" ht="139.5" x14ac:dyDescent="0.35">
      <c r="B51" s="119" t="s">
        <v>55</v>
      </c>
      <c r="C51" s="157" t="s">
        <v>220</v>
      </c>
      <c r="D51" s="113">
        <v>6590.3040540540542</v>
      </c>
      <c r="E51" s="113"/>
      <c r="F51" s="113"/>
      <c r="G51" s="114">
        <f t="shared" ref="G51:G57" si="7">D51</f>
        <v>6590.3040540540542</v>
      </c>
      <c r="H51" s="115">
        <v>0.5</v>
      </c>
      <c r="I51" s="113"/>
      <c r="J51" s="164" t="s">
        <v>257</v>
      </c>
      <c r="K51" s="161" t="s">
        <v>258</v>
      </c>
      <c r="L51" s="120"/>
    </row>
    <row r="52" spans="1:12" ht="15.5" hidden="1" x14ac:dyDescent="0.35">
      <c r="B52" s="119" t="s">
        <v>56</v>
      </c>
      <c r="C52" s="112"/>
      <c r="D52" s="113"/>
      <c r="E52" s="113"/>
      <c r="F52" s="113"/>
      <c r="G52" s="114">
        <f t="shared" si="7"/>
        <v>0</v>
      </c>
      <c r="H52" s="115"/>
      <c r="I52" s="113"/>
      <c r="J52" s="113"/>
      <c r="K52" s="161"/>
      <c r="L52" s="120"/>
    </row>
    <row r="53" spans="1:12" ht="15.5" hidden="1" x14ac:dyDescent="0.35">
      <c r="B53" s="119" t="s">
        <v>57</v>
      </c>
      <c r="C53" s="112"/>
      <c r="D53" s="113"/>
      <c r="E53" s="113"/>
      <c r="F53" s="113"/>
      <c r="G53" s="114">
        <f t="shared" si="7"/>
        <v>0</v>
      </c>
      <c r="H53" s="115"/>
      <c r="I53" s="113"/>
      <c r="J53" s="113"/>
      <c r="K53" s="161"/>
      <c r="L53" s="120"/>
    </row>
    <row r="54" spans="1:12" ht="15.5" hidden="1" x14ac:dyDescent="0.35">
      <c r="B54" s="119" t="s">
        <v>58</v>
      </c>
      <c r="C54" s="112"/>
      <c r="D54" s="113"/>
      <c r="E54" s="113"/>
      <c r="F54" s="113"/>
      <c r="G54" s="114">
        <f t="shared" si="7"/>
        <v>0</v>
      </c>
      <c r="H54" s="115"/>
      <c r="I54" s="113"/>
      <c r="J54" s="113"/>
      <c r="K54" s="161"/>
      <c r="L54" s="120"/>
    </row>
    <row r="55" spans="1:12" ht="15.5" hidden="1" x14ac:dyDescent="0.35">
      <c r="B55" s="119" t="s">
        <v>59</v>
      </c>
      <c r="C55" s="112"/>
      <c r="D55" s="113"/>
      <c r="E55" s="113"/>
      <c r="F55" s="113"/>
      <c r="G55" s="114">
        <f t="shared" si="7"/>
        <v>0</v>
      </c>
      <c r="H55" s="115"/>
      <c r="I55" s="113"/>
      <c r="J55" s="113"/>
      <c r="K55" s="161"/>
      <c r="L55" s="120"/>
    </row>
    <row r="56" spans="1:12" ht="15.5" hidden="1" x14ac:dyDescent="0.35">
      <c r="A56" s="26"/>
      <c r="B56" s="119" t="s">
        <v>60</v>
      </c>
      <c r="C56" s="121"/>
      <c r="D56" s="116"/>
      <c r="E56" s="116"/>
      <c r="F56" s="116"/>
      <c r="G56" s="114">
        <f t="shared" si="7"/>
        <v>0</v>
      </c>
      <c r="H56" s="122"/>
      <c r="I56" s="116"/>
      <c r="J56" s="116"/>
      <c r="K56" s="162"/>
      <c r="L56" s="120"/>
    </row>
    <row r="57" spans="1:12" s="26" customFormat="1" ht="15.5" hidden="1" x14ac:dyDescent="0.35">
      <c r="B57" s="119" t="s">
        <v>61</v>
      </c>
      <c r="C57" s="121"/>
      <c r="D57" s="116"/>
      <c r="E57" s="116"/>
      <c r="F57" s="116"/>
      <c r="G57" s="114">
        <f t="shared" si="7"/>
        <v>0</v>
      </c>
      <c r="H57" s="122"/>
      <c r="I57" s="116"/>
      <c r="J57" s="116"/>
      <c r="K57" s="162"/>
      <c r="L57" s="120"/>
    </row>
    <row r="58" spans="1:12" s="26" customFormat="1" ht="15.5" x14ac:dyDescent="0.35">
      <c r="A58" s="25"/>
      <c r="B58" s="25"/>
      <c r="C58" s="59" t="s">
        <v>24</v>
      </c>
      <c r="D58" s="13">
        <f>SUM(D50:D57)</f>
        <v>61319.753513513504</v>
      </c>
      <c r="E58" s="13">
        <f t="shared" ref="E58:G58" si="8">SUM(E50:E57)</f>
        <v>0</v>
      </c>
      <c r="F58" s="13">
        <f t="shared" si="8"/>
        <v>0</v>
      </c>
      <c r="G58" s="16">
        <f t="shared" si="8"/>
        <v>61319.753513513504</v>
      </c>
      <c r="H58" s="13">
        <f>(H50*G50)+(H51*G51)+(H52*G52)+(H53*G53)+(H54*G54)+(H55*G55)+(H56*G56)+(H57*G57)</f>
        <v>30659.876756756752</v>
      </c>
      <c r="I58" s="13">
        <f>SUM(I50:I57)</f>
        <v>44509.596349999985</v>
      </c>
      <c r="J58" s="106"/>
      <c r="K58" s="162"/>
      <c r="L58" s="34"/>
    </row>
    <row r="59" spans="1:12" ht="15.5" x14ac:dyDescent="0.35">
      <c r="B59" s="59" t="s">
        <v>62</v>
      </c>
      <c r="C59" s="268" t="s">
        <v>259</v>
      </c>
      <c r="D59" s="255"/>
      <c r="E59" s="255"/>
      <c r="F59" s="255"/>
      <c r="G59" s="255"/>
      <c r="H59" s="255"/>
      <c r="I59" s="256"/>
      <c r="J59" s="256"/>
      <c r="K59" s="255"/>
      <c r="L59" s="33"/>
    </row>
    <row r="60" spans="1:12" ht="232.5" x14ac:dyDescent="0.35">
      <c r="B60" s="119" t="s">
        <v>63</v>
      </c>
      <c r="C60" s="157" t="s">
        <v>221</v>
      </c>
      <c r="D60" s="113">
        <v>38738.767837837833</v>
      </c>
      <c r="E60" s="113"/>
      <c r="F60" s="113"/>
      <c r="G60" s="114">
        <f>D60</f>
        <v>38738.767837837833</v>
      </c>
      <c r="H60" s="115">
        <v>0.5</v>
      </c>
      <c r="I60" s="113">
        <f>GETPIVOTDATA("Suma de USD",'SOURCE INFO'!$G$4,"Etiquetas de fila","2.2.1.")</f>
        <v>14594.151126000004</v>
      </c>
      <c r="J60" s="164" t="s">
        <v>260</v>
      </c>
      <c r="K60" s="161" t="s">
        <v>261</v>
      </c>
      <c r="L60" s="120"/>
    </row>
    <row r="61" spans="1:12" ht="201.5" x14ac:dyDescent="0.35">
      <c r="B61" s="119" t="s">
        <v>64</v>
      </c>
      <c r="C61" s="157" t="s">
        <v>262</v>
      </c>
      <c r="D61" s="113">
        <v>61317.89</v>
      </c>
      <c r="E61" s="113"/>
      <c r="F61" s="113"/>
      <c r="G61" s="114">
        <f t="shared" ref="G61:G67" si="9">D61</f>
        <v>61317.89</v>
      </c>
      <c r="H61" s="115">
        <v>0.6</v>
      </c>
      <c r="I61" s="113">
        <f>GETPIVOTDATA("Suma de USD",'SOURCE INFO'!$G$4,"Etiquetas de fila","2.2.2.")</f>
        <v>56171.295217999999</v>
      </c>
      <c r="J61" s="164" t="s">
        <v>263</v>
      </c>
      <c r="K61" s="161"/>
      <c r="L61" s="120"/>
    </row>
    <row r="62" spans="1:12" ht="15.5" hidden="1" x14ac:dyDescent="0.35">
      <c r="B62" s="119" t="s">
        <v>65</v>
      </c>
      <c r="C62" s="112"/>
      <c r="D62" s="113"/>
      <c r="E62" s="113"/>
      <c r="F62" s="113"/>
      <c r="G62" s="114">
        <f t="shared" si="9"/>
        <v>0</v>
      </c>
      <c r="H62" s="115"/>
      <c r="I62" s="113"/>
      <c r="J62" s="113"/>
      <c r="K62" s="161"/>
      <c r="L62" s="120"/>
    </row>
    <row r="63" spans="1:12" ht="15.5" hidden="1" x14ac:dyDescent="0.35">
      <c r="B63" s="119" t="s">
        <v>66</v>
      </c>
      <c r="C63" s="112"/>
      <c r="D63" s="113"/>
      <c r="E63" s="113"/>
      <c r="F63" s="113"/>
      <c r="G63" s="114">
        <f t="shared" si="9"/>
        <v>0</v>
      </c>
      <c r="H63" s="115"/>
      <c r="I63" s="113"/>
      <c r="J63" s="113"/>
      <c r="K63" s="161"/>
      <c r="L63" s="120"/>
    </row>
    <row r="64" spans="1:12" ht="15.5" hidden="1" x14ac:dyDescent="0.35">
      <c r="B64" s="119" t="s">
        <v>67</v>
      </c>
      <c r="C64" s="112"/>
      <c r="D64" s="113"/>
      <c r="E64" s="113"/>
      <c r="F64" s="113"/>
      <c r="G64" s="114">
        <f t="shared" si="9"/>
        <v>0</v>
      </c>
      <c r="H64" s="115"/>
      <c r="I64" s="113"/>
      <c r="J64" s="113"/>
      <c r="K64" s="161"/>
      <c r="L64" s="120"/>
    </row>
    <row r="65" spans="1:12" ht="15.5" hidden="1" x14ac:dyDescent="0.35">
      <c r="B65" s="119" t="s">
        <v>68</v>
      </c>
      <c r="C65" s="112"/>
      <c r="D65" s="113"/>
      <c r="E65" s="113"/>
      <c r="F65" s="113"/>
      <c r="G65" s="114">
        <f t="shared" si="9"/>
        <v>0</v>
      </c>
      <c r="H65" s="115"/>
      <c r="I65" s="113"/>
      <c r="J65" s="113"/>
      <c r="K65" s="161"/>
      <c r="L65" s="120"/>
    </row>
    <row r="66" spans="1:12" ht="15.5" hidden="1" x14ac:dyDescent="0.35">
      <c r="B66" s="119" t="s">
        <v>69</v>
      </c>
      <c r="C66" s="121"/>
      <c r="D66" s="116"/>
      <c r="E66" s="116"/>
      <c r="F66" s="116"/>
      <c r="G66" s="114">
        <f t="shared" si="9"/>
        <v>0</v>
      </c>
      <c r="H66" s="122"/>
      <c r="I66" s="116"/>
      <c r="J66" s="116"/>
      <c r="K66" s="162"/>
      <c r="L66" s="120"/>
    </row>
    <row r="67" spans="1:12" ht="15.5" hidden="1" x14ac:dyDescent="0.35">
      <c r="B67" s="119" t="s">
        <v>70</v>
      </c>
      <c r="C67" s="121"/>
      <c r="D67" s="116"/>
      <c r="E67" s="116"/>
      <c r="F67" s="116"/>
      <c r="G67" s="114">
        <f t="shared" si="9"/>
        <v>0</v>
      </c>
      <c r="H67" s="122"/>
      <c r="I67" s="116"/>
      <c r="J67" s="116"/>
      <c r="K67" s="162"/>
      <c r="L67" s="120"/>
    </row>
    <row r="68" spans="1:12" ht="15.5" x14ac:dyDescent="0.35">
      <c r="C68" s="59" t="s">
        <v>24</v>
      </c>
      <c r="D68" s="16">
        <f>SUM(D60:D67)</f>
        <v>100056.65783783783</v>
      </c>
      <c r="E68" s="16">
        <f t="shared" ref="E68:G68" si="10">SUM(E60:E67)</f>
        <v>0</v>
      </c>
      <c r="F68" s="16">
        <f t="shared" si="10"/>
        <v>0</v>
      </c>
      <c r="G68" s="16">
        <f t="shared" si="10"/>
        <v>100056.65783783783</v>
      </c>
      <c r="H68" s="13">
        <f>(H60*G60)+(H61*G61)+(H62*G62)+(H63*G63)+(H64*G64)+(H65*G65)+(H66*G66)+(H67*G67)</f>
        <v>56160.117918918913</v>
      </c>
      <c r="I68" s="13">
        <f>SUM(I60:I67)</f>
        <v>70765.446343999996</v>
      </c>
      <c r="J68" s="106"/>
      <c r="K68" s="162"/>
      <c r="L68" s="34"/>
    </row>
    <row r="69" spans="1:12" ht="15.5" x14ac:dyDescent="0.35">
      <c r="B69" s="59" t="s">
        <v>71</v>
      </c>
      <c r="C69" s="255" t="s">
        <v>264</v>
      </c>
      <c r="D69" s="255"/>
      <c r="E69" s="255"/>
      <c r="F69" s="255"/>
      <c r="G69" s="255"/>
      <c r="H69" s="255"/>
      <c r="I69" s="256"/>
      <c r="J69" s="256"/>
      <c r="K69" s="255"/>
      <c r="L69" s="33"/>
    </row>
    <row r="70" spans="1:12" ht="139.5" x14ac:dyDescent="0.35">
      <c r="B70" s="119" t="s">
        <v>72</v>
      </c>
      <c r="C70" s="168" t="s">
        <v>265</v>
      </c>
      <c r="D70" s="113">
        <v>5388.3518918918926</v>
      </c>
      <c r="E70" s="113"/>
      <c r="F70" s="113"/>
      <c r="G70" s="114">
        <f>D70</f>
        <v>5388.3518918918926</v>
      </c>
      <c r="H70" s="115">
        <v>0.5</v>
      </c>
      <c r="I70" s="113">
        <f>GETPIVOTDATA("Suma de USD",'SOURCE INFO'!$G$4,"Etiquetas de fila","2.3.1.")</f>
        <v>4337.239482</v>
      </c>
      <c r="J70" s="164" t="s">
        <v>266</v>
      </c>
      <c r="K70" s="161" t="s">
        <v>267</v>
      </c>
      <c r="L70" s="120"/>
    </row>
    <row r="71" spans="1:12" ht="409.5" x14ac:dyDescent="0.35">
      <c r="B71" s="119" t="s">
        <v>73</v>
      </c>
      <c r="C71" s="157" t="s">
        <v>268</v>
      </c>
      <c r="D71" s="113">
        <v>71206.545810810814</v>
      </c>
      <c r="E71" s="113"/>
      <c r="F71" s="113"/>
      <c r="G71" s="114">
        <f t="shared" ref="G71:G77" si="11">D71</f>
        <v>71206.545810810814</v>
      </c>
      <c r="H71" s="115">
        <v>0.8</v>
      </c>
      <c r="I71" s="113">
        <f>GETPIVOTDATA("Suma de USD",'SOURCE INFO'!$G$4,"Etiquetas de fila","2.3.2.")</f>
        <v>20855.837910000002</v>
      </c>
      <c r="J71" s="164" t="s">
        <v>269</v>
      </c>
      <c r="K71" s="169" t="s">
        <v>270</v>
      </c>
      <c r="L71" s="120"/>
    </row>
    <row r="72" spans="1:12" ht="409.5" x14ac:dyDescent="0.35">
      <c r="B72" s="119" t="s">
        <v>74</v>
      </c>
      <c r="C72" s="157" t="s">
        <v>271</v>
      </c>
      <c r="D72" s="113">
        <v>20860.48</v>
      </c>
      <c r="E72" s="113"/>
      <c r="F72" s="113"/>
      <c r="G72" s="114">
        <f t="shared" si="11"/>
        <v>20860.48</v>
      </c>
      <c r="H72" s="115">
        <v>0.3</v>
      </c>
      <c r="I72" s="113">
        <f>GETPIVOTDATA("Suma de USD",'SOURCE INFO'!$G$4,"Etiquetas de fila","2.3.3.")</f>
        <v>24052.583422999996</v>
      </c>
      <c r="J72" s="164" t="s">
        <v>272</v>
      </c>
      <c r="K72" s="161" t="s">
        <v>273</v>
      </c>
      <c r="L72" s="120"/>
    </row>
    <row r="73" spans="1:12" ht="15.5" x14ac:dyDescent="0.35">
      <c r="A73" s="26"/>
      <c r="B73" s="119" t="s">
        <v>75</v>
      </c>
      <c r="C73" s="112"/>
      <c r="D73" s="113"/>
      <c r="E73" s="113"/>
      <c r="F73" s="113"/>
      <c r="G73" s="114">
        <f t="shared" si="11"/>
        <v>0</v>
      </c>
      <c r="H73" s="115"/>
      <c r="I73" s="113"/>
      <c r="J73" s="164"/>
      <c r="K73" s="161"/>
      <c r="L73" s="120"/>
    </row>
    <row r="74" spans="1:12" s="26" customFormat="1" ht="15.5" hidden="1" x14ac:dyDescent="0.35">
      <c r="A74" s="25"/>
      <c r="B74" s="119" t="s">
        <v>76</v>
      </c>
      <c r="C74" s="112"/>
      <c r="D74" s="113"/>
      <c r="E74" s="113"/>
      <c r="F74" s="113"/>
      <c r="G74" s="114">
        <f t="shared" si="11"/>
        <v>0</v>
      </c>
      <c r="H74" s="115"/>
      <c r="I74" s="113"/>
      <c r="J74" s="113"/>
      <c r="K74" s="161"/>
      <c r="L74" s="120"/>
    </row>
    <row r="75" spans="1:12" ht="15.5" hidden="1" x14ac:dyDescent="0.35">
      <c r="B75" s="119" t="s">
        <v>77</v>
      </c>
      <c r="C75" s="112"/>
      <c r="D75" s="113"/>
      <c r="E75" s="113"/>
      <c r="F75" s="113"/>
      <c r="G75" s="114">
        <f t="shared" si="11"/>
        <v>0</v>
      </c>
      <c r="H75" s="115"/>
      <c r="I75" s="113"/>
      <c r="J75" s="113"/>
      <c r="K75" s="161"/>
      <c r="L75" s="120"/>
    </row>
    <row r="76" spans="1:12" ht="15.5" hidden="1" x14ac:dyDescent="0.35">
      <c r="B76" s="119" t="s">
        <v>78</v>
      </c>
      <c r="C76" s="121"/>
      <c r="D76" s="116"/>
      <c r="E76" s="116"/>
      <c r="F76" s="116"/>
      <c r="G76" s="114">
        <f t="shared" si="11"/>
        <v>0</v>
      </c>
      <c r="H76" s="122"/>
      <c r="I76" s="116"/>
      <c r="J76" s="116"/>
      <c r="K76" s="162"/>
      <c r="L76" s="120"/>
    </row>
    <row r="77" spans="1:12" ht="15.5" hidden="1" x14ac:dyDescent="0.35">
      <c r="B77" s="119" t="s">
        <v>79</v>
      </c>
      <c r="C77" s="121"/>
      <c r="D77" s="116"/>
      <c r="E77" s="116"/>
      <c r="F77" s="116"/>
      <c r="G77" s="114">
        <f t="shared" si="11"/>
        <v>0</v>
      </c>
      <c r="H77" s="122"/>
      <c r="I77" s="116"/>
      <c r="J77" s="116"/>
      <c r="K77" s="162"/>
      <c r="L77" s="120"/>
    </row>
    <row r="78" spans="1:12" ht="15.5" x14ac:dyDescent="0.35">
      <c r="C78" s="59" t="s">
        <v>24</v>
      </c>
      <c r="D78" s="16">
        <f>SUM(D70:D77)</f>
        <v>97455.377702702695</v>
      </c>
      <c r="E78" s="16">
        <f t="shared" ref="E78:G78" si="12">SUM(E70:E77)</f>
        <v>0</v>
      </c>
      <c r="F78" s="16">
        <f t="shared" si="12"/>
        <v>0</v>
      </c>
      <c r="G78" s="16">
        <f t="shared" si="12"/>
        <v>97455.377702702695</v>
      </c>
      <c r="H78" s="13">
        <f>(H70*G70)+(H71*G71)+(H72*G72)+(H73*G73)+(H74*G74)+(H75*G75)+(H76*G76)+(H77*G77)</f>
        <v>65917.5565945946</v>
      </c>
      <c r="I78" s="13">
        <f>SUM(I70:I77)</f>
        <v>49245.660814999996</v>
      </c>
      <c r="J78" s="106"/>
      <c r="K78" s="162"/>
      <c r="L78" s="34"/>
    </row>
    <row r="79" spans="1:12" ht="15.5" x14ac:dyDescent="0.35">
      <c r="B79" s="59" t="s">
        <v>80</v>
      </c>
      <c r="C79" s="255"/>
      <c r="D79" s="255"/>
      <c r="E79" s="255"/>
      <c r="F79" s="255"/>
      <c r="G79" s="255"/>
      <c r="H79" s="255"/>
      <c r="I79" s="256"/>
      <c r="J79" s="256"/>
      <c r="K79" s="255"/>
      <c r="L79" s="33"/>
    </row>
    <row r="80" spans="1:12" ht="15.5" hidden="1" x14ac:dyDescent="0.35">
      <c r="B80" s="119" t="s">
        <v>81</v>
      </c>
      <c r="C80" s="112"/>
      <c r="D80" s="113"/>
      <c r="E80" s="113"/>
      <c r="F80" s="113"/>
      <c r="G80" s="114">
        <f>D80</f>
        <v>0</v>
      </c>
      <c r="H80" s="115"/>
      <c r="I80" s="113"/>
      <c r="J80" s="113"/>
      <c r="K80" s="161"/>
      <c r="L80" s="120"/>
    </row>
    <row r="81" spans="2:12" ht="15.5" hidden="1" x14ac:dyDescent="0.35">
      <c r="B81" s="119" t="s">
        <v>82</v>
      </c>
      <c r="C81" s="112"/>
      <c r="D81" s="113"/>
      <c r="E81" s="113"/>
      <c r="F81" s="113"/>
      <c r="G81" s="114">
        <f t="shared" ref="G81:G87" si="13">D81</f>
        <v>0</v>
      </c>
      <c r="H81" s="115"/>
      <c r="I81" s="113"/>
      <c r="J81" s="113"/>
      <c r="K81" s="161"/>
      <c r="L81" s="120"/>
    </row>
    <row r="82" spans="2:12" ht="15.5" hidden="1" x14ac:dyDescent="0.35">
      <c r="B82" s="119" t="s">
        <v>83</v>
      </c>
      <c r="C82" s="112"/>
      <c r="D82" s="113"/>
      <c r="E82" s="113"/>
      <c r="F82" s="113"/>
      <c r="G82" s="114">
        <f t="shared" si="13"/>
        <v>0</v>
      </c>
      <c r="H82" s="115"/>
      <c r="I82" s="113"/>
      <c r="J82" s="113"/>
      <c r="K82" s="161"/>
      <c r="L82" s="120"/>
    </row>
    <row r="83" spans="2:12" ht="15.5" hidden="1" x14ac:dyDescent="0.35">
      <c r="B83" s="119" t="s">
        <v>84</v>
      </c>
      <c r="C83" s="112"/>
      <c r="D83" s="113"/>
      <c r="E83" s="113"/>
      <c r="F83" s="113"/>
      <c r="G83" s="114">
        <f t="shared" si="13"/>
        <v>0</v>
      </c>
      <c r="H83" s="115"/>
      <c r="I83" s="113"/>
      <c r="J83" s="113"/>
      <c r="K83" s="161"/>
      <c r="L83" s="120"/>
    </row>
    <row r="84" spans="2:12" ht="15.5" hidden="1" x14ac:dyDescent="0.35">
      <c r="B84" s="119" t="s">
        <v>85</v>
      </c>
      <c r="C84" s="112"/>
      <c r="D84" s="113"/>
      <c r="E84" s="113"/>
      <c r="F84" s="113"/>
      <c r="G84" s="114">
        <f t="shared" si="13"/>
        <v>0</v>
      </c>
      <c r="H84" s="115"/>
      <c r="I84" s="113"/>
      <c r="J84" s="113"/>
      <c r="K84" s="161"/>
      <c r="L84" s="120"/>
    </row>
    <row r="85" spans="2:12" ht="15.5" hidden="1" x14ac:dyDescent="0.35">
      <c r="B85" s="119" t="s">
        <v>86</v>
      </c>
      <c r="C85" s="112"/>
      <c r="D85" s="113"/>
      <c r="E85" s="113"/>
      <c r="F85" s="113"/>
      <c r="G85" s="114">
        <f t="shared" si="13"/>
        <v>0</v>
      </c>
      <c r="H85" s="115"/>
      <c r="I85" s="113"/>
      <c r="J85" s="113"/>
      <c r="K85" s="161"/>
      <c r="L85" s="120"/>
    </row>
    <row r="86" spans="2:12" ht="15.5" hidden="1" x14ac:dyDescent="0.35">
      <c r="B86" s="119" t="s">
        <v>87</v>
      </c>
      <c r="C86" s="121"/>
      <c r="D86" s="116"/>
      <c r="E86" s="116"/>
      <c r="F86" s="116"/>
      <c r="G86" s="114">
        <f t="shared" si="13"/>
        <v>0</v>
      </c>
      <c r="H86" s="122"/>
      <c r="I86" s="116"/>
      <c r="J86" s="116"/>
      <c r="K86" s="162"/>
      <c r="L86" s="120"/>
    </row>
    <row r="87" spans="2:12" ht="15.5" hidden="1" x14ac:dyDescent="0.35">
      <c r="B87" s="119" t="s">
        <v>88</v>
      </c>
      <c r="C87" s="121"/>
      <c r="D87" s="116"/>
      <c r="E87" s="116"/>
      <c r="F87" s="116"/>
      <c r="G87" s="114">
        <f t="shared" si="13"/>
        <v>0</v>
      </c>
      <c r="H87" s="122"/>
      <c r="I87" s="116"/>
      <c r="J87" s="116"/>
      <c r="K87" s="162"/>
      <c r="L87" s="120"/>
    </row>
    <row r="88" spans="2:12" ht="15.5" hidden="1" x14ac:dyDescent="0.35">
      <c r="C88" s="59" t="s">
        <v>24</v>
      </c>
      <c r="D88" s="13">
        <f>SUM(D80:D87)</f>
        <v>0</v>
      </c>
      <c r="E88" s="13">
        <f t="shared" ref="E88:G88" si="14">SUM(E80:E87)</f>
        <v>0</v>
      </c>
      <c r="F88" s="13">
        <f t="shared" si="14"/>
        <v>0</v>
      </c>
      <c r="G88" s="13">
        <f t="shared" si="14"/>
        <v>0</v>
      </c>
      <c r="H88" s="13">
        <f>(H80*G80)+(H81*G81)+(H82*G82)+(H83*G83)+(H84*G84)+(H85*G85)+(H86*G86)+(H87*G87)</f>
        <v>0</v>
      </c>
      <c r="I88" s="13">
        <f>SUM(I80:I87)</f>
        <v>0</v>
      </c>
      <c r="J88" s="106"/>
      <c r="K88" s="162"/>
      <c r="L88" s="34"/>
    </row>
    <row r="89" spans="2:12" ht="15.5" x14ac:dyDescent="0.35">
      <c r="B89" s="4"/>
      <c r="C89" s="123"/>
      <c r="D89" s="111"/>
      <c r="E89" s="111"/>
      <c r="F89" s="111"/>
      <c r="G89" s="111"/>
      <c r="H89" s="111"/>
      <c r="I89" s="111"/>
      <c r="J89" s="111"/>
      <c r="K89" s="170"/>
      <c r="L89" s="2"/>
    </row>
    <row r="90" spans="2:12" ht="15.5" x14ac:dyDescent="0.35">
      <c r="B90" s="59" t="s">
        <v>89</v>
      </c>
      <c r="C90" s="253" t="s">
        <v>274</v>
      </c>
      <c r="D90" s="253"/>
      <c r="E90" s="253"/>
      <c r="F90" s="253"/>
      <c r="G90" s="253"/>
      <c r="H90" s="253"/>
      <c r="I90" s="254"/>
      <c r="J90" s="254"/>
      <c r="K90" s="253"/>
      <c r="L90" s="12"/>
    </row>
    <row r="91" spans="2:12" ht="15.5" x14ac:dyDescent="0.35">
      <c r="B91" s="59" t="s">
        <v>90</v>
      </c>
      <c r="C91" s="255" t="s">
        <v>275</v>
      </c>
      <c r="D91" s="255"/>
      <c r="E91" s="255"/>
      <c r="F91" s="255"/>
      <c r="G91" s="255"/>
      <c r="H91" s="255"/>
      <c r="I91" s="256"/>
      <c r="J91" s="256"/>
      <c r="K91" s="255"/>
      <c r="L91" s="33"/>
    </row>
    <row r="92" spans="2:12" ht="279" x14ac:dyDescent="0.35">
      <c r="B92" s="119" t="s">
        <v>91</v>
      </c>
      <c r="C92" s="168" t="s">
        <v>276</v>
      </c>
      <c r="D92" s="113">
        <v>23468.582702702704</v>
      </c>
      <c r="E92" s="113"/>
      <c r="F92" s="113"/>
      <c r="G92" s="114">
        <f>D92</f>
        <v>23468.582702702704</v>
      </c>
      <c r="H92" s="115">
        <v>0.3</v>
      </c>
      <c r="I92" s="113">
        <f>GETPIVOTDATA("Suma de USD",'SOURCE INFO'!$G$4,"Etiquetas de fila","3.1.1.")</f>
        <v>35705.019065000008</v>
      </c>
      <c r="J92" s="171" t="s">
        <v>277</v>
      </c>
      <c r="K92" s="161" t="s">
        <v>278</v>
      </c>
      <c r="L92" s="120"/>
    </row>
    <row r="93" spans="2:12" ht="201.5" x14ac:dyDescent="0.35">
      <c r="B93" s="119" t="s">
        <v>92</v>
      </c>
      <c r="C93" s="172" t="s">
        <v>222</v>
      </c>
      <c r="D93" s="113">
        <v>17414.533243243241</v>
      </c>
      <c r="E93" s="113"/>
      <c r="F93" s="113"/>
      <c r="G93" s="114">
        <f t="shared" ref="G93:G99" si="15">D93</f>
        <v>17414.533243243241</v>
      </c>
      <c r="H93" s="115">
        <v>0.3</v>
      </c>
      <c r="I93" s="113">
        <f>GETPIVOTDATA("Suma de USD",'SOURCE INFO'!$G$4,"Etiquetas de fila","3.1.2.")</f>
        <v>3014.5084119999988</v>
      </c>
      <c r="J93" s="164" t="s">
        <v>279</v>
      </c>
      <c r="K93" s="161"/>
      <c r="L93" s="120"/>
    </row>
    <row r="94" spans="2:12" ht="124" x14ac:dyDescent="0.35">
      <c r="B94" s="119" t="s">
        <v>93</v>
      </c>
      <c r="C94" s="157" t="s">
        <v>223</v>
      </c>
      <c r="D94" s="113">
        <v>92102.10594594595</v>
      </c>
      <c r="E94" s="113"/>
      <c r="F94" s="113"/>
      <c r="G94" s="114">
        <f t="shared" si="15"/>
        <v>92102.10594594595</v>
      </c>
      <c r="H94" s="115">
        <v>0.3</v>
      </c>
      <c r="I94" s="113">
        <f>GETPIVOTDATA("Suma de USD",'SOURCE INFO'!$G$4,"Etiquetas de fila","3.1.3.")</f>
        <v>54790.786204000018</v>
      </c>
      <c r="J94" s="166" t="s">
        <v>280</v>
      </c>
      <c r="K94" s="161" t="s">
        <v>281</v>
      </c>
      <c r="L94" s="120"/>
    </row>
    <row r="95" spans="2:12" ht="15.5" hidden="1" x14ac:dyDescent="0.35">
      <c r="B95" s="119" t="s">
        <v>94</v>
      </c>
      <c r="C95" s="112"/>
      <c r="D95" s="113"/>
      <c r="E95" s="113"/>
      <c r="F95" s="113"/>
      <c r="G95" s="114">
        <f t="shared" si="15"/>
        <v>0</v>
      </c>
      <c r="H95" s="115"/>
      <c r="I95" s="113"/>
      <c r="J95" s="113"/>
      <c r="K95" s="161"/>
      <c r="L95" s="120"/>
    </row>
    <row r="96" spans="2:12" ht="15.5" hidden="1" x14ac:dyDescent="0.35">
      <c r="B96" s="119" t="s">
        <v>95</v>
      </c>
      <c r="C96" s="112"/>
      <c r="D96" s="113"/>
      <c r="E96" s="113"/>
      <c r="F96" s="113"/>
      <c r="G96" s="114">
        <f t="shared" si="15"/>
        <v>0</v>
      </c>
      <c r="H96" s="115"/>
      <c r="I96" s="113"/>
      <c r="J96" s="113"/>
      <c r="K96" s="161"/>
      <c r="L96" s="120"/>
    </row>
    <row r="97" spans="2:12" ht="15.5" hidden="1" x14ac:dyDescent="0.35">
      <c r="B97" s="119" t="s">
        <v>96</v>
      </c>
      <c r="C97" s="112"/>
      <c r="D97" s="113"/>
      <c r="E97" s="113"/>
      <c r="F97" s="113"/>
      <c r="G97" s="114">
        <f t="shared" si="15"/>
        <v>0</v>
      </c>
      <c r="H97" s="115"/>
      <c r="I97" s="113"/>
      <c r="J97" s="113"/>
      <c r="K97" s="161"/>
      <c r="L97" s="120"/>
    </row>
    <row r="98" spans="2:12" ht="15.5" hidden="1" x14ac:dyDescent="0.35">
      <c r="B98" s="119" t="s">
        <v>97</v>
      </c>
      <c r="C98" s="121"/>
      <c r="D98" s="116"/>
      <c r="E98" s="116"/>
      <c r="F98" s="116"/>
      <c r="G98" s="114">
        <f t="shared" si="15"/>
        <v>0</v>
      </c>
      <c r="H98" s="122"/>
      <c r="I98" s="116"/>
      <c r="J98" s="116"/>
      <c r="K98" s="162"/>
      <c r="L98" s="120"/>
    </row>
    <row r="99" spans="2:12" ht="15.5" hidden="1" x14ac:dyDescent="0.35">
      <c r="B99" s="119" t="s">
        <v>98</v>
      </c>
      <c r="C99" s="121"/>
      <c r="D99" s="116"/>
      <c r="E99" s="116"/>
      <c r="F99" s="116"/>
      <c r="G99" s="114">
        <f t="shared" si="15"/>
        <v>0</v>
      </c>
      <c r="H99" s="122"/>
      <c r="I99" s="116"/>
      <c r="J99" s="116"/>
      <c r="K99" s="162"/>
      <c r="L99" s="120"/>
    </row>
    <row r="100" spans="2:12" ht="15.5" x14ac:dyDescent="0.35">
      <c r="C100" s="59" t="s">
        <v>24</v>
      </c>
      <c r="D100" s="13">
        <f>SUM(D92:D99)</f>
        <v>132985.22189189191</v>
      </c>
      <c r="E100" s="13">
        <f t="shared" ref="E100:G100" si="16">SUM(E92:E99)</f>
        <v>0</v>
      </c>
      <c r="F100" s="13">
        <f t="shared" si="16"/>
        <v>0</v>
      </c>
      <c r="G100" s="16">
        <f t="shared" si="16"/>
        <v>132985.22189189191</v>
      </c>
      <c r="H100" s="13">
        <f>(H92*G92)+(H93*G93)+(H94*G94)+(H95*G95)+(H96*G96)+(H97*G97)+(H98*G98)+(H99*G99)</f>
        <v>39895.56656756757</v>
      </c>
      <c r="I100" s="13">
        <f>SUM(I92:I99)</f>
        <v>93510.313681000029</v>
      </c>
      <c r="J100" s="106"/>
      <c r="K100" s="162"/>
      <c r="L100" s="34"/>
    </row>
    <row r="101" spans="2:12" ht="15.5" x14ac:dyDescent="0.35">
      <c r="B101" s="59" t="s">
        <v>99</v>
      </c>
      <c r="C101" s="257" t="s">
        <v>282</v>
      </c>
      <c r="D101" s="258"/>
      <c r="E101" s="258"/>
      <c r="F101" s="258"/>
      <c r="G101" s="258"/>
      <c r="H101" s="258"/>
      <c r="I101" s="259"/>
      <c r="J101" s="259"/>
      <c r="K101" s="258"/>
      <c r="L101" s="33"/>
    </row>
    <row r="102" spans="2:12" ht="93" x14ac:dyDescent="0.35">
      <c r="B102" s="119" t="s">
        <v>100</v>
      </c>
      <c r="C102" s="157" t="s">
        <v>283</v>
      </c>
      <c r="D102" s="113">
        <v>26422.639999999999</v>
      </c>
      <c r="E102" s="113"/>
      <c r="F102" s="113"/>
      <c r="G102" s="114">
        <f>D102</f>
        <v>26422.639999999999</v>
      </c>
      <c r="H102" s="115">
        <v>0.3</v>
      </c>
      <c r="I102" s="113">
        <f>GETPIVOTDATA("Suma de USD",'SOURCE INFO'!$G$4,"Etiquetas de fila","3.2.1.")</f>
        <v>16030.983804999954</v>
      </c>
      <c r="J102" s="164" t="s">
        <v>284</v>
      </c>
      <c r="K102" s="161" t="s">
        <v>285</v>
      </c>
      <c r="L102" s="120"/>
    </row>
    <row r="103" spans="2:12" ht="186" x14ac:dyDescent="0.35">
      <c r="B103" s="119" t="s">
        <v>101</v>
      </c>
      <c r="C103" s="157" t="s">
        <v>286</v>
      </c>
      <c r="D103" s="113">
        <v>68912.490000000005</v>
      </c>
      <c r="E103" s="113"/>
      <c r="F103" s="113"/>
      <c r="G103" s="114">
        <f t="shared" ref="G103:G109" si="17">D103</f>
        <v>68912.490000000005</v>
      </c>
      <c r="H103" s="173">
        <v>0.4</v>
      </c>
      <c r="I103" s="113">
        <f>GETPIVOTDATA("Suma de USD",'SOURCE INFO'!$G$4,"Etiquetas de fila","3.2.2.")</f>
        <v>14330.499880000001</v>
      </c>
      <c r="J103" s="164" t="s">
        <v>287</v>
      </c>
      <c r="K103" s="161"/>
      <c r="L103" s="120"/>
    </row>
    <row r="104" spans="2:12" ht="155" x14ac:dyDescent="0.35">
      <c r="B104" s="119" t="s">
        <v>102</v>
      </c>
      <c r="C104" s="157" t="s">
        <v>288</v>
      </c>
      <c r="D104" s="113">
        <v>41682.75</v>
      </c>
      <c r="E104" s="113"/>
      <c r="F104" s="113"/>
      <c r="G104" s="114">
        <f t="shared" si="17"/>
        <v>41682.75</v>
      </c>
      <c r="H104" s="115">
        <v>0.4</v>
      </c>
      <c r="I104" s="113"/>
      <c r="J104" s="166" t="s">
        <v>289</v>
      </c>
      <c r="K104" s="161" t="s">
        <v>216</v>
      </c>
      <c r="L104" s="120"/>
    </row>
    <row r="105" spans="2:12" ht="170.5" x14ac:dyDescent="0.35">
      <c r="B105" s="119" t="s">
        <v>103</v>
      </c>
      <c r="C105" s="157" t="s">
        <v>290</v>
      </c>
      <c r="D105" s="113">
        <v>36416.390270270269</v>
      </c>
      <c r="E105" s="113"/>
      <c r="F105" s="113"/>
      <c r="G105" s="114">
        <f t="shared" si="17"/>
        <v>36416.390270270269</v>
      </c>
      <c r="H105" s="115">
        <v>0.3</v>
      </c>
      <c r="I105" s="113">
        <f>GETPIVOTDATA("Suma de USD",'SOURCE INFO'!$G$4,"Etiquetas de fila","3.2.4.")</f>
        <v>12002.933088999998</v>
      </c>
      <c r="J105" s="164" t="s">
        <v>291</v>
      </c>
      <c r="K105" s="161" t="s">
        <v>292</v>
      </c>
      <c r="L105" s="120"/>
    </row>
    <row r="106" spans="2:12" ht="170.5" x14ac:dyDescent="0.35">
      <c r="B106" s="119" t="s">
        <v>104</v>
      </c>
      <c r="C106" s="157" t="s">
        <v>293</v>
      </c>
      <c r="D106" s="165">
        <v>88481.000135135066</v>
      </c>
      <c r="E106" s="113"/>
      <c r="F106" s="113"/>
      <c r="G106" s="114">
        <f t="shared" si="17"/>
        <v>88481.000135135066</v>
      </c>
      <c r="H106" s="115">
        <v>0.3</v>
      </c>
      <c r="I106" s="113">
        <f>GETPIVOTDATA("Suma de USD",'SOURCE INFO'!$G$4,"Etiquetas de fila","3.2.5.")</f>
        <v>32377.683203000008</v>
      </c>
      <c r="J106" s="164" t="s">
        <v>294</v>
      </c>
      <c r="K106" s="161" t="s">
        <v>295</v>
      </c>
      <c r="L106" s="120"/>
    </row>
    <row r="107" spans="2:12" ht="77.5" x14ac:dyDescent="0.35">
      <c r="B107" s="119" t="s">
        <v>105</v>
      </c>
      <c r="C107" s="157" t="s">
        <v>296</v>
      </c>
      <c r="D107" s="165">
        <v>21629.493243243243</v>
      </c>
      <c r="E107" s="113"/>
      <c r="F107" s="113"/>
      <c r="G107" s="114">
        <f t="shared" si="17"/>
        <v>21629.493243243243</v>
      </c>
      <c r="H107" s="115">
        <v>0.3</v>
      </c>
      <c r="I107" s="113"/>
      <c r="J107" s="166" t="s">
        <v>297</v>
      </c>
      <c r="K107" s="161"/>
      <c r="L107" s="120"/>
    </row>
    <row r="108" spans="2:12" ht="15.5" hidden="1" x14ac:dyDescent="0.35">
      <c r="B108" s="119" t="s">
        <v>106</v>
      </c>
      <c r="C108" s="121"/>
      <c r="D108" s="116"/>
      <c r="E108" s="116"/>
      <c r="F108" s="116"/>
      <c r="G108" s="114">
        <f t="shared" si="17"/>
        <v>0</v>
      </c>
      <c r="H108" s="122"/>
      <c r="I108" s="116"/>
      <c r="J108" s="116"/>
      <c r="K108" s="162"/>
      <c r="L108" s="120"/>
    </row>
    <row r="109" spans="2:12" ht="15.5" hidden="1" x14ac:dyDescent="0.35">
      <c r="B109" s="119" t="s">
        <v>107</v>
      </c>
      <c r="C109" s="121"/>
      <c r="D109" s="116"/>
      <c r="E109" s="116"/>
      <c r="F109" s="116"/>
      <c r="G109" s="114">
        <f t="shared" si="17"/>
        <v>0</v>
      </c>
      <c r="H109" s="122"/>
      <c r="I109" s="116"/>
      <c r="J109" s="116"/>
      <c r="K109" s="162"/>
      <c r="L109" s="120"/>
    </row>
    <row r="110" spans="2:12" ht="15.5" x14ac:dyDescent="0.35">
      <c r="C110" s="59" t="s">
        <v>24</v>
      </c>
      <c r="D110" s="16">
        <f>SUM(D102:D109)</f>
        <v>283544.76364864857</v>
      </c>
      <c r="E110" s="16">
        <f t="shared" ref="E110:G110" si="18">SUM(E102:E109)</f>
        <v>0</v>
      </c>
      <c r="F110" s="16">
        <f t="shared" si="18"/>
        <v>0</v>
      </c>
      <c r="G110" s="16">
        <f t="shared" si="18"/>
        <v>283544.76364864857</v>
      </c>
      <c r="H110" s="13">
        <f>(H102*G102)+(H103*G103)+(H104*G104)+(H105*G105)+(H106*G106)+(H107*G107)+(H108*G108)+(H109*G109)</f>
        <v>96122.953094594573</v>
      </c>
      <c r="I110" s="13">
        <f>SUM(I102:I109)</f>
        <v>74742.099976999962</v>
      </c>
      <c r="J110" s="106"/>
      <c r="K110" s="162"/>
      <c r="L110" s="34"/>
    </row>
    <row r="111" spans="2:12" ht="15.5" hidden="1" x14ac:dyDescent="0.35">
      <c r="B111" s="59" t="s">
        <v>108</v>
      </c>
      <c r="C111" s="255"/>
      <c r="D111" s="255"/>
      <c r="E111" s="255"/>
      <c r="F111" s="255"/>
      <c r="G111" s="255"/>
      <c r="H111" s="255"/>
      <c r="I111" s="256"/>
      <c r="J111" s="256"/>
      <c r="K111" s="255"/>
      <c r="L111" s="33"/>
    </row>
    <row r="112" spans="2:12" ht="15.5" hidden="1" x14ac:dyDescent="0.35">
      <c r="B112" s="119" t="s">
        <v>109</v>
      </c>
      <c r="C112" s="112"/>
      <c r="D112" s="113"/>
      <c r="E112" s="113"/>
      <c r="F112" s="113"/>
      <c r="G112" s="114">
        <f>D112</f>
        <v>0</v>
      </c>
      <c r="H112" s="115"/>
      <c r="I112" s="113"/>
      <c r="J112" s="113"/>
      <c r="K112" s="161"/>
      <c r="L112" s="120"/>
    </row>
    <row r="113" spans="2:12" ht="15.5" hidden="1" x14ac:dyDescent="0.35">
      <c r="B113" s="119" t="s">
        <v>110</v>
      </c>
      <c r="C113" s="112"/>
      <c r="D113" s="113"/>
      <c r="E113" s="113"/>
      <c r="F113" s="113"/>
      <c r="G113" s="114">
        <f t="shared" ref="G113:G119" si="19">D113</f>
        <v>0</v>
      </c>
      <c r="H113" s="115"/>
      <c r="I113" s="113"/>
      <c r="J113" s="113"/>
      <c r="K113" s="161"/>
      <c r="L113" s="120"/>
    </row>
    <row r="114" spans="2:12" ht="15.5" hidden="1" x14ac:dyDescent="0.35">
      <c r="B114" s="119" t="s">
        <v>111</v>
      </c>
      <c r="C114" s="112"/>
      <c r="D114" s="113"/>
      <c r="E114" s="113"/>
      <c r="F114" s="113"/>
      <c r="G114" s="114">
        <f t="shared" si="19"/>
        <v>0</v>
      </c>
      <c r="H114" s="115"/>
      <c r="I114" s="113"/>
      <c r="J114" s="113"/>
      <c r="K114" s="161"/>
      <c r="L114" s="120"/>
    </row>
    <row r="115" spans="2:12" ht="15.5" hidden="1" x14ac:dyDescent="0.35">
      <c r="B115" s="119" t="s">
        <v>112</v>
      </c>
      <c r="C115" s="112"/>
      <c r="D115" s="113"/>
      <c r="E115" s="113"/>
      <c r="F115" s="113"/>
      <c r="G115" s="114">
        <f t="shared" si="19"/>
        <v>0</v>
      </c>
      <c r="H115" s="115"/>
      <c r="I115" s="113"/>
      <c r="J115" s="113"/>
      <c r="K115" s="161"/>
      <c r="L115" s="120"/>
    </row>
    <row r="116" spans="2:12" ht="15.5" hidden="1" x14ac:dyDescent="0.35">
      <c r="B116" s="119" t="s">
        <v>113</v>
      </c>
      <c r="C116" s="112"/>
      <c r="D116" s="113"/>
      <c r="E116" s="113"/>
      <c r="F116" s="113"/>
      <c r="G116" s="114">
        <f t="shared" si="19"/>
        <v>0</v>
      </c>
      <c r="H116" s="115"/>
      <c r="I116" s="113"/>
      <c r="J116" s="113"/>
      <c r="K116" s="161"/>
      <c r="L116" s="120"/>
    </row>
    <row r="117" spans="2:12" ht="15.5" hidden="1" x14ac:dyDescent="0.35">
      <c r="B117" s="119" t="s">
        <v>114</v>
      </c>
      <c r="C117" s="112"/>
      <c r="D117" s="113"/>
      <c r="E117" s="113"/>
      <c r="F117" s="113"/>
      <c r="G117" s="114">
        <f t="shared" si="19"/>
        <v>0</v>
      </c>
      <c r="H117" s="115"/>
      <c r="I117" s="113"/>
      <c r="J117" s="113"/>
      <c r="K117" s="161"/>
      <c r="L117" s="120"/>
    </row>
    <row r="118" spans="2:12" ht="15.5" hidden="1" x14ac:dyDescent="0.35">
      <c r="B118" s="119" t="s">
        <v>115</v>
      </c>
      <c r="C118" s="121"/>
      <c r="D118" s="116"/>
      <c r="E118" s="116"/>
      <c r="F118" s="116"/>
      <c r="G118" s="114">
        <f t="shared" si="19"/>
        <v>0</v>
      </c>
      <c r="H118" s="122"/>
      <c r="I118" s="116"/>
      <c r="J118" s="116"/>
      <c r="K118" s="162"/>
      <c r="L118" s="120"/>
    </row>
    <row r="119" spans="2:12" ht="15.5" hidden="1" x14ac:dyDescent="0.35">
      <c r="B119" s="119" t="s">
        <v>116</v>
      </c>
      <c r="C119" s="121"/>
      <c r="D119" s="116"/>
      <c r="E119" s="116"/>
      <c r="F119" s="116"/>
      <c r="G119" s="114">
        <f t="shared" si="19"/>
        <v>0</v>
      </c>
      <c r="H119" s="122"/>
      <c r="I119" s="116"/>
      <c r="J119" s="116"/>
      <c r="K119" s="162"/>
      <c r="L119" s="120"/>
    </row>
    <row r="120" spans="2:12" ht="15.5" hidden="1" x14ac:dyDescent="0.35">
      <c r="C120" s="59" t="s">
        <v>24</v>
      </c>
      <c r="D120" s="16">
        <f>SUM(D112:D119)</f>
        <v>0</v>
      </c>
      <c r="E120" s="16">
        <f t="shared" ref="E120:G120" si="20">SUM(E112:E119)</f>
        <v>0</v>
      </c>
      <c r="F120" s="16">
        <f t="shared" si="20"/>
        <v>0</v>
      </c>
      <c r="G120" s="16">
        <f t="shared" si="20"/>
        <v>0</v>
      </c>
      <c r="H120" s="13">
        <f>(H112*G112)+(H113*G113)+(H114*G114)+(H115*G115)+(H116*G116)+(H117*G117)+(H118*G118)+(H119*G119)</f>
        <v>0</v>
      </c>
      <c r="I120" s="13">
        <f>SUM(I112:I119)</f>
        <v>0</v>
      </c>
      <c r="J120" s="106"/>
      <c r="K120" s="162"/>
      <c r="L120" s="34"/>
    </row>
    <row r="121" spans="2:12" ht="15.5" hidden="1" x14ac:dyDescent="0.35">
      <c r="B121" s="59" t="s">
        <v>117</v>
      </c>
      <c r="C121" s="255"/>
      <c r="D121" s="255"/>
      <c r="E121" s="255"/>
      <c r="F121" s="255"/>
      <c r="G121" s="255"/>
      <c r="H121" s="255"/>
      <c r="I121" s="256"/>
      <c r="J121" s="256"/>
      <c r="K121" s="255"/>
      <c r="L121" s="33"/>
    </row>
    <row r="122" spans="2:12" ht="15.5" hidden="1" x14ac:dyDescent="0.35">
      <c r="B122" s="119" t="s">
        <v>118</v>
      </c>
      <c r="C122" s="112"/>
      <c r="D122" s="113"/>
      <c r="E122" s="113"/>
      <c r="F122" s="113"/>
      <c r="G122" s="114">
        <f>D122</f>
        <v>0</v>
      </c>
      <c r="H122" s="115"/>
      <c r="I122" s="113"/>
      <c r="J122" s="113"/>
      <c r="K122" s="161"/>
      <c r="L122" s="120"/>
    </row>
    <row r="123" spans="2:12" ht="15.5" hidden="1" x14ac:dyDescent="0.35">
      <c r="B123" s="119" t="s">
        <v>119</v>
      </c>
      <c r="C123" s="112"/>
      <c r="D123" s="113"/>
      <c r="E123" s="113"/>
      <c r="F123" s="113"/>
      <c r="G123" s="114">
        <f t="shared" ref="G123:G129" si="21">D123</f>
        <v>0</v>
      </c>
      <c r="H123" s="115"/>
      <c r="I123" s="113"/>
      <c r="J123" s="113"/>
      <c r="K123" s="161"/>
      <c r="L123" s="120"/>
    </row>
    <row r="124" spans="2:12" ht="15.5" hidden="1" x14ac:dyDescent="0.35">
      <c r="B124" s="119" t="s">
        <v>120</v>
      </c>
      <c r="C124" s="112"/>
      <c r="D124" s="113"/>
      <c r="E124" s="113"/>
      <c r="F124" s="113"/>
      <c r="G124" s="114">
        <f t="shared" si="21"/>
        <v>0</v>
      </c>
      <c r="H124" s="115"/>
      <c r="I124" s="113"/>
      <c r="J124" s="113"/>
      <c r="K124" s="161"/>
      <c r="L124" s="120"/>
    </row>
    <row r="125" spans="2:12" ht="15.5" hidden="1" x14ac:dyDescent="0.35">
      <c r="B125" s="119" t="s">
        <v>121</v>
      </c>
      <c r="C125" s="112"/>
      <c r="D125" s="113"/>
      <c r="E125" s="113"/>
      <c r="F125" s="113"/>
      <c r="G125" s="114">
        <f t="shared" si="21"/>
        <v>0</v>
      </c>
      <c r="H125" s="115"/>
      <c r="I125" s="113"/>
      <c r="J125" s="113"/>
      <c r="K125" s="161"/>
      <c r="L125" s="120"/>
    </row>
    <row r="126" spans="2:12" ht="15.5" hidden="1" x14ac:dyDescent="0.35">
      <c r="B126" s="119" t="s">
        <v>122</v>
      </c>
      <c r="C126" s="112"/>
      <c r="D126" s="113"/>
      <c r="E126" s="113"/>
      <c r="F126" s="113"/>
      <c r="G126" s="114">
        <f t="shared" si="21"/>
        <v>0</v>
      </c>
      <c r="H126" s="115"/>
      <c r="I126" s="113"/>
      <c r="J126" s="113"/>
      <c r="K126" s="161"/>
      <c r="L126" s="120"/>
    </row>
    <row r="127" spans="2:12" ht="15.5" hidden="1" x14ac:dyDescent="0.35">
      <c r="B127" s="119" t="s">
        <v>123</v>
      </c>
      <c r="C127" s="112"/>
      <c r="D127" s="113"/>
      <c r="E127" s="113"/>
      <c r="F127" s="113"/>
      <c r="G127" s="114">
        <f t="shared" si="21"/>
        <v>0</v>
      </c>
      <c r="H127" s="115"/>
      <c r="I127" s="113"/>
      <c r="J127" s="113"/>
      <c r="K127" s="161"/>
      <c r="L127" s="120"/>
    </row>
    <row r="128" spans="2:12" ht="15.5" hidden="1" x14ac:dyDescent="0.35">
      <c r="B128" s="119" t="s">
        <v>124</v>
      </c>
      <c r="C128" s="121"/>
      <c r="D128" s="116"/>
      <c r="E128" s="116"/>
      <c r="F128" s="116"/>
      <c r="G128" s="114">
        <f t="shared" si="21"/>
        <v>0</v>
      </c>
      <c r="H128" s="122"/>
      <c r="I128" s="116"/>
      <c r="J128" s="116"/>
      <c r="K128" s="162"/>
      <c r="L128" s="120"/>
    </row>
    <row r="129" spans="2:12" ht="15.5" hidden="1" x14ac:dyDescent="0.35">
      <c r="B129" s="119" t="s">
        <v>125</v>
      </c>
      <c r="C129" s="121"/>
      <c r="D129" s="116"/>
      <c r="E129" s="116"/>
      <c r="F129" s="116"/>
      <c r="G129" s="114">
        <f t="shared" si="21"/>
        <v>0</v>
      </c>
      <c r="H129" s="122"/>
      <c r="I129" s="116"/>
      <c r="J129" s="116"/>
      <c r="K129" s="162"/>
      <c r="L129" s="120"/>
    </row>
    <row r="130" spans="2:12" ht="15.5" hidden="1" x14ac:dyDescent="0.35">
      <c r="C130" s="59" t="s">
        <v>24</v>
      </c>
      <c r="D130" s="13">
        <f>SUM(D122:D129)</f>
        <v>0</v>
      </c>
      <c r="E130" s="13">
        <f t="shared" ref="E130:G130" si="22">SUM(E122:E129)</f>
        <v>0</v>
      </c>
      <c r="F130" s="13">
        <f t="shared" si="22"/>
        <v>0</v>
      </c>
      <c r="G130" s="13">
        <f t="shared" si="22"/>
        <v>0</v>
      </c>
      <c r="H130" s="13">
        <f>(H122*G122)+(H123*G123)+(H124*G124)+(H125*G125)+(H126*G126)+(H127*G127)+(H128*G128)+(H129*G129)</f>
        <v>0</v>
      </c>
      <c r="I130" s="13">
        <f>SUM(I122:I129)</f>
        <v>0</v>
      </c>
      <c r="J130" s="106"/>
      <c r="K130" s="162"/>
      <c r="L130" s="34"/>
    </row>
    <row r="131" spans="2:12" ht="15.5" hidden="1" x14ac:dyDescent="0.35">
      <c r="B131" s="4"/>
      <c r="C131" s="123"/>
      <c r="D131" s="111"/>
      <c r="E131" s="111"/>
      <c r="F131" s="111"/>
      <c r="G131" s="111"/>
      <c r="H131" s="111"/>
      <c r="I131" s="111"/>
      <c r="J131" s="111"/>
      <c r="K131" s="174"/>
      <c r="L131" s="2"/>
    </row>
    <row r="132" spans="2:12" ht="15.5" hidden="1" x14ac:dyDescent="0.35">
      <c r="B132" s="59" t="s">
        <v>126</v>
      </c>
      <c r="C132" s="253"/>
      <c r="D132" s="253"/>
      <c r="E132" s="253"/>
      <c r="F132" s="253"/>
      <c r="G132" s="253"/>
      <c r="H132" s="253"/>
      <c r="I132" s="254"/>
      <c r="J132" s="254"/>
      <c r="K132" s="253"/>
      <c r="L132" s="12"/>
    </row>
    <row r="133" spans="2:12" ht="15.5" hidden="1" x14ac:dyDescent="0.35">
      <c r="B133" s="59" t="s">
        <v>127</v>
      </c>
      <c r="C133" s="255"/>
      <c r="D133" s="255"/>
      <c r="E133" s="255"/>
      <c r="F133" s="255"/>
      <c r="G133" s="255"/>
      <c r="H133" s="255"/>
      <c r="I133" s="256"/>
      <c r="J133" s="256"/>
      <c r="K133" s="255"/>
      <c r="L133" s="33"/>
    </row>
    <row r="134" spans="2:12" ht="15.5" hidden="1" x14ac:dyDescent="0.35">
      <c r="B134" s="119" t="s">
        <v>128</v>
      </c>
      <c r="C134" s="112"/>
      <c r="D134" s="113"/>
      <c r="E134" s="113"/>
      <c r="F134" s="113"/>
      <c r="G134" s="114">
        <f>D134</f>
        <v>0</v>
      </c>
      <c r="H134" s="115"/>
      <c r="I134" s="113"/>
      <c r="J134" s="113"/>
      <c r="K134" s="161"/>
      <c r="L134" s="120"/>
    </row>
    <row r="135" spans="2:12" ht="15.5" hidden="1" x14ac:dyDescent="0.35">
      <c r="B135" s="119" t="s">
        <v>129</v>
      </c>
      <c r="C135" s="112"/>
      <c r="D135" s="113"/>
      <c r="E135" s="113"/>
      <c r="F135" s="113"/>
      <c r="G135" s="114">
        <f t="shared" ref="G135:G141" si="23">D135</f>
        <v>0</v>
      </c>
      <c r="H135" s="115"/>
      <c r="I135" s="113"/>
      <c r="J135" s="113"/>
      <c r="K135" s="161"/>
      <c r="L135" s="120"/>
    </row>
    <row r="136" spans="2:12" ht="15.5" hidden="1" x14ac:dyDescent="0.35">
      <c r="B136" s="119" t="s">
        <v>130</v>
      </c>
      <c r="C136" s="112"/>
      <c r="D136" s="113"/>
      <c r="E136" s="113"/>
      <c r="F136" s="113"/>
      <c r="G136" s="114">
        <f t="shared" si="23"/>
        <v>0</v>
      </c>
      <c r="H136" s="115"/>
      <c r="I136" s="113"/>
      <c r="J136" s="113"/>
      <c r="K136" s="161"/>
      <c r="L136" s="120"/>
    </row>
    <row r="137" spans="2:12" ht="15.5" hidden="1" x14ac:dyDescent="0.35">
      <c r="B137" s="119" t="s">
        <v>131</v>
      </c>
      <c r="C137" s="112"/>
      <c r="D137" s="113"/>
      <c r="E137" s="113"/>
      <c r="F137" s="113"/>
      <c r="G137" s="114">
        <f t="shared" si="23"/>
        <v>0</v>
      </c>
      <c r="H137" s="115"/>
      <c r="I137" s="113"/>
      <c r="J137" s="113"/>
      <c r="K137" s="161"/>
      <c r="L137" s="120"/>
    </row>
    <row r="138" spans="2:12" ht="15.5" hidden="1" x14ac:dyDescent="0.35">
      <c r="B138" s="119" t="s">
        <v>132</v>
      </c>
      <c r="C138" s="112"/>
      <c r="D138" s="113"/>
      <c r="E138" s="113"/>
      <c r="F138" s="113"/>
      <c r="G138" s="114">
        <f t="shared" si="23"/>
        <v>0</v>
      </c>
      <c r="H138" s="115"/>
      <c r="I138" s="113"/>
      <c r="J138" s="113"/>
      <c r="K138" s="161"/>
      <c r="L138" s="120"/>
    </row>
    <row r="139" spans="2:12" ht="15.5" hidden="1" x14ac:dyDescent="0.35">
      <c r="B139" s="119" t="s">
        <v>133</v>
      </c>
      <c r="C139" s="112"/>
      <c r="D139" s="113"/>
      <c r="E139" s="113"/>
      <c r="F139" s="113"/>
      <c r="G139" s="114">
        <f t="shared" si="23"/>
        <v>0</v>
      </c>
      <c r="H139" s="115"/>
      <c r="I139" s="113"/>
      <c r="J139" s="113"/>
      <c r="K139" s="161"/>
      <c r="L139" s="120"/>
    </row>
    <row r="140" spans="2:12" ht="15.5" hidden="1" x14ac:dyDescent="0.35">
      <c r="B140" s="119" t="s">
        <v>134</v>
      </c>
      <c r="C140" s="121"/>
      <c r="D140" s="116"/>
      <c r="E140" s="116"/>
      <c r="F140" s="116"/>
      <c r="G140" s="114">
        <f t="shared" si="23"/>
        <v>0</v>
      </c>
      <c r="H140" s="122"/>
      <c r="I140" s="116"/>
      <c r="J140" s="116"/>
      <c r="K140" s="162"/>
      <c r="L140" s="120"/>
    </row>
    <row r="141" spans="2:12" ht="15.5" hidden="1" x14ac:dyDescent="0.35">
      <c r="B141" s="119" t="s">
        <v>135</v>
      </c>
      <c r="C141" s="121"/>
      <c r="D141" s="116"/>
      <c r="E141" s="116"/>
      <c r="F141" s="116"/>
      <c r="G141" s="114">
        <f t="shared" si="23"/>
        <v>0</v>
      </c>
      <c r="H141" s="122"/>
      <c r="I141" s="116"/>
      <c r="J141" s="116"/>
      <c r="K141" s="162"/>
      <c r="L141" s="120"/>
    </row>
    <row r="142" spans="2:12" ht="15.5" hidden="1" x14ac:dyDescent="0.35">
      <c r="C142" s="59" t="s">
        <v>24</v>
      </c>
      <c r="D142" s="13">
        <f>SUM(D134:D141)</f>
        <v>0</v>
      </c>
      <c r="E142" s="13">
        <f t="shared" ref="E142:G142" si="24">SUM(E134:E141)</f>
        <v>0</v>
      </c>
      <c r="F142" s="13">
        <f t="shared" si="24"/>
        <v>0</v>
      </c>
      <c r="G142" s="16">
        <f t="shared" si="24"/>
        <v>0</v>
      </c>
      <c r="H142" s="13">
        <f>(H134*G134)+(H135*G135)+(H136*G136)+(H137*G137)+(H138*G138)+(H139*G139)+(H140*G140)+(H141*G141)</f>
        <v>0</v>
      </c>
      <c r="I142" s="13">
        <f>SUM(I134:I141)</f>
        <v>0</v>
      </c>
      <c r="J142" s="106"/>
      <c r="K142" s="162"/>
      <c r="L142" s="34"/>
    </row>
    <row r="143" spans="2:12" ht="15.5" hidden="1" x14ac:dyDescent="0.35">
      <c r="B143" s="59" t="s">
        <v>136</v>
      </c>
      <c r="C143" s="255"/>
      <c r="D143" s="255"/>
      <c r="E143" s="255"/>
      <c r="F143" s="255"/>
      <c r="G143" s="255"/>
      <c r="H143" s="255"/>
      <c r="I143" s="256"/>
      <c r="J143" s="256"/>
      <c r="K143" s="255"/>
      <c r="L143" s="33"/>
    </row>
    <row r="144" spans="2:12" ht="15.5" hidden="1" x14ac:dyDescent="0.35">
      <c r="B144" s="119" t="s">
        <v>137</v>
      </c>
      <c r="C144" s="112"/>
      <c r="D144" s="113"/>
      <c r="E144" s="113"/>
      <c r="F144" s="113"/>
      <c r="G144" s="114">
        <f>D144</f>
        <v>0</v>
      </c>
      <c r="H144" s="115"/>
      <c r="I144" s="113"/>
      <c r="J144" s="113"/>
      <c r="K144" s="161"/>
      <c r="L144" s="120"/>
    </row>
    <row r="145" spans="2:12" ht="15.5" hidden="1" x14ac:dyDescent="0.35">
      <c r="B145" s="119" t="s">
        <v>138</v>
      </c>
      <c r="C145" s="112"/>
      <c r="D145" s="113"/>
      <c r="E145" s="113"/>
      <c r="F145" s="113"/>
      <c r="G145" s="114">
        <f t="shared" ref="G145:G151" si="25">D145</f>
        <v>0</v>
      </c>
      <c r="H145" s="115"/>
      <c r="I145" s="113"/>
      <c r="J145" s="113"/>
      <c r="K145" s="161"/>
      <c r="L145" s="120"/>
    </row>
    <row r="146" spans="2:12" ht="15.5" hidden="1" x14ac:dyDescent="0.35">
      <c r="B146" s="119" t="s">
        <v>139</v>
      </c>
      <c r="C146" s="112"/>
      <c r="D146" s="113"/>
      <c r="E146" s="113"/>
      <c r="F146" s="113"/>
      <c r="G146" s="114">
        <f t="shared" si="25"/>
        <v>0</v>
      </c>
      <c r="H146" s="115"/>
      <c r="I146" s="113"/>
      <c r="J146" s="113"/>
      <c r="K146" s="161"/>
      <c r="L146" s="120"/>
    </row>
    <row r="147" spans="2:12" ht="15.5" hidden="1" x14ac:dyDescent="0.35">
      <c r="B147" s="119" t="s">
        <v>140</v>
      </c>
      <c r="C147" s="112"/>
      <c r="D147" s="113"/>
      <c r="E147" s="113"/>
      <c r="F147" s="113"/>
      <c r="G147" s="114">
        <f t="shared" si="25"/>
        <v>0</v>
      </c>
      <c r="H147" s="115"/>
      <c r="I147" s="113"/>
      <c r="J147" s="113"/>
      <c r="K147" s="161"/>
      <c r="L147" s="120"/>
    </row>
    <row r="148" spans="2:12" ht="15.5" hidden="1" x14ac:dyDescent="0.35">
      <c r="B148" s="119" t="s">
        <v>141</v>
      </c>
      <c r="C148" s="112"/>
      <c r="D148" s="113"/>
      <c r="E148" s="113"/>
      <c r="F148" s="113"/>
      <c r="G148" s="114">
        <f t="shared" si="25"/>
        <v>0</v>
      </c>
      <c r="H148" s="115"/>
      <c r="I148" s="113"/>
      <c r="J148" s="113"/>
      <c r="K148" s="161"/>
      <c r="L148" s="120"/>
    </row>
    <row r="149" spans="2:12" ht="15.5" hidden="1" x14ac:dyDescent="0.35">
      <c r="B149" s="119" t="s">
        <v>142</v>
      </c>
      <c r="C149" s="112"/>
      <c r="D149" s="113"/>
      <c r="E149" s="113"/>
      <c r="F149" s="113"/>
      <c r="G149" s="114">
        <f t="shared" si="25"/>
        <v>0</v>
      </c>
      <c r="H149" s="115"/>
      <c r="I149" s="113"/>
      <c r="J149" s="113"/>
      <c r="K149" s="161"/>
      <c r="L149" s="120"/>
    </row>
    <row r="150" spans="2:12" ht="15.5" hidden="1" x14ac:dyDescent="0.35">
      <c r="B150" s="119" t="s">
        <v>143</v>
      </c>
      <c r="C150" s="121"/>
      <c r="D150" s="116"/>
      <c r="E150" s="116"/>
      <c r="F150" s="116"/>
      <c r="G150" s="114">
        <f t="shared" si="25"/>
        <v>0</v>
      </c>
      <c r="H150" s="122"/>
      <c r="I150" s="116"/>
      <c r="J150" s="116"/>
      <c r="K150" s="162"/>
      <c r="L150" s="120"/>
    </row>
    <row r="151" spans="2:12" ht="15.5" hidden="1" x14ac:dyDescent="0.35">
      <c r="B151" s="119" t="s">
        <v>144</v>
      </c>
      <c r="C151" s="121"/>
      <c r="D151" s="116"/>
      <c r="E151" s="116"/>
      <c r="F151" s="116"/>
      <c r="G151" s="114">
        <f t="shared" si="25"/>
        <v>0</v>
      </c>
      <c r="H151" s="122"/>
      <c r="I151" s="116"/>
      <c r="J151" s="116"/>
      <c r="K151" s="162"/>
      <c r="L151" s="120"/>
    </row>
    <row r="152" spans="2:12" ht="15.5" hidden="1" x14ac:dyDescent="0.35">
      <c r="C152" s="59" t="s">
        <v>24</v>
      </c>
      <c r="D152" s="16">
        <f>SUM(D144:D151)</f>
        <v>0</v>
      </c>
      <c r="E152" s="16">
        <f t="shared" ref="E152:G152" si="26">SUM(E144:E151)</f>
        <v>0</v>
      </c>
      <c r="F152" s="16">
        <f t="shared" si="26"/>
        <v>0</v>
      </c>
      <c r="G152" s="16">
        <f t="shared" si="26"/>
        <v>0</v>
      </c>
      <c r="H152" s="13">
        <f>(H144*G144)+(H145*G145)+(H146*G146)+(H147*G147)+(H148*G148)+(H149*G149)+(H150*G150)+(H151*G151)</f>
        <v>0</v>
      </c>
      <c r="I152" s="13">
        <f>SUM(I144:I151)</f>
        <v>0</v>
      </c>
      <c r="J152" s="106"/>
      <c r="K152" s="162"/>
      <c r="L152" s="34"/>
    </row>
    <row r="153" spans="2:12" ht="15.5" hidden="1" x14ac:dyDescent="0.35">
      <c r="B153" s="59" t="s">
        <v>145</v>
      </c>
      <c r="C153" s="255"/>
      <c r="D153" s="255"/>
      <c r="E153" s="255"/>
      <c r="F153" s="255"/>
      <c r="G153" s="255"/>
      <c r="H153" s="255"/>
      <c r="I153" s="256"/>
      <c r="J153" s="256"/>
      <c r="K153" s="255"/>
      <c r="L153" s="33"/>
    </row>
    <row r="154" spans="2:12" ht="15.5" hidden="1" x14ac:dyDescent="0.35">
      <c r="B154" s="119" t="s">
        <v>146</v>
      </c>
      <c r="C154" s="112"/>
      <c r="D154" s="113"/>
      <c r="E154" s="113"/>
      <c r="F154" s="113"/>
      <c r="G154" s="114">
        <f>D154</f>
        <v>0</v>
      </c>
      <c r="H154" s="115"/>
      <c r="I154" s="113"/>
      <c r="J154" s="113"/>
      <c r="K154" s="161"/>
      <c r="L154" s="120"/>
    </row>
    <row r="155" spans="2:12" ht="15.5" hidden="1" x14ac:dyDescent="0.35">
      <c r="B155" s="119" t="s">
        <v>147</v>
      </c>
      <c r="C155" s="112"/>
      <c r="D155" s="113"/>
      <c r="E155" s="113"/>
      <c r="F155" s="113"/>
      <c r="G155" s="114">
        <f t="shared" ref="G155:G161" si="27">D155</f>
        <v>0</v>
      </c>
      <c r="H155" s="115"/>
      <c r="I155" s="113"/>
      <c r="J155" s="113"/>
      <c r="K155" s="161"/>
      <c r="L155" s="120"/>
    </row>
    <row r="156" spans="2:12" ht="15.5" hidden="1" x14ac:dyDescent="0.35">
      <c r="B156" s="119" t="s">
        <v>148</v>
      </c>
      <c r="C156" s="112"/>
      <c r="D156" s="113"/>
      <c r="E156" s="113"/>
      <c r="F156" s="113"/>
      <c r="G156" s="114">
        <f t="shared" si="27"/>
        <v>0</v>
      </c>
      <c r="H156" s="115"/>
      <c r="I156" s="113"/>
      <c r="J156" s="113"/>
      <c r="K156" s="161"/>
      <c r="L156" s="120"/>
    </row>
    <row r="157" spans="2:12" ht="15.5" hidden="1" x14ac:dyDescent="0.35">
      <c r="B157" s="119" t="s">
        <v>149</v>
      </c>
      <c r="C157" s="112"/>
      <c r="D157" s="113"/>
      <c r="E157" s="113"/>
      <c r="F157" s="113"/>
      <c r="G157" s="114">
        <f t="shared" si="27"/>
        <v>0</v>
      </c>
      <c r="H157" s="115"/>
      <c r="I157" s="113"/>
      <c r="J157" s="113"/>
      <c r="K157" s="161"/>
      <c r="L157" s="120"/>
    </row>
    <row r="158" spans="2:12" ht="15.5" hidden="1" x14ac:dyDescent="0.35">
      <c r="B158" s="119" t="s">
        <v>150</v>
      </c>
      <c r="C158" s="112"/>
      <c r="D158" s="113"/>
      <c r="E158" s="113"/>
      <c r="F158" s="113"/>
      <c r="G158" s="114">
        <f t="shared" si="27"/>
        <v>0</v>
      </c>
      <c r="H158" s="115"/>
      <c r="I158" s="113"/>
      <c r="J158" s="113"/>
      <c r="K158" s="161"/>
      <c r="L158" s="120"/>
    </row>
    <row r="159" spans="2:12" ht="15.5" hidden="1" x14ac:dyDescent="0.35">
      <c r="B159" s="119" t="s">
        <v>151</v>
      </c>
      <c r="C159" s="112"/>
      <c r="D159" s="113"/>
      <c r="E159" s="113"/>
      <c r="F159" s="113"/>
      <c r="G159" s="114">
        <f t="shared" si="27"/>
        <v>0</v>
      </c>
      <c r="H159" s="115"/>
      <c r="I159" s="113"/>
      <c r="J159" s="113"/>
      <c r="K159" s="161"/>
      <c r="L159" s="120"/>
    </row>
    <row r="160" spans="2:12" ht="15.5" hidden="1" x14ac:dyDescent="0.35">
      <c r="B160" s="119" t="s">
        <v>152</v>
      </c>
      <c r="C160" s="121"/>
      <c r="D160" s="116"/>
      <c r="E160" s="116"/>
      <c r="F160" s="116"/>
      <c r="G160" s="114">
        <f t="shared" si="27"/>
        <v>0</v>
      </c>
      <c r="H160" s="122"/>
      <c r="I160" s="116"/>
      <c r="J160" s="116"/>
      <c r="K160" s="162"/>
      <c r="L160" s="120"/>
    </row>
    <row r="161" spans="2:12" ht="15.5" hidden="1" x14ac:dyDescent="0.35">
      <c r="B161" s="119" t="s">
        <v>153</v>
      </c>
      <c r="C161" s="121"/>
      <c r="D161" s="116"/>
      <c r="E161" s="116"/>
      <c r="F161" s="116"/>
      <c r="G161" s="114">
        <f t="shared" si="27"/>
        <v>0</v>
      </c>
      <c r="H161" s="122"/>
      <c r="I161" s="116"/>
      <c r="J161" s="116"/>
      <c r="K161" s="162"/>
      <c r="L161" s="120"/>
    </row>
    <row r="162" spans="2:12" ht="15.5" hidden="1" x14ac:dyDescent="0.35">
      <c r="C162" s="59" t="s">
        <v>24</v>
      </c>
      <c r="D162" s="16">
        <f>SUM(D154:D161)</f>
        <v>0</v>
      </c>
      <c r="E162" s="16">
        <f t="shared" ref="E162:G162" si="28">SUM(E154:E161)</f>
        <v>0</v>
      </c>
      <c r="F162" s="16">
        <f t="shared" si="28"/>
        <v>0</v>
      </c>
      <c r="G162" s="16">
        <f t="shared" si="28"/>
        <v>0</v>
      </c>
      <c r="H162" s="13">
        <f>(H154*G154)+(H155*G155)+(H156*G156)+(H157*G157)+(H158*G158)+(H159*G159)+(H160*G160)+(H161*G161)</f>
        <v>0</v>
      </c>
      <c r="I162" s="13">
        <f>SUM(I154:I161)</f>
        <v>0</v>
      </c>
      <c r="J162" s="106"/>
      <c r="K162" s="162"/>
      <c r="L162" s="34"/>
    </row>
    <row r="163" spans="2:12" ht="15.5" hidden="1" x14ac:dyDescent="0.35">
      <c r="B163" s="59" t="s">
        <v>154</v>
      </c>
      <c r="C163" s="255"/>
      <c r="D163" s="255"/>
      <c r="E163" s="255"/>
      <c r="F163" s="255"/>
      <c r="G163" s="255"/>
      <c r="H163" s="255"/>
      <c r="I163" s="256"/>
      <c r="J163" s="256"/>
      <c r="K163" s="255"/>
      <c r="L163" s="33"/>
    </row>
    <row r="164" spans="2:12" ht="15.5" hidden="1" x14ac:dyDescent="0.35">
      <c r="B164" s="119" t="s">
        <v>155</v>
      </c>
      <c r="C164" s="112"/>
      <c r="D164" s="113"/>
      <c r="E164" s="113"/>
      <c r="F164" s="113"/>
      <c r="G164" s="114">
        <f>D164</f>
        <v>0</v>
      </c>
      <c r="H164" s="115"/>
      <c r="I164" s="113"/>
      <c r="J164" s="113"/>
      <c r="K164" s="161"/>
      <c r="L164" s="120"/>
    </row>
    <row r="165" spans="2:12" ht="15.5" hidden="1" x14ac:dyDescent="0.35">
      <c r="B165" s="119" t="s">
        <v>156</v>
      </c>
      <c r="C165" s="112"/>
      <c r="D165" s="113"/>
      <c r="E165" s="113"/>
      <c r="F165" s="113"/>
      <c r="G165" s="114">
        <f t="shared" ref="G165:G171" si="29">D165</f>
        <v>0</v>
      </c>
      <c r="H165" s="115"/>
      <c r="I165" s="113"/>
      <c r="J165" s="113"/>
      <c r="K165" s="161"/>
      <c r="L165" s="120"/>
    </row>
    <row r="166" spans="2:12" ht="15.5" hidden="1" x14ac:dyDescent="0.35">
      <c r="B166" s="119" t="s">
        <v>157</v>
      </c>
      <c r="C166" s="112"/>
      <c r="D166" s="113"/>
      <c r="E166" s="113"/>
      <c r="F166" s="113"/>
      <c r="G166" s="114">
        <f t="shared" si="29"/>
        <v>0</v>
      </c>
      <c r="H166" s="115"/>
      <c r="I166" s="113"/>
      <c r="J166" s="113"/>
      <c r="K166" s="161"/>
      <c r="L166" s="120"/>
    </row>
    <row r="167" spans="2:12" ht="15.5" hidden="1" x14ac:dyDescent="0.35">
      <c r="B167" s="119" t="s">
        <v>158</v>
      </c>
      <c r="C167" s="112"/>
      <c r="D167" s="113"/>
      <c r="E167" s="113"/>
      <c r="F167" s="113"/>
      <c r="G167" s="114">
        <f t="shared" si="29"/>
        <v>0</v>
      </c>
      <c r="H167" s="115"/>
      <c r="I167" s="113"/>
      <c r="J167" s="113"/>
      <c r="K167" s="161"/>
      <c r="L167" s="120"/>
    </row>
    <row r="168" spans="2:12" ht="15.5" hidden="1" x14ac:dyDescent="0.35">
      <c r="B168" s="119" t="s">
        <v>159</v>
      </c>
      <c r="C168" s="112"/>
      <c r="D168" s="113"/>
      <c r="E168" s="113"/>
      <c r="F168" s="113"/>
      <c r="G168" s="114">
        <f t="shared" si="29"/>
        <v>0</v>
      </c>
      <c r="H168" s="115"/>
      <c r="I168" s="113"/>
      <c r="J168" s="113"/>
      <c r="K168" s="161"/>
      <c r="L168" s="120"/>
    </row>
    <row r="169" spans="2:12" ht="15.5" hidden="1" x14ac:dyDescent="0.35">
      <c r="B169" s="119" t="s">
        <v>160</v>
      </c>
      <c r="C169" s="112"/>
      <c r="D169" s="113"/>
      <c r="E169" s="113"/>
      <c r="F169" s="113"/>
      <c r="G169" s="114">
        <f t="shared" si="29"/>
        <v>0</v>
      </c>
      <c r="H169" s="115"/>
      <c r="I169" s="113"/>
      <c r="J169" s="113"/>
      <c r="K169" s="161"/>
      <c r="L169" s="120"/>
    </row>
    <row r="170" spans="2:12" ht="15.5" hidden="1" x14ac:dyDescent="0.35">
      <c r="B170" s="119" t="s">
        <v>161</v>
      </c>
      <c r="C170" s="121"/>
      <c r="D170" s="116"/>
      <c r="E170" s="116"/>
      <c r="F170" s="116"/>
      <c r="G170" s="114">
        <f t="shared" si="29"/>
        <v>0</v>
      </c>
      <c r="H170" s="122"/>
      <c r="I170" s="116"/>
      <c r="J170" s="116"/>
      <c r="K170" s="162"/>
      <c r="L170" s="120"/>
    </row>
    <row r="171" spans="2:12" ht="15.5" hidden="1" x14ac:dyDescent="0.35">
      <c r="B171" s="119" t="s">
        <v>162</v>
      </c>
      <c r="C171" s="121"/>
      <c r="D171" s="116"/>
      <c r="E171" s="116"/>
      <c r="F171" s="116"/>
      <c r="G171" s="114">
        <f t="shared" si="29"/>
        <v>0</v>
      </c>
      <c r="H171" s="122"/>
      <c r="I171" s="116"/>
      <c r="J171" s="116"/>
      <c r="K171" s="162"/>
      <c r="L171" s="120"/>
    </row>
    <row r="172" spans="2:12" ht="15.5" hidden="1" x14ac:dyDescent="0.35">
      <c r="C172" s="59" t="s">
        <v>24</v>
      </c>
      <c r="D172" s="13">
        <f>SUM(D164:D171)</f>
        <v>0</v>
      </c>
      <c r="E172" s="13">
        <f t="shared" ref="E172:G172" si="30">SUM(E164:E171)</f>
        <v>0</v>
      </c>
      <c r="F172" s="13">
        <f t="shared" si="30"/>
        <v>0</v>
      </c>
      <c r="G172" s="13">
        <f t="shared" si="30"/>
        <v>0</v>
      </c>
      <c r="H172" s="13">
        <f>(H164*G164)+(H165*G165)+(H166*G166)+(H167*G167)+(H168*G168)+(H169*G169)+(H170*G170)+(H171*G171)</f>
        <v>0</v>
      </c>
      <c r="I172" s="13">
        <f>SUM(I164:I171)</f>
        <v>0</v>
      </c>
      <c r="J172" s="106"/>
      <c r="K172" s="162"/>
      <c r="L172" s="34"/>
    </row>
    <row r="173" spans="2:12" ht="15.5" x14ac:dyDescent="0.35">
      <c r="B173" s="4"/>
      <c r="C173" s="123"/>
      <c r="D173" s="111"/>
      <c r="E173" s="111"/>
      <c r="F173" s="111"/>
      <c r="G173" s="111"/>
      <c r="H173" s="111"/>
      <c r="I173" s="111"/>
      <c r="J173" s="111"/>
      <c r="K173" s="170"/>
      <c r="L173" s="2"/>
    </row>
    <row r="174" spans="2:12" ht="15.5" x14ac:dyDescent="0.35">
      <c r="B174" s="4"/>
      <c r="C174" s="123"/>
      <c r="D174" s="111"/>
      <c r="E174" s="111"/>
      <c r="F174" s="111"/>
      <c r="G174" s="111"/>
      <c r="H174" s="111"/>
      <c r="I174" s="111"/>
      <c r="J174" s="111"/>
      <c r="K174" s="170"/>
      <c r="L174" s="2"/>
    </row>
    <row r="175" spans="2:12" ht="201.5" x14ac:dyDescent="0.35">
      <c r="B175" s="59" t="s">
        <v>163</v>
      </c>
      <c r="C175" s="126" t="s">
        <v>298</v>
      </c>
      <c r="D175" s="127">
        <v>97048.302702702684</v>
      </c>
      <c r="E175" s="127"/>
      <c r="F175" s="127"/>
      <c r="G175" s="128">
        <f>D175</f>
        <v>97048.302702702684</v>
      </c>
      <c r="H175" s="115">
        <v>0.48</v>
      </c>
      <c r="I175" s="190">
        <f>GETPIVOTDATA("Suma de USD",'SOURCE INFO'!$G$4,"Etiquetas de fila","4.1.1.")</f>
        <v>66119.832147000008</v>
      </c>
      <c r="J175" s="164" t="s">
        <v>299</v>
      </c>
      <c r="K175" s="175" t="s">
        <v>300</v>
      </c>
      <c r="L175" s="34"/>
    </row>
    <row r="176" spans="2:12" ht="93" x14ac:dyDescent="0.35">
      <c r="B176" s="59" t="s">
        <v>164</v>
      </c>
      <c r="C176" s="126" t="s">
        <v>301</v>
      </c>
      <c r="D176" s="127">
        <v>61549.054054054061</v>
      </c>
      <c r="E176" s="127"/>
      <c r="F176" s="127"/>
      <c r="G176" s="128">
        <f t="shared" ref="G176:G180" si="31">D176</f>
        <v>61549.054054054061</v>
      </c>
      <c r="H176" s="129">
        <v>0</v>
      </c>
      <c r="I176" s="190">
        <f>GETPIVOTDATA("Suma de USD",'SOURCE INFO'!$G$4,"Etiquetas de fila","4.2.2.")+GETPIVOTDATA("Suma de USD",'SOURCE INFO'!$G$4,"Etiquetas de fila","4.2.3.")+GETPIVOTDATA("Suma de USD",'SOURCE INFO'!$G$4,"Etiquetas de fila","4.2.4.")+GETPIVOTDATA("Suma de USD",'SOURCE INFO'!$G$4,"Etiquetas de fila","4.2.5.")+GETPIVOTDATA("Suma de USD",'SOURCE INFO'!$G$4,"Etiquetas de fila","4.2.7.")+6</f>
        <v>44942.671097000006</v>
      </c>
      <c r="J176" s="176" t="s">
        <v>302</v>
      </c>
      <c r="K176" s="175" t="s">
        <v>303</v>
      </c>
      <c r="L176" s="34"/>
    </row>
    <row r="177" spans="2:12" ht="77.5" x14ac:dyDescent="0.35">
      <c r="B177" s="59" t="s">
        <v>165</v>
      </c>
      <c r="C177" s="130" t="s">
        <v>304</v>
      </c>
      <c r="D177" s="127">
        <v>59082.330270270271</v>
      </c>
      <c r="E177" s="127"/>
      <c r="F177" s="127"/>
      <c r="G177" s="128">
        <f t="shared" si="31"/>
        <v>59082.330270270271</v>
      </c>
      <c r="H177" s="129">
        <v>0</v>
      </c>
      <c r="I177" s="190">
        <f>GETPIVOTDATA("Suma de USD",'SOURCE INFO'!$G$4,"Etiquetas de fila","4.3.1.")+GETPIVOTDATA("Suma de USD",'SOURCE INFO'!$G$4,"Etiquetas de fila","4.3.2.")+GETPIVOTDATA("Suma de USD",'SOURCE INFO'!$G$4,"Etiquetas de fila","4.3.3.")+GETPIVOTDATA("Suma de USD",'SOURCE INFO'!$G$4,"Etiquetas de fila","4.3.5.")</f>
        <v>39734.892648999987</v>
      </c>
      <c r="J177" s="176" t="s">
        <v>302</v>
      </c>
      <c r="K177" s="175" t="s">
        <v>305</v>
      </c>
      <c r="L177" s="34"/>
    </row>
    <row r="178" spans="2:12" ht="50" customHeight="1" x14ac:dyDescent="0.35">
      <c r="B178" s="70" t="s">
        <v>166</v>
      </c>
      <c r="C178" s="126" t="s">
        <v>225</v>
      </c>
      <c r="D178" s="127">
        <v>16216.216216216217</v>
      </c>
      <c r="E178" s="127"/>
      <c r="F178" s="127"/>
      <c r="G178" s="128">
        <f t="shared" si="31"/>
        <v>16216.216216216217</v>
      </c>
      <c r="H178" s="129">
        <v>0</v>
      </c>
      <c r="I178" s="190"/>
      <c r="J178" s="176" t="s">
        <v>302</v>
      </c>
      <c r="K178" s="175"/>
      <c r="L178" s="34"/>
    </row>
    <row r="179" spans="2:12" ht="69.5" customHeight="1" x14ac:dyDescent="0.35">
      <c r="B179" s="59" t="s">
        <v>167</v>
      </c>
      <c r="C179" s="126" t="s">
        <v>224</v>
      </c>
      <c r="D179" s="127">
        <v>13513.513513513513</v>
      </c>
      <c r="E179" s="127"/>
      <c r="F179" s="127"/>
      <c r="G179" s="128">
        <f t="shared" si="31"/>
        <v>13513.513513513513</v>
      </c>
      <c r="H179" s="129">
        <v>0</v>
      </c>
      <c r="I179" s="190"/>
      <c r="J179" s="176" t="s">
        <v>302</v>
      </c>
      <c r="K179" s="175"/>
      <c r="L179" s="34"/>
    </row>
    <row r="180" spans="2:12" ht="69.5" customHeight="1" x14ac:dyDescent="0.35">
      <c r="B180" s="59" t="s">
        <v>360</v>
      </c>
      <c r="C180" s="126" t="s">
        <v>359</v>
      </c>
      <c r="D180" s="127">
        <f>D193</f>
        <v>113092.03301351352</v>
      </c>
      <c r="E180" s="127"/>
      <c r="F180" s="127"/>
      <c r="G180" s="128">
        <f t="shared" si="31"/>
        <v>113092.03301351352</v>
      </c>
      <c r="H180" s="129"/>
      <c r="I180" s="190">
        <f>(I16+I26+I36+I58+I68+I78+I100+I110+I175+I176+I177)*7%</f>
        <v>67178.53305345001</v>
      </c>
      <c r="J180" s="176"/>
      <c r="K180" s="175"/>
      <c r="L180" s="34"/>
    </row>
    <row r="181" spans="2:12" ht="15.5" x14ac:dyDescent="0.35">
      <c r="B181" s="4"/>
      <c r="C181" s="227" t="s">
        <v>168</v>
      </c>
      <c r="D181" s="228">
        <f>SUM(D175:D179)</f>
        <v>247409.41675675675</v>
      </c>
      <c r="E181" s="228">
        <f>SUM(E175:E178)</f>
        <v>0</v>
      </c>
      <c r="F181" s="228">
        <f>SUM(F175:F178)</f>
        <v>0</v>
      </c>
      <c r="G181" s="228">
        <f>SUM(G175:G178)</f>
        <v>233895.90324324323</v>
      </c>
      <c r="H181" s="223">
        <f>(H175*G175)+(H176*G176)+(H177*G177)+(H178*G178)+(H179*G179)</f>
        <v>46583.185297297285</v>
      </c>
      <c r="I181" s="223">
        <f>SUM(I175:I180)</f>
        <v>217975.92894645</v>
      </c>
      <c r="J181" s="229"/>
      <c r="K181" s="230"/>
      <c r="L181" s="11"/>
    </row>
    <row r="182" spans="2:12" ht="15.5" x14ac:dyDescent="0.35">
      <c r="B182" s="4"/>
      <c r="C182" s="123"/>
      <c r="D182" s="111"/>
      <c r="E182" s="111"/>
      <c r="F182" s="111"/>
      <c r="G182" s="111"/>
      <c r="H182" s="111"/>
      <c r="I182" s="312">
        <f>I16+I26+I36+I58+I68+I78+I100+I110+I181</f>
        <v>1026871.8623884501</v>
      </c>
      <c r="J182" s="111"/>
      <c r="K182" s="170"/>
      <c r="L182" s="11"/>
    </row>
    <row r="183" spans="2:12" ht="15.5" x14ac:dyDescent="0.35">
      <c r="B183" s="4"/>
      <c r="C183" s="123"/>
      <c r="D183" s="177"/>
      <c r="E183" s="111"/>
      <c r="F183" s="111"/>
      <c r="G183" s="111"/>
      <c r="H183" s="111"/>
      <c r="I183" s="224">
        <f>I182/(G200+G201)</f>
        <v>0.84859499273509853</v>
      </c>
      <c r="J183" s="111"/>
      <c r="K183" s="170"/>
      <c r="L183" s="11"/>
    </row>
    <row r="184" spans="2:12" ht="15.5" x14ac:dyDescent="0.35">
      <c r="B184" s="4"/>
      <c r="C184" s="123"/>
      <c r="D184" s="111"/>
      <c r="E184" s="111"/>
      <c r="F184" s="111"/>
      <c r="G184" s="111"/>
      <c r="H184" s="111"/>
      <c r="I184" s="111"/>
      <c r="J184" s="111"/>
      <c r="K184" s="170"/>
      <c r="L184" s="11"/>
    </row>
    <row r="185" spans="2:12" ht="15.5" x14ac:dyDescent="0.35">
      <c r="B185" s="4"/>
      <c r="C185" s="123"/>
      <c r="D185" s="111"/>
      <c r="E185" s="111"/>
      <c r="F185" s="111"/>
      <c r="G185" s="111"/>
      <c r="H185" s="111"/>
      <c r="I185" s="111"/>
      <c r="J185" s="111"/>
      <c r="K185" s="170"/>
      <c r="L185" s="11"/>
    </row>
    <row r="186" spans="2:12" ht="15.5" x14ac:dyDescent="0.35">
      <c r="B186" s="4"/>
      <c r="C186" s="123"/>
      <c r="D186" s="111"/>
      <c r="E186" s="111"/>
      <c r="F186" s="111"/>
      <c r="G186" s="111"/>
      <c r="H186" s="111"/>
      <c r="I186" s="111"/>
      <c r="J186" s="111"/>
      <c r="K186" s="170"/>
      <c r="L186" s="11"/>
    </row>
    <row r="187" spans="2:12" ht="15.5" x14ac:dyDescent="0.35">
      <c r="B187" s="4"/>
      <c r="C187" s="123"/>
      <c r="D187" s="111"/>
      <c r="E187" s="111"/>
      <c r="F187" s="111"/>
      <c r="G187" s="111"/>
      <c r="H187" s="111"/>
      <c r="I187" s="111"/>
      <c r="J187" s="111"/>
      <c r="K187" s="170"/>
      <c r="L187" s="11"/>
    </row>
    <row r="188" spans="2:12" ht="16" thickBot="1" x14ac:dyDescent="0.4">
      <c r="B188" s="4"/>
      <c r="C188" s="123"/>
      <c r="D188" s="111"/>
      <c r="E188" s="111"/>
      <c r="F188" s="111"/>
      <c r="G188" s="111"/>
      <c r="H188" s="111"/>
      <c r="I188" s="111"/>
      <c r="J188" s="111"/>
      <c r="K188" s="170"/>
      <c r="L188" s="11"/>
    </row>
    <row r="189" spans="2:12" ht="15.5" x14ac:dyDescent="0.35">
      <c r="B189" s="4"/>
      <c r="C189" s="260" t="s">
        <v>169</v>
      </c>
      <c r="D189" s="261"/>
      <c r="E189" s="77"/>
      <c r="F189" s="77"/>
      <c r="G189" s="77"/>
      <c r="H189" s="11"/>
      <c r="I189" s="93"/>
      <c r="J189" s="93"/>
      <c r="K189" s="178"/>
    </row>
    <row r="190" spans="2:12" ht="31" x14ac:dyDescent="0.35">
      <c r="B190" s="4"/>
      <c r="C190" s="247"/>
      <c r="D190" s="249" t="str">
        <f>D5</f>
        <v>Recipient Organization</v>
      </c>
      <c r="E190" s="78" t="s">
        <v>170</v>
      </c>
      <c r="F190" s="13" t="s">
        <v>171</v>
      </c>
      <c r="G190" s="251" t="s">
        <v>9</v>
      </c>
      <c r="H190" s="123"/>
      <c r="I190" s="111"/>
      <c r="J190" s="111"/>
      <c r="K190" s="178"/>
    </row>
    <row r="191" spans="2:12" ht="15.5" x14ac:dyDescent="0.35">
      <c r="B191" s="4"/>
      <c r="C191" s="248"/>
      <c r="D191" s="250"/>
      <c r="E191" s="79" t="e">
        <f>#REF!</f>
        <v>#REF!</v>
      </c>
      <c r="F191" s="74" t="e">
        <f>#REF!</f>
        <v>#REF!</v>
      </c>
      <c r="G191" s="252"/>
      <c r="H191" s="123"/>
      <c r="I191" s="111"/>
      <c r="J191" s="111"/>
      <c r="K191" s="178"/>
    </row>
    <row r="192" spans="2:12" ht="15.5" x14ac:dyDescent="0.35">
      <c r="B192" s="131"/>
      <c r="C192" s="132" t="s">
        <v>172</v>
      </c>
      <c r="D192" s="153">
        <f>SUM(D16,D26,D36,D46,D58,D68,D78,D88,D100,D110,D120,D130,D142,D152,D162,D172,D175,D176,D177,D178,D179)</f>
        <v>1615600.4716216214</v>
      </c>
      <c r="E192" s="133">
        <f>SUM(E16,E26,E36,E46,E58,E68,E78,E88,E100,E110,E120,E130,E142,E152,E162,E172,E175,E176,E177)</f>
        <v>0</v>
      </c>
      <c r="F192" s="134">
        <f>SUM(F16,F26,F36,F46,F58,F68,F78,F88,F100,F110,F120,F130,F142,F152,F162,F172,F175,F176,F177)</f>
        <v>0</v>
      </c>
      <c r="G192" s="135">
        <f>SUM(D192:F192)</f>
        <v>1615600.4716216214</v>
      </c>
      <c r="H192" s="123"/>
      <c r="I192" s="111"/>
      <c r="J192" s="111"/>
      <c r="K192" s="152"/>
    </row>
    <row r="193" spans="2:12" ht="15.5" x14ac:dyDescent="0.35">
      <c r="B193" s="136"/>
      <c r="C193" s="132" t="s">
        <v>173</v>
      </c>
      <c r="D193" s="153">
        <f>D192*0.07</f>
        <v>113092.03301351352</v>
      </c>
      <c r="E193" s="133">
        <f t="shared" ref="E193:F193" si="32">E192*0.07</f>
        <v>0</v>
      </c>
      <c r="F193" s="134">
        <f t="shared" si="32"/>
        <v>0</v>
      </c>
      <c r="G193" s="135">
        <f>G192*0.07</f>
        <v>113092.03301351352</v>
      </c>
      <c r="H193" s="136"/>
      <c r="I193" s="137"/>
      <c r="J193" s="137"/>
      <c r="K193" s="179"/>
    </row>
    <row r="194" spans="2:12" ht="16" thickBot="1" x14ac:dyDescent="0.4">
      <c r="B194" s="136"/>
      <c r="C194" s="10" t="s">
        <v>9</v>
      </c>
      <c r="D194" s="69">
        <f>SUM(D192:D193)</f>
        <v>1728692.5046351349</v>
      </c>
      <c r="E194" s="80">
        <f t="shared" ref="E194:F194" si="33">SUM(E192:E193)</f>
        <v>0</v>
      </c>
      <c r="F194" s="62">
        <f t="shared" si="33"/>
        <v>0</v>
      </c>
      <c r="G194" s="62">
        <f>SUM(G192:G193)</f>
        <v>1728692.5046351349</v>
      </c>
      <c r="H194" s="136"/>
      <c r="I194" s="137"/>
      <c r="J194" s="137"/>
      <c r="K194" s="179"/>
    </row>
    <row r="195" spans="2:12" ht="15.5" x14ac:dyDescent="0.35">
      <c r="B195" s="136"/>
      <c r="K195" s="180"/>
      <c r="L195" s="138"/>
    </row>
    <row r="196" spans="2:12" s="26" customFormat="1" ht="16" thickBot="1" x14ac:dyDescent="0.4">
      <c r="B196" s="123"/>
      <c r="C196" s="4"/>
      <c r="D196" s="21"/>
      <c r="E196" s="21"/>
      <c r="F196" s="21"/>
      <c r="G196" s="21"/>
      <c r="H196" s="21"/>
      <c r="I196" s="95"/>
      <c r="J196" s="95"/>
      <c r="K196" s="178"/>
      <c r="L196" s="131"/>
    </row>
    <row r="197" spans="2:12" ht="15.5" x14ac:dyDescent="0.35">
      <c r="B197" s="138"/>
      <c r="C197" s="232" t="s">
        <v>174</v>
      </c>
      <c r="D197" s="233"/>
      <c r="E197" s="234"/>
      <c r="F197" s="234"/>
      <c r="G197" s="234"/>
      <c r="H197" s="235"/>
      <c r="I197" s="96"/>
      <c r="J197" s="96"/>
      <c r="K197" s="179"/>
    </row>
    <row r="198" spans="2:12" ht="31" x14ac:dyDescent="0.35">
      <c r="B198" s="138"/>
      <c r="C198" s="19"/>
      <c r="D198" s="236" t="str">
        <f>D5</f>
        <v>Recipient Organization</v>
      </c>
      <c r="E198" s="17" t="s">
        <v>170</v>
      </c>
      <c r="F198" s="17" t="s">
        <v>171</v>
      </c>
      <c r="G198" s="238" t="s">
        <v>9</v>
      </c>
      <c r="H198" s="240" t="s">
        <v>175</v>
      </c>
      <c r="I198" s="96"/>
      <c r="J198" s="96"/>
      <c r="K198" s="179"/>
    </row>
    <row r="199" spans="2:12" ht="15.5" x14ac:dyDescent="0.35">
      <c r="B199" s="138"/>
      <c r="C199" s="19"/>
      <c r="D199" s="237"/>
      <c r="E199" s="17" t="e">
        <f>#REF!</f>
        <v>#REF!</v>
      </c>
      <c r="F199" s="17" t="e">
        <f>#REF!</f>
        <v>#REF!</v>
      </c>
      <c r="G199" s="239"/>
      <c r="H199" s="241"/>
      <c r="I199" s="96"/>
      <c r="J199" s="96"/>
      <c r="K199" s="179"/>
    </row>
    <row r="200" spans="2:12" ht="15.5" x14ac:dyDescent="0.35">
      <c r="B200" s="138"/>
      <c r="C200" s="18" t="s">
        <v>176</v>
      </c>
      <c r="D200" s="60">
        <f>D194*H200</f>
        <v>605042.37662229722</v>
      </c>
      <c r="E200" s="61">
        <f>SUM(E192:E193)*0.7</f>
        <v>0</v>
      </c>
      <c r="F200" s="61">
        <f>SUM(F192:F193)*0.7</f>
        <v>0</v>
      </c>
      <c r="G200" s="61">
        <f>SUM(D200:F200)</f>
        <v>605042.37662229722</v>
      </c>
      <c r="H200" s="90">
        <v>0.35</v>
      </c>
      <c r="I200" s="93"/>
      <c r="J200" s="93"/>
      <c r="K200" s="179"/>
    </row>
    <row r="201" spans="2:12" ht="15.5" x14ac:dyDescent="0.35">
      <c r="B201" s="242"/>
      <c r="C201" s="71" t="s">
        <v>177</v>
      </c>
      <c r="D201" s="72">
        <f>D194*H201</f>
        <v>605042.37662229722</v>
      </c>
      <c r="E201" s="73">
        <f>SUM(E192:E193)*0.3</f>
        <v>0</v>
      </c>
      <c r="F201" s="73">
        <f>SUM(F192:F193)*0.3</f>
        <v>0</v>
      </c>
      <c r="G201" s="61">
        <f t="shared" ref="G201:G202" si="34">SUM(D201:F201)</f>
        <v>605042.37662229722</v>
      </c>
      <c r="H201" s="91">
        <v>0.35</v>
      </c>
      <c r="I201" s="93"/>
      <c r="J201" s="93"/>
    </row>
    <row r="202" spans="2:12" ht="15.5" x14ac:dyDescent="0.35">
      <c r="B202" s="242"/>
      <c r="C202" s="71" t="s">
        <v>178</v>
      </c>
      <c r="D202" s="72">
        <f>D194*H202</f>
        <v>518607.75139054045</v>
      </c>
      <c r="E202" s="73"/>
      <c r="F202" s="73"/>
      <c r="G202" s="61">
        <f t="shared" si="34"/>
        <v>518607.75139054045</v>
      </c>
      <c r="H202" s="91">
        <v>0.3</v>
      </c>
      <c r="I202" s="93"/>
      <c r="J202" s="93"/>
    </row>
    <row r="203" spans="2:12" ht="16" thickBot="1" x14ac:dyDescent="0.4">
      <c r="B203" s="242"/>
      <c r="C203" s="10" t="s">
        <v>179</v>
      </c>
      <c r="D203" s="62">
        <f>SUM(D200:D202)</f>
        <v>1728692.5046351349</v>
      </c>
      <c r="E203" s="62">
        <f t="shared" ref="E203:F203" si="35">SUM(E200:E201)</f>
        <v>0</v>
      </c>
      <c r="F203" s="62">
        <f t="shared" si="35"/>
        <v>0</v>
      </c>
      <c r="G203" s="63">
        <f>SUM(G200:G202)</f>
        <v>1728692.5046351349</v>
      </c>
      <c r="H203" s="64"/>
      <c r="I203" s="97"/>
      <c r="J203" s="97"/>
    </row>
    <row r="204" spans="2:12" ht="16" thickBot="1" x14ac:dyDescent="0.4">
      <c r="B204" s="242"/>
      <c r="C204" s="1"/>
      <c r="D204" s="9"/>
      <c r="E204" s="9"/>
      <c r="F204" s="9"/>
      <c r="G204" s="9"/>
      <c r="H204" s="9"/>
      <c r="I204" s="98"/>
      <c r="J204" s="98"/>
    </row>
    <row r="205" spans="2:12" ht="15.5" x14ac:dyDescent="0.35">
      <c r="B205" s="242"/>
      <c r="C205" s="65" t="s">
        <v>180</v>
      </c>
      <c r="D205" s="66">
        <f>SUM(H16,H26,H36,H46,H58,H68,H78,H88,H100,H110,H120,H130,H142,H152,H162,H172,H181)*1.07</f>
        <v>822249.69745797291</v>
      </c>
      <c r="E205" s="21"/>
      <c r="F205" s="21"/>
      <c r="G205" s="21"/>
      <c r="H205" s="101" t="s">
        <v>181</v>
      </c>
      <c r="I205" s="102">
        <f>SUM(I181,I172,I162,I152,I142,I130,I120,I110,I100,I88,I78,I68,I58,I46,I36,I26,I16)</f>
        <v>1026871.8623884502</v>
      </c>
      <c r="J205" s="107"/>
      <c r="K205" s="220"/>
    </row>
    <row r="206" spans="2:12" ht="16" thickBot="1" x14ac:dyDescent="0.4">
      <c r="B206" s="242"/>
      <c r="C206" s="67" t="s">
        <v>182</v>
      </c>
      <c r="D206" s="92">
        <f>D205/D194</f>
        <v>0.47564832684429342</v>
      </c>
      <c r="E206" s="28"/>
      <c r="F206" s="28"/>
      <c r="G206" s="28"/>
      <c r="H206" s="103" t="s">
        <v>183</v>
      </c>
      <c r="I206" s="225">
        <f>I205/D194</f>
        <v>0.59401649491456898</v>
      </c>
      <c r="J206" s="108"/>
    </row>
    <row r="207" spans="2:12" x14ac:dyDescent="0.35">
      <c r="B207" s="242"/>
      <c r="C207" s="243"/>
      <c r="D207" s="244"/>
      <c r="E207" s="29"/>
      <c r="F207" s="29"/>
      <c r="G207" s="29"/>
    </row>
    <row r="208" spans="2:12" ht="15.5" x14ac:dyDescent="0.35">
      <c r="B208" s="242"/>
      <c r="C208" s="67" t="s">
        <v>184</v>
      </c>
      <c r="D208" s="68">
        <f>SUM(D177:F179)*1.07</f>
        <v>95028.904200000004</v>
      </c>
      <c r="E208" s="30"/>
      <c r="F208" s="30"/>
      <c r="G208" s="30"/>
    </row>
    <row r="209" spans="2:12" ht="15.5" x14ac:dyDescent="0.35">
      <c r="B209" s="242"/>
      <c r="C209" s="67" t="s">
        <v>185</v>
      </c>
      <c r="D209" s="92">
        <f>D208/D194</f>
        <v>5.4971548696601306E-2</v>
      </c>
      <c r="E209" s="30"/>
      <c r="F209" s="30"/>
      <c r="G209" s="30"/>
    </row>
    <row r="210" spans="2:12" ht="15" thickBot="1" x14ac:dyDescent="0.4">
      <c r="B210" s="242"/>
      <c r="C210" s="245" t="s">
        <v>186</v>
      </c>
      <c r="D210" s="246"/>
      <c r="E210" s="22"/>
      <c r="F210" s="22"/>
      <c r="G210" s="22"/>
      <c r="I210" s="99"/>
      <c r="J210" s="99"/>
    </row>
    <row r="211" spans="2:12" x14ac:dyDescent="0.35">
      <c r="B211" s="242"/>
      <c r="L211" s="26"/>
    </row>
    <row r="212" spans="2:12" x14ac:dyDescent="0.35">
      <c r="B212" s="242"/>
    </row>
    <row r="213" spans="2:12" x14ac:dyDescent="0.35">
      <c r="B213" s="242"/>
    </row>
    <row r="214" spans="2:12" x14ac:dyDescent="0.35">
      <c r="B214" s="242"/>
    </row>
    <row r="215" spans="2:12" x14ac:dyDescent="0.35">
      <c r="B215" s="242"/>
    </row>
  </sheetData>
  <sheetProtection formatCells="0" formatColumns="0" formatRows="0"/>
  <mergeCells count="33">
    <mergeCell ref="C79:K79"/>
    <mergeCell ref="B1:E1"/>
    <mergeCell ref="B3:E3"/>
    <mergeCell ref="C6:K6"/>
    <mergeCell ref="C7:K7"/>
    <mergeCell ref="C17:K17"/>
    <mergeCell ref="C27:K27"/>
    <mergeCell ref="C37:K37"/>
    <mergeCell ref="C48:K48"/>
    <mergeCell ref="C49:K49"/>
    <mergeCell ref="C59:K59"/>
    <mergeCell ref="C69:K69"/>
    <mergeCell ref="C190:C191"/>
    <mergeCell ref="D190:D191"/>
    <mergeCell ref="G190:G191"/>
    <mergeCell ref="C90:K90"/>
    <mergeCell ref="C91:K91"/>
    <mergeCell ref="C101:K101"/>
    <mergeCell ref="C111:K111"/>
    <mergeCell ref="C121:K121"/>
    <mergeCell ref="C132:K132"/>
    <mergeCell ref="C133:K133"/>
    <mergeCell ref="C143:K143"/>
    <mergeCell ref="C153:K153"/>
    <mergeCell ref="C163:K163"/>
    <mergeCell ref="C189:D189"/>
    <mergeCell ref="C197:H197"/>
    <mergeCell ref="D198:D199"/>
    <mergeCell ref="G198:G199"/>
    <mergeCell ref="H198:H199"/>
    <mergeCell ref="B201:B215"/>
    <mergeCell ref="C207:D207"/>
    <mergeCell ref="C210:D210"/>
  </mergeCells>
  <conditionalFormatting sqref="D206">
    <cfRule type="cellIs" dxfId="41" priority="2" operator="lessThan">
      <formula>0.15</formula>
    </cfRule>
  </conditionalFormatting>
  <conditionalFormatting sqref="D209">
    <cfRule type="cellIs" dxfId="40" priority="1" operator="lessThan">
      <formula>0.05</formula>
    </cfRule>
  </conditionalFormatting>
  <dataValidations count="6">
    <dataValidation allowBlank="1" showInputMessage="1" showErrorMessage="1" prompt="% Towards Gender Equality and Women's Empowerment Must be Higher than 15%_x000a_" sqref="D206:G206" xr:uid="{C8B139FD-F05B-4677-A807-27CBBD8F5BB6}"/>
    <dataValidation allowBlank="1" showInputMessage="1" showErrorMessage="1" prompt="M&amp;E Budget Cannot be Less than 5%_x000a_" sqref="D209:G209" xr:uid="{E9DEA25F-AE89-4A62-A123-4AFE09D3E157}"/>
    <dataValidation allowBlank="1" showInputMessage="1" showErrorMessage="1" prompt="Insert *text* description of Outcome here" sqref="C6:K6 C48:K48 C90:K90 C132:K132" xr:uid="{FDCFD2C4-B141-442D-ADB9-961EF76F6207}"/>
    <dataValidation allowBlank="1" showInputMessage="1" showErrorMessage="1" prompt="Insert *text* description of Output here" sqref="C7 C17 C27 C37 C49 C59 C69 C79 C91 C101 C111 C121 C133 C143 C153 C163" xr:uid="{BBA85B20-5CF4-48E5-815C-FB1A17056F1D}"/>
    <dataValidation allowBlank="1" showInputMessage="1" showErrorMessage="1" prompt="Insert *text* description of Activity here" sqref="C8 C18 C28 C38 C50 C60 C70 C80 C92 C102 C112 C122 C134 C144 C154 C164" xr:uid="{585037DA-B7BA-4158-90A7-D6BB2EB1847F}"/>
    <dataValidation allowBlank="1" showErrorMessage="1" prompt="% Towards Gender Equality and Women's Empowerment Must be Higher than 15%_x000a_" sqref="D208:G208" xr:uid="{5C3EDE10-C6A9-4797-99DD-C1F9E73A37F7}"/>
  </dataValidations>
  <pageMargins left="0.7" right="0.7" top="0.75" bottom="0.75" header="0.3" footer="0.3"/>
  <pageSetup scale="47" fitToHeight="0"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AEF50-07E9-4556-94AA-CAB63ECF5CE4}">
  <sheetPr>
    <tabColor theme="9" tint="-0.499984740745262"/>
    <pageSetUpPr fitToPage="1"/>
  </sheetPr>
  <dimension ref="B1:N249"/>
  <sheetViews>
    <sheetView showGridLines="0" showZeros="0" topLeftCell="A203" zoomScale="80" zoomScaleNormal="80" workbookViewId="0">
      <selection activeCell="D210" sqref="D210"/>
    </sheetView>
  </sheetViews>
  <sheetFormatPr baseColWidth="10" defaultColWidth="9.1796875" defaultRowHeight="15.5" x14ac:dyDescent="0.35"/>
  <cols>
    <col min="1" max="1" width="4.453125" style="117" customWidth="1"/>
    <col min="2" max="2" width="3.26953125" style="117" customWidth="1"/>
    <col min="3" max="3" width="51.453125" style="117" customWidth="1"/>
    <col min="4" max="4" width="34.26953125" style="118" customWidth="1"/>
    <col min="5" max="5" width="35" style="118" customWidth="1"/>
    <col min="6" max="6" width="34" style="118" customWidth="1"/>
    <col min="7" max="7" width="25.7265625" style="117" customWidth="1"/>
    <col min="8" max="8" width="21.453125" style="117" customWidth="1"/>
    <col min="9" max="9" width="16.81640625" style="117" customWidth="1"/>
    <col min="10" max="10" width="19.453125" style="117" customWidth="1"/>
    <col min="11" max="11" width="19" style="117" customWidth="1"/>
    <col min="12" max="12" width="26" style="117" customWidth="1"/>
    <col min="13" max="13" width="21.1796875" style="117" customWidth="1"/>
    <col min="14" max="14" width="7" style="117" customWidth="1"/>
    <col min="15" max="15" width="24.26953125" style="117" customWidth="1"/>
    <col min="16" max="16" width="26.453125" style="117" customWidth="1"/>
    <col min="17" max="17" width="30.1796875" style="117" customWidth="1"/>
    <col min="18" max="18" width="33" style="117" customWidth="1"/>
    <col min="19" max="20" width="22.7265625" style="117" customWidth="1"/>
    <col min="21" max="21" width="23.453125" style="117" customWidth="1"/>
    <col min="22" max="22" width="32.1796875" style="117" customWidth="1"/>
    <col min="23" max="23" width="9.1796875" style="117"/>
    <col min="24" max="24" width="17.7265625" style="117" customWidth="1"/>
    <col min="25" max="25" width="26.453125" style="117" customWidth="1"/>
    <col min="26" max="26" width="22.453125" style="117" customWidth="1"/>
    <col min="27" max="27" width="29.7265625" style="117" customWidth="1"/>
    <col min="28" max="28" width="23.453125" style="117" customWidth="1"/>
    <col min="29" max="29" width="18.453125" style="117" customWidth="1"/>
    <col min="30" max="30" width="17.453125" style="117" customWidth="1"/>
    <col min="31" max="31" width="25.1796875" style="117" customWidth="1"/>
    <col min="32" max="16384" width="9.1796875" style="117"/>
  </cols>
  <sheetData>
    <row r="1" spans="2:13" ht="24" customHeight="1" x14ac:dyDescent="0.35">
      <c r="L1" s="15"/>
      <c r="M1" s="3"/>
    </row>
    <row r="2" spans="2:13" ht="26.25" customHeight="1" x14ac:dyDescent="1">
      <c r="C2" s="231" t="s">
        <v>0</v>
      </c>
      <c r="D2" s="231"/>
      <c r="E2" s="231"/>
      <c r="F2" s="231"/>
      <c r="G2" s="23"/>
      <c r="H2" s="24"/>
      <c r="I2" s="24"/>
      <c r="L2" s="15"/>
      <c r="M2" s="3"/>
    </row>
    <row r="3" spans="2:13" ht="15" customHeight="1" x14ac:dyDescent="0.35">
      <c r="C3" s="89" t="s">
        <v>1</v>
      </c>
      <c r="D3" s="25"/>
      <c r="E3" s="25"/>
      <c r="F3" s="25"/>
      <c r="G3" s="25"/>
      <c r="H3" s="25"/>
      <c r="I3" s="25"/>
      <c r="L3" s="15"/>
      <c r="M3" s="3"/>
    </row>
    <row r="4" spans="2:13" ht="17.25" customHeight="1" x14ac:dyDescent="0.45">
      <c r="C4" s="262" t="s">
        <v>187</v>
      </c>
      <c r="D4" s="262"/>
      <c r="E4" s="262"/>
      <c r="F4" s="25"/>
      <c r="G4" s="25"/>
      <c r="H4" s="25"/>
      <c r="I4" s="25"/>
      <c r="L4" s="15"/>
      <c r="M4" s="3"/>
    </row>
    <row r="5" spans="2:13" ht="13.5" customHeight="1" x14ac:dyDescent="0.35">
      <c r="C5" s="32"/>
      <c r="D5" s="32"/>
      <c r="E5" s="32"/>
      <c r="F5" s="32"/>
      <c r="L5" s="15"/>
      <c r="M5" s="3"/>
    </row>
    <row r="6" spans="2:13" ht="24" customHeight="1" x14ac:dyDescent="0.35">
      <c r="C6" s="32"/>
      <c r="D6" s="16" t="str">
        <f>'1) Budget Tables'!D5</f>
        <v>Recipient Organization</v>
      </c>
      <c r="E6" s="16" t="s">
        <v>188</v>
      </c>
      <c r="F6" s="16" t="s">
        <v>189</v>
      </c>
      <c r="G6" s="104" t="s">
        <v>9</v>
      </c>
      <c r="L6" s="15"/>
      <c r="M6" s="3"/>
    </row>
    <row r="7" spans="2:13" ht="24" customHeight="1" x14ac:dyDescent="0.35">
      <c r="B7" s="277" t="s">
        <v>190</v>
      </c>
      <c r="C7" s="277"/>
      <c r="D7" s="277"/>
      <c r="E7" s="277"/>
      <c r="F7" s="277"/>
      <c r="G7" s="277"/>
      <c r="L7" s="15"/>
      <c r="M7" s="3"/>
    </row>
    <row r="8" spans="2:13" ht="22.5" customHeight="1" x14ac:dyDescent="0.35">
      <c r="C8" s="277" t="s">
        <v>191</v>
      </c>
      <c r="D8" s="277"/>
      <c r="E8" s="277"/>
      <c r="F8" s="277"/>
      <c r="G8" s="277"/>
      <c r="L8" s="15"/>
      <c r="M8" s="3"/>
    </row>
    <row r="9" spans="2:13" ht="24.75" customHeight="1" thickBot="1" x14ac:dyDescent="0.4">
      <c r="C9" s="45" t="s">
        <v>192</v>
      </c>
      <c r="D9" s="46">
        <f>'1) Budget Tables'!D16</f>
        <v>253291.0664864865</v>
      </c>
      <c r="E9" s="46">
        <f>'1) Budget Tables'!E16</f>
        <v>0</v>
      </c>
      <c r="F9" s="46">
        <f>'1) Budget Tables'!F16</f>
        <v>0</v>
      </c>
      <c r="G9" s="47">
        <f>SUM(D9:F9)</f>
        <v>253291.0664864865</v>
      </c>
      <c r="L9" s="15"/>
      <c r="M9" s="3"/>
    </row>
    <row r="10" spans="2:13" ht="21.75" customHeight="1" x14ac:dyDescent="0.35">
      <c r="C10" s="43" t="s">
        <v>193</v>
      </c>
      <c r="D10" s="139">
        <v>26749.699459459458</v>
      </c>
      <c r="E10" s="140"/>
      <c r="F10" s="140"/>
      <c r="G10" s="44">
        <f t="shared" ref="G10:G17" si="0">SUM(D10:F10)</f>
        <v>26749.699459459458</v>
      </c>
    </row>
    <row r="11" spans="2:13" x14ac:dyDescent="0.35">
      <c r="C11" s="35" t="s">
        <v>194</v>
      </c>
      <c r="D11" s="141">
        <v>30405.405405405407</v>
      </c>
      <c r="E11" s="116"/>
      <c r="F11" s="116"/>
      <c r="G11" s="42">
        <f t="shared" si="0"/>
        <v>30405.405405405407</v>
      </c>
    </row>
    <row r="12" spans="2:13" ht="15.75" customHeight="1" x14ac:dyDescent="0.35">
      <c r="C12" s="35" t="s">
        <v>195</v>
      </c>
      <c r="D12" s="141">
        <v>41243.24324324324</v>
      </c>
      <c r="E12" s="141"/>
      <c r="F12" s="141"/>
      <c r="G12" s="42">
        <f t="shared" si="0"/>
        <v>41243.24324324324</v>
      </c>
    </row>
    <row r="13" spans="2:13" x14ac:dyDescent="0.35">
      <c r="C13" s="36" t="s">
        <v>196</v>
      </c>
      <c r="D13" s="141">
        <v>38323.718918918916</v>
      </c>
      <c r="E13" s="141"/>
      <c r="F13" s="141"/>
      <c r="G13" s="42">
        <f t="shared" si="0"/>
        <v>38323.718918918916</v>
      </c>
    </row>
    <row r="14" spans="2:13" x14ac:dyDescent="0.35">
      <c r="C14" s="35" t="s">
        <v>197</v>
      </c>
      <c r="D14" s="141">
        <v>7739.9324324324325</v>
      </c>
      <c r="E14" s="141"/>
      <c r="F14" s="141"/>
      <c r="G14" s="42">
        <f t="shared" si="0"/>
        <v>7739.9324324324325</v>
      </c>
    </row>
    <row r="15" spans="2:13" ht="21.75" customHeight="1" x14ac:dyDescent="0.35">
      <c r="C15" s="35" t="s">
        <v>198</v>
      </c>
      <c r="D15" s="141">
        <v>37802.04</v>
      </c>
      <c r="E15" s="141"/>
      <c r="F15" s="141"/>
      <c r="G15" s="42">
        <f t="shared" si="0"/>
        <v>37802.04</v>
      </c>
    </row>
    <row r="16" spans="2:13" ht="21.75" customHeight="1" x14ac:dyDescent="0.35">
      <c r="C16" s="35" t="s">
        <v>199</v>
      </c>
      <c r="D16" s="141">
        <v>71027.027027027041</v>
      </c>
      <c r="E16" s="141"/>
      <c r="F16" s="141"/>
      <c r="G16" s="42">
        <f t="shared" si="0"/>
        <v>71027.027027027041</v>
      </c>
    </row>
    <row r="17" spans="3:7" ht="15.75" customHeight="1" x14ac:dyDescent="0.35">
      <c r="C17" s="38" t="s">
        <v>200</v>
      </c>
      <c r="D17" s="48">
        <f>SUM(D10:D16)</f>
        <v>253291.0664864865</v>
      </c>
      <c r="E17" s="48">
        <f>SUM(E10:E16)</f>
        <v>0</v>
      </c>
      <c r="F17" s="48">
        <f t="shared" ref="F17" si="1">SUM(F10:F16)</f>
        <v>0</v>
      </c>
      <c r="G17" s="75">
        <f t="shared" si="0"/>
        <v>253291.0664864865</v>
      </c>
    </row>
    <row r="18" spans="3:7" s="118" customFormat="1" x14ac:dyDescent="0.35">
      <c r="C18" s="49"/>
      <c r="D18" s="50"/>
      <c r="E18" s="50"/>
      <c r="F18" s="50"/>
      <c r="G18" s="76"/>
    </row>
    <row r="19" spans="3:7" x14ac:dyDescent="0.35">
      <c r="C19" s="277" t="s">
        <v>201</v>
      </c>
      <c r="D19" s="277"/>
      <c r="E19" s="277"/>
      <c r="F19" s="277"/>
      <c r="G19" s="277"/>
    </row>
    <row r="20" spans="3:7" ht="27" customHeight="1" thickBot="1" x14ac:dyDescent="0.4">
      <c r="C20" s="45" t="s">
        <v>192</v>
      </c>
      <c r="D20" s="46">
        <f>'1) Budget Tables'!D26</f>
        <v>170473.7872972973</v>
      </c>
      <c r="E20" s="46">
        <f>'1) Budget Tables'!E26</f>
        <v>0</v>
      </c>
      <c r="F20" s="46">
        <f>'1) Budget Tables'!F26</f>
        <v>0</v>
      </c>
      <c r="G20" s="47">
        <f t="shared" ref="G20:G28" si="2">SUM(D20:F20)</f>
        <v>170473.7872972973</v>
      </c>
    </row>
    <row r="21" spans="3:7" x14ac:dyDescent="0.35">
      <c r="C21" s="43" t="s">
        <v>193</v>
      </c>
      <c r="D21" s="139">
        <v>16115.615135135136</v>
      </c>
      <c r="E21" s="140"/>
      <c r="F21" s="140"/>
      <c r="G21" s="44">
        <f t="shared" si="2"/>
        <v>16115.615135135136</v>
      </c>
    </row>
    <row r="22" spans="3:7" x14ac:dyDescent="0.35">
      <c r="C22" s="35" t="s">
        <v>194</v>
      </c>
      <c r="D22" s="141">
        <v>810.81081081081084</v>
      </c>
      <c r="E22" s="116"/>
      <c r="F22" s="116"/>
      <c r="G22" s="42">
        <f t="shared" si="2"/>
        <v>810.81081081081084</v>
      </c>
    </row>
    <row r="23" spans="3:7" ht="31" x14ac:dyDescent="0.35">
      <c r="C23" s="35" t="s">
        <v>195</v>
      </c>
      <c r="D23" s="141">
        <v>0</v>
      </c>
      <c r="E23" s="141"/>
      <c r="F23" s="141"/>
      <c r="G23" s="42">
        <f t="shared" si="2"/>
        <v>0</v>
      </c>
    </row>
    <row r="24" spans="3:7" x14ac:dyDescent="0.35">
      <c r="C24" s="36" t="s">
        <v>196</v>
      </c>
      <c r="D24" s="141">
        <v>5405.405405405405</v>
      </c>
      <c r="E24" s="141"/>
      <c r="F24" s="141"/>
      <c r="G24" s="42">
        <f t="shared" si="2"/>
        <v>5405.405405405405</v>
      </c>
    </row>
    <row r="25" spans="3:7" x14ac:dyDescent="0.35">
      <c r="C25" s="35" t="s">
        <v>197</v>
      </c>
      <c r="D25" s="141">
        <v>2746.7905405405404</v>
      </c>
      <c r="E25" s="141"/>
      <c r="F25" s="141"/>
      <c r="G25" s="42">
        <f t="shared" si="2"/>
        <v>2746.7905405405404</v>
      </c>
    </row>
    <row r="26" spans="3:7" x14ac:dyDescent="0.35">
      <c r="C26" s="35" t="s">
        <v>198</v>
      </c>
      <c r="D26" s="141">
        <v>144989.76000000001</v>
      </c>
      <c r="E26" s="141"/>
      <c r="F26" s="141"/>
      <c r="G26" s="42">
        <f t="shared" si="2"/>
        <v>144989.76000000001</v>
      </c>
    </row>
    <row r="27" spans="3:7" x14ac:dyDescent="0.35">
      <c r="C27" s="35" t="s">
        <v>199</v>
      </c>
      <c r="D27" s="141">
        <v>405.40540540540542</v>
      </c>
      <c r="E27" s="141"/>
      <c r="F27" s="141"/>
      <c r="G27" s="42">
        <f t="shared" si="2"/>
        <v>405.40540540540542</v>
      </c>
    </row>
    <row r="28" spans="3:7" x14ac:dyDescent="0.35">
      <c r="C28" s="38" t="s">
        <v>200</v>
      </c>
      <c r="D28" s="48">
        <f t="shared" ref="D28:F28" si="3">SUM(D21:D27)</f>
        <v>170473.7872972973</v>
      </c>
      <c r="E28" s="48">
        <f t="shared" si="3"/>
        <v>0</v>
      </c>
      <c r="F28" s="48">
        <f t="shared" si="3"/>
        <v>0</v>
      </c>
      <c r="G28" s="42">
        <f t="shared" si="2"/>
        <v>170473.7872972973</v>
      </c>
    </row>
    <row r="29" spans="3:7" s="118" customFormat="1" x14ac:dyDescent="0.35">
      <c r="C29" s="49"/>
      <c r="D29" s="50"/>
      <c r="E29" s="50"/>
      <c r="F29" s="50"/>
      <c r="G29" s="51"/>
    </row>
    <row r="30" spans="3:7" x14ac:dyDescent="0.35">
      <c r="C30" s="271" t="s">
        <v>202</v>
      </c>
      <c r="D30" s="272"/>
      <c r="E30" s="272"/>
      <c r="F30" s="272"/>
      <c r="G30" s="273"/>
    </row>
    <row r="31" spans="3:7" ht="21.75" customHeight="1" thickBot="1" x14ac:dyDescent="0.4">
      <c r="C31" s="45" t="s">
        <v>192</v>
      </c>
      <c r="D31" s="46">
        <f>'1) Budget Tables'!D36</f>
        <v>269064.42648648645</v>
      </c>
      <c r="E31" s="46">
        <f>'1) Budget Tables'!E36</f>
        <v>0</v>
      </c>
      <c r="F31" s="46">
        <f>'1) Budget Tables'!F36</f>
        <v>0</v>
      </c>
      <c r="G31" s="47">
        <f t="shared" ref="G31:G39" si="4">SUM(D31:F31)</f>
        <v>269064.42648648645</v>
      </c>
    </row>
    <row r="32" spans="3:7" x14ac:dyDescent="0.35">
      <c r="C32" s="43" t="s">
        <v>193</v>
      </c>
      <c r="D32" s="139">
        <v>66342.330810810818</v>
      </c>
      <c r="E32" s="140"/>
      <c r="F32" s="140"/>
      <c r="G32" s="44">
        <f t="shared" si="4"/>
        <v>66342.330810810818</v>
      </c>
    </row>
    <row r="33" spans="3:7" s="118" customFormat="1" ht="15.75" customHeight="1" x14ac:dyDescent="0.35">
      <c r="C33" s="35" t="s">
        <v>194</v>
      </c>
      <c r="D33" s="141">
        <v>43762.162162162167</v>
      </c>
      <c r="E33" s="116"/>
      <c r="F33" s="116"/>
      <c r="G33" s="42">
        <f t="shared" si="4"/>
        <v>43762.162162162167</v>
      </c>
    </row>
    <row r="34" spans="3:7" s="118" customFormat="1" ht="31" x14ac:dyDescent="0.35">
      <c r="C34" s="35" t="s">
        <v>195</v>
      </c>
      <c r="D34" s="141">
        <v>0</v>
      </c>
      <c r="E34" s="141"/>
      <c r="F34" s="141"/>
      <c r="G34" s="42">
        <f t="shared" si="4"/>
        <v>0</v>
      </c>
    </row>
    <row r="35" spans="3:7" s="118" customFormat="1" x14ac:dyDescent="0.35">
      <c r="C35" s="36" t="s">
        <v>196</v>
      </c>
      <c r="D35" s="141">
        <v>30658.975135135141</v>
      </c>
      <c r="E35" s="141"/>
      <c r="F35" s="141"/>
      <c r="G35" s="42">
        <f t="shared" si="4"/>
        <v>30658.975135135141</v>
      </c>
    </row>
    <row r="36" spans="3:7" x14ac:dyDescent="0.35">
      <c r="C36" s="35" t="s">
        <v>197</v>
      </c>
      <c r="D36" s="141">
        <v>7331.3513513513508</v>
      </c>
      <c r="E36" s="141"/>
      <c r="F36" s="141"/>
      <c r="G36" s="42">
        <f t="shared" si="4"/>
        <v>7331.3513513513508</v>
      </c>
    </row>
    <row r="37" spans="3:7" x14ac:dyDescent="0.35">
      <c r="C37" s="35" t="s">
        <v>198</v>
      </c>
      <c r="D37" s="141">
        <v>118942.57999999999</v>
      </c>
      <c r="E37" s="141"/>
      <c r="F37" s="141"/>
      <c r="G37" s="42">
        <f t="shared" si="4"/>
        <v>118942.57999999999</v>
      </c>
    </row>
    <row r="38" spans="3:7" x14ac:dyDescent="0.35">
      <c r="C38" s="35" t="s">
        <v>199</v>
      </c>
      <c r="D38" s="141">
        <v>2027.02702702693</v>
      </c>
      <c r="E38" s="141"/>
      <c r="F38" s="141"/>
      <c r="G38" s="42">
        <f t="shared" si="4"/>
        <v>2027.02702702693</v>
      </c>
    </row>
    <row r="39" spans="3:7" x14ac:dyDescent="0.35">
      <c r="C39" s="38" t="s">
        <v>200</v>
      </c>
      <c r="D39" s="48">
        <f t="shared" ref="D39:F39" si="5">SUM(D32:D38)</f>
        <v>269064.42648648639</v>
      </c>
      <c r="E39" s="48">
        <f t="shared" si="5"/>
        <v>0</v>
      </c>
      <c r="F39" s="48">
        <f t="shared" si="5"/>
        <v>0</v>
      </c>
      <c r="G39" s="42">
        <f t="shared" si="4"/>
        <v>269064.42648648639</v>
      </c>
    </row>
    <row r="40" spans="3:7" s="118" customFormat="1" x14ac:dyDescent="0.35">
      <c r="C40" s="49"/>
      <c r="D40" s="50"/>
      <c r="E40" s="50"/>
      <c r="F40" s="50"/>
      <c r="G40" s="181"/>
    </row>
    <row r="41" spans="3:7" x14ac:dyDescent="0.35">
      <c r="C41" s="271" t="s">
        <v>203</v>
      </c>
      <c r="D41" s="272"/>
      <c r="E41" s="272"/>
      <c r="F41" s="272"/>
      <c r="G41" s="273"/>
    </row>
    <row r="42" spans="3:7" ht="20.25" customHeight="1" thickBot="1" x14ac:dyDescent="0.4">
      <c r="C42" s="45" t="s">
        <v>192</v>
      </c>
      <c r="D42" s="46">
        <f>'1) Budget Tables'!D46</f>
        <v>0</v>
      </c>
      <c r="E42" s="46">
        <f>'1) Budget Tables'!E46</f>
        <v>0</v>
      </c>
      <c r="F42" s="46">
        <f>'1) Budget Tables'!F46</f>
        <v>0</v>
      </c>
      <c r="G42" s="47">
        <f t="shared" ref="G42:G50" si="6">SUM(D42:F42)</f>
        <v>0</v>
      </c>
    </row>
    <row r="43" spans="3:7" x14ac:dyDescent="0.35">
      <c r="C43" s="43" t="s">
        <v>193</v>
      </c>
      <c r="D43" s="139"/>
      <c r="E43" s="140"/>
      <c r="F43" s="140"/>
      <c r="G43" s="44">
        <f t="shared" si="6"/>
        <v>0</v>
      </c>
    </row>
    <row r="44" spans="3:7" ht="15.75" customHeight="1" x14ac:dyDescent="0.35">
      <c r="C44" s="35" t="s">
        <v>194</v>
      </c>
      <c r="D44" s="141"/>
      <c r="E44" s="116"/>
      <c r="F44" s="116"/>
      <c r="G44" s="42">
        <f t="shared" si="6"/>
        <v>0</v>
      </c>
    </row>
    <row r="45" spans="3:7" ht="32.25" customHeight="1" x14ac:dyDescent="0.35">
      <c r="C45" s="35" t="s">
        <v>195</v>
      </c>
      <c r="D45" s="141"/>
      <c r="E45" s="141"/>
      <c r="F45" s="141"/>
      <c r="G45" s="42">
        <f t="shared" si="6"/>
        <v>0</v>
      </c>
    </row>
    <row r="46" spans="3:7" s="118" customFormat="1" x14ac:dyDescent="0.35">
      <c r="C46" s="36" t="s">
        <v>196</v>
      </c>
      <c r="D46" s="141"/>
      <c r="E46" s="141"/>
      <c r="F46" s="141"/>
      <c r="G46" s="42">
        <f t="shared" si="6"/>
        <v>0</v>
      </c>
    </row>
    <row r="47" spans="3:7" x14ac:dyDescent="0.35">
      <c r="C47" s="35" t="s">
        <v>197</v>
      </c>
      <c r="D47" s="141"/>
      <c r="E47" s="141"/>
      <c r="F47" s="141"/>
      <c r="G47" s="42">
        <f t="shared" si="6"/>
        <v>0</v>
      </c>
    </row>
    <row r="48" spans="3:7" x14ac:dyDescent="0.35">
      <c r="C48" s="35" t="s">
        <v>198</v>
      </c>
      <c r="D48" s="141"/>
      <c r="E48" s="141"/>
      <c r="F48" s="141"/>
      <c r="G48" s="42">
        <f t="shared" si="6"/>
        <v>0</v>
      </c>
    </row>
    <row r="49" spans="2:7" x14ac:dyDescent="0.35">
      <c r="C49" s="35" t="s">
        <v>199</v>
      </c>
      <c r="D49" s="141"/>
      <c r="E49" s="141"/>
      <c r="F49" s="141"/>
      <c r="G49" s="42">
        <f t="shared" si="6"/>
        <v>0</v>
      </c>
    </row>
    <row r="50" spans="2:7" ht="21" customHeight="1" x14ac:dyDescent="0.35">
      <c r="C50" s="38" t="s">
        <v>200</v>
      </c>
      <c r="D50" s="48">
        <f t="shared" ref="D50:F50" si="7">SUM(D43:D49)</f>
        <v>0</v>
      </c>
      <c r="E50" s="48">
        <f t="shared" si="7"/>
        <v>0</v>
      </c>
      <c r="F50" s="48">
        <f t="shared" si="7"/>
        <v>0</v>
      </c>
      <c r="G50" s="42">
        <f t="shared" si="6"/>
        <v>0</v>
      </c>
    </row>
    <row r="51" spans="2:7" s="118" customFormat="1" ht="22.5" customHeight="1" x14ac:dyDescent="0.35">
      <c r="C51" s="52"/>
      <c r="D51" s="50"/>
      <c r="E51" s="50"/>
      <c r="F51" s="50"/>
      <c r="G51" s="51"/>
    </row>
    <row r="52" spans="2:7" x14ac:dyDescent="0.35">
      <c r="B52" s="271" t="s">
        <v>204</v>
      </c>
      <c r="C52" s="272"/>
      <c r="D52" s="272"/>
      <c r="E52" s="272"/>
      <c r="F52" s="272"/>
      <c r="G52" s="273"/>
    </row>
    <row r="53" spans="2:7" x14ac:dyDescent="0.35">
      <c r="C53" s="271" t="s">
        <v>205</v>
      </c>
      <c r="D53" s="272"/>
      <c r="E53" s="272"/>
      <c r="F53" s="272"/>
      <c r="G53" s="273"/>
    </row>
    <row r="54" spans="2:7" ht="24" customHeight="1" thickBot="1" x14ac:dyDescent="0.4">
      <c r="C54" s="45" t="s">
        <v>192</v>
      </c>
      <c r="D54" s="46">
        <f>'1) Budget Tables'!D58</f>
        <v>61319.753513513504</v>
      </c>
      <c r="E54" s="46">
        <f>'1) Budget Tables'!E58</f>
        <v>0</v>
      </c>
      <c r="F54" s="46">
        <f>'1) Budget Tables'!F58</f>
        <v>0</v>
      </c>
      <c r="G54" s="47">
        <f>SUM(D54:F54)</f>
        <v>61319.753513513504</v>
      </c>
    </row>
    <row r="55" spans="2:7" ht="15.75" customHeight="1" x14ac:dyDescent="0.35">
      <c r="C55" s="43" t="s">
        <v>193</v>
      </c>
      <c r="D55" s="139">
        <v>20097.52216216216</v>
      </c>
      <c r="E55" s="140"/>
      <c r="F55" s="140"/>
      <c r="G55" s="44">
        <f t="shared" ref="G55:G62" si="8">SUM(D55:F55)</f>
        <v>20097.52216216216</v>
      </c>
    </row>
    <row r="56" spans="2:7" ht="15.75" customHeight="1" x14ac:dyDescent="0.35">
      <c r="C56" s="35" t="s">
        <v>194</v>
      </c>
      <c r="D56" s="141">
        <v>7709.45945945946</v>
      </c>
      <c r="E56" s="116"/>
      <c r="F56" s="116"/>
      <c r="G56" s="42">
        <f t="shared" si="8"/>
        <v>7709.45945945946</v>
      </c>
    </row>
    <row r="57" spans="2:7" ht="15.75" customHeight="1" x14ac:dyDescent="0.35">
      <c r="C57" s="35" t="s">
        <v>195</v>
      </c>
      <c r="D57" s="141">
        <v>2702.7027027027025</v>
      </c>
      <c r="E57" s="141"/>
      <c r="F57" s="141"/>
      <c r="G57" s="42">
        <f t="shared" si="8"/>
        <v>2702.7027027027025</v>
      </c>
    </row>
    <row r="58" spans="2:7" ht="18.75" customHeight="1" x14ac:dyDescent="0.35">
      <c r="C58" s="36" t="s">
        <v>196</v>
      </c>
      <c r="D58" s="141">
        <v>5405.405405405405</v>
      </c>
      <c r="E58" s="141"/>
      <c r="F58" s="141"/>
      <c r="G58" s="42">
        <f t="shared" si="8"/>
        <v>5405.405405405405</v>
      </c>
    </row>
    <row r="59" spans="2:7" x14ac:dyDescent="0.35">
      <c r="C59" s="35" t="s">
        <v>197</v>
      </c>
      <c r="D59" s="141">
        <v>3868.5135135135133</v>
      </c>
      <c r="E59" s="141"/>
      <c r="F59" s="141"/>
      <c r="G59" s="42">
        <f t="shared" si="8"/>
        <v>3868.5135135135133</v>
      </c>
    </row>
    <row r="60" spans="2:7" s="118" customFormat="1" ht="21.75" customHeight="1" x14ac:dyDescent="0.35">
      <c r="B60" s="117"/>
      <c r="C60" s="35" t="s">
        <v>198</v>
      </c>
      <c r="D60" s="141">
        <v>21265.879999999997</v>
      </c>
      <c r="E60" s="141"/>
      <c r="F60" s="141"/>
      <c r="G60" s="42">
        <f t="shared" si="8"/>
        <v>21265.879999999997</v>
      </c>
    </row>
    <row r="61" spans="2:7" s="118" customFormat="1" x14ac:dyDescent="0.35">
      <c r="B61" s="117"/>
      <c r="C61" s="35" t="s">
        <v>199</v>
      </c>
      <c r="D61" s="141">
        <v>270.27027027027026</v>
      </c>
      <c r="E61" s="141"/>
      <c r="F61" s="141"/>
      <c r="G61" s="42">
        <f t="shared" si="8"/>
        <v>270.27027027027026</v>
      </c>
    </row>
    <row r="62" spans="2:7" x14ac:dyDescent="0.35">
      <c r="C62" s="38" t="s">
        <v>200</v>
      </c>
      <c r="D62" s="48">
        <f>SUM(D55:D61)</f>
        <v>61319.753513513511</v>
      </c>
      <c r="E62" s="48">
        <f>SUM(E55:E61)</f>
        <v>0</v>
      </c>
      <c r="F62" s="48">
        <f t="shared" ref="F62" si="9">SUM(F55:F61)</f>
        <v>0</v>
      </c>
      <c r="G62" s="42">
        <f t="shared" si="8"/>
        <v>61319.753513513511</v>
      </c>
    </row>
    <row r="63" spans="2:7" s="118" customFormat="1" x14ac:dyDescent="0.35">
      <c r="C63" s="49"/>
      <c r="D63" s="50"/>
      <c r="E63" s="50"/>
      <c r="F63" s="50"/>
      <c r="G63" s="51"/>
    </row>
    <row r="64" spans="2:7" x14ac:dyDescent="0.35">
      <c r="B64" s="118"/>
      <c r="C64" s="271" t="s">
        <v>62</v>
      </c>
      <c r="D64" s="272"/>
      <c r="E64" s="272"/>
      <c r="F64" s="272"/>
      <c r="G64" s="273"/>
    </row>
    <row r="65" spans="2:7" ht="21.75" customHeight="1" thickBot="1" x14ac:dyDescent="0.4">
      <c r="C65" s="45" t="s">
        <v>192</v>
      </c>
      <c r="D65" s="46">
        <f>'1) Budget Tables'!D68</f>
        <v>100056.65783783783</v>
      </c>
      <c r="E65" s="46">
        <f>'1) Budget Tables'!E68</f>
        <v>0</v>
      </c>
      <c r="F65" s="46">
        <f>'1) Budget Tables'!F68</f>
        <v>0</v>
      </c>
      <c r="G65" s="47">
        <f t="shared" ref="G65:G73" si="10">SUM(D65:F65)</f>
        <v>100056.65783783783</v>
      </c>
    </row>
    <row r="66" spans="2:7" ht="15.75" customHeight="1" x14ac:dyDescent="0.35">
      <c r="C66" s="43" t="s">
        <v>193</v>
      </c>
      <c r="D66" s="139">
        <v>16918.832432432431</v>
      </c>
      <c r="E66" s="140"/>
      <c r="F66" s="140"/>
      <c r="G66" s="44">
        <f t="shared" si="10"/>
        <v>16918.832432432431</v>
      </c>
    </row>
    <row r="67" spans="2:7" ht="15.75" customHeight="1" x14ac:dyDescent="0.35">
      <c r="C67" s="35" t="s">
        <v>194</v>
      </c>
      <c r="D67" s="141">
        <v>810.81081081081084</v>
      </c>
      <c r="E67" s="116"/>
      <c r="F67" s="116"/>
      <c r="G67" s="42">
        <f t="shared" si="10"/>
        <v>810.81081081081084</v>
      </c>
    </row>
    <row r="68" spans="2:7" ht="15.75" customHeight="1" x14ac:dyDescent="0.35">
      <c r="C68" s="35" t="s">
        <v>195</v>
      </c>
      <c r="D68" s="141">
        <v>0</v>
      </c>
      <c r="E68" s="141"/>
      <c r="F68" s="141"/>
      <c r="G68" s="42">
        <f t="shared" si="10"/>
        <v>0</v>
      </c>
    </row>
    <row r="69" spans="2:7" x14ac:dyDescent="0.35">
      <c r="C69" s="36" t="s">
        <v>196</v>
      </c>
      <c r="D69" s="141">
        <v>0</v>
      </c>
      <c r="E69" s="141"/>
      <c r="F69" s="141"/>
      <c r="G69" s="42">
        <f t="shared" si="10"/>
        <v>0</v>
      </c>
    </row>
    <row r="70" spans="2:7" x14ac:dyDescent="0.35">
      <c r="C70" s="35" t="s">
        <v>197</v>
      </c>
      <c r="D70" s="141">
        <v>486.48648648648651</v>
      </c>
      <c r="E70" s="141"/>
      <c r="F70" s="141"/>
      <c r="G70" s="42">
        <f t="shared" si="10"/>
        <v>486.48648648648651</v>
      </c>
    </row>
    <row r="71" spans="2:7" x14ac:dyDescent="0.35">
      <c r="C71" s="35" t="s">
        <v>198</v>
      </c>
      <c r="D71" s="141">
        <v>81232.42</v>
      </c>
      <c r="E71" s="141"/>
      <c r="F71" s="141"/>
      <c r="G71" s="42">
        <f t="shared" si="10"/>
        <v>81232.42</v>
      </c>
    </row>
    <row r="72" spans="2:7" x14ac:dyDescent="0.35">
      <c r="C72" s="35" t="s">
        <v>199</v>
      </c>
      <c r="D72" s="141">
        <v>608.10810810810813</v>
      </c>
      <c r="E72" s="141"/>
      <c r="F72" s="141"/>
      <c r="G72" s="42">
        <f t="shared" si="10"/>
        <v>608.10810810810813</v>
      </c>
    </row>
    <row r="73" spans="2:7" x14ac:dyDescent="0.35">
      <c r="C73" s="38" t="s">
        <v>200</v>
      </c>
      <c r="D73" s="48">
        <f t="shared" ref="D73:F73" si="11">SUM(D66:D72)</f>
        <v>100056.65783783783</v>
      </c>
      <c r="E73" s="48">
        <f t="shared" si="11"/>
        <v>0</v>
      </c>
      <c r="F73" s="48">
        <f t="shared" si="11"/>
        <v>0</v>
      </c>
      <c r="G73" s="42">
        <f t="shared" si="10"/>
        <v>100056.65783783783</v>
      </c>
    </row>
    <row r="74" spans="2:7" s="118" customFormat="1" x14ac:dyDescent="0.35">
      <c r="C74" s="49"/>
      <c r="D74" s="50"/>
      <c r="E74" s="50"/>
      <c r="F74" s="50"/>
      <c r="G74" s="51"/>
    </row>
    <row r="75" spans="2:7" x14ac:dyDescent="0.35">
      <c r="C75" s="271" t="s">
        <v>71</v>
      </c>
      <c r="D75" s="272"/>
      <c r="E75" s="272"/>
      <c r="F75" s="272"/>
      <c r="G75" s="273"/>
    </row>
    <row r="76" spans="2:7" ht="21.75" customHeight="1" thickBot="1" x14ac:dyDescent="0.4">
      <c r="B76" s="118"/>
      <c r="C76" s="45" t="s">
        <v>192</v>
      </c>
      <c r="D76" s="46">
        <f>'1) Budget Tables'!D78</f>
        <v>97455.377702702695</v>
      </c>
      <c r="E76" s="46">
        <f>'1) Budget Tables'!E78</f>
        <v>0</v>
      </c>
      <c r="F76" s="46">
        <f>'1) Budget Tables'!F78</f>
        <v>0</v>
      </c>
      <c r="G76" s="47">
        <f t="shared" ref="G76:G84" si="12">SUM(D76:F76)</f>
        <v>97455.377702702695</v>
      </c>
    </row>
    <row r="77" spans="2:7" ht="18" customHeight="1" x14ac:dyDescent="0.35">
      <c r="C77" s="43" t="s">
        <v>193</v>
      </c>
      <c r="D77" s="139">
        <v>3178.6897297297301</v>
      </c>
      <c r="E77" s="140"/>
      <c r="F77" s="140"/>
      <c r="G77" s="44">
        <f t="shared" si="12"/>
        <v>3178.6897297297301</v>
      </c>
    </row>
    <row r="78" spans="2:7" ht="15.75" customHeight="1" x14ac:dyDescent="0.35">
      <c r="C78" s="35" t="s">
        <v>194</v>
      </c>
      <c r="D78" s="141">
        <v>18648.64864864865</v>
      </c>
      <c r="E78" s="116"/>
      <c r="F78" s="116"/>
      <c r="G78" s="42">
        <f t="shared" si="12"/>
        <v>18648.64864864865</v>
      </c>
    </row>
    <row r="79" spans="2:7" s="118" customFormat="1" ht="15.75" customHeight="1" x14ac:dyDescent="0.35">
      <c r="B79" s="117"/>
      <c r="C79" s="35" t="s">
        <v>195</v>
      </c>
      <c r="D79" s="141">
        <v>0</v>
      </c>
      <c r="E79" s="141"/>
      <c r="F79" s="141"/>
      <c r="G79" s="42">
        <f t="shared" si="12"/>
        <v>0</v>
      </c>
    </row>
    <row r="80" spans="2:7" x14ac:dyDescent="0.35">
      <c r="B80" s="118"/>
      <c r="C80" s="36" t="s">
        <v>196</v>
      </c>
      <c r="D80" s="141">
        <v>14210.75027027027</v>
      </c>
      <c r="E80" s="141"/>
      <c r="F80" s="141"/>
      <c r="G80" s="42">
        <f t="shared" si="12"/>
        <v>14210.75027027027</v>
      </c>
    </row>
    <row r="81" spans="2:7" x14ac:dyDescent="0.35">
      <c r="B81" s="118"/>
      <c r="C81" s="35" t="s">
        <v>197</v>
      </c>
      <c r="D81" s="141">
        <v>2810.9290540540537</v>
      </c>
      <c r="E81" s="141"/>
      <c r="F81" s="141"/>
      <c r="G81" s="42">
        <f t="shared" si="12"/>
        <v>2810.9290540540537</v>
      </c>
    </row>
    <row r="82" spans="2:7" x14ac:dyDescent="0.35">
      <c r="B82" s="118"/>
      <c r="C82" s="35" t="s">
        <v>198</v>
      </c>
      <c r="D82" s="141">
        <v>58606.36</v>
      </c>
      <c r="E82" s="141"/>
      <c r="F82" s="141"/>
      <c r="G82" s="42">
        <f t="shared" si="12"/>
        <v>58606.36</v>
      </c>
    </row>
    <row r="83" spans="2:7" x14ac:dyDescent="0.35">
      <c r="C83" s="35" t="s">
        <v>199</v>
      </c>
      <c r="D83" s="141">
        <v>0</v>
      </c>
      <c r="E83" s="141"/>
      <c r="F83" s="141"/>
      <c r="G83" s="42">
        <f t="shared" si="12"/>
        <v>0</v>
      </c>
    </row>
    <row r="84" spans="2:7" x14ac:dyDescent="0.35">
      <c r="C84" s="38" t="s">
        <v>200</v>
      </c>
      <c r="D84" s="48">
        <f t="shared" ref="D84:F84" si="13">SUM(D77:D83)</f>
        <v>97455.37770270271</v>
      </c>
      <c r="E84" s="48">
        <f t="shared" si="13"/>
        <v>0</v>
      </c>
      <c r="F84" s="48">
        <f t="shared" si="13"/>
        <v>0</v>
      </c>
      <c r="G84" s="42">
        <f t="shared" si="12"/>
        <v>97455.37770270271</v>
      </c>
    </row>
    <row r="85" spans="2:7" s="118" customFormat="1" hidden="1" x14ac:dyDescent="0.35">
      <c r="C85" s="49"/>
      <c r="D85" s="50"/>
      <c r="E85" s="50"/>
      <c r="F85" s="50"/>
      <c r="G85" s="51"/>
    </row>
    <row r="86" spans="2:7" hidden="1" x14ac:dyDescent="0.35">
      <c r="C86" s="271" t="s">
        <v>80</v>
      </c>
      <c r="D86" s="272"/>
      <c r="E86" s="272"/>
      <c r="F86" s="272"/>
      <c r="G86" s="273"/>
    </row>
    <row r="87" spans="2:7" ht="21.75" hidden="1" customHeight="1" thickBot="1" x14ac:dyDescent="0.4">
      <c r="C87" s="45" t="s">
        <v>192</v>
      </c>
      <c r="D87" s="46">
        <f>'1) Budget Tables'!D88</f>
        <v>0</v>
      </c>
      <c r="E87" s="46">
        <f>'1) Budget Tables'!E88</f>
        <v>0</v>
      </c>
      <c r="F87" s="46">
        <f>'1) Budget Tables'!F88</f>
        <v>0</v>
      </c>
      <c r="G87" s="47">
        <f t="shared" ref="G87:G95" si="14">SUM(D87:F87)</f>
        <v>0</v>
      </c>
    </row>
    <row r="88" spans="2:7" ht="15.75" hidden="1" customHeight="1" x14ac:dyDescent="0.35">
      <c r="C88" s="43" t="s">
        <v>193</v>
      </c>
      <c r="D88" s="139"/>
      <c r="E88" s="140"/>
      <c r="F88" s="140"/>
      <c r="G88" s="44">
        <f t="shared" si="14"/>
        <v>0</v>
      </c>
    </row>
    <row r="89" spans="2:7" ht="15.75" hidden="1" customHeight="1" x14ac:dyDescent="0.35">
      <c r="B89" s="118"/>
      <c r="C89" s="35" t="s">
        <v>194</v>
      </c>
      <c r="D89" s="141"/>
      <c r="E89" s="116"/>
      <c r="F89" s="116"/>
      <c r="G89" s="42">
        <f t="shared" si="14"/>
        <v>0</v>
      </c>
    </row>
    <row r="90" spans="2:7" ht="15.75" hidden="1" customHeight="1" x14ac:dyDescent="0.35">
      <c r="C90" s="35" t="s">
        <v>195</v>
      </c>
      <c r="D90" s="141"/>
      <c r="E90" s="141"/>
      <c r="F90" s="141"/>
      <c r="G90" s="42">
        <f t="shared" si="14"/>
        <v>0</v>
      </c>
    </row>
    <row r="91" spans="2:7" hidden="1" x14ac:dyDescent="0.35">
      <c r="C91" s="36" t="s">
        <v>196</v>
      </c>
      <c r="D91" s="141"/>
      <c r="E91" s="141"/>
      <c r="F91" s="141"/>
      <c r="G91" s="42">
        <f t="shared" si="14"/>
        <v>0</v>
      </c>
    </row>
    <row r="92" spans="2:7" hidden="1" x14ac:dyDescent="0.35">
      <c r="C92" s="35" t="s">
        <v>197</v>
      </c>
      <c r="D92" s="141"/>
      <c r="E92" s="141"/>
      <c r="F92" s="141"/>
      <c r="G92" s="42">
        <f t="shared" si="14"/>
        <v>0</v>
      </c>
    </row>
    <row r="93" spans="2:7" ht="25.5" hidden="1" customHeight="1" x14ac:dyDescent="0.35">
      <c r="C93" s="35" t="s">
        <v>198</v>
      </c>
      <c r="D93" s="141"/>
      <c r="E93" s="141"/>
      <c r="F93" s="141"/>
      <c r="G93" s="42">
        <f t="shared" si="14"/>
        <v>0</v>
      </c>
    </row>
    <row r="94" spans="2:7" hidden="1" x14ac:dyDescent="0.35">
      <c r="B94" s="118"/>
      <c r="C94" s="35" t="s">
        <v>199</v>
      </c>
      <c r="D94" s="141"/>
      <c r="E94" s="141"/>
      <c r="F94" s="141"/>
      <c r="G94" s="42">
        <f t="shared" si="14"/>
        <v>0</v>
      </c>
    </row>
    <row r="95" spans="2:7" ht="15.75" hidden="1" customHeight="1" x14ac:dyDescent="0.35">
      <c r="C95" s="38" t="s">
        <v>200</v>
      </c>
      <c r="D95" s="48">
        <f t="shared" ref="D95:F95" si="15">SUM(D88:D94)</f>
        <v>0</v>
      </c>
      <c r="E95" s="48">
        <f t="shared" si="15"/>
        <v>0</v>
      </c>
      <c r="F95" s="48">
        <f t="shared" si="15"/>
        <v>0</v>
      </c>
      <c r="G95" s="42">
        <f t="shared" si="14"/>
        <v>0</v>
      </c>
    </row>
    <row r="96" spans="2:7" ht="25.5" customHeight="1" x14ac:dyDescent="0.35">
      <c r="D96" s="117"/>
      <c r="E96" s="117"/>
      <c r="F96" s="117"/>
    </row>
    <row r="97" spans="2:7" x14ac:dyDescent="0.35">
      <c r="B97" s="271" t="s">
        <v>206</v>
      </c>
      <c r="C97" s="272"/>
      <c r="D97" s="272"/>
      <c r="E97" s="272"/>
      <c r="F97" s="272"/>
      <c r="G97" s="273"/>
    </row>
    <row r="98" spans="2:7" x14ac:dyDescent="0.35">
      <c r="C98" s="271" t="s">
        <v>90</v>
      </c>
      <c r="D98" s="272"/>
      <c r="E98" s="272"/>
      <c r="F98" s="272"/>
      <c r="G98" s="273"/>
    </row>
    <row r="99" spans="2:7" ht="22.5" customHeight="1" thickBot="1" x14ac:dyDescent="0.4">
      <c r="C99" s="45" t="s">
        <v>192</v>
      </c>
      <c r="D99" s="46">
        <f>'1) Budget Tables'!D100</f>
        <v>132985.22189189191</v>
      </c>
      <c r="E99" s="46">
        <f>'1) Budget Tables'!E100</f>
        <v>0</v>
      </c>
      <c r="F99" s="46">
        <f>'1) Budget Tables'!F100</f>
        <v>0</v>
      </c>
      <c r="G99" s="47">
        <f>SUM(D99:F99)</f>
        <v>132985.22189189191</v>
      </c>
    </row>
    <row r="100" spans="2:7" x14ac:dyDescent="0.35">
      <c r="C100" s="43" t="s">
        <v>193</v>
      </c>
      <c r="D100" s="139">
        <v>34760.510270270272</v>
      </c>
      <c r="E100" s="140"/>
      <c r="F100" s="140"/>
      <c r="G100" s="44">
        <f t="shared" ref="G100:G107" si="16">SUM(D100:F100)</f>
        <v>34760.510270270272</v>
      </c>
    </row>
    <row r="101" spans="2:7" x14ac:dyDescent="0.35">
      <c r="C101" s="35" t="s">
        <v>194</v>
      </c>
      <c r="D101" s="141">
        <v>6405.405405405405</v>
      </c>
      <c r="E101" s="116"/>
      <c r="F101" s="116"/>
      <c r="G101" s="42">
        <f t="shared" si="16"/>
        <v>6405.405405405405</v>
      </c>
    </row>
    <row r="102" spans="2:7" ht="15.75" customHeight="1" x14ac:dyDescent="0.35">
      <c r="C102" s="35" t="s">
        <v>195</v>
      </c>
      <c r="D102" s="141">
        <v>0</v>
      </c>
      <c r="E102" s="141"/>
      <c r="F102" s="141"/>
      <c r="G102" s="42">
        <f t="shared" si="16"/>
        <v>0</v>
      </c>
    </row>
    <row r="103" spans="2:7" x14ac:dyDescent="0.35">
      <c r="C103" s="36" t="s">
        <v>196</v>
      </c>
      <c r="D103" s="141">
        <v>22994.231351351347</v>
      </c>
      <c r="E103" s="141"/>
      <c r="F103" s="141"/>
      <c r="G103" s="42">
        <f t="shared" si="16"/>
        <v>22994.231351351347</v>
      </c>
    </row>
    <row r="104" spans="2:7" x14ac:dyDescent="0.35">
      <c r="C104" s="35" t="s">
        <v>197</v>
      </c>
      <c r="D104" s="141">
        <v>2716.6216216216217</v>
      </c>
      <c r="E104" s="141"/>
      <c r="F104" s="141"/>
      <c r="G104" s="42">
        <f t="shared" si="16"/>
        <v>2716.6216216216217</v>
      </c>
    </row>
    <row r="105" spans="2:7" x14ac:dyDescent="0.35">
      <c r="C105" s="35" t="s">
        <v>198</v>
      </c>
      <c r="D105" s="141">
        <v>62865.21</v>
      </c>
      <c r="E105" s="141"/>
      <c r="F105" s="141"/>
      <c r="G105" s="42">
        <f t="shared" si="16"/>
        <v>62865.21</v>
      </c>
    </row>
    <row r="106" spans="2:7" x14ac:dyDescent="0.35">
      <c r="C106" s="35" t="s">
        <v>199</v>
      </c>
      <c r="D106" s="141">
        <v>3243.2432432432433</v>
      </c>
      <c r="E106" s="141"/>
      <c r="F106" s="141"/>
      <c r="G106" s="42">
        <f t="shared" si="16"/>
        <v>3243.2432432432433</v>
      </c>
    </row>
    <row r="107" spans="2:7" x14ac:dyDescent="0.35">
      <c r="C107" s="38" t="s">
        <v>200</v>
      </c>
      <c r="D107" s="48">
        <f>SUM(D100:D106)</f>
        <v>132985.22189189191</v>
      </c>
      <c r="E107" s="48">
        <f>SUM(E100:E106)</f>
        <v>0</v>
      </c>
      <c r="F107" s="48">
        <f t="shared" ref="F107" si="17">SUM(F100:F106)</f>
        <v>0</v>
      </c>
      <c r="G107" s="42">
        <f t="shared" si="16"/>
        <v>132985.22189189191</v>
      </c>
    </row>
    <row r="108" spans="2:7" s="118" customFormat="1" x14ac:dyDescent="0.35">
      <c r="C108" s="49"/>
      <c r="D108" s="50"/>
      <c r="E108" s="50"/>
      <c r="F108" s="50"/>
      <c r="G108" s="51"/>
    </row>
    <row r="109" spans="2:7" ht="15.75" customHeight="1" x14ac:dyDescent="0.35">
      <c r="C109" s="271" t="s">
        <v>207</v>
      </c>
      <c r="D109" s="272"/>
      <c r="E109" s="272"/>
      <c r="F109" s="272"/>
      <c r="G109" s="273"/>
    </row>
    <row r="110" spans="2:7" ht="21.75" customHeight="1" thickBot="1" x14ac:dyDescent="0.4">
      <c r="C110" s="45" t="s">
        <v>192</v>
      </c>
      <c r="D110" s="46">
        <f>'1) Budget Tables'!D110</f>
        <v>283544.76364864857</v>
      </c>
      <c r="E110" s="46">
        <f>'1) Budget Tables'!E110</f>
        <v>0</v>
      </c>
      <c r="F110" s="46">
        <f>'1) Budget Tables'!F110</f>
        <v>0</v>
      </c>
      <c r="G110" s="47">
        <f t="shared" ref="G110:G118" si="18">SUM(D110:F110)</f>
        <v>283544.76364864857</v>
      </c>
    </row>
    <row r="111" spans="2:7" x14ac:dyDescent="0.35">
      <c r="C111" s="43" t="s">
        <v>193</v>
      </c>
      <c r="D111" s="139">
        <v>17841.67783783784</v>
      </c>
      <c r="E111" s="140"/>
      <c r="F111" s="140"/>
      <c r="G111" s="44">
        <f t="shared" si="18"/>
        <v>17841.67783783784</v>
      </c>
    </row>
    <row r="112" spans="2:7" x14ac:dyDescent="0.35">
      <c r="C112" s="35" t="s">
        <v>194</v>
      </c>
      <c r="D112" s="141">
        <v>15540.54054054054</v>
      </c>
      <c r="E112" s="116"/>
      <c r="F112" s="116"/>
      <c r="G112" s="42">
        <f t="shared" si="18"/>
        <v>15540.54054054054</v>
      </c>
    </row>
    <row r="113" spans="3:7" ht="31" x14ac:dyDescent="0.35">
      <c r="C113" s="35" t="s">
        <v>195</v>
      </c>
      <c r="D113" s="141">
        <v>0</v>
      </c>
      <c r="E113" s="141"/>
      <c r="F113" s="141"/>
      <c r="G113" s="42">
        <f t="shared" si="18"/>
        <v>0</v>
      </c>
    </row>
    <row r="114" spans="3:7" x14ac:dyDescent="0.35">
      <c r="C114" s="36" t="s">
        <v>196</v>
      </c>
      <c r="D114" s="141">
        <v>52909.4054054054</v>
      </c>
      <c r="E114" s="141"/>
      <c r="F114" s="141"/>
      <c r="G114" s="42">
        <f t="shared" si="18"/>
        <v>52909.4054054054</v>
      </c>
    </row>
    <row r="115" spans="3:7" x14ac:dyDescent="0.35">
      <c r="C115" s="35" t="s">
        <v>197</v>
      </c>
      <c r="D115" s="141">
        <v>15383.462837837837</v>
      </c>
      <c r="E115" s="141"/>
      <c r="F115" s="141"/>
      <c r="G115" s="42">
        <f t="shared" si="18"/>
        <v>15383.462837837837</v>
      </c>
    </row>
    <row r="116" spans="3:7" x14ac:dyDescent="0.35">
      <c r="C116" s="35" t="s">
        <v>198</v>
      </c>
      <c r="D116" s="141">
        <v>179842.64999999994</v>
      </c>
      <c r="E116" s="141"/>
      <c r="F116" s="141"/>
      <c r="G116" s="42">
        <f t="shared" si="18"/>
        <v>179842.64999999994</v>
      </c>
    </row>
    <row r="117" spans="3:7" x14ac:dyDescent="0.35">
      <c r="C117" s="35" t="s">
        <v>199</v>
      </c>
      <c r="D117" s="141">
        <v>2027.0270270270271</v>
      </c>
      <c r="E117" s="141"/>
      <c r="F117" s="141"/>
      <c r="G117" s="42">
        <f t="shared" si="18"/>
        <v>2027.0270270270271</v>
      </c>
    </row>
    <row r="118" spans="3:7" x14ac:dyDescent="0.35">
      <c r="C118" s="38" t="s">
        <v>200</v>
      </c>
      <c r="D118" s="48">
        <f t="shared" ref="D118:F118" si="19">SUM(D111:D117)</f>
        <v>283544.76364864857</v>
      </c>
      <c r="E118" s="48">
        <f t="shared" si="19"/>
        <v>0</v>
      </c>
      <c r="F118" s="48">
        <f t="shared" si="19"/>
        <v>0</v>
      </c>
      <c r="G118" s="42">
        <f t="shared" si="18"/>
        <v>283544.76364864857</v>
      </c>
    </row>
    <row r="119" spans="3:7" s="118" customFormat="1" x14ac:dyDescent="0.35">
      <c r="C119" s="49"/>
      <c r="D119" s="50"/>
      <c r="E119" s="50"/>
      <c r="F119" s="50"/>
      <c r="G119" s="51"/>
    </row>
    <row r="120" spans="3:7" x14ac:dyDescent="0.35">
      <c r="C120" s="271" t="s">
        <v>108</v>
      </c>
      <c r="D120" s="272"/>
      <c r="E120" s="272"/>
      <c r="F120" s="272"/>
      <c r="G120" s="273"/>
    </row>
    <row r="121" spans="3:7" ht="21" customHeight="1" thickBot="1" x14ac:dyDescent="0.4">
      <c r="C121" s="45" t="s">
        <v>192</v>
      </c>
      <c r="D121" s="46">
        <f>'1) Budget Tables'!D120</f>
        <v>0</v>
      </c>
      <c r="E121" s="46">
        <f>'1) Budget Tables'!E120</f>
        <v>0</v>
      </c>
      <c r="F121" s="46">
        <f>'1) Budget Tables'!F120</f>
        <v>0</v>
      </c>
      <c r="G121" s="47">
        <f t="shared" ref="G121:G129" si="20">SUM(D121:F121)</f>
        <v>0</v>
      </c>
    </row>
    <row r="122" spans="3:7" x14ac:dyDescent="0.35">
      <c r="C122" s="43" t="s">
        <v>193</v>
      </c>
      <c r="D122" s="139"/>
      <c r="E122" s="140"/>
      <c r="F122" s="140"/>
      <c r="G122" s="44">
        <f t="shared" si="20"/>
        <v>0</v>
      </c>
    </row>
    <row r="123" spans="3:7" x14ac:dyDescent="0.35">
      <c r="C123" s="35" t="s">
        <v>194</v>
      </c>
      <c r="D123" s="141"/>
      <c r="E123" s="116"/>
      <c r="F123" s="116"/>
      <c r="G123" s="42">
        <f t="shared" si="20"/>
        <v>0</v>
      </c>
    </row>
    <row r="124" spans="3:7" ht="31" x14ac:dyDescent="0.35">
      <c r="C124" s="35" t="s">
        <v>195</v>
      </c>
      <c r="D124" s="141"/>
      <c r="E124" s="141"/>
      <c r="F124" s="141"/>
      <c r="G124" s="42">
        <f t="shared" si="20"/>
        <v>0</v>
      </c>
    </row>
    <row r="125" spans="3:7" x14ac:dyDescent="0.35">
      <c r="C125" s="36" t="s">
        <v>196</v>
      </c>
      <c r="D125" s="141"/>
      <c r="E125" s="141"/>
      <c r="F125" s="141"/>
      <c r="G125" s="42">
        <f t="shared" si="20"/>
        <v>0</v>
      </c>
    </row>
    <row r="126" spans="3:7" x14ac:dyDescent="0.35">
      <c r="C126" s="35" t="s">
        <v>197</v>
      </c>
      <c r="D126" s="141"/>
      <c r="E126" s="141"/>
      <c r="F126" s="141"/>
      <c r="G126" s="42">
        <f t="shared" si="20"/>
        <v>0</v>
      </c>
    </row>
    <row r="127" spans="3:7" x14ac:dyDescent="0.35">
      <c r="C127" s="35" t="s">
        <v>198</v>
      </c>
      <c r="D127" s="141"/>
      <c r="E127" s="141"/>
      <c r="F127" s="141"/>
      <c r="G127" s="42">
        <f t="shared" si="20"/>
        <v>0</v>
      </c>
    </row>
    <row r="128" spans="3:7" x14ac:dyDescent="0.35">
      <c r="C128" s="35" t="s">
        <v>199</v>
      </c>
      <c r="D128" s="141"/>
      <c r="E128" s="141"/>
      <c r="F128" s="141"/>
      <c r="G128" s="42">
        <f t="shared" si="20"/>
        <v>0</v>
      </c>
    </row>
    <row r="129" spans="2:7" x14ac:dyDescent="0.35">
      <c r="C129" s="38" t="s">
        <v>200</v>
      </c>
      <c r="D129" s="48">
        <f t="shared" ref="D129:F129" si="21">SUM(D122:D128)</f>
        <v>0</v>
      </c>
      <c r="E129" s="48">
        <f t="shared" si="21"/>
        <v>0</v>
      </c>
      <c r="F129" s="48">
        <f t="shared" si="21"/>
        <v>0</v>
      </c>
      <c r="G129" s="42">
        <f t="shared" si="20"/>
        <v>0</v>
      </c>
    </row>
    <row r="130" spans="2:7" s="118" customFormat="1" x14ac:dyDescent="0.35">
      <c r="C130" s="49"/>
      <c r="D130" s="50"/>
      <c r="E130" s="50"/>
      <c r="F130" s="50"/>
      <c r="G130" s="51"/>
    </row>
    <row r="131" spans="2:7" hidden="1" x14ac:dyDescent="0.35">
      <c r="C131" s="271" t="s">
        <v>117</v>
      </c>
      <c r="D131" s="272"/>
      <c r="E131" s="272"/>
      <c r="F131" s="272"/>
      <c r="G131" s="273"/>
    </row>
    <row r="132" spans="2:7" ht="24" hidden="1" customHeight="1" thickBot="1" x14ac:dyDescent="0.4">
      <c r="C132" s="45" t="s">
        <v>192</v>
      </c>
      <c r="D132" s="46">
        <f>'1) Budget Tables'!D130</f>
        <v>0</v>
      </c>
      <c r="E132" s="46">
        <f>'1) Budget Tables'!E130</f>
        <v>0</v>
      </c>
      <c r="F132" s="46">
        <f>'1) Budget Tables'!F130</f>
        <v>0</v>
      </c>
      <c r="G132" s="47">
        <f t="shared" ref="G132:G140" si="22">SUM(D132:F132)</f>
        <v>0</v>
      </c>
    </row>
    <row r="133" spans="2:7" ht="15.75" hidden="1" customHeight="1" x14ac:dyDescent="0.35">
      <c r="C133" s="43" t="s">
        <v>193</v>
      </c>
      <c r="D133" s="139"/>
      <c r="E133" s="140"/>
      <c r="F133" s="140"/>
      <c r="G133" s="44">
        <f t="shared" si="22"/>
        <v>0</v>
      </c>
    </row>
    <row r="134" spans="2:7" hidden="1" x14ac:dyDescent="0.35">
      <c r="C134" s="35" t="s">
        <v>194</v>
      </c>
      <c r="D134" s="141"/>
      <c r="E134" s="116"/>
      <c r="F134" s="116"/>
      <c r="G134" s="42">
        <f t="shared" si="22"/>
        <v>0</v>
      </c>
    </row>
    <row r="135" spans="2:7" ht="15.75" hidden="1" customHeight="1" x14ac:dyDescent="0.35">
      <c r="C135" s="35" t="s">
        <v>195</v>
      </c>
      <c r="D135" s="141"/>
      <c r="E135" s="141"/>
      <c r="F135" s="141"/>
      <c r="G135" s="42">
        <f t="shared" si="22"/>
        <v>0</v>
      </c>
    </row>
    <row r="136" spans="2:7" hidden="1" x14ac:dyDescent="0.35">
      <c r="C136" s="36" t="s">
        <v>196</v>
      </c>
      <c r="D136" s="141"/>
      <c r="E136" s="141"/>
      <c r="F136" s="141"/>
      <c r="G136" s="42">
        <f t="shared" si="22"/>
        <v>0</v>
      </c>
    </row>
    <row r="137" spans="2:7" hidden="1" x14ac:dyDescent="0.35">
      <c r="C137" s="35" t="s">
        <v>197</v>
      </c>
      <c r="D137" s="141"/>
      <c r="E137" s="141"/>
      <c r="F137" s="141"/>
      <c r="G137" s="42">
        <f t="shared" si="22"/>
        <v>0</v>
      </c>
    </row>
    <row r="138" spans="2:7" ht="15.75" hidden="1" customHeight="1" x14ac:dyDescent="0.35">
      <c r="C138" s="35" t="s">
        <v>198</v>
      </c>
      <c r="D138" s="141"/>
      <c r="E138" s="141"/>
      <c r="F138" s="141"/>
      <c r="G138" s="42">
        <f t="shared" si="22"/>
        <v>0</v>
      </c>
    </row>
    <row r="139" spans="2:7" hidden="1" x14ac:dyDescent="0.35">
      <c r="C139" s="35" t="s">
        <v>199</v>
      </c>
      <c r="D139" s="141"/>
      <c r="E139" s="141"/>
      <c r="F139" s="141"/>
      <c r="G139" s="42">
        <f t="shared" si="22"/>
        <v>0</v>
      </c>
    </row>
    <row r="140" spans="2:7" hidden="1" x14ac:dyDescent="0.35">
      <c r="C140" s="38" t="s">
        <v>200</v>
      </c>
      <c r="D140" s="48">
        <f t="shared" ref="D140:F140" si="23">SUM(D133:D139)</f>
        <v>0</v>
      </c>
      <c r="E140" s="48">
        <f t="shared" si="23"/>
        <v>0</v>
      </c>
      <c r="F140" s="48">
        <f t="shared" si="23"/>
        <v>0</v>
      </c>
      <c r="G140" s="42">
        <f t="shared" si="22"/>
        <v>0</v>
      </c>
    </row>
    <row r="141" spans="2:7" hidden="1" x14ac:dyDescent="0.35"/>
    <row r="142" spans="2:7" hidden="1" x14ac:dyDescent="0.35">
      <c r="B142" s="271" t="s">
        <v>208</v>
      </c>
      <c r="C142" s="272"/>
      <c r="D142" s="272"/>
      <c r="E142" s="272"/>
      <c r="F142" s="272"/>
      <c r="G142" s="273"/>
    </row>
    <row r="143" spans="2:7" hidden="1" x14ac:dyDescent="0.35">
      <c r="C143" s="271" t="s">
        <v>127</v>
      </c>
      <c r="D143" s="272"/>
      <c r="E143" s="272"/>
      <c r="F143" s="272"/>
      <c r="G143" s="273"/>
    </row>
    <row r="144" spans="2:7" ht="24" hidden="1" customHeight="1" thickBot="1" x14ac:dyDescent="0.4">
      <c r="C144" s="45" t="s">
        <v>192</v>
      </c>
      <c r="D144" s="46">
        <f>'1) Budget Tables'!D142</f>
        <v>0</v>
      </c>
      <c r="E144" s="46">
        <f>'1) Budget Tables'!E142</f>
        <v>0</v>
      </c>
      <c r="F144" s="46">
        <f>'1) Budget Tables'!F142</f>
        <v>0</v>
      </c>
      <c r="G144" s="47">
        <f>SUM(D144:F144)</f>
        <v>0</v>
      </c>
    </row>
    <row r="145" spans="3:7" ht="24.75" hidden="1" customHeight="1" x14ac:dyDescent="0.35">
      <c r="C145" s="43" t="s">
        <v>193</v>
      </c>
      <c r="D145" s="139"/>
      <c r="E145" s="140"/>
      <c r="F145" s="140"/>
      <c r="G145" s="44">
        <f t="shared" ref="G145:G152" si="24">SUM(D145:F145)</f>
        <v>0</v>
      </c>
    </row>
    <row r="146" spans="3:7" ht="15.75" hidden="1" customHeight="1" x14ac:dyDescent="0.35">
      <c r="C146" s="35" t="s">
        <v>194</v>
      </c>
      <c r="D146" s="141"/>
      <c r="E146" s="116"/>
      <c r="F146" s="116"/>
      <c r="G146" s="42">
        <f t="shared" si="24"/>
        <v>0</v>
      </c>
    </row>
    <row r="147" spans="3:7" ht="15.75" hidden="1" customHeight="1" x14ac:dyDescent="0.35">
      <c r="C147" s="35" t="s">
        <v>195</v>
      </c>
      <c r="D147" s="141"/>
      <c r="E147" s="141"/>
      <c r="F147" s="141"/>
      <c r="G147" s="42">
        <f t="shared" si="24"/>
        <v>0</v>
      </c>
    </row>
    <row r="148" spans="3:7" ht="15.75" hidden="1" customHeight="1" x14ac:dyDescent="0.35">
      <c r="C148" s="36" t="s">
        <v>196</v>
      </c>
      <c r="D148" s="141"/>
      <c r="E148" s="141"/>
      <c r="F148" s="141"/>
      <c r="G148" s="42">
        <f t="shared" si="24"/>
        <v>0</v>
      </c>
    </row>
    <row r="149" spans="3:7" ht="15.75" hidden="1" customHeight="1" x14ac:dyDescent="0.35">
      <c r="C149" s="35" t="s">
        <v>197</v>
      </c>
      <c r="D149" s="141"/>
      <c r="E149" s="141"/>
      <c r="F149" s="141"/>
      <c r="G149" s="42">
        <f t="shared" si="24"/>
        <v>0</v>
      </c>
    </row>
    <row r="150" spans="3:7" ht="15.75" hidden="1" customHeight="1" x14ac:dyDescent="0.35">
      <c r="C150" s="35" t="s">
        <v>198</v>
      </c>
      <c r="D150" s="141"/>
      <c r="E150" s="141"/>
      <c r="F150" s="141"/>
      <c r="G150" s="42">
        <f t="shared" si="24"/>
        <v>0</v>
      </c>
    </row>
    <row r="151" spans="3:7" ht="15.75" hidden="1" customHeight="1" x14ac:dyDescent="0.35">
      <c r="C151" s="35" t="s">
        <v>199</v>
      </c>
      <c r="D151" s="141"/>
      <c r="E151" s="141"/>
      <c r="F151" s="141"/>
      <c r="G151" s="42">
        <f t="shared" si="24"/>
        <v>0</v>
      </c>
    </row>
    <row r="152" spans="3:7" ht="15.75" hidden="1" customHeight="1" x14ac:dyDescent="0.35">
      <c r="C152" s="38" t="s">
        <v>200</v>
      </c>
      <c r="D152" s="48">
        <f>SUM(D145:D151)</f>
        <v>0</v>
      </c>
      <c r="E152" s="48">
        <f>SUM(E145:E151)</f>
        <v>0</v>
      </c>
      <c r="F152" s="48">
        <f t="shared" ref="F152" si="25">SUM(F145:F151)</f>
        <v>0</v>
      </c>
      <c r="G152" s="42">
        <f t="shared" si="24"/>
        <v>0</v>
      </c>
    </row>
    <row r="153" spans="3:7" s="118" customFormat="1" ht="15.75" hidden="1" customHeight="1" x14ac:dyDescent="0.35">
      <c r="C153" s="49"/>
      <c r="D153" s="50"/>
      <c r="E153" s="50"/>
      <c r="F153" s="50"/>
      <c r="G153" s="51"/>
    </row>
    <row r="154" spans="3:7" ht="15.75" hidden="1" customHeight="1" x14ac:dyDescent="0.35">
      <c r="C154" s="271" t="s">
        <v>136</v>
      </c>
      <c r="D154" s="272"/>
      <c r="E154" s="272"/>
      <c r="F154" s="272"/>
      <c r="G154" s="273"/>
    </row>
    <row r="155" spans="3:7" ht="21" hidden="1" customHeight="1" thickBot="1" x14ac:dyDescent="0.4">
      <c r="C155" s="45" t="s">
        <v>192</v>
      </c>
      <c r="D155" s="46">
        <f>'1) Budget Tables'!D152</f>
        <v>0</v>
      </c>
      <c r="E155" s="46">
        <f>'1) Budget Tables'!E152</f>
        <v>0</v>
      </c>
      <c r="F155" s="46">
        <f>'1) Budget Tables'!F152</f>
        <v>0</v>
      </c>
      <c r="G155" s="47">
        <f t="shared" ref="G155:G163" si="26">SUM(D155:F155)</f>
        <v>0</v>
      </c>
    </row>
    <row r="156" spans="3:7" ht="15.75" hidden="1" customHeight="1" x14ac:dyDescent="0.35">
      <c r="C156" s="43" t="s">
        <v>193</v>
      </c>
      <c r="D156" s="139"/>
      <c r="E156" s="140"/>
      <c r="F156" s="140"/>
      <c r="G156" s="44">
        <f t="shared" si="26"/>
        <v>0</v>
      </c>
    </row>
    <row r="157" spans="3:7" ht="15.75" hidden="1" customHeight="1" x14ac:dyDescent="0.35">
      <c r="C157" s="35" t="s">
        <v>194</v>
      </c>
      <c r="D157" s="141"/>
      <c r="E157" s="116"/>
      <c r="F157" s="116"/>
      <c r="G157" s="42">
        <f t="shared" si="26"/>
        <v>0</v>
      </c>
    </row>
    <row r="158" spans="3:7" ht="15.75" hidden="1" customHeight="1" x14ac:dyDescent="0.35">
      <c r="C158" s="35" t="s">
        <v>195</v>
      </c>
      <c r="D158" s="141"/>
      <c r="E158" s="141"/>
      <c r="F158" s="141"/>
      <c r="G158" s="42">
        <f t="shared" si="26"/>
        <v>0</v>
      </c>
    </row>
    <row r="159" spans="3:7" ht="15.75" hidden="1" customHeight="1" x14ac:dyDescent="0.35">
      <c r="C159" s="36" t="s">
        <v>196</v>
      </c>
      <c r="D159" s="141"/>
      <c r="E159" s="141"/>
      <c r="F159" s="141"/>
      <c r="G159" s="42">
        <f t="shared" si="26"/>
        <v>0</v>
      </c>
    </row>
    <row r="160" spans="3:7" ht="15.75" hidden="1" customHeight="1" x14ac:dyDescent="0.35">
      <c r="C160" s="35" t="s">
        <v>197</v>
      </c>
      <c r="D160" s="141"/>
      <c r="E160" s="141"/>
      <c r="F160" s="141"/>
      <c r="G160" s="42">
        <f t="shared" si="26"/>
        <v>0</v>
      </c>
    </row>
    <row r="161" spans="3:7" ht="15.75" hidden="1" customHeight="1" x14ac:dyDescent="0.35">
      <c r="C161" s="35" t="s">
        <v>198</v>
      </c>
      <c r="D161" s="141"/>
      <c r="E161" s="141"/>
      <c r="F161" s="141"/>
      <c r="G161" s="42">
        <f t="shared" si="26"/>
        <v>0</v>
      </c>
    </row>
    <row r="162" spans="3:7" ht="15.75" hidden="1" customHeight="1" x14ac:dyDescent="0.35">
      <c r="C162" s="35" t="s">
        <v>199</v>
      </c>
      <c r="D162" s="141"/>
      <c r="E162" s="141"/>
      <c r="F162" s="141"/>
      <c r="G162" s="42">
        <f t="shared" si="26"/>
        <v>0</v>
      </c>
    </row>
    <row r="163" spans="3:7" ht="15.75" hidden="1" customHeight="1" x14ac:dyDescent="0.35">
      <c r="C163" s="38" t="s">
        <v>200</v>
      </c>
      <c r="D163" s="48">
        <f t="shared" ref="D163:F163" si="27">SUM(D156:D162)</f>
        <v>0</v>
      </c>
      <c r="E163" s="48">
        <f t="shared" si="27"/>
        <v>0</v>
      </c>
      <c r="F163" s="48">
        <f t="shared" si="27"/>
        <v>0</v>
      </c>
      <c r="G163" s="42">
        <f t="shared" si="26"/>
        <v>0</v>
      </c>
    </row>
    <row r="164" spans="3:7" s="118" customFormat="1" ht="15.75" hidden="1" customHeight="1" x14ac:dyDescent="0.35">
      <c r="C164" s="49"/>
      <c r="D164" s="50"/>
      <c r="E164" s="50"/>
      <c r="F164" s="50"/>
      <c r="G164" s="51"/>
    </row>
    <row r="165" spans="3:7" ht="15.75" hidden="1" customHeight="1" x14ac:dyDescent="0.35">
      <c r="C165" s="271" t="s">
        <v>145</v>
      </c>
      <c r="D165" s="272"/>
      <c r="E165" s="272"/>
      <c r="F165" s="272"/>
      <c r="G165" s="273"/>
    </row>
    <row r="166" spans="3:7" ht="19.5" hidden="1" customHeight="1" thickBot="1" x14ac:dyDescent="0.4">
      <c r="C166" s="45" t="s">
        <v>192</v>
      </c>
      <c r="D166" s="46">
        <f>'1) Budget Tables'!D162</f>
        <v>0</v>
      </c>
      <c r="E166" s="46">
        <f>'1) Budget Tables'!E162</f>
        <v>0</v>
      </c>
      <c r="F166" s="46">
        <f>'1) Budget Tables'!F162</f>
        <v>0</v>
      </c>
      <c r="G166" s="47">
        <f t="shared" ref="G166:G174" si="28">SUM(D166:F166)</f>
        <v>0</v>
      </c>
    </row>
    <row r="167" spans="3:7" ht="15.75" hidden="1" customHeight="1" x14ac:dyDescent="0.35">
      <c r="C167" s="43" t="s">
        <v>193</v>
      </c>
      <c r="D167" s="139"/>
      <c r="E167" s="140"/>
      <c r="F167" s="140"/>
      <c r="G167" s="44">
        <f t="shared" si="28"/>
        <v>0</v>
      </c>
    </row>
    <row r="168" spans="3:7" ht="15.75" hidden="1" customHeight="1" x14ac:dyDescent="0.35">
      <c r="C168" s="35" t="s">
        <v>194</v>
      </c>
      <c r="D168" s="141"/>
      <c r="E168" s="116"/>
      <c r="F168" s="116"/>
      <c r="G168" s="42">
        <f t="shared" si="28"/>
        <v>0</v>
      </c>
    </row>
    <row r="169" spans="3:7" ht="15.75" hidden="1" customHeight="1" x14ac:dyDescent="0.35">
      <c r="C169" s="35" t="s">
        <v>195</v>
      </c>
      <c r="D169" s="141"/>
      <c r="E169" s="141"/>
      <c r="F169" s="141"/>
      <c r="G169" s="42">
        <f t="shared" si="28"/>
        <v>0</v>
      </c>
    </row>
    <row r="170" spans="3:7" ht="15.75" hidden="1" customHeight="1" x14ac:dyDescent="0.35">
      <c r="C170" s="36" t="s">
        <v>196</v>
      </c>
      <c r="D170" s="141"/>
      <c r="E170" s="141"/>
      <c r="F170" s="141"/>
      <c r="G170" s="42">
        <f t="shared" si="28"/>
        <v>0</v>
      </c>
    </row>
    <row r="171" spans="3:7" ht="15.75" hidden="1" customHeight="1" x14ac:dyDescent="0.35">
      <c r="C171" s="35" t="s">
        <v>197</v>
      </c>
      <c r="D171" s="141"/>
      <c r="E171" s="141"/>
      <c r="F171" s="141"/>
      <c r="G171" s="42">
        <f t="shared" si="28"/>
        <v>0</v>
      </c>
    </row>
    <row r="172" spans="3:7" ht="15.75" hidden="1" customHeight="1" x14ac:dyDescent="0.35">
      <c r="C172" s="35" t="s">
        <v>198</v>
      </c>
      <c r="D172" s="141"/>
      <c r="E172" s="141"/>
      <c r="F172" s="141"/>
      <c r="G172" s="42">
        <f t="shared" si="28"/>
        <v>0</v>
      </c>
    </row>
    <row r="173" spans="3:7" ht="15.75" hidden="1" customHeight="1" x14ac:dyDescent="0.35">
      <c r="C173" s="35" t="s">
        <v>199</v>
      </c>
      <c r="D173" s="141"/>
      <c r="E173" s="141"/>
      <c r="F173" s="141"/>
      <c r="G173" s="42">
        <f t="shared" si="28"/>
        <v>0</v>
      </c>
    </row>
    <row r="174" spans="3:7" ht="15.75" hidden="1" customHeight="1" x14ac:dyDescent="0.35">
      <c r="C174" s="38" t="s">
        <v>200</v>
      </c>
      <c r="D174" s="48">
        <f t="shared" ref="D174:F174" si="29">SUM(D167:D173)</f>
        <v>0</v>
      </c>
      <c r="E174" s="48">
        <f t="shared" si="29"/>
        <v>0</v>
      </c>
      <c r="F174" s="48">
        <f t="shared" si="29"/>
        <v>0</v>
      </c>
      <c r="G174" s="42">
        <f t="shared" si="28"/>
        <v>0</v>
      </c>
    </row>
    <row r="175" spans="3:7" s="118" customFormat="1" ht="15.75" hidden="1" customHeight="1" x14ac:dyDescent="0.35">
      <c r="C175" s="49"/>
      <c r="D175" s="50"/>
      <c r="E175" s="50"/>
      <c r="F175" s="50"/>
      <c r="G175" s="51"/>
    </row>
    <row r="176" spans="3:7" ht="15.75" hidden="1" customHeight="1" x14ac:dyDescent="0.35">
      <c r="C176" s="271" t="s">
        <v>154</v>
      </c>
      <c r="D176" s="272"/>
      <c r="E176" s="272"/>
      <c r="F176" s="272"/>
      <c r="G176" s="273"/>
    </row>
    <row r="177" spans="3:7" ht="22.5" hidden="1" customHeight="1" thickBot="1" x14ac:dyDescent="0.4">
      <c r="C177" s="45" t="s">
        <v>192</v>
      </c>
      <c r="D177" s="46">
        <f>'1) Budget Tables'!D172</f>
        <v>0</v>
      </c>
      <c r="E177" s="46">
        <f>'1) Budget Tables'!E172</f>
        <v>0</v>
      </c>
      <c r="F177" s="46">
        <f>'1) Budget Tables'!F172</f>
        <v>0</v>
      </c>
      <c r="G177" s="47">
        <f t="shared" ref="G177:G185" si="30">SUM(D177:F177)</f>
        <v>0</v>
      </c>
    </row>
    <row r="178" spans="3:7" ht="15.75" hidden="1" customHeight="1" x14ac:dyDescent="0.35">
      <c r="C178" s="43" t="s">
        <v>193</v>
      </c>
      <c r="D178" s="139"/>
      <c r="E178" s="140"/>
      <c r="F178" s="140"/>
      <c r="G178" s="44">
        <f t="shared" si="30"/>
        <v>0</v>
      </c>
    </row>
    <row r="179" spans="3:7" ht="15.75" hidden="1" customHeight="1" x14ac:dyDescent="0.35">
      <c r="C179" s="35" t="s">
        <v>194</v>
      </c>
      <c r="D179" s="141"/>
      <c r="E179" s="116"/>
      <c r="F179" s="116"/>
      <c r="G179" s="42">
        <f t="shared" si="30"/>
        <v>0</v>
      </c>
    </row>
    <row r="180" spans="3:7" ht="15.75" hidden="1" customHeight="1" x14ac:dyDescent="0.35">
      <c r="C180" s="35" t="s">
        <v>195</v>
      </c>
      <c r="D180" s="141"/>
      <c r="E180" s="141"/>
      <c r="F180" s="141"/>
      <c r="G180" s="42">
        <f t="shared" si="30"/>
        <v>0</v>
      </c>
    </row>
    <row r="181" spans="3:7" ht="15.75" hidden="1" customHeight="1" x14ac:dyDescent="0.35">
      <c r="C181" s="36" t="s">
        <v>196</v>
      </c>
      <c r="D181" s="141"/>
      <c r="E181" s="141"/>
      <c r="F181" s="141"/>
      <c r="G181" s="42">
        <f t="shared" si="30"/>
        <v>0</v>
      </c>
    </row>
    <row r="182" spans="3:7" ht="15.75" hidden="1" customHeight="1" x14ac:dyDescent="0.35">
      <c r="C182" s="35" t="s">
        <v>197</v>
      </c>
      <c r="D182" s="141"/>
      <c r="E182" s="141"/>
      <c r="F182" s="141"/>
      <c r="G182" s="42">
        <f t="shared" si="30"/>
        <v>0</v>
      </c>
    </row>
    <row r="183" spans="3:7" ht="15.75" hidden="1" customHeight="1" x14ac:dyDescent="0.35">
      <c r="C183" s="35" t="s">
        <v>198</v>
      </c>
      <c r="D183" s="141"/>
      <c r="E183" s="141"/>
      <c r="F183" s="141"/>
      <c r="G183" s="42">
        <f t="shared" si="30"/>
        <v>0</v>
      </c>
    </row>
    <row r="184" spans="3:7" ht="15.75" hidden="1" customHeight="1" x14ac:dyDescent="0.35">
      <c r="C184" s="35" t="s">
        <v>199</v>
      </c>
      <c r="D184" s="141"/>
      <c r="E184" s="141"/>
      <c r="F184" s="141"/>
      <c r="G184" s="42">
        <f t="shared" si="30"/>
        <v>0</v>
      </c>
    </row>
    <row r="185" spans="3:7" ht="15.75" hidden="1" customHeight="1" x14ac:dyDescent="0.35">
      <c r="C185" s="38" t="s">
        <v>200</v>
      </c>
      <c r="D185" s="48">
        <f t="shared" ref="D185:F185" si="31">SUM(D178:D184)</f>
        <v>0</v>
      </c>
      <c r="E185" s="48">
        <f t="shared" si="31"/>
        <v>0</v>
      </c>
      <c r="F185" s="48">
        <f t="shared" si="31"/>
        <v>0</v>
      </c>
      <c r="G185" s="42">
        <f t="shared" si="30"/>
        <v>0</v>
      </c>
    </row>
    <row r="186" spans="3:7" ht="15.75" customHeight="1" x14ac:dyDescent="0.35"/>
    <row r="187" spans="3:7" ht="15.75" customHeight="1" x14ac:dyDescent="0.35">
      <c r="C187" s="271" t="s">
        <v>209</v>
      </c>
      <c r="D187" s="272"/>
      <c r="E187" s="272"/>
      <c r="F187" s="272"/>
      <c r="G187" s="273"/>
    </row>
    <row r="188" spans="3:7" ht="19.5" customHeight="1" thickBot="1" x14ac:dyDescent="0.4">
      <c r="C188" s="45" t="s">
        <v>210</v>
      </c>
      <c r="D188" s="46">
        <f>'1) Budget Tables'!D181</f>
        <v>247409.41675675675</v>
      </c>
      <c r="E188" s="46">
        <f>'1) Budget Tables'!E181</f>
        <v>0</v>
      </c>
      <c r="F188" s="46">
        <f>'1) Budget Tables'!F181</f>
        <v>0</v>
      </c>
      <c r="G188" s="47">
        <f t="shared" ref="G188:G196" si="32">SUM(D188:F188)</f>
        <v>247409.41675675675</v>
      </c>
    </row>
    <row r="189" spans="3:7" ht="15.75" customHeight="1" x14ac:dyDescent="0.35">
      <c r="C189" s="43" t="s">
        <v>193</v>
      </c>
      <c r="D189" s="139">
        <v>143335.83567567565</v>
      </c>
      <c r="E189" s="140"/>
      <c r="F189" s="140"/>
      <c r="G189" s="44">
        <f t="shared" si="32"/>
        <v>143335.83567567565</v>
      </c>
    </row>
    <row r="190" spans="3:7" ht="15.75" customHeight="1" x14ac:dyDescent="0.35">
      <c r="C190" s="35" t="s">
        <v>194</v>
      </c>
      <c r="D190" s="141">
        <v>6567.5675675675675</v>
      </c>
      <c r="E190" s="116"/>
      <c r="F190" s="116"/>
      <c r="G190" s="42">
        <f t="shared" si="32"/>
        <v>6567.5675675675675</v>
      </c>
    </row>
    <row r="191" spans="3:7" ht="15.75" customHeight="1" x14ac:dyDescent="0.35">
      <c r="C191" s="35" t="s">
        <v>195</v>
      </c>
      <c r="D191" s="141">
        <v>11891.891891891892</v>
      </c>
      <c r="E191" s="141"/>
      <c r="F191" s="141"/>
      <c r="G191" s="42">
        <f t="shared" si="32"/>
        <v>11891.891891891892</v>
      </c>
    </row>
    <row r="192" spans="3:7" ht="15.75" customHeight="1" x14ac:dyDescent="0.35">
      <c r="C192" s="36" t="s">
        <v>196</v>
      </c>
      <c r="D192" s="141">
        <v>44000</v>
      </c>
      <c r="E192" s="141"/>
      <c r="F192" s="141"/>
      <c r="G192" s="42">
        <f t="shared" si="32"/>
        <v>44000</v>
      </c>
    </row>
    <row r="193" spans="3:13" ht="15.75" customHeight="1" x14ac:dyDescent="0.35">
      <c r="C193" s="35" t="s">
        <v>197</v>
      </c>
      <c r="D193" s="141">
        <v>9998.9864864864867</v>
      </c>
      <c r="E193" s="141"/>
      <c r="F193" s="141"/>
      <c r="G193" s="42">
        <f t="shared" si="32"/>
        <v>9998.9864864864867</v>
      </c>
    </row>
    <row r="194" spans="3:13" ht="15.75" customHeight="1" x14ac:dyDescent="0.35">
      <c r="C194" s="35" t="s">
        <v>198</v>
      </c>
      <c r="D194" s="141">
        <v>0</v>
      </c>
      <c r="E194" s="141"/>
      <c r="F194" s="141"/>
      <c r="G194" s="42">
        <f t="shared" si="32"/>
        <v>0</v>
      </c>
    </row>
    <row r="195" spans="3:13" ht="15.75" customHeight="1" x14ac:dyDescent="0.35">
      <c r="C195" s="35" t="s">
        <v>199</v>
      </c>
      <c r="D195" s="141">
        <v>31615.135135135137</v>
      </c>
      <c r="E195" s="141"/>
      <c r="F195" s="141"/>
      <c r="G195" s="42">
        <f t="shared" si="32"/>
        <v>31615.135135135137</v>
      </c>
    </row>
    <row r="196" spans="3:13" ht="15.75" customHeight="1" x14ac:dyDescent="0.35">
      <c r="C196" s="38" t="s">
        <v>200</v>
      </c>
      <c r="D196" s="48">
        <f t="shared" ref="D196:F196" si="33">SUM(D189:D195)</f>
        <v>247409.41675675675</v>
      </c>
      <c r="E196" s="48">
        <f t="shared" si="33"/>
        <v>0</v>
      </c>
      <c r="F196" s="48">
        <f t="shared" si="33"/>
        <v>0</v>
      </c>
      <c r="G196" s="42">
        <f t="shared" si="32"/>
        <v>247409.41675675675</v>
      </c>
    </row>
    <row r="197" spans="3:13" ht="15.75" customHeight="1" thickBot="1" x14ac:dyDescent="0.4"/>
    <row r="198" spans="3:13" ht="19.5" customHeight="1" thickBot="1" x14ac:dyDescent="0.4">
      <c r="C198" s="274" t="s">
        <v>169</v>
      </c>
      <c r="D198" s="275"/>
      <c r="E198" s="275"/>
      <c r="F198" s="275"/>
      <c r="G198" s="276"/>
    </row>
    <row r="199" spans="3:13" ht="19.5" customHeight="1" x14ac:dyDescent="0.35">
      <c r="C199" s="56"/>
      <c r="D199" s="269" t="str">
        <f>'1) Budget Tables'!D5</f>
        <v>Recipient Organization</v>
      </c>
      <c r="E199" s="41" t="s">
        <v>170</v>
      </c>
      <c r="F199" s="41" t="s">
        <v>171</v>
      </c>
      <c r="G199" s="270" t="s">
        <v>169</v>
      </c>
    </row>
    <row r="200" spans="3:13" ht="19.5" customHeight="1" x14ac:dyDescent="0.35">
      <c r="C200" s="56"/>
      <c r="D200" s="239"/>
      <c r="E200" s="37"/>
      <c r="F200" s="37"/>
      <c r="G200" s="241"/>
    </row>
    <row r="201" spans="3:13" ht="19.5" customHeight="1" x14ac:dyDescent="0.35">
      <c r="C201" s="14" t="s">
        <v>193</v>
      </c>
      <c r="D201" s="142">
        <f>SUM(D178,D167,D156,D145,D133,D122,D111,D100,D88,D77,D66,D55,D43,D32,D21,D10,D189)</f>
        <v>345340.7135135135</v>
      </c>
      <c r="E201" s="142">
        <f t="shared" ref="E201:F207" si="34">SUM(E178,E167,E156,E145,E133,E122,E111,E100,E88,E77,E66,E55,E43,E32,E21,E10)</f>
        <v>0</v>
      </c>
      <c r="F201" s="142">
        <f t="shared" si="34"/>
        <v>0</v>
      </c>
      <c r="G201" s="53">
        <f>SUM(D201:F201)</f>
        <v>345340.7135135135</v>
      </c>
    </row>
    <row r="202" spans="3:13" ht="34.5" customHeight="1" x14ac:dyDescent="0.35">
      <c r="C202" s="14" t="s">
        <v>194</v>
      </c>
      <c r="D202" s="142">
        <f t="shared" ref="D202:D206" si="35">SUM(D179,D168,D157,D146,D134,D123,D112,D101,D89,D78,D67,D56,D44,D33,D22,D11,D190)</f>
        <v>130660.81081081083</v>
      </c>
      <c r="E202" s="142">
        <f t="shared" si="34"/>
        <v>0</v>
      </c>
      <c r="F202" s="142">
        <f t="shared" si="34"/>
        <v>0</v>
      </c>
      <c r="G202" s="54">
        <f>SUM(D202:F202)</f>
        <v>130660.81081081083</v>
      </c>
    </row>
    <row r="203" spans="3:13" ht="48" customHeight="1" x14ac:dyDescent="0.35">
      <c r="C203" s="14" t="s">
        <v>195</v>
      </c>
      <c r="D203" s="142">
        <f t="shared" si="35"/>
        <v>55837.837837837833</v>
      </c>
      <c r="E203" s="142">
        <f t="shared" si="34"/>
        <v>0</v>
      </c>
      <c r="F203" s="142">
        <f t="shared" si="34"/>
        <v>0</v>
      </c>
      <c r="G203" s="54">
        <f t="shared" ref="G203:G207" si="36">SUM(D203:F203)</f>
        <v>55837.837837837833</v>
      </c>
    </row>
    <row r="204" spans="3:13" ht="33" customHeight="1" x14ac:dyDescent="0.35">
      <c r="C204" s="20" t="s">
        <v>196</v>
      </c>
      <c r="D204" s="142">
        <f t="shared" si="35"/>
        <v>213907.89189189189</v>
      </c>
      <c r="E204" s="142">
        <f t="shared" si="34"/>
        <v>0</v>
      </c>
      <c r="F204" s="142">
        <f t="shared" si="34"/>
        <v>0</v>
      </c>
      <c r="G204" s="54">
        <f t="shared" si="36"/>
        <v>213907.89189189189</v>
      </c>
    </row>
    <row r="205" spans="3:13" ht="21" customHeight="1" x14ac:dyDescent="0.35">
      <c r="C205" s="83" t="s">
        <v>197</v>
      </c>
      <c r="D205" s="143">
        <f t="shared" si="35"/>
        <v>53083.074324324327</v>
      </c>
      <c r="E205" s="142">
        <f t="shared" si="34"/>
        <v>0</v>
      </c>
      <c r="F205" s="142">
        <f t="shared" si="34"/>
        <v>0</v>
      </c>
      <c r="G205" s="54">
        <f t="shared" si="36"/>
        <v>53083.074324324327</v>
      </c>
      <c r="H205" s="111"/>
      <c r="I205" s="111"/>
      <c r="J205" s="111"/>
      <c r="K205" s="111"/>
      <c r="L205" s="111"/>
      <c r="M205" s="144"/>
    </row>
    <row r="206" spans="3:13" ht="39.75" customHeight="1" x14ac:dyDescent="0.35">
      <c r="C206" s="14" t="s">
        <v>198</v>
      </c>
      <c r="D206" s="145">
        <f t="shared" si="35"/>
        <v>705546.89999999991</v>
      </c>
      <c r="E206" s="146">
        <f t="shared" si="34"/>
        <v>0</v>
      </c>
      <c r="F206" s="142">
        <f t="shared" si="34"/>
        <v>0</v>
      </c>
      <c r="G206" s="54">
        <f t="shared" si="36"/>
        <v>705546.89999999991</v>
      </c>
      <c r="H206" s="182"/>
      <c r="I206" s="111"/>
      <c r="J206" s="111"/>
      <c r="K206" s="111"/>
      <c r="L206" s="111"/>
      <c r="M206" s="144"/>
    </row>
    <row r="207" spans="3:13" ht="23.25" customHeight="1" thickBot="1" x14ac:dyDescent="0.4">
      <c r="C207" s="14" t="s">
        <v>199</v>
      </c>
      <c r="D207" s="145">
        <f>SUM(D184,D173,D162,D151,D139,D128,D117,D106,D94,D83,D72,D61,D49,D38,D27,D16,D195)</f>
        <v>111223.24324324315</v>
      </c>
      <c r="E207" s="147">
        <f t="shared" si="34"/>
        <v>0</v>
      </c>
      <c r="F207" s="148">
        <f t="shared" si="34"/>
        <v>0</v>
      </c>
      <c r="G207" s="55">
        <f t="shared" si="36"/>
        <v>111223.24324324315</v>
      </c>
      <c r="H207" s="111"/>
      <c r="I207" s="111"/>
      <c r="J207" s="111"/>
      <c r="K207" s="111"/>
      <c r="L207" s="111"/>
      <c r="M207" s="144"/>
    </row>
    <row r="208" spans="3:13" ht="22.5" customHeight="1" thickBot="1" x14ac:dyDescent="0.4">
      <c r="C208" s="149" t="s">
        <v>211</v>
      </c>
      <c r="D208" s="150">
        <f>SUM(D201:D207)</f>
        <v>1615600.4716216214</v>
      </c>
      <c r="E208" s="82">
        <f t="shared" ref="E208:F208" si="37">SUM(E201:E207)</f>
        <v>0</v>
      </c>
      <c r="F208" s="57">
        <f t="shared" si="37"/>
        <v>0</v>
      </c>
      <c r="G208" s="58">
        <f>SUM(D208:F208)</f>
        <v>1615600.4716216214</v>
      </c>
      <c r="H208" s="111"/>
      <c r="I208" s="111"/>
      <c r="J208" s="111"/>
      <c r="K208" s="111"/>
      <c r="L208" s="111"/>
      <c r="M208" s="144"/>
    </row>
    <row r="209" spans="3:13" ht="22.5" customHeight="1" x14ac:dyDescent="0.35">
      <c r="C209" s="149" t="s">
        <v>212</v>
      </c>
      <c r="D209" s="150">
        <f>D208*0.07</f>
        <v>113092.03301351352</v>
      </c>
      <c r="E209" s="81"/>
      <c r="F209" s="81"/>
      <c r="G209" s="84"/>
      <c r="H209" s="111"/>
      <c r="I209" s="111"/>
      <c r="J209" s="111"/>
      <c r="K209" s="111"/>
      <c r="L209" s="111"/>
      <c r="M209" s="144"/>
    </row>
    <row r="210" spans="3:13" ht="22.5" customHeight="1" thickBot="1" x14ac:dyDescent="0.4">
      <c r="C210" s="85" t="s">
        <v>213</v>
      </c>
      <c r="D210" s="86">
        <f>SUM(D208:D209)</f>
        <v>1728692.5046351349</v>
      </c>
      <c r="E210" s="87"/>
      <c r="F210" s="87"/>
      <c r="G210" s="88"/>
      <c r="H210" s="111"/>
      <c r="I210" s="111"/>
      <c r="J210" s="111"/>
      <c r="K210" s="111"/>
      <c r="L210" s="111"/>
      <c r="M210" s="144"/>
    </row>
    <row r="211" spans="3:13" ht="15.75" customHeight="1" x14ac:dyDescent="0.35">
      <c r="H211" s="21"/>
      <c r="I211" s="21"/>
      <c r="J211" s="21"/>
      <c r="K211" s="21"/>
      <c r="L211" s="151"/>
      <c r="M211" s="118"/>
    </row>
    <row r="212" spans="3:13" ht="15.75" customHeight="1" x14ac:dyDescent="0.35">
      <c r="H212" s="21"/>
      <c r="I212" s="21"/>
      <c r="J212" s="21"/>
      <c r="K212" s="21"/>
      <c r="L212" s="151"/>
      <c r="M212" s="118"/>
    </row>
    <row r="213" spans="3:13" ht="15.75" customHeight="1" x14ac:dyDescent="0.35">
      <c r="L213" s="39"/>
    </row>
    <row r="214" spans="3:13" ht="15.75" customHeight="1" x14ac:dyDescent="0.35">
      <c r="H214" s="27"/>
      <c r="I214" s="27"/>
      <c r="L214" s="39"/>
    </row>
    <row r="215" spans="3:13" ht="15.75" customHeight="1" x14ac:dyDescent="0.35">
      <c r="H215" s="27"/>
      <c r="I215" s="27"/>
    </row>
    <row r="216" spans="3:13" ht="40.5" customHeight="1" x14ac:dyDescent="0.35">
      <c r="H216" s="27"/>
      <c r="I216" s="27"/>
      <c r="L216" s="40"/>
    </row>
    <row r="217" spans="3:13" ht="24.75" customHeight="1" x14ac:dyDescent="0.35">
      <c r="H217" s="27"/>
      <c r="I217" s="27"/>
      <c r="L217" s="40"/>
    </row>
    <row r="218" spans="3:13" ht="41.25" customHeight="1" x14ac:dyDescent="0.35">
      <c r="H218" s="152"/>
      <c r="I218" s="27"/>
      <c r="L218" s="40"/>
    </row>
    <row r="219" spans="3:13" ht="51.75" customHeight="1" x14ac:dyDescent="0.35">
      <c r="H219" s="152"/>
      <c r="I219" s="27"/>
      <c r="L219" s="40"/>
    </row>
    <row r="220" spans="3:13" ht="42" customHeight="1" x14ac:dyDescent="0.35">
      <c r="H220" s="27"/>
      <c r="I220" s="27"/>
      <c r="L220" s="40"/>
    </row>
    <row r="221" spans="3:13" s="118" customFormat="1" ht="42" customHeight="1" x14ac:dyDescent="0.35">
      <c r="C221" s="117"/>
      <c r="G221" s="117"/>
      <c r="H221" s="117"/>
      <c r="I221" s="27"/>
      <c r="J221" s="117"/>
      <c r="K221" s="117"/>
      <c r="L221" s="40"/>
      <c r="M221" s="117"/>
    </row>
    <row r="222" spans="3:13" s="118" customFormat="1" ht="42" customHeight="1" x14ac:dyDescent="0.35">
      <c r="C222" s="117"/>
      <c r="G222" s="117"/>
      <c r="H222" s="117"/>
      <c r="I222" s="27"/>
      <c r="J222" s="117"/>
      <c r="K222" s="117"/>
      <c r="L222" s="117"/>
      <c r="M222" s="117"/>
    </row>
    <row r="223" spans="3:13" s="118" customFormat="1" ht="63.75" customHeight="1" x14ac:dyDescent="0.35">
      <c r="C223" s="117"/>
      <c r="G223" s="117"/>
      <c r="H223" s="117"/>
      <c r="I223" s="39"/>
      <c r="J223" s="117"/>
      <c r="K223" s="117"/>
      <c r="L223" s="117"/>
      <c r="M223" s="117"/>
    </row>
    <row r="224" spans="3:13" s="118" customFormat="1" ht="42" customHeight="1" x14ac:dyDescent="0.35">
      <c r="C224" s="117"/>
      <c r="G224" s="117"/>
      <c r="H224" s="117"/>
      <c r="I224" s="117"/>
      <c r="J224" s="117"/>
      <c r="K224" s="117"/>
      <c r="L224" s="117"/>
      <c r="M224" s="39"/>
    </row>
    <row r="225" spans="14:14" ht="23.25" customHeight="1" x14ac:dyDescent="0.35"/>
    <row r="226" spans="14:14" ht="27.75" customHeight="1" x14ac:dyDescent="0.35"/>
    <row r="227" spans="14:14" ht="55.5" customHeight="1" x14ac:dyDescent="0.35"/>
    <row r="228" spans="14:14" ht="57.75" customHeight="1" x14ac:dyDescent="0.35"/>
    <row r="229" spans="14:14" ht="21.75" customHeight="1" x14ac:dyDescent="0.35"/>
    <row r="230" spans="14:14" ht="49.5" customHeight="1" x14ac:dyDescent="0.35"/>
    <row r="231" spans="14:14" ht="28.5" customHeight="1" x14ac:dyDescent="0.35"/>
    <row r="232" spans="14:14" ht="28.5" customHeight="1" x14ac:dyDescent="0.35"/>
    <row r="233" spans="14:14" ht="28.5" customHeight="1" x14ac:dyDescent="0.35"/>
    <row r="234" spans="14:14" ht="23.25" customHeight="1" x14ac:dyDescent="0.35">
      <c r="N234" s="39"/>
    </row>
    <row r="235" spans="14:14" ht="43.5" customHeight="1" x14ac:dyDescent="0.35">
      <c r="N235" s="39"/>
    </row>
    <row r="236" spans="14:14" ht="55.5" customHeight="1" x14ac:dyDescent="0.35"/>
    <row r="237" spans="14:14" ht="42.75" customHeight="1" x14ac:dyDescent="0.35">
      <c r="N237" s="39"/>
    </row>
    <row r="238" spans="14:14" ht="21.75" customHeight="1" x14ac:dyDescent="0.35">
      <c r="N238" s="39"/>
    </row>
    <row r="239" spans="14:14" ht="21.75" customHeight="1" x14ac:dyDescent="0.35">
      <c r="N239" s="39"/>
    </row>
    <row r="240" spans="14:14" ht="23.25" customHeight="1" x14ac:dyDescent="0.35"/>
    <row r="241" ht="23.25" customHeight="1" x14ac:dyDescent="0.35"/>
    <row r="242" ht="21.75" customHeight="1" x14ac:dyDescent="0.35"/>
    <row r="243" ht="16.5" customHeight="1" x14ac:dyDescent="0.35"/>
    <row r="244" ht="29.25" customHeight="1" x14ac:dyDescent="0.35"/>
    <row r="245" ht="24.75" customHeight="1" x14ac:dyDescent="0.35"/>
    <row r="246" ht="33" customHeight="1" x14ac:dyDescent="0.35"/>
    <row r="248" ht="15" customHeight="1" x14ac:dyDescent="0.35"/>
    <row r="249" ht="25.5" customHeight="1" x14ac:dyDescent="0.35"/>
  </sheetData>
  <sheetProtection sheet="1" formatCells="0" formatColumns="0" formatRows="0"/>
  <mergeCells count="26">
    <mergeCell ref="C30:G30"/>
    <mergeCell ref="C2:F2"/>
    <mergeCell ref="C4:E4"/>
    <mergeCell ref="B7:G7"/>
    <mergeCell ref="C8:G8"/>
    <mergeCell ref="C19:G19"/>
    <mergeCell ref="B142:G142"/>
    <mergeCell ref="C41:G41"/>
    <mergeCell ref="B52:G52"/>
    <mergeCell ref="C53:G53"/>
    <mergeCell ref="C64:G64"/>
    <mergeCell ref="C75:G75"/>
    <mergeCell ref="C86:G86"/>
    <mergeCell ref="B97:G97"/>
    <mergeCell ref="C98:G98"/>
    <mergeCell ref="C109:G109"/>
    <mergeCell ref="C120:G120"/>
    <mergeCell ref="C131:G131"/>
    <mergeCell ref="D199:D200"/>
    <mergeCell ref="G199:G200"/>
    <mergeCell ref="C143:G143"/>
    <mergeCell ref="C154:G154"/>
    <mergeCell ref="C165:G165"/>
    <mergeCell ref="C176:G176"/>
    <mergeCell ref="C187:G187"/>
    <mergeCell ref="C198:G198"/>
  </mergeCells>
  <conditionalFormatting sqref="D17">
    <cfRule type="cellIs" dxfId="39" priority="17" operator="notEqual">
      <formula>$D$9</formula>
    </cfRule>
  </conditionalFormatting>
  <conditionalFormatting sqref="D28">
    <cfRule type="cellIs" dxfId="38" priority="16" operator="notEqual">
      <formula>$D$20</formula>
    </cfRule>
  </conditionalFormatting>
  <conditionalFormatting sqref="D39">
    <cfRule type="cellIs" dxfId="37" priority="15" operator="notEqual">
      <formula>$D$31</formula>
    </cfRule>
  </conditionalFormatting>
  <conditionalFormatting sqref="D50">
    <cfRule type="cellIs" dxfId="36" priority="14" operator="notEqual">
      <formula>$D$42</formula>
    </cfRule>
  </conditionalFormatting>
  <conditionalFormatting sqref="D62">
    <cfRule type="cellIs" dxfId="35" priority="13" operator="notEqual">
      <formula>$D$54</formula>
    </cfRule>
  </conditionalFormatting>
  <conditionalFormatting sqref="D73">
    <cfRule type="cellIs" dxfId="34" priority="12" operator="notEqual">
      <formula>$D$65</formula>
    </cfRule>
  </conditionalFormatting>
  <conditionalFormatting sqref="D84">
    <cfRule type="cellIs" dxfId="33" priority="11" operator="notEqual">
      <formula>$D$76</formula>
    </cfRule>
  </conditionalFormatting>
  <conditionalFormatting sqref="D95">
    <cfRule type="cellIs" dxfId="32" priority="10" operator="notEqual">
      <formula>$D$87</formula>
    </cfRule>
  </conditionalFormatting>
  <conditionalFormatting sqref="D107">
    <cfRule type="cellIs" dxfId="31" priority="9" operator="notEqual">
      <formula>$D$99</formula>
    </cfRule>
  </conditionalFormatting>
  <conditionalFormatting sqref="D118">
    <cfRule type="cellIs" dxfId="30" priority="8" operator="notEqual">
      <formula>$D$110</formula>
    </cfRule>
  </conditionalFormatting>
  <conditionalFormatting sqref="D129">
    <cfRule type="cellIs" dxfId="29" priority="7" operator="notEqual">
      <formula>$D$121</formula>
    </cfRule>
  </conditionalFormatting>
  <conditionalFormatting sqref="D140">
    <cfRule type="cellIs" dxfId="28" priority="6" operator="notEqual">
      <formula>$D$132</formula>
    </cfRule>
  </conditionalFormatting>
  <conditionalFormatting sqref="D152">
    <cfRule type="cellIs" dxfId="27" priority="5" operator="notEqual">
      <formula>$D$144</formula>
    </cfRule>
  </conditionalFormatting>
  <conditionalFormatting sqref="D163">
    <cfRule type="cellIs" dxfId="26" priority="4" operator="notEqual">
      <formula>$D$155</formula>
    </cfRule>
  </conditionalFormatting>
  <conditionalFormatting sqref="D174">
    <cfRule type="cellIs" dxfId="25" priority="3" operator="notEqual">
      <formula>$D$166</formula>
    </cfRule>
  </conditionalFormatting>
  <conditionalFormatting sqref="D185">
    <cfRule type="cellIs" dxfId="24" priority="2" operator="notEqual">
      <formula>$D$177</formula>
    </cfRule>
  </conditionalFormatting>
  <conditionalFormatting sqref="D196">
    <cfRule type="cellIs" dxfId="23" priority="1" operator="notEqual">
      <formula>$D$188</formula>
    </cfRule>
  </conditionalFormatting>
  <conditionalFormatting sqref="G17">
    <cfRule type="cellIs" dxfId="22" priority="34" operator="notEqual">
      <formula>$G$9</formula>
    </cfRule>
  </conditionalFormatting>
  <conditionalFormatting sqref="G28">
    <cfRule type="cellIs" dxfId="21" priority="33" operator="notEqual">
      <formula>$G$20</formula>
    </cfRule>
  </conditionalFormatting>
  <conditionalFormatting sqref="G39:G40">
    <cfRule type="cellIs" dxfId="20" priority="32" operator="notEqual">
      <formula>$G$31</formula>
    </cfRule>
  </conditionalFormatting>
  <conditionalFormatting sqref="G50">
    <cfRule type="cellIs" dxfId="19" priority="31" operator="notEqual">
      <formula>$G$42</formula>
    </cfRule>
  </conditionalFormatting>
  <conditionalFormatting sqref="G62">
    <cfRule type="cellIs" dxfId="18" priority="30" operator="notEqual">
      <formula>$G$54</formula>
    </cfRule>
  </conditionalFormatting>
  <conditionalFormatting sqref="G73">
    <cfRule type="cellIs" dxfId="17" priority="29" operator="notEqual">
      <formula>$G$65</formula>
    </cfRule>
  </conditionalFormatting>
  <conditionalFormatting sqref="G84">
    <cfRule type="cellIs" dxfId="16" priority="28" operator="notEqual">
      <formula>$G$76</formula>
    </cfRule>
  </conditionalFormatting>
  <conditionalFormatting sqref="G95">
    <cfRule type="cellIs" dxfId="15" priority="27" operator="notEqual">
      <formula>$G$87</formula>
    </cfRule>
  </conditionalFormatting>
  <conditionalFormatting sqref="G107">
    <cfRule type="cellIs" dxfId="14" priority="26" operator="notEqual">
      <formula>$G$99</formula>
    </cfRule>
  </conditionalFormatting>
  <conditionalFormatting sqref="G118">
    <cfRule type="cellIs" dxfId="13" priority="25" operator="notEqual">
      <formula>$G$110</formula>
    </cfRule>
  </conditionalFormatting>
  <conditionalFormatting sqref="G129">
    <cfRule type="cellIs" dxfId="12" priority="24" operator="notEqual">
      <formula>$G$121</formula>
    </cfRule>
  </conditionalFormatting>
  <conditionalFormatting sqref="G140">
    <cfRule type="cellIs" dxfId="11" priority="23" operator="notEqual">
      <formula>$G$132</formula>
    </cfRule>
  </conditionalFormatting>
  <conditionalFormatting sqref="G152">
    <cfRule type="cellIs" dxfId="10" priority="22" operator="notEqual">
      <formula>$G$144</formula>
    </cfRule>
  </conditionalFormatting>
  <conditionalFormatting sqref="G163">
    <cfRule type="cellIs" dxfId="9" priority="21" operator="notEqual">
      <formula>$G$155</formula>
    </cfRule>
  </conditionalFormatting>
  <conditionalFormatting sqref="G174">
    <cfRule type="cellIs" dxfId="8" priority="20" operator="notEqual">
      <formula>$G$155</formula>
    </cfRule>
  </conditionalFormatting>
  <conditionalFormatting sqref="G185">
    <cfRule type="cellIs" dxfId="7" priority="19" operator="notEqual">
      <formula>$G$177</formula>
    </cfRule>
  </conditionalFormatting>
  <conditionalFormatting sqref="G196">
    <cfRule type="cellIs" dxfId="6" priority="18" operator="notEqual">
      <formula>$G$188</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6 C27 C38 C49 C61 C72 C83 C94 C106 C117 C128 C139 C151 C162 C173 C184 C207 C195" xr:uid="{7DC5ACAF-D562-4ADE-A235-04368F91F8E6}"/>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5 C26 C37 C48 C60 C71 C82 C93 C105 C116 C127 C138 C150 C161 C172 C183 C206 C194" xr:uid="{40F5E049-199D-4D13-8F13-FCE43B606885}"/>
    <dataValidation allowBlank="1" showInputMessage="1" showErrorMessage="1" prompt="Services contracted by an organization which follow the normal procurement processes." sqref="C13 C24 C35 C46 C58 C69 C80 C91 C103 C114 C125 C136 C148 C159 C170 C181 C204 C192" xr:uid="{F47A9F39-4BB6-4FAC-8760-29D21286CF22}"/>
    <dataValidation allowBlank="1" showInputMessage="1" showErrorMessage="1" prompt="Includes staff and non-staff travel paid for by the organization directly related to a project." sqref="C14 C25 C36 C47 C59 C70 C81 C92 C104 C115 C126 C137 C149 C160 C171 C182 C205 C193" xr:uid="{DD2DFCA9-3FFE-4992-839A-BCFA3565E634}"/>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2 C23 C34 C45 C57 C68 C79 C90 C102 C113 C124 C135 C147 C158 C169 C180 C203 C191" xr:uid="{F5B54586-C30B-4B08-994C-7A091B40480D}"/>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1 C22 C33 C44 C56 C67 C78 C89 C101 C112 C123 C134 C146 C157 C168 C179 C202 C190" xr:uid="{CDAEAE26-BDD2-4E91-9866-FB1F8D7CCE20}"/>
    <dataValidation allowBlank="1" showInputMessage="1" showErrorMessage="1" prompt="Includes all related staff and temporary staff costs including base salary, post adjustment and all staff entitlements." sqref="C10 C21 C32 C43 C55 C66 C77 C88 C100 C111 C122 C133 C145 C156 C167 C178 C201 C189" xr:uid="{ED562539-7D11-405E-B35C-BEDA96E22E60}"/>
    <dataValidation allowBlank="1" showInputMessage="1" showErrorMessage="1" prompt="Output totals must match the original total from Table 1, and will show as red if not. " sqref="G17" xr:uid="{46B29B89-1EB6-4382-B488-0C4370011017}"/>
  </dataValidations>
  <pageMargins left="0.7" right="0.7" top="0.75" bottom="0.75" header="0.3" footer="0.3"/>
  <pageSetup scale="39" fitToHeight="3" orientation="landscape" r:id="rId1"/>
  <rowBreaks count="1" manualBreakCount="1">
    <brk id="6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FAD32-3168-447E-9C74-E9DADD419CCD}">
  <sheetPr>
    <tabColor theme="2" tint="-0.499984740745262"/>
  </sheetPr>
  <dimension ref="B1:B16"/>
  <sheetViews>
    <sheetView showGridLines="0" topLeftCell="B12" workbookViewId="0">
      <selection activeCell="B22" sqref="B22"/>
    </sheetView>
  </sheetViews>
  <sheetFormatPr baseColWidth="10" defaultColWidth="8.81640625" defaultRowHeight="14.5" x14ac:dyDescent="0.35"/>
  <cols>
    <col min="2" max="2" width="73.26953125" customWidth="1"/>
  </cols>
  <sheetData>
    <row r="1" spans="2:2" ht="15" thickBot="1" x14ac:dyDescent="0.4"/>
    <row r="2" spans="2:2" ht="15" thickBot="1" x14ac:dyDescent="0.4">
      <c r="B2" s="8" t="s">
        <v>226</v>
      </c>
    </row>
    <row r="3" spans="2:2" x14ac:dyDescent="0.35">
      <c r="B3" s="5"/>
    </row>
    <row r="4" spans="2:2" ht="30.75" customHeight="1" x14ac:dyDescent="0.35">
      <c r="B4" s="6" t="s">
        <v>227</v>
      </c>
    </row>
    <row r="5" spans="2:2" ht="30.75" customHeight="1" x14ac:dyDescent="0.35">
      <c r="B5" s="6"/>
    </row>
    <row r="6" spans="2:2" ht="58" x14ac:dyDescent="0.35">
      <c r="B6" s="6" t="s">
        <v>228</v>
      </c>
    </row>
    <row r="7" spans="2:2" x14ac:dyDescent="0.35">
      <c r="B7" s="6"/>
    </row>
    <row r="8" spans="2:2" ht="58" x14ac:dyDescent="0.35">
      <c r="B8" s="6" t="s">
        <v>229</v>
      </c>
    </row>
    <row r="9" spans="2:2" x14ac:dyDescent="0.35">
      <c r="B9" s="6"/>
    </row>
    <row r="10" spans="2:2" ht="58" x14ac:dyDescent="0.35">
      <c r="B10" s="6" t="s">
        <v>230</v>
      </c>
    </row>
    <row r="11" spans="2:2" x14ac:dyDescent="0.35">
      <c r="B11" s="6"/>
    </row>
    <row r="12" spans="2:2" ht="29" x14ac:dyDescent="0.35">
      <c r="B12" s="6" t="s">
        <v>231</v>
      </c>
    </row>
    <row r="13" spans="2:2" x14ac:dyDescent="0.35">
      <c r="B13" s="6"/>
    </row>
    <row r="14" spans="2:2" ht="58" x14ac:dyDescent="0.35">
      <c r="B14" s="6" t="s">
        <v>232</v>
      </c>
    </row>
    <row r="15" spans="2:2" x14ac:dyDescent="0.35">
      <c r="B15" s="6"/>
    </row>
    <row r="16" spans="2:2" ht="44" thickBot="1" x14ac:dyDescent="0.4">
      <c r="B16" s="7" t="s">
        <v>233</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EC75F-A144-4111-92BD-50FF8E97CDB1}">
  <sheetPr>
    <tabColor theme="2" tint="-0.499984740745262"/>
  </sheetPr>
  <dimension ref="B1:D47"/>
  <sheetViews>
    <sheetView showGridLines="0" showZeros="0" zoomScale="80" zoomScaleNormal="80" zoomScaleSheetLayoutView="70" workbookViewId="0">
      <selection activeCell="E21" sqref="E21"/>
    </sheetView>
  </sheetViews>
  <sheetFormatPr baseColWidth="10" defaultColWidth="8.81640625" defaultRowHeight="14.5" x14ac:dyDescent="0.35"/>
  <cols>
    <col min="2" max="2" width="61.81640625" customWidth="1"/>
    <col min="4" max="4" width="17.81640625" customWidth="1"/>
  </cols>
  <sheetData>
    <row r="1" spans="2:4" ht="15" thickBot="1" x14ac:dyDescent="0.4"/>
    <row r="2" spans="2:4" x14ac:dyDescent="0.35">
      <c r="B2" s="280" t="s">
        <v>345</v>
      </c>
      <c r="C2" s="281"/>
      <c r="D2" s="282"/>
    </row>
    <row r="3" spans="2:4" ht="15" thickBot="1" x14ac:dyDescent="0.4">
      <c r="B3" s="283"/>
      <c r="C3" s="284"/>
      <c r="D3" s="285"/>
    </row>
    <row r="4" spans="2:4" ht="15" thickBot="1" x14ac:dyDescent="0.4"/>
    <row r="5" spans="2:4" x14ac:dyDescent="0.35">
      <c r="B5" s="286" t="s">
        <v>346</v>
      </c>
      <c r="C5" s="287"/>
      <c r="D5" s="288"/>
    </row>
    <row r="6" spans="2:4" ht="15" thickBot="1" x14ac:dyDescent="0.4">
      <c r="B6" s="289"/>
      <c r="C6" s="290"/>
      <c r="D6" s="291"/>
    </row>
    <row r="7" spans="2:4" x14ac:dyDescent="0.35">
      <c r="B7" s="197" t="s">
        <v>347</v>
      </c>
      <c r="C7" s="278">
        <f>SUM('[1]1) Budget Table'!D15:F15,'[1]1) Budget Table'!D25:F25,'[1]1) Budget Table'!D35:F35,'[1]1) Budget Table'!D45:F45)</f>
        <v>0</v>
      </c>
      <c r="D7" s="279"/>
    </row>
    <row r="8" spans="2:4" x14ac:dyDescent="0.35">
      <c r="B8" s="197" t="s">
        <v>348</v>
      </c>
      <c r="C8" s="292">
        <f>SUM(D10:D14)</f>
        <v>0</v>
      </c>
      <c r="D8" s="293"/>
    </row>
    <row r="9" spans="2:4" x14ac:dyDescent="0.35">
      <c r="B9" s="198" t="s">
        <v>349</v>
      </c>
      <c r="C9" s="199" t="s">
        <v>350</v>
      </c>
      <c r="D9" s="200" t="s">
        <v>351</v>
      </c>
    </row>
    <row r="10" spans="2:4" ht="35.15" customHeight="1" x14ac:dyDescent="0.35">
      <c r="B10" s="201"/>
      <c r="C10" s="202"/>
      <c r="D10" s="203">
        <f>$C$7*C10</f>
        <v>0</v>
      </c>
    </row>
    <row r="11" spans="2:4" ht="35.15" customHeight="1" x14ac:dyDescent="0.35">
      <c r="B11" s="201"/>
      <c r="C11" s="202"/>
      <c r="D11" s="203">
        <f>C7*C11</f>
        <v>0</v>
      </c>
    </row>
    <row r="12" spans="2:4" ht="35.15" customHeight="1" x14ac:dyDescent="0.35">
      <c r="B12" s="204"/>
      <c r="C12" s="202"/>
      <c r="D12" s="203">
        <f>C7*C12</f>
        <v>0</v>
      </c>
    </row>
    <row r="13" spans="2:4" ht="35.15" customHeight="1" x14ac:dyDescent="0.35">
      <c r="B13" s="204"/>
      <c r="C13" s="202"/>
      <c r="D13" s="203">
        <f>C7*C13</f>
        <v>0</v>
      </c>
    </row>
    <row r="14" spans="2:4" ht="35.15" customHeight="1" thickBot="1" x14ac:dyDescent="0.4">
      <c r="B14" s="205"/>
      <c r="C14" s="202"/>
      <c r="D14" s="206">
        <f>C7*C14</f>
        <v>0</v>
      </c>
    </row>
    <row r="15" spans="2:4" ht="15" thickBot="1" x14ac:dyDescent="0.4"/>
    <row r="16" spans="2:4" x14ac:dyDescent="0.35">
      <c r="B16" s="286" t="s">
        <v>352</v>
      </c>
      <c r="C16" s="287"/>
      <c r="D16" s="288"/>
    </row>
    <row r="17" spans="2:4" ht="15" thickBot="1" x14ac:dyDescent="0.4">
      <c r="B17" s="294"/>
      <c r="C17" s="295"/>
      <c r="D17" s="296"/>
    </row>
    <row r="18" spans="2:4" x14ac:dyDescent="0.35">
      <c r="B18" s="197" t="s">
        <v>347</v>
      </c>
      <c r="C18" s="278">
        <f>SUM('[1]1) Budget Table'!D57:F57,'[1]1) Budget Table'!D67:F67,'[1]1) Budget Table'!D77:F77,'[1]1) Budget Table'!D87:F87)</f>
        <v>0</v>
      </c>
      <c r="D18" s="279"/>
    </row>
    <row r="19" spans="2:4" x14ac:dyDescent="0.35">
      <c r="B19" s="197" t="s">
        <v>348</v>
      </c>
      <c r="C19" s="292">
        <f>SUM(D21:D25)</f>
        <v>0</v>
      </c>
      <c r="D19" s="293"/>
    </row>
    <row r="20" spans="2:4" x14ac:dyDescent="0.35">
      <c r="B20" s="198" t="s">
        <v>349</v>
      </c>
      <c r="C20" s="199" t="s">
        <v>350</v>
      </c>
      <c r="D20" s="200" t="s">
        <v>351</v>
      </c>
    </row>
    <row r="21" spans="2:4" ht="35.15" customHeight="1" x14ac:dyDescent="0.35">
      <c r="B21" s="207"/>
      <c r="C21" s="202"/>
      <c r="D21" s="203">
        <f>$C$18*C21</f>
        <v>0</v>
      </c>
    </row>
    <row r="22" spans="2:4" ht="35.15" customHeight="1" x14ac:dyDescent="0.35">
      <c r="B22" s="208"/>
      <c r="C22" s="202"/>
      <c r="D22" s="203">
        <f>$C$18*C22</f>
        <v>0</v>
      </c>
    </row>
    <row r="23" spans="2:4" ht="35.15" customHeight="1" x14ac:dyDescent="0.35">
      <c r="B23" s="209"/>
      <c r="C23" s="202"/>
      <c r="D23" s="203">
        <f>$C$18*C23</f>
        <v>0</v>
      </c>
    </row>
    <row r="24" spans="2:4" ht="35.15" customHeight="1" x14ac:dyDescent="0.35">
      <c r="B24" s="209"/>
      <c r="C24" s="202"/>
      <c r="D24" s="203">
        <f>$C$18*C24</f>
        <v>0</v>
      </c>
    </row>
    <row r="25" spans="2:4" ht="35.15" customHeight="1" thickBot="1" x14ac:dyDescent="0.4">
      <c r="B25" s="210"/>
      <c r="C25" s="202"/>
      <c r="D25" s="203">
        <f>$C$18*C25</f>
        <v>0</v>
      </c>
    </row>
    <row r="26" spans="2:4" ht="15" thickBot="1" x14ac:dyDescent="0.4"/>
    <row r="27" spans="2:4" x14ac:dyDescent="0.35">
      <c r="B27" s="286" t="s">
        <v>353</v>
      </c>
      <c r="C27" s="287"/>
      <c r="D27" s="288"/>
    </row>
    <row r="28" spans="2:4" ht="15" thickBot="1" x14ac:dyDescent="0.4">
      <c r="B28" s="289"/>
      <c r="C28" s="290"/>
      <c r="D28" s="291"/>
    </row>
    <row r="29" spans="2:4" x14ac:dyDescent="0.35">
      <c r="B29" s="197" t="s">
        <v>347</v>
      </c>
      <c r="C29" s="278">
        <f>SUM('[1]1) Budget Table'!D99:F99,'[1]1) Budget Table'!D109:F109,'[1]1) Budget Table'!D119:F119,'[1]1) Budget Table'!D129:F129)</f>
        <v>0</v>
      </c>
      <c r="D29" s="279"/>
    </row>
    <row r="30" spans="2:4" x14ac:dyDescent="0.35">
      <c r="B30" s="197" t="s">
        <v>348</v>
      </c>
      <c r="C30" s="292">
        <f>SUM(D32:D36)</f>
        <v>0</v>
      </c>
      <c r="D30" s="293"/>
    </row>
    <row r="31" spans="2:4" x14ac:dyDescent="0.35">
      <c r="B31" s="198" t="s">
        <v>349</v>
      </c>
      <c r="C31" s="199" t="s">
        <v>350</v>
      </c>
      <c r="D31" s="200" t="s">
        <v>351</v>
      </c>
    </row>
    <row r="32" spans="2:4" ht="35.15" customHeight="1" x14ac:dyDescent="0.35">
      <c r="B32" s="207"/>
      <c r="C32" s="202"/>
      <c r="D32" s="203">
        <f>$C$29*C32</f>
        <v>0</v>
      </c>
    </row>
    <row r="33" spans="2:4" ht="35.15" customHeight="1" x14ac:dyDescent="0.35">
      <c r="B33" s="208"/>
      <c r="C33" s="202"/>
      <c r="D33" s="203">
        <f>$C$29*C33</f>
        <v>0</v>
      </c>
    </row>
    <row r="34" spans="2:4" ht="35.15" customHeight="1" x14ac:dyDescent="0.35">
      <c r="B34" s="209"/>
      <c r="C34" s="202"/>
      <c r="D34" s="203">
        <f>$C$29*C34</f>
        <v>0</v>
      </c>
    </row>
    <row r="35" spans="2:4" ht="35.15" customHeight="1" x14ac:dyDescent="0.35">
      <c r="B35" s="209"/>
      <c r="C35" s="202"/>
      <c r="D35" s="203">
        <f>$C$29*C35</f>
        <v>0</v>
      </c>
    </row>
    <row r="36" spans="2:4" ht="35.15" customHeight="1" thickBot="1" x14ac:dyDescent="0.4">
      <c r="B36" s="210"/>
      <c r="C36" s="202"/>
      <c r="D36" s="203">
        <f>$C$29*C36</f>
        <v>0</v>
      </c>
    </row>
    <row r="37" spans="2:4" ht="15" thickBot="1" x14ac:dyDescent="0.4"/>
    <row r="38" spans="2:4" x14ac:dyDescent="0.35">
      <c r="B38" s="286" t="s">
        <v>354</v>
      </c>
      <c r="C38" s="287"/>
      <c r="D38" s="288"/>
    </row>
    <row r="39" spans="2:4" ht="15" thickBot="1" x14ac:dyDescent="0.4">
      <c r="B39" s="289"/>
      <c r="C39" s="290"/>
      <c r="D39" s="291"/>
    </row>
    <row r="40" spans="2:4" x14ac:dyDescent="0.35">
      <c r="B40" s="197" t="s">
        <v>347</v>
      </c>
      <c r="C40" s="278">
        <f>SUM('[1]1) Budget Table'!D141:F141,'[1]1) Budget Table'!D151:F151,'[1]1) Budget Table'!D161:F161,'[1]1) Budget Table'!D171:F171)</f>
        <v>0</v>
      </c>
      <c r="D40" s="279"/>
    </row>
    <row r="41" spans="2:4" x14ac:dyDescent="0.35">
      <c r="B41" s="197" t="s">
        <v>348</v>
      </c>
      <c r="C41" s="292">
        <f>SUM(D43:D47)</f>
        <v>0</v>
      </c>
      <c r="D41" s="293"/>
    </row>
    <row r="42" spans="2:4" x14ac:dyDescent="0.35">
      <c r="B42" s="198" t="s">
        <v>349</v>
      </c>
      <c r="C42" s="199" t="s">
        <v>350</v>
      </c>
      <c r="D42" s="200" t="s">
        <v>351</v>
      </c>
    </row>
    <row r="43" spans="2:4" ht="35.15" customHeight="1" x14ac:dyDescent="0.35">
      <c r="B43" s="207"/>
      <c r="C43" s="202"/>
      <c r="D43" s="203">
        <f>$C$40*C43</f>
        <v>0</v>
      </c>
    </row>
    <row r="44" spans="2:4" ht="35.15" customHeight="1" x14ac:dyDescent="0.35">
      <c r="B44" s="208"/>
      <c r="C44" s="202"/>
      <c r="D44" s="203">
        <f>$C$40*C44</f>
        <v>0</v>
      </c>
    </row>
    <row r="45" spans="2:4" ht="35.15" customHeight="1" x14ac:dyDescent="0.35">
      <c r="B45" s="209"/>
      <c r="C45" s="202"/>
      <c r="D45" s="203">
        <f>$C$40*C45</f>
        <v>0</v>
      </c>
    </row>
    <row r="46" spans="2:4" ht="35.15" customHeight="1" x14ac:dyDescent="0.35">
      <c r="B46" s="209"/>
      <c r="C46" s="202"/>
      <c r="D46" s="203">
        <f>$C$40*C46</f>
        <v>0</v>
      </c>
    </row>
    <row r="47" spans="2:4" ht="35.15" customHeight="1" thickBot="1" x14ac:dyDescent="0.4">
      <c r="B47" s="210"/>
      <c r="C47" s="202"/>
      <c r="D47" s="206">
        <f>$C$40*C47</f>
        <v>0</v>
      </c>
    </row>
  </sheetData>
  <sheetProtection sheet="1" objects="1" scenarios="1"/>
  <mergeCells count="17">
    <mergeCell ref="C30:D30"/>
    <mergeCell ref="B38:D38"/>
    <mergeCell ref="B39:D39"/>
    <mergeCell ref="C40:D40"/>
    <mergeCell ref="C41:D41"/>
    <mergeCell ref="C29:D29"/>
    <mergeCell ref="B2:D3"/>
    <mergeCell ref="B5:D5"/>
    <mergeCell ref="B6:D6"/>
    <mergeCell ref="C7:D7"/>
    <mergeCell ref="C8:D8"/>
    <mergeCell ref="B16:D16"/>
    <mergeCell ref="B17:D17"/>
    <mergeCell ref="C18:D18"/>
    <mergeCell ref="C19:D19"/>
    <mergeCell ref="B27:D27"/>
    <mergeCell ref="B28:D28"/>
  </mergeCells>
  <conditionalFormatting sqref="C8:D8">
    <cfRule type="cellIs" dxfId="5" priority="4" operator="greaterThan">
      <formula>$C$7</formula>
    </cfRule>
  </conditionalFormatting>
  <conditionalFormatting sqref="C19:D19">
    <cfRule type="cellIs" dxfId="4" priority="3" operator="greaterThan">
      <formula>$C$18</formula>
    </cfRule>
  </conditionalFormatting>
  <conditionalFormatting sqref="C30:D30">
    <cfRule type="cellIs" dxfId="3" priority="2" operator="greaterThan">
      <formula>$C$29</formula>
    </cfRule>
  </conditionalFormatting>
  <conditionalFormatting sqref="C41:D41">
    <cfRule type="cellIs" dxfId="2" priority="1" operator="greaterThan">
      <formula>$C$40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659BA-0F11-4D6E-98C4-543B8B914711}">
  <sheetPr>
    <tabColor theme="2" tint="-0.499984740745262"/>
  </sheetPr>
  <dimension ref="B1:I25"/>
  <sheetViews>
    <sheetView showGridLines="0" topLeftCell="A12" zoomScale="80" zoomScaleNormal="80" workbookViewId="0">
      <selection activeCell="C17" sqref="C17"/>
    </sheetView>
  </sheetViews>
  <sheetFormatPr baseColWidth="10"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7265625" customWidth="1"/>
    <col min="9" max="10" width="15.81640625" bestFit="1" customWidth="1"/>
    <col min="11" max="11" width="11.1796875" bestFit="1" customWidth="1"/>
  </cols>
  <sheetData>
    <row r="1" spans="2:9" ht="15" thickBot="1" x14ac:dyDescent="0.4"/>
    <row r="2" spans="2:9" s="183" customFormat="1" ht="15.5" x14ac:dyDescent="0.35">
      <c r="B2" s="297" t="s">
        <v>306</v>
      </c>
      <c r="C2" s="298"/>
      <c r="D2" s="298"/>
      <c r="E2" s="298"/>
      <c r="F2" s="299"/>
    </row>
    <row r="3" spans="2:9" s="183" customFormat="1" ht="16" thickBot="1" x14ac:dyDescent="0.4">
      <c r="B3" s="300"/>
      <c r="C3" s="301"/>
      <c r="D3" s="301"/>
      <c r="E3" s="301"/>
      <c r="F3" s="302"/>
    </row>
    <row r="4" spans="2:9" s="183" customFormat="1" ht="16" thickBot="1" x14ac:dyDescent="0.4"/>
    <row r="5" spans="2:9" s="183" customFormat="1" ht="16" thickBot="1" x14ac:dyDescent="0.4">
      <c r="B5" s="274" t="s">
        <v>169</v>
      </c>
      <c r="C5" s="275"/>
      <c r="D5" s="275"/>
      <c r="E5" s="275"/>
      <c r="F5" s="276"/>
    </row>
    <row r="6" spans="2:9" s="183" customFormat="1" ht="15.5" x14ac:dyDescent="0.35">
      <c r="B6" s="56"/>
      <c r="C6" s="303" t="str">
        <f>'[1]1) Budget Table'!D4</f>
        <v>Recipient Organization 1</v>
      </c>
      <c r="D6" s="303" t="str">
        <f>'[1]1) Budget Table'!E4</f>
        <v>Recipient Organization 2</v>
      </c>
      <c r="E6" s="303" t="str">
        <f>'[1]1) Budget Table'!F4</f>
        <v>Recipient Organization 3</v>
      </c>
      <c r="F6" s="270" t="s">
        <v>169</v>
      </c>
    </row>
    <row r="7" spans="2:9" s="183" customFormat="1" ht="15.5" x14ac:dyDescent="0.35">
      <c r="B7" s="56"/>
      <c r="C7" s="304"/>
      <c r="D7" s="304"/>
      <c r="E7" s="304"/>
      <c r="F7" s="241"/>
    </row>
    <row r="8" spans="2:9" s="183" customFormat="1" ht="31" x14ac:dyDescent="0.35">
      <c r="B8" s="14" t="s">
        <v>193</v>
      </c>
      <c r="C8" s="308">
        <v>241738.49945945945</v>
      </c>
      <c r="D8" s="142"/>
      <c r="E8" s="142"/>
      <c r="F8" s="313">
        <f t="shared" ref="F8:F15" si="0">SUM(C8:E8)</f>
        <v>241738.49945945945</v>
      </c>
      <c r="H8" s="318"/>
      <c r="I8" s="307"/>
    </row>
    <row r="9" spans="2:9" s="183" customFormat="1" ht="46.5" x14ac:dyDescent="0.35">
      <c r="B9" s="14" t="s">
        <v>194</v>
      </c>
      <c r="C9" s="308">
        <v>91462.567567567574</v>
      </c>
      <c r="D9" s="142"/>
      <c r="E9" s="142"/>
      <c r="F9" s="314">
        <f t="shared" si="0"/>
        <v>91462.567567567574</v>
      </c>
      <c r="H9" s="318"/>
      <c r="I9" s="307"/>
    </row>
    <row r="10" spans="2:9" s="183" customFormat="1" ht="62" x14ac:dyDescent="0.35">
      <c r="B10" s="14" t="s">
        <v>195</v>
      </c>
      <c r="C10" s="308">
        <v>39086.486486486487</v>
      </c>
      <c r="D10" s="142"/>
      <c r="E10" s="142"/>
      <c r="F10" s="314">
        <f t="shared" si="0"/>
        <v>39086.486486486487</v>
      </c>
      <c r="H10" s="318"/>
      <c r="I10" s="307"/>
    </row>
    <row r="11" spans="2:9" s="183" customFormat="1" ht="31" x14ac:dyDescent="0.35">
      <c r="B11" s="20" t="s">
        <v>196</v>
      </c>
      <c r="C11" s="308">
        <v>149735.52432432433</v>
      </c>
      <c r="D11" s="142"/>
      <c r="E11" s="142"/>
      <c r="F11" s="314">
        <f t="shared" si="0"/>
        <v>149735.52432432433</v>
      </c>
      <c r="H11" s="318"/>
      <c r="I11" s="307"/>
    </row>
    <row r="12" spans="2:9" s="183" customFormat="1" ht="15.5" x14ac:dyDescent="0.35">
      <c r="B12" s="14" t="s">
        <v>197</v>
      </c>
      <c r="C12" s="308">
        <v>37158.152027027027</v>
      </c>
      <c r="D12" s="142"/>
      <c r="E12" s="142"/>
      <c r="F12" s="314">
        <f t="shared" si="0"/>
        <v>37158.152027027027</v>
      </c>
      <c r="H12" s="318"/>
      <c r="I12" s="307"/>
    </row>
    <row r="13" spans="2:9" s="183" customFormat="1" ht="46.5" x14ac:dyDescent="0.35">
      <c r="B13" s="14" t="s">
        <v>198</v>
      </c>
      <c r="C13" s="308">
        <v>493882.82999999996</v>
      </c>
      <c r="D13" s="142"/>
      <c r="E13" s="142"/>
      <c r="F13" s="314">
        <f t="shared" si="0"/>
        <v>493882.82999999996</v>
      </c>
      <c r="H13" s="318"/>
      <c r="I13" s="307"/>
    </row>
    <row r="14" spans="2:9" s="183" customFormat="1" ht="31.5" thickBot="1" x14ac:dyDescent="0.4">
      <c r="B14" s="184" t="s">
        <v>199</v>
      </c>
      <c r="C14" s="309">
        <v>77856.270270270208</v>
      </c>
      <c r="D14" s="148"/>
      <c r="E14" s="148"/>
      <c r="F14" s="315">
        <f t="shared" si="0"/>
        <v>77856.270270270208</v>
      </c>
      <c r="H14" s="318"/>
      <c r="I14" s="307"/>
    </row>
    <row r="15" spans="2:9" s="183" customFormat="1" ht="30" customHeight="1" x14ac:dyDescent="0.35">
      <c r="B15" s="185" t="s">
        <v>343</v>
      </c>
      <c r="C15" s="317">
        <f>SUM(C8:C14)</f>
        <v>1130920.330135135</v>
      </c>
      <c r="D15" s="191">
        <f>SUM(D8:D14)</f>
        <v>0</v>
      </c>
      <c r="E15" s="191">
        <f>SUM(E8:E14)</f>
        <v>0</v>
      </c>
      <c r="F15" s="316">
        <f t="shared" si="0"/>
        <v>1130920.330135135</v>
      </c>
    </row>
    <row r="16" spans="2:9" s="183" customFormat="1" ht="19.5" customHeight="1" x14ac:dyDescent="0.35">
      <c r="B16" s="149" t="s">
        <v>212</v>
      </c>
      <c r="C16" s="310">
        <f>C15*0.07</f>
        <v>79164.423109459458</v>
      </c>
      <c r="D16" s="192">
        <f t="shared" ref="D16:F16" si="1">D15*0.07</f>
        <v>0</v>
      </c>
      <c r="E16" s="192">
        <f t="shared" si="1"/>
        <v>0</v>
      </c>
      <c r="F16" s="310">
        <f t="shared" si="1"/>
        <v>79164.423109459458</v>
      </c>
    </row>
    <row r="17" spans="2:7" s="183" customFormat="1" ht="25.5" customHeight="1" thickBot="1" x14ac:dyDescent="0.4">
      <c r="B17" s="85" t="s">
        <v>9</v>
      </c>
      <c r="C17" s="319">
        <f>C15+C16</f>
        <v>1210084.7532445944</v>
      </c>
      <c r="D17" s="86">
        <f t="shared" ref="D17:F17" si="2">D15+D16</f>
        <v>0</v>
      </c>
      <c r="E17" s="86">
        <f t="shared" si="2"/>
        <v>0</v>
      </c>
      <c r="F17" s="311">
        <f t="shared" si="2"/>
        <v>1210084.7532445944</v>
      </c>
    </row>
    <row r="18" spans="2:7" s="183" customFormat="1" ht="16" thickBot="1" x14ac:dyDescent="0.4"/>
    <row r="19" spans="2:7" s="183" customFormat="1" ht="15.75" customHeight="1" x14ac:dyDescent="0.35">
      <c r="B19" s="232" t="s">
        <v>174</v>
      </c>
      <c r="C19" s="233"/>
      <c r="D19" s="233"/>
      <c r="E19" s="233"/>
      <c r="F19" s="234"/>
      <c r="G19" s="193"/>
    </row>
    <row r="20" spans="2:7" ht="15.75" customHeight="1" x14ac:dyDescent="0.35">
      <c r="B20" s="305"/>
      <c r="C20" s="238" t="str">
        <f>'[1]1) Budget Table'!D4</f>
        <v>Recipient Organization 1</v>
      </c>
      <c r="D20" s="238" t="str">
        <f>'[1]1) Budget Table'!E4</f>
        <v>Recipient Organization 2</v>
      </c>
      <c r="E20" s="238" t="str">
        <f>'[1]1) Budget Table'!F4</f>
        <v>Recipient Organization 3</v>
      </c>
      <c r="F20" s="238" t="s">
        <v>213</v>
      </c>
      <c r="G20" s="240" t="s">
        <v>175</v>
      </c>
    </row>
    <row r="21" spans="2:7" ht="15.75" customHeight="1" x14ac:dyDescent="0.35">
      <c r="B21" s="306"/>
      <c r="C21" s="239"/>
      <c r="D21" s="239"/>
      <c r="E21" s="239"/>
      <c r="F21" s="239"/>
      <c r="G21" s="241"/>
    </row>
    <row r="22" spans="2:7" ht="23.25" customHeight="1" x14ac:dyDescent="0.35">
      <c r="B22" s="18" t="s">
        <v>176</v>
      </c>
      <c r="C22" s="186">
        <f>'1) Budget Tables'!D200</f>
        <v>605042.37662229722</v>
      </c>
      <c r="D22" s="186"/>
      <c r="E22" s="186"/>
      <c r="F22" s="194">
        <f>SUM(C22:E22)</f>
        <v>605042.37662229722</v>
      </c>
      <c r="G22" s="226">
        <f>F22/$F$25</f>
        <v>0.35</v>
      </c>
    </row>
    <row r="23" spans="2:7" ht="24.75" customHeight="1" x14ac:dyDescent="0.35">
      <c r="B23" s="18" t="s">
        <v>177</v>
      </c>
      <c r="C23" s="186">
        <f>'1) Budget Tables'!D201</f>
        <v>605042.37662229722</v>
      </c>
      <c r="D23" s="186"/>
      <c r="E23" s="186"/>
      <c r="F23" s="194">
        <f>SUM(C23:E23)</f>
        <v>605042.37662229722</v>
      </c>
      <c r="G23" s="226">
        <f t="shared" ref="G23:G25" si="3">F23/$F$25</f>
        <v>0.35</v>
      </c>
    </row>
    <row r="24" spans="2:7" ht="24.75" customHeight="1" x14ac:dyDescent="0.35">
      <c r="B24" s="18" t="s">
        <v>307</v>
      </c>
      <c r="C24" s="186">
        <f>'1) Budget Tables'!D202</f>
        <v>518607.75139054045</v>
      </c>
      <c r="D24" s="186"/>
      <c r="E24" s="186"/>
      <c r="F24" s="194">
        <f>SUM(C24:E24)</f>
        <v>518607.75139054045</v>
      </c>
      <c r="G24" s="226">
        <f>F24/$F$25</f>
        <v>0.3</v>
      </c>
    </row>
    <row r="25" spans="2:7" ht="16" thickBot="1" x14ac:dyDescent="0.4">
      <c r="B25" s="10" t="s">
        <v>213</v>
      </c>
      <c r="C25" s="195">
        <f>SUM(C22:C24)</f>
        <v>1728692.5046351349</v>
      </c>
      <c r="D25" s="195">
        <f t="shared" ref="D25:E25" si="4">SUM(D22:D24)</f>
        <v>0</v>
      </c>
      <c r="E25" s="195">
        <f t="shared" si="4"/>
        <v>0</v>
      </c>
      <c r="F25" s="195">
        <f>SUM(F22:F24)</f>
        <v>1728692.5046351349</v>
      </c>
      <c r="G25" s="187">
        <f t="shared" si="3"/>
        <v>1</v>
      </c>
    </row>
  </sheetData>
  <sheetProtection formatCells="0" formatColumns="0" formatRows="0"/>
  <mergeCells count="13">
    <mergeCell ref="G20:G21"/>
    <mergeCell ref="B19:F19"/>
    <mergeCell ref="B20:B21"/>
    <mergeCell ref="C20:C21"/>
    <mergeCell ref="D20:D21"/>
    <mergeCell ref="E20:E21"/>
    <mergeCell ref="F20:F21"/>
    <mergeCell ref="B2:F3"/>
    <mergeCell ref="B5:F5"/>
    <mergeCell ref="C6:C7"/>
    <mergeCell ref="D6:D7"/>
    <mergeCell ref="E6:E7"/>
    <mergeCell ref="F6:F7"/>
  </mergeCells>
  <dataValidations count="7">
    <dataValidation allowBlank="1" showInputMessage="1" showErrorMessage="1" prompt=" Includes all general operating costs for running an office. Examples include telecommunication, rents, finance charges and other costs which cannot be mapped to other expense categories." sqref="B14" xr:uid="{F8A28B5F-68D6-4642-8393-8DFF6DCC9A3D}"/>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6D7EE361-EAA0-488C-B9E6-6EB2A910D101}"/>
    <dataValidation allowBlank="1" showInputMessage="1" showErrorMessage="1" prompt="Services contracted by an organization which follow the normal procurement processes." sqref="B11" xr:uid="{594C80BB-C00E-41CE-8270-F09FF94E965E}"/>
    <dataValidation allowBlank="1" showInputMessage="1" showErrorMessage="1" prompt="Includes staff and non-staff travel paid for by the organization directly related to a project." sqref="B12" xr:uid="{9A1861EF-7617-4B50-A4AF-2935C7E03625}"/>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92D98C9A-5578-4111-84CF-684DF960237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35A71DD0-E9C2-4358-B2EC-06A418217CFF}"/>
    <dataValidation allowBlank="1" showInputMessage="1" showErrorMessage="1" prompt="Includes all related staff and temporary staff costs including base salary, post adjustment and all staff entitlements." sqref="B8" xr:uid="{00F4AD45-72F6-4206-A5F5-D542319676BA}"/>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103CF-5B36-4D20-A18B-D76F1775FF5A}">
  <dimension ref="A3:L63"/>
  <sheetViews>
    <sheetView topLeftCell="A25" zoomScale="55" zoomScaleNormal="55" workbookViewId="0">
      <selection activeCell="D13" sqref="D13"/>
    </sheetView>
  </sheetViews>
  <sheetFormatPr baseColWidth="10" defaultRowHeight="18.5" x14ac:dyDescent="0.45"/>
  <cols>
    <col min="1" max="1" width="12.7265625" style="212" customWidth="1"/>
    <col min="2" max="2" width="15.54296875" customWidth="1"/>
    <col min="3" max="3" width="15.1796875" style="188" customWidth="1"/>
    <col min="4" max="5" width="11" style="188" bestFit="1" customWidth="1"/>
    <col min="7" max="7" width="18.453125" bestFit="1" customWidth="1"/>
    <col min="8" max="8" width="20.08984375" style="188" bestFit="1" customWidth="1"/>
    <col min="11" max="11" width="57.08984375" bestFit="1" customWidth="1"/>
    <col min="12" max="12" width="11.81640625" bestFit="1" customWidth="1"/>
    <col min="16" max="16" width="11.36328125" bestFit="1" customWidth="1"/>
  </cols>
  <sheetData>
    <row r="3" spans="1:12" ht="19" thickBot="1" x14ac:dyDescent="0.5">
      <c r="A3" s="211">
        <v>2023</v>
      </c>
      <c r="G3" s="222" t="s">
        <v>358</v>
      </c>
      <c r="H3" s="221"/>
      <c r="J3" s="211">
        <v>2023</v>
      </c>
    </row>
    <row r="4" spans="1:12" x14ac:dyDescent="0.45">
      <c r="B4" t="s">
        <v>336</v>
      </c>
      <c r="C4" s="188" t="s">
        <v>337</v>
      </c>
      <c r="D4" s="188" t="s">
        <v>338</v>
      </c>
      <c r="E4" s="188" t="s">
        <v>339</v>
      </c>
      <c r="G4" s="189" t="s">
        <v>336</v>
      </c>
      <c r="H4" s="188" t="s">
        <v>342</v>
      </c>
      <c r="K4" s="213" t="s">
        <v>193</v>
      </c>
      <c r="L4" s="216">
        <v>239424.59088500001</v>
      </c>
    </row>
    <row r="5" spans="1:12" x14ac:dyDescent="0.45">
      <c r="B5" t="s">
        <v>309</v>
      </c>
      <c r="C5" s="188">
        <v>239323712.54999995</v>
      </c>
      <c r="D5" s="188">
        <v>54584.459999999955</v>
      </c>
      <c r="E5" s="188">
        <v>58533.760990000017</v>
      </c>
      <c r="G5" s="154" t="s">
        <v>309</v>
      </c>
      <c r="H5" s="188">
        <v>101663.26930200013</v>
      </c>
      <c r="K5" s="214" t="s">
        <v>194</v>
      </c>
      <c r="L5" s="217">
        <v>47868.116442000006</v>
      </c>
    </row>
    <row r="6" spans="1:12" x14ac:dyDescent="0.45">
      <c r="B6" t="s">
        <v>310</v>
      </c>
      <c r="C6" s="188">
        <v>118737763.49000011</v>
      </c>
      <c r="D6" s="188">
        <v>26890.220000000008</v>
      </c>
      <c r="E6" s="188">
        <v>29277.405848000002</v>
      </c>
      <c r="G6" s="154" t="s">
        <v>310</v>
      </c>
      <c r="H6" s="188">
        <v>40714.429683000002</v>
      </c>
      <c r="K6" s="214" t="s">
        <v>195</v>
      </c>
      <c r="L6" s="217">
        <v>47648.889532000016</v>
      </c>
    </row>
    <row r="7" spans="1:12" x14ac:dyDescent="0.45">
      <c r="B7" t="s">
        <v>311</v>
      </c>
      <c r="C7" s="188">
        <v>18023920.140000001</v>
      </c>
      <c r="D7" s="188">
        <v>4045.7900000000009</v>
      </c>
      <c r="E7" s="188">
        <v>4366.9118690000041</v>
      </c>
      <c r="G7" s="154" t="s">
        <v>311</v>
      </c>
      <c r="H7" s="188">
        <v>16877.303771000003</v>
      </c>
      <c r="K7" s="214" t="s">
        <v>196</v>
      </c>
      <c r="L7" s="217">
        <v>113787.40365899986</v>
      </c>
    </row>
    <row r="8" spans="1:12" x14ac:dyDescent="0.45">
      <c r="B8" t="s">
        <v>312</v>
      </c>
      <c r="C8" s="188">
        <v>304508727.50999999</v>
      </c>
      <c r="D8" s="188">
        <v>68738.22000000003</v>
      </c>
      <c r="E8" s="188">
        <v>74041.590683999835</v>
      </c>
      <c r="G8" s="154" t="s">
        <v>312</v>
      </c>
      <c r="H8" s="188">
        <v>115198.57555699983</v>
      </c>
      <c r="K8" s="214" t="s">
        <v>197</v>
      </c>
      <c r="L8" s="217">
        <v>32138.001024000063</v>
      </c>
    </row>
    <row r="9" spans="1:12" x14ac:dyDescent="0.45">
      <c r="B9" t="s">
        <v>313</v>
      </c>
      <c r="C9" s="188">
        <v>143683796.37</v>
      </c>
      <c r="D9" s="188">
        <v>32499.450000000019</v>
      </c>
      <c r="E9" s="188">
        <v>35089.589152000059</v>
      </c>
      <c r="G9" s="154" t="s">
        <v>313</v>
      </c>
      <c r="H9" s="188">
        <v>78552.638513000042</v>
      </c>
      <c r="K9" s="214" t="s">
        <v>198</v>
      </c>
      <c r="L9" s="217">
        <v>424487.03053999972</v>
      </c>
    </row>
    <row r="10" spans="1:12" ht="19" thickBot="1" x14ac:dyDescent="0.5">
      <c r="B10" t="s">
        <v>314</v>
      </c>
      <c r="C10" s="188">
        <v>90317594.409999982</v>
      </c>
      <c r="D10" s="188">
        <v>20401.329999999998</v>
      </c>
      <c r="E10" s="188">
        <v>22069.309659999984</v>
      </c>
      <c r="G10" s="154" t="s">
        <v>314</v>
      </c>
      <c r="H10" s="188">
        <v>98312.587974000067</v>
      </c>
      <c r="K10" s="215" t="s">
        <v>199</v>
      </c>
      <c r="L10" s="218">
        <f>54333.297253+6</f>
        <v>54339.297252999997</v>
      </c>
    </row>
    <row r="11" spans="1:12" x14ac:dyDescent="0.45">
      <c r="B11" t="s">
        <v>315</v>
      </c>
      <c r="C11" s="188">
        <v>38512850.75</v>
      </c>
      <c r="D11" s="188">
        <v>8658.2599999999948</v>
      </c>
      <c r="E11" s="188">
        <v>9388.4204059999956</v>
      </c>
      <c r="G11" s="154" t="s">
        <v>315</v>
      </c>
      <c r="H11" s="188">
        <v>24804.011474999996</v>
      </c>
      <c r="L11" s="219">
        <f>SUM(L4:L10)</f>
        <v>959693.32933499955</v>
      </c>
    </row>
    <row r="12" spans="1:12" x14ac:dyDescent="0.45">
      <c r="B12" t="s">
        <v>316</v>
      </c>
      <c r="C12" s="188">
        <v>65351683.929999992</v>
      </c>
      <c r="D12" s="188">
        <v>14992.380000000008</v>
      </c>
      <c r="E12" s="188">
        <v>16015.181664999996</v>
      </c>
      <c r="G12" s="154" t="s">
        <v>316</v>
      </c>
      <c r="H12" s="188">
        <v>44509.596349999985</v>
      </c>
    </row>
    <row r="13" spans="1:12" x14ac:dyDescent="0.45">
      <c r="B13" t="s">
        <v>317</v>
      </c>
      <c r="C13" s="188">
        <v>15548709.069999997</v>
      </c>
      <c r="D13" s="188">
        <v>3554.69</v>
      </c>
      <c r="E13" s="188">
        <v>3851.5614150000001</v>
      </c>
      <c r="G13" s="154" t="s">
        <v>317</v>
      </c>
      <c r="H13" s="188">
        <v>14594.151126000004</v>
      </c>
    </row>
    <row r="14" spans="1:12" x14ac:dyDescent="0.45">
      <c r="B14" t="s">
        <v>318</v>
      </c>
      <c r="C14" s="188">
        <v>4163358.88</v>
      </c>
      <c r="D14" s="188">
        <v>933.38999999999987</v>
      </c>
      <c r="E14" s="188">
        <v>1010.6626739999999</v>
      </c>
      <c r="G14" s="154" t="s">
        <v>356</v>
      </c>
      <c r="H14" s="188">
        <v>56171.295217999999</v>
      </c>
    </row>
    <row r="15" spans="1:12" x14ac:dyDescent="0.45">
      <c r="B15" t="s">
        <v>319</v>
      </c>
      <c r="C15" s="188">
        <v>66563228.200000003</v>
      </c>
      <c r="D15" s="188">
        <v>15218.330000000002</v>
      </c>
      <c r="E15" s="188">
        <v>16512.512054000003</v>
      </c>
      <c r="G15" s="154" t="s">
        <v>318</v>
      </c>
      <c r="H15" s="188">
        <v>4337.239482</v>
      </c>
    </row>
    <row r="16" spans="1:12" x14ac:dyDescent="0.45">
      <c r="B16" t="s">
        <v>320</v>
      </c>
      <c r="C16" s="188">
        <v>4034999</v>
      </c>
      <c r="D16" s="188">
        <v>927.96999999999991</v>
      </c>
      <c r="E16" s="188">
        <v>1002.436641</v>
      </c>
      <c r="G16" s="154" t="s">
        <v>319</v>
      </c>
      <c r="H16" s="188">
        <v>20855.837910000002</v>
      </c>
    </row>
    <row r="17" spans="2:8" x14ac:dyDescent="0.45">
      <c r="B17" t="s">
        <v>321</v>
      </c>
      <c r="C17" s="188">
        <v>3000000</v>
      </c>
      <c r="D17" s="188">
        <v>693.99</v>
      </c>
      <c r="E17" s="188">
        <v>762.34801500000003</v>
      </c>
      <c r="G17" s="154" t="s">
        <v>320</v>
      </c>
      <c r="H17" s="188">
        <v>24052.583422999996</v>
      </c>
    </row>
    <row r="18" spans="2:8" x14ac:dyDescent="0.45">
      <c r="B18" t="s">
        <v>322</v>
      </c>
      <c r="C18" s="188">
        <v>62061128.310000025</v>
      </c>
      <c r="D18" s="188">
        <v>13975.340000000011</v>
      </c>
      <c r="E18" s="188">
        <v>15146.810347999992</v>
      </c>
      <c r="G18" s="154" t="s">
        <v>321</v>
      </c>
      <c r="H18" s="188">
        <v>35705.019065000008</v>
      </c>
    </row>
    <row r="19" spans="2:8" x14ac:dyDescent="0.45">
      <c r="B19" t="s">
        <v>323</v>
      </c>
      <c r="C19" s="188">
        <v>3741620</v>
      </c>
      <c r="D19" s="188">
        <v>865.5</v>
      </c>
      <c r="E19" s="188">
        <v>950.27029000000005</v>
      </c>
      <c r="G19" s="154" t="s">
        <v>355</v>
      </c>
      <c r="H19" s="188">
        <v>3014.5084119999988</v>
      </c>
    </row>
    <row r="20" spans="2:8" x14ac:dyDescent="0.45">
      <c r="B20" t="s">
        <v>324</v>
      </c>
      <c r="C20" s="188">
        <v>29143530.800000001</v>
      </c>
      <c r="D20" s="188">
        <v>6471.4600000000009</v>
      </c>
      <c r="E20" s="188">
        <v>7003.2422699999997</v>
      </c>
      <c r="G20" s="154" t="s">
        <v>322</v>
      </c>
      <c r="H20" s="188">
        <v>54790.786204000018</v>
      </c>
    </row>
    <row r="21" spans="2:8" x14ac:dyDescent="0.45">
      <c r="B21" t="s">
        <v>325</v>
      </c>
      <c r="C21" s="188">
        <v>50723546.600000009</v>
      </c>
      <c r="D21" s="188">
        <v>11379.610000000008</v>
      </c>
      <c r="E21" s="188">
        <v>12347.903723999994</v>
      </c>
      <c r="G21" s="154" t="s">
        <v>323</v>
      </c>
      <c r="H21" s="188">
        <v>16030.983804999954</v>
      </c>
    </row>
    <row r="22" spans="2:8" x14ac:dyDescent="0.45">
      <c r="B22" t="s">
        <v>326</v>
      </c>
      <c r="C22" s="188">
        <v>120018203.68000001</v>
      </c>
      <c r="D22" s="188">
        <v>26536.06</v>
      </c>
      <c r="E22" s="188">
        <v>28767.824354000019</v>
      </c>
      <c r="G22" s="154" t="s">
        <v>357</v>
      </c>
      <c r="H22" s="188">
        <v>14330.499880000001</v>
      </c>
    </row>
    <row r="23" spans="2:8" x14ac:dyDescent="0.45">
      <c r="B23" t="s">
        <v>327</v>
      </c>
      <c r="C23" s="188">
        <v>5423220</v>
      </c>
      <c r="D23" s="188">
        <v>1249.44</v>
      </c>
      <c r="E23" s="188">
        <v>1328.2424980000001</v>
      </c>
      <c r="G23" s="154" t="s">
        <v>324</v>
      </c>
      <c r="H23" s="188">
        <v>12002.933088999998</v>
      </c>
    </row>
    <row r="24" spans="2:8" x14ac:dyDescent="0.45">
      <c r="B24" t="s">
        <v>328</v>
      </c>
      <c r="C24" s="188">
        <v>32174718.120000001</v>
      </c>
      <c r="D24" s="188">
        <v>7396.86</v>
      </c>
      <c r="E24" s="188">
        <v>7882.3114049999995</v>
      </c>
      <c r="G24" s="154" t="s">
        <v>325</v>
      </c>
      <c r="H24" s="188">
        <v>32377.683203000008</v>
      </c>
    </row>
    <row r="25" spans="2:8" x14ac:dyDescent="0.45">
      <c r="B25" t="s">
        <v>329</v>
      </c>
      <c r="C25" s="188">
        <v>4400000</v>
      </c>
      <c r="D25" s="188">
        <v>977.43000000000006</v>
      </c>
      <c r="E25" s="188">
        <v>1051.135432</v>
      </c>
      <c r="G25" s="154" t="s">
        <v>326</v>
      </c>
      <c r="H25" s="188">
        <v>66119.832147000008</v>
      </c>
    </row>
    <row r="26" spans="2:8" x14ac:dyDescent="0.45">
      <c r="B26" t="s">
        <v>330</v>
      </c>
      <c r="C26" s="188">
        <v>14432470</v>
      </c>
      <c r="D26" s="188">
        <v>3280.8700000000013</v>
      </c>
      <c r="E26" s="188">
        <v>3572.3957489999998</v>
      </c>
      <c r="G26" s="154" t="s">
        <v>327</v>
      </c>
      <c r="H26" s="188">
        <v>2662.651304</v>
      </c>
    </row>
    <row r="27" spans="2:8" x14ac:dyDescent="0.45">
      <c r="B27" t="s">
        <v>331</v>
      </c>
      <c r="C27" s="188">
        <v>67029535</v>
      </c>
      <c r="D27" s="188">
        <v>14989.389999999994</v>
      </c>
      <c r="E27" s="188">
        <v>16088.539509000006</v>
      </c>
      <c r="G27" s="154" t="s">
        <v>328</v>
      </c>
      <c r="H27" s="188">
        <v>7882.3114049999995</v>
      </c>
    </row>
    <row r="28" spans="2:8" x14ac:dyDescent="0.45">
      <c r="B28" t="s">
        <v>332</v>
      </c>
      <c r="C28" s="188">
        <v>60749692.540000007</v>
      </c>
      <c r="D28" s="188">
        <v>13392.569999999998</v>
      </c>
      <c r="E28" s="188">
        <v>14514.769105999998</v>
      </c>
      <c r="G28" s="154" t="s">
        <v>329</v>
      </c>
      <c r="H28" s="188">
        <v>11907.878387000001</v>
      </c>
    </row>
    <row r="29" spans="2:8" x14ac:dyDescent="0.45">
      <c r="B29" t="s">
        <v>333</v>
      </c>
      <c r="C29" s="188">
        <v>3562650</v>
      </c>
      <c r="D29" s="188">
        <v>790.31999999999994</v>
      </c>
      <c r="E29" s="188">
        <v>859.84911300000022</v>
      </c>
      <c r="G29" s="154" t="s">
        <v>330</v>
      </c>
      <c r="H29" s="188">
        <v>4785.9133599999996</v>
      </c>
    </row>
    <row r="30" spans="2:8" x14ac:dyDescent="0.45">
      <c r="B30" t="s">
        <v>334</v>
      </c>
      <c r="C30" s="188">
        <v>10724906.039999999</v>
      </c>
      <c r="D30" s="188">
        <v>2465.62</v>
      </c>
      <c r="E30" s="188">
        <v>2627.437246</v>
      </c>
      <c r="G30" s="154" t="s">
        <v>331</v>
      </c>
      <c r="H30" s="188">
        <v>17697.916641000007</v>
      </c>
    </row>
    <row r="31" spans="2:8" x14ac:dyDescent="0.45">
      <c r="B31" t="s">
        <v>335</v>
      </c>
      <c r="C31" s="188">
        <v>10573818</v>
      </c>
      <c r="D31" s="188">
        <v>2303.3700000000003</v>
      </c>
      <c r="E31" s="188">
        <v>2484.8380919999995</v>
      </c>
      <c r="G31" s="154" t="s">
        <v>332</v>
      </c>
      <c r="H31" s="188">
        <v>32199.325549999987</v>
      </c>
    </row>
    <row r="32" spans="2:8" x14ac:dyDescent="0.45">
      <c r="G32" s="154" t="s">
        <v>333</v>
      </c>
      <c r="H32" s="188">
        <v>863.43126300000017</v>
      </c>
    </row>
    <row r="33" spans="1:8" x14ac:dyDescent="0.45">
      <c r="G33" s="154" t="s">
        <v>334</v>
      </c>
      <c r="H33" s="188">
        <v>2627.437246</v>
      </c>
    </row>
    <row r="34" spans="1:8" x14ac:dyDescent="0.45">
      <c r="A34" s="211">
        <v>2024</v>
      </c>
      <c r="G34" s="154" t="s">
        <v>335</v>
      </c>
      <c r="H34" s="188">
        <v>4044.69859</v>
      </c>
    </row>
    <row r="35" spans="1:8" x14ac:dyDescent="0.45">
      <c r="G35" s="154" t="s">
        <v>340</v>
      </c>
    </row>
    <row r="36" spans="1:8" x14ac:dyDescent="0.45">
      <c r="B36" t="s">
        <v>309</v>
      </c>
      <c r="C36" s="188">
        <v>164067033.48999995</v>
      </c>
      <c r="D36" s="188">
        <v>39760.879999999946</v>
      </c>
      <c r="E36" s="188">
        <v>43129.508312000115</v>
      </c>
      <c r="G36" s="154" t="s">
        <v>341</v>
      </c>
      <c r="H36" s="188">
        <v>959687.32933500002</v>
      </c>
    </row>
    <row r="37" spans="1:8" x14ac:dyDescent="0.45">
      <c r="B37" t="s">
        <v>310</v>
      </c>
      <c r="C37" s="188">
        <v>43900972.520000055</v>
      </c>
      <c r="D37" s="188">
        <v>10486.229999999989</v>
      </c>
      <c r="E37" s="188">
        <v>11437.023835000002</v>
      </c>
    </row>
    <row r="38" spans="1:8" x14ac:dyDescent="0.45">
      <c r="B38" t="s">
        <v>311</v>
      </c>
      <c r="C38" s="188">
        <v>47661352.959999993</v>
      </c>
      <c r="D38" s="188">
        <v>11508.789999999995</v>
      </c>
      <c r="E38" s="188">
        <v>12510.391901999999</v>
      </c>
    </row>
    <row r="39" spans="1:8" x14ac:dyDescent="0.45">
      <c r="B39" t="s">
        <v>312</v>
      </c>
      <c r="C39" s="188">
        <v>158425579.32999998</v>
      </c>
      <c r="D39" s="188">
        <v>37876.630000000034</v>
      </c>
      <c r="E39" s="188">
        <v>41156.984872999987</v>
      </c>
    </row>
    <row r="40" spans="1:8" x14ac:dyDescent="0.45">
      <c r="B40" t="s">
        <v>313</v>
      </c>
      <c r="C40" s="188">
        <v>165697561.59999999</v>
      </c>
      <c r="D40" s="188">
        <v>40102.159999999996</v>
      </c>
      <c r="E40" s="188">
        <v>43463.049360999976</v>
      </c>
    </row>
    <row r="41" spans="1:8" x14ac:dyDescent="0.45">
      <c r="B41" t="s">
        <v>314</v>
      </c>
      <c r="C41" s="188">
        <v>289878841.24000013</v>
      </c>
      <c r="D41" s="188">
        <v>70378.419999999634</v>
      </c>
      <c r="E41" s="188">
        <v>76243.278314000083</v>
      </c>
    </row>
    <row r="42" spans="1:8" x14ac:dyDescent="0.45">
      <c r="B42" t="s">
        <v>315</v>
      </c>
      <c r="C42" s="188">
        <v>58717693.610000014</v>
      </c>
      <c r="D42" s="188">
        <v>14198.130000000001</v>
      </c>
      <c r="E42" s="188">
        <v>15415.591069</v>
      </c>
    </row>
    <row r="43" spans="1:8" x14ac:dyDescent="0.45">
      <c r="B43" t="s">
        <v>316</v>
      </c>
      <c r="C43" s="188">
        <v>107959033.95000003</v>
      </c>
      <c r="D43" s="188">
        <v>26253.179999999997</v>
      </c>
      <c r="E43" s="188">
        <v>28494.414684999989</v>
      </c>
    </row>
    <row r="44" spans="1:8" x14ac:dyDescent="0.45">
      <c r="B44" t="s">
        <v>317</v>
      </c>
      <c r="C44" s="188">
        <v>40423016.849999994</v>
      </c>
      <c r="D44" s="188">
        <v>9968.8199999999888</v>
      </c>
      <c r="E44" s="188">
        <v>10742.589711000004</v>
      </c>
    </row>
    <row r="45" spans="1:8" x14ac:dyDescent="0.45">
      <c r="B45" t="s">
        <v>356</v>
      </c>
      <c r="C45" s="188">
        <v>211910635.26999995</v>
      </c>
      <c r="D45" s="188">
        <v>52070.19999999999</v>
      </c>
      <c r="E45" s="188">
        <v>56171.295217999999</v>
      </c>
    </row>
    <row r="46" spans="1:8" x14ac:dyDescent="0.45">
      <c r="B46" t="s">
        <v>318</v>
      </c>
      <c r="C46" s="188">
        <v>12686620.139999999</v>
      </c>
      <c r="D46" s="188">
        <v>3075.1099999999992</v>
      </c>
      <c r="E46" s="188">
        <v>3326.5768079999998</v>
      </c>
    </row>
    <row r="47" spans="1:8" x14ac:dyDescent="0.45">
      <c r="B47" t="s">
        <v>319</v>
      </c>
      <c r="C47" s="188">
        <v>16713734.74</v>
      </c>
      <c r="D47" s="188">
        <v>3975.0000000000014</v>
      </c>
      <c r="E47" s="188">
        <v>4343.3258559999986</v>
      </c>
    </row>
    <row r="48" spans="1:8" x14ac:dyDescent="0.45">
      <c r="B48" t="s">
        <v>320</v>
      </c>
      <c r="C48" s="188">
        <v>87083925</v>
      </c>
      <c r="D48" s="188">
        <v>21335.859999999993</v>
      </c>
      <c r="E48" s="188">
        <v>23050.146781999996</v>
      </c>
    </row>
    <row r="49" spans="2:5" x14ac:dyDescent="0.45">
      <c r="B49" t="s">
        <v>321</v>
      </c>
      <c r="C49" s="188">
        <v>131266924.53</v>
      </c>
      <c r="D49" s="188">
        <v>32205.059999999983</v>
      </c>
      <c r="E49" s="188">
        <v>34942.671050000004</v>
      </c>
    </row>
    <row r="50" spans="2:5" x14ac:dyDescent="0.45">
      <c r="B50" t="s">
        <v>355</v>
      </c>
      <c r="C50" s="188">
        <v>11629295</v>
      </c>
      <c r="D50" s="188">
        <v>2745.4799999999982</v>
      </c>
      <c r="E50" s="188">
        <v>3014.5084119999988</v>
      </c>
    </row>
    <row r="51" spans="2:5" x14ac:dyDescent="0.45">
      <c r="B51" t="s">
        <v>322</v>
      </c>
      <c r="C51" s="188">
        <v>151510012.68000004</v>
      </c>
      <c r="D51" s="188">
        <v>36356.859999999986</v>
      </c>
      <c r="E51" s="188">
        <v>39643.975856000026</v>
      </c>
    </row>
    <row r="52" spans="2:5" x14ac:dyDescent="0.45">
      <c r="B52" t="s">
        <v>323</v>
      </c>
      <c r="C52" s="188">
        <v>57435700</v>
      </c>
      <c r="D52" s="188">
        <v>13931.739999999965</v>
      </c>
      <c r="E52" s="188">
        <v>15080.713514999954</v>
      </c>
    </row>
    <row r="53" spans="2:5" x14ac:dyDescent="0.45">
      <c r="B53" t="s">
        <v>357</v>
      </c>
      <c r="C53" s="188">
        <v>55648604.460000001</v>
      </c>
      <c r="D53" s="188">
        <v>12961.040000000005</v>
      </c>
      <c r="E53" s="188">
        <v>14330.499880000001</v>
      </c>
    </row>
    <row r="54" spans="2:5" x14ac:dyDescent="0.45">
      <c r="B54" t="s">
        <v>324</v>
      </c>
      <c r="C54" s="188">
        <v>19234678</v>
      </c>
      <c r="D54" s="188">
        <v>4595.4799999999977</v>
      </c>
      <c r="E54" s="188">
        <v>4999.6908189999995</v>
      </c>
    </row>
    <row r="55" spans="2:5" x14ac:dyDescent="0.45">
      <c r="B55" t="s">
        <v>325</v>
      </c>
      <c r="C55" s="188">
        <v>76134385.289999992</v>
      </c>
      <c r="D55" s="188">
        <v>18450.249999999985</v>
      </c>
      <c r="E55" s="188">
        <v>20029.779479000012</v>
      </c>
    </row>
    <row r="56" spans="2:5" x14ac:dyDescent="0.45">
      <c r="B56" t="s">
        <v>326</v>
      </c>
      <c r="C56" s="188">
        <v>142313495.97000006</v>
      </c>
      <c r="D56" s="188">
        <v>34398.939999999995</v>
      </c>
      <c r="E56" s="188">
        <v>37352.007792999997</v>
      </c>
    </row>
    <row r="57" spans="2:5" x14ac:dyDescent="0.45">
      <c r="B57" t="s">
        <v>327</v>
      </c>
      <c r="C57" s="188">
        <v>5109229</v>
      </c>
      <c r="D57" s="188">
        <v>1225.9099999999999</v>
      </c>
      <c r="E57" s="188">
        <v>1334.4088060000001</v>
      </c>
    </row>
    <row r="58" spans="2:5" x14ac:dyDescent="0.45">
      <c r="B58" t="s">
        <v>329</v>
      </c>
      <c r="C58" s="188">
        <v>40876280</v>
      </c>
      <c r="D58" s="188">
        <v>10024.790000000003</v>
      </c>
      <c r="E58" s="188">
        <v>10856.742955000002</v>
      </c>
    </row>
    <row r="59" spans="2:5" x14ac:dyDescent="0.45">
      <c r="B59" t="s">
        <v>330</v>
      </c>
      <c r="C59" s="188">
        <v>4616683.5</v>
      </c>
      <c r="D59" s="188">
        <v>1123.1300000000001</v>
      </c>
      <c r="E59" s="188">
        <v>1213.5176109999998</v>
      </c>
    </row>
    <row r="60" spans="2:5" x14ac:dyDescent="0.45">
      <c r="B60" t="s">
        <v>331</v>
      </c>
      <c r="C60" s="188">
        <v>6494605</v>
      </c>
      <c r="D60" s="188">
        <v>1484.9599999999991</v>
      </c>
      <c r="E60" s="188">
        <v>1609.3771320000001</v>
      </c>
    </row>
    <row r="61" spans="2:5" x14ac:dyDescent="0.45">
      <c r="B61" t="s">
        <v>332</v>
      </c>
      <c r="C61" s="188">
        <v>67329936.159999996</v>
      </c>
      <c r="D61" s="188">
        <v>16298.99</v>
      </c>
      <c r="E61" s="188">
        <v>17684.556443999991</v>
      </c>
    </row>
    <row r="62" spans="2:5" x14ac:dyDescent="0.45">
      <c r="B62" t="s">
        <v>333</v>
      </c>
      <c r="C62" s="188">
        <v>13445</v>
      </c>
      <c r="D62" s="188">
        <v>3.3</v>
      </c>
      <c r="E62" s="188">
        <v>3.5821499999999995</v>
      </c>
    </row>
    <row r="63" spans="2:5" x14ac:dyDescent="0.45">
      <c r="B63" t="s">
        <v>335</v>
      </c>
      <c r="C63" s="188">
        <v>5935835</v>
      </c>
      <c r="D63" s="188">
        <v>1443.0200000000007</v>
      </c>
      <c r="E63" s="188">
        <v>1559.8604980000002</v>
      </c>
    </row>
  </sheetData>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Annual Report</DocumentType>
    <UploadedBy xmlns="b1528a4b-5ccb-40f7-a09e-43427183cd95">irene.rojas@undp.org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MPTF_00006_00984</ProjectId>
    <FundCode xmlns="f9695bc1-6109-4dcd-a27a-f8a0370b00e2">MPTF_00006</FundCode>
    <Comments xmlns="f9695bc1-6109-4dcd-a27a-f8a0370b00e2">Annual Financial Report</Comments>
    <Active xmlns="f9695bc1-6109-4dcd-a27a-f8a0370b00e2">Yes</Active>
    <DocumentDate xmlns="b1528a4b-5ccb-40f7-a09e-43427183cd95">2024-11-15T08:00:00+00:00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58D2AE27-346B-4D4E-BC3D-49023466867A}">
  <ds:schemaRefs>
    <ds:schemaRef ds:uri="http://schemas.microsoft.com/sharepoint/v3/contenttype/forms"/>
  </ds:schemaRefs>
</ds:datastoreItem>
</file>

<file path=customXml/itemProps2.xml><?xml version="1.0" encoding="utf-8"?>
<ds:datastoreItem xmlns:ds="http://schemas.openxmlformats.org/officeDocument/2006/customXml" ds:itemID="{2C5C35CF-763C-4B16-AC3F-349E93D8EF22}"/>
</file>

<file path=customXml/itemProps3.xml><?xml version="1.0" encoding="utf-8"?>
<ds:datastoreItem xmlns:ds="http://schemas.openxmlformats.org/officeDocument/2006/customXml" ds:itemID="{8F654EB7-5DB4-40A6-AEE8-186D72BF95CC}">
  <ds:schemaRefs>
    <ds:schemaRef ds:uri="http://schemas.openxmlformats.org/package/2006/metadata/core-properties"/>
    <ds:schemaRef ds:uri="http://schemas.microsoft.com/office/infopath/2007/PartnerControls"/>
    <ds:schemaRef ds:uri="2238f6d0-145a-4ee0-8ea9-6c37e0ff8338"/>
    <ds:schemaRef ds:uri="http://schemas.microsoft.com/office/2006/documentManagement/types"/>
    <ds:schemaRef ds:uri="http://purl.org/dc/dcmitype/"/>
    <ds:schemaRef ds:uri="http://purl.org/dc/elements/1.1/"/>
    <ds:schemaRef ds:uri="a94ac3ef-398b-4c80-bf9f-bd270d287631"/>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Instructions</vt:lpstr>
      <vt:lpstr>1) Budget Tables</vt:lpstr>
      <vt:lpstr>2) By Category</vt:lpstr>
      <vt:lpstr>3) Explanatory Notes</vt:lpstr>
      <vt:lpstr>4) -For PBSO Use-</vt:lpstr>
      <vt:lpstr>5) -For MPTF Use-</vt:lpstr>
      <vt:lpstr>SOURCE 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Financial Report 2024.xlsx</dc:title>
  <dc:subject/>
  <dc:creator>Jelena Zelenovic</dc:creator>
  <cp:keywords/>
  <dc:description/>
  <cp:lastModifiedBy>Leonardo Ramirez V</cp:lastModifiedBy>
  <cp:revision/>
  <dcterms:created xsi:type="dcterms:W3CDTF">2017-11-15T21:17:43Z</dcterms:created>
  <dcterms:modified xsi:type="dcterms:W3CDTF">2024-11-14T21:31:00Z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