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boubacar.bah\Desktop\SPBF\"/>
    </mc:Choice>
  </mc:AlternateContent>
  <xr:revisionPtr revIDLastSave="0" documentId="8_{462C995B-DCD9-44D5-8F23-E64069FD06FF}" xr6:coauthVersionLast="47" xr6:coauthVersionMax="47" xr10:uidLastSave="{00000000-0000-0000-0000-000000000000}"/>
  <bookViews>
    <workbookView xWindow="-110" yWindow="-110" windowWidth="19420" windowHeight="11500" tabRatio="693"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definedNames>
    <definedName name="XDO_?XDOFIELD34?">#REF!</definedName>
    <definedName name="XDO_?XDOFIELD35?">#REF!</definedName>
    <definedName name="_xlnm.Print_Area" localSheetId="1">'1) Tableau budgétaire 1'!$A$1:$O$79</definedName>
    <definedName name="_xlnm.Print_Area" localSheetId="2">'2) Tableau budgétaire 2'!$A$1:$H$86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1" l="1"/>
  <c r="D79" i="5"/>
  <c r="J10" i="1"/>
  <c r="J9" i="1"/>
  <c r="M54" i="1"/>
  <c r="M49" i="1"/>
  <c r="M41" i="1"/>
  <c r="M29" i="1"/>
  <c r="M23" i="1"/>
  <c r="L54" i="1"/>
  <c r="G11" i="5"/>
  <c r="J13" i="1"/>
  <c r="J12" i="1"/>
  <c r="J11" i="1"/>
  <c r="M17" i="1" l="1"/>
  <c r="M55" i="1" s="1"/>
  <c r="H78" i="5"/>
  <c r="H79" i="5"/>
  <c r="H82" i="5"/>
  <c r="H83" i="5"/>
  <c r="G83" i="5"/>
  <c r="G81" i="5"/>
  <c r="G80" i="5"/>
  <c r="G79" i="5"/>
  <c r="G78" i="5"/>
  <c r="J41" i="1"/>
  <c r="J47" i="1"/>
  <c r="J45" i="1"/>
  <c r="L49" i="1" s="1"/>
  <c r="J38" i="1"/>
  <c r="J37" i="1"/>
  <c r="J28" i="1"/>
  <c r="J26" i="1"/>
  <c r="J16" i="1"/>
  <c r="L23" i="1"/>
  <c r="H58" i="1"/>
  <c r="J35" i="1"/>
  <c r="K33" i="1"/>
  <c r="J21" i="1"/>
  <c r="J23" i="1" s="1"/>
  <c r="J15" i="1"/>
  <c r="I48" i="1"/>
  <c r="K48" i="1" s="1"/>
  <c r="I46" i="1"/>
  <c r="K46" i="1" s="1"/>
  <c r="I38" i="1"/>
  <c r="K38" i="1" s="1"/>
  <c r="I32" i="1"/>
  <c r="K32" i="1" s="1"/>
  <c r="I33" i="1"/>
  <c r="I34" i="1"/>
  <c r="K34" i="1" s="1"/>
  <c r="I31" i="1"/>
  <c r="K31" i="1" s="1"/>
  <c r="I26" i="1"/>
  <c r="K26" i="1" s="1"/>
  <c r="H49" i="1"/>
  <c r="I21" i="1"/>
  <c r="K21" i="1" s="1"/>
  <c r="I19" i="1"/>
  <c r="K19" i="1" s="1"/>
  <c r="K23" i="1" s="1"/>
  <c r="G70" i="1"/>
  <c r="G71" i="1"/>
  <c r="G53" i="1"/>
  <c r="I53" i="1" s="1"/>
  <c r="K53" i="1" s="1"/>
  <c r="G51" i="1"/>
  <c r="I51" i="1" s="1"/>
  <c r="K51" i="1" s="1"/>
  <c r="G48" i="1"/>
  <c r="G46" i="1"/>
  <c r="G45" i="1"/>
  <c r="I45" i="1" s="1"/>
  <c r="K45" i="1" s="1"/>
  <c r="G38" i="1"/>
  <c r="G39" i="1"/>
  <c r="I39" i="1" s="1"/>
  <c r="K39" i="1" s="1"/>
  <c r="G40" i="1"/>
  <c r="I40" i="1" s="1"/>
  <c r="K40" i="1" s="1"/>
  <c r="G36" i="1"/>
  <c r="I36" i="1" s="1"/>
  <c r="K36" i="1" s="1"/>
  <c r="G37" i="1"/>
  <c r="I37" i="1" s="1"/>
  <c r="G32" i="1"/>
  <c r="G33" i="1"/>
  <c r="G34" i="1"/>
  <c r="G31" i="1"/>
  <c r="G28" i="1"/>
  <c r="I28" i="1" s="1"/>
  <c r="G26" i="1"/>
  <c r="G27" i="1"/>
  <c r="I27" i="1" s="1"/>
  <c r="K27" i="1" s="1"/>
  <c r="G25" i="1"/>
  <c r="I25" i="1" s="1"/>
  <c r="K25" i="1" s="1"/>
  <c r="G22" i="1"/>
  <c r="I22" i="1" s="1"/>
  <c r="K22" i="1" s="1"/>
  <c r="G20" i="1"/>
  <c r="I20" i="1" s="1"/>
  <c r="K20" i="1" s="1"/>
  <c r="G21" i="1"/>
  <c r="G19" i="1"/>
  <c r="G8" i="1"/>
  <c r="I8" i="1" s="1"/>
  <c r="K8" i="1" s="1"/>
  <c r="M74" i="1" l="1"/>
  <c r="N74" i="1" s="1"/>
  <c r="L29" i="1"/>
  <c r="K28" i="1"/>
  <c r="L41" i="1"/>
  <c r="H59" i="1"/>
  <c r="H60" i="1" s="1"/>
  <c r="K37" i="1"/>
  <c r="L17" i="1"/>
  <c r="J74" i="1" s="1"/>
  <c r="J17" i="1"/>
  <c r="J77" i="1"/>
  <c r="J54" i="1"/>
  <c r="J29" i="1"/>
  <c r="M75" i="1" l="1"/>
  <c r="K29" i="1"/>
  <c r="F19" i="4"/>
  <c r="G77" i="5"/>
  <c r="G84" i="5" s="1"/>
  <c r="G85" i="5" s="1"/>
  <c r="E6" i="4"/>
  <c r="F6" i="4"/>
  <c r="E19" i="4"/>
  <c r="E4" i="5"/>
  <c r="D19" i="4" s="1"/>
  <c r="D4" i="5"/>
  <c r="C19" i="4" s="1"/>
  <c r="E83" i="5"/>
  <c r="D13" i="4" s="1"/>
  <c r="E82" i="5"/>
  <c r="D12" i="4" s="1"/>
  <c r="E81" i="5"/>
  <c r="D11" i="4" s="1"/>
  <c r="E79" i="5"/>
  <c r="D9" i="4" s="1"/>
  <c r="E78" i="5"/>
  <c r="D8" i="4" s="1"/>
  <c r="E77" i="5"/>
  <c r="D7" i="4" s="1"/>
  <c r="E71" i="5"/>
  <c r="E60" i="5"/>
  <c r="E48" i="5"/>
  <c r="E37" i="5"/>
  <c r="E26" i="5"/>
  <c r="E15" i="5"/>
  <c r="D63" i="1"/>
  <c r="D57" i="1"/>
  <c r="D76" i="5" s="1"/>
  <c r="D54" i="1"/>
  <c r="D49" i="1"/>
  <c r="D41" i="1"/>
  <c r="D29" i="1"/>
  <c r="D23" i="1"/>
  <c r="D17" i="1"/>
  <c r="D63" i="5" l="1"/>
  <c r="D18" i="5"/>
  <c r="D29" i="5"/>
  <c r="D52" i="5"/>
  <c r="D40" i="5"/>
  <c r="D77" i="1"/>
  <c r="D7" i="5"/>
  <c r="D58" i="1"/>
  <c r="C6" i="4"/>
  <c r="D6" i="4"/>
  <c r="E80" i="5"/>
  <c r="D78" i="1" l="1"/>
  <c r="E84" i="5"/>
  <c r="E85" i="5" s="1"/>
  <c r="E86" i="5" s="1"/>
  <c r="D10" i="4"/>
  <c r="D14" i="4" s="1"/>
  <c r="D15" i="4" s="1"/>
  <c r="D16" i="4" s="1"/>
  <c r="D59" i="1"/>
  <c r="D60" i="1" l="1"/>
  <c r="F13" i="4"/>
  <c r="F82" i="5"/>
  <c r="E12" i="4" s="1"/>
  <c r="G82" i="5"/>
  <c r="F12" i="4" s="1"/>
  <c r="D83" i="5"/>
  <c r="D82" i="5"/>
  <c r="F11" i="4"/>
  <c r="F80" i="5"/>
  <c r="E10" i="4" s="1"/>
  <c r="F10" i="4"/>
  <c r="F79" i="5"/>
  <c r="E9" i="4" s="1"/>
  <c r="F9" i="4"/>
  <c r="F78" i="5"/>
  <c r="E8" i="4" s="1"/>
  <c r="F8" i="4"/>
  <c r="D81" i="5"/>
  <c r="D78" i="5"/>
  <c r="F77" i="5"/>
  <c r="E7" i="4" s="1"/>
  <c r="F7" i="4"/>
  <c r="D77" i="5"/>
  <c r="F14" i="5"/>
  <c r="F83" i="5" s="1"/>
  <c r="E13" i="4" s="1"/>
  <c r="F12" i="5"/>
  <c r="F81" i="5" s="1"/>
  <c r="E11" i="4" s="1"/>
  <c r="F13" i="1"/>
  <c r="G13" i="1" s="1"/>
  <c r="I13" i="1" s="1"/>
  <c r="K13" i="1" s="1"/>
  <c r="D65" i="1" l="1"/>
  <c r="G65" i="1" s="1"/>
  <c r="K65" i="1" s="1"/>
  <c r="D64" i="1"/>
  <c r="F14" i="4"/>
  <c r="E14" i="4"/>
  <c r="E15" i="4" s="1"/>
  <c r="E16" i="4" s="1"/>
  <c r="C21" i="4"/>
  <c r="F9" i="1"/>
  <c r="G9" i="1" s="1"/>
  <c r="I9" i="1" s="1"/>
  <c r="K9" i="1" s="1"/>
  <c r="C20" i="4" l="1"/>
  <c r="C28" i="4" s="1"/>
  <c r="G64" i="1"/>
  <c r="K64" i="1" s="1"/>
  <c r="D72" i="1"/>
  <c r="F15" i="4"/>
  <c r="F16" i="4" s="1"/>
  <c r="F10" i="1"/>
  <c r="G10" i="1" s="1"/>
  <c r="I10" i="1" s="1"/>
  <c r="K10" i="1" s="1"/>
  <c r="F16" i="1"/>
  <c r="G16" i="1" s="1"/>
  <c r="I16" i="1" s="1"/>
  <c r="K16" i="1" s="1"/>
  <c r="F12" i="1"/>
  <c r="G12" i="1" s="1"/>
  <c r="I12" i="1" s="1"/>
  <c r="K12" i="1" s="1"/>
  <c r="F11" i="1"/>
  <c r="G11" i="1" s="1"/>
  <c r="I11" i="1" s="1"/>
  <c r="K11" i="1" s="1"/>
  <c r="D80" i="5" l="1"/>
  <c r="F52" i="1" l="1"/>
  <c r="G52" i="1" s="1"/>
  <c r="I52" i="1" s="1"/>
  <c r="K52" i="1" s="1"/>
  <c r="F47" i="1"/>
  <c r="G47" i="1" s="1"/>
  <c r="I47" i="1" s="1"/>
  <c r="K47" i="1" s="1"/>
  <c r="F35" i="1"/>
  <c r="G35" i="1" s="1"/>
  <c r="I35" i="1" s="1"/>
  <c r="K35" i="1" s="1"/>
  <c r="F15" i="1"/>
  <c r="G15" i="1" s="1"/>
  <c r="I15" i="1" s="1"/>
  <c r="K15" i="1" s="1"/>
  <c r="F14" i="1"/>
  <c r="G14" i="1" s="1"/>
  <c r="I14" i="1" s="1"/>
  <c r="K14" i="1" s="1"/>
  <c r="F41" i="1" l="1"/>
  <c r="F17" i="1"/>
  <c r="E17" i="1"/>
  <c r="G17" i="1" s="1"/>
  <c r="I17" i="1" s="1"/>
  <c r="K17" i="1" s="1"/>
  <c r="E57" i="1"/>
  <c r="E76" i="5" s="1"/>
  <c r="F76" i="5"/>
  <c r="G76" i="5"/>
  <c r="F4" i="5"/>
  <c r="G4" i="5"/>
  <c r="F57" i="1"/>
  <c r="J57" i="1"/>
  <c r="F63" i="1"/>
  <c r="J63" i="1"/>
  <c r="E63" i="1"/>
  <c r="H22" i="4"/>
  <c r="H21" i="4"/>
  <c r="H20" i="4"/>
  <c r="C7" i="4"/>
  <c r="G7" i="4" s="1"/>
  <c r="C9" i="4"/>
  <c r="G9" i="4" s="1"/>
  <c r="C11" i="4"/>
  <c r="G11" i="4" s="1"/>
  <c r="C13" i="4"/>
  <c r="G13" i="4" s="1"/>
  <c r="C8" i="4"/>
  <c r="G8" i="4" s="1"/>
  <c r="H64" i="5"/>
  <c r="H65" i="5"/>
  <c r="H66" i="5"/>
  <c r="H67" i="5"/>
  <c r="H68" i="5"/>
  <c r="H69" i="5"/>
  <c r="H70" i="5"/>
  <c r="D71" i="5"/>
  <c r="F71" i="5"/>
  <c r="G71" i="5"/>
  <c r="H53" i="5"/>
  <c r="H54" i="5"/>
  <c r="H55" i="5"/>
  <c r="H56" i="5"/>
  <c r="H57" i="5"/>
  <c r="H58" i="5"/>
  <c r="H59" i="5"/>
  <c r="D60" i="5"/>
  <c r="F60" i="5"/>
  <c r="G60" i="5"/>
  <c r="H19" i="5"/>
  <c r="H20" i="5"/>
  <c r="H21" i="5"/>
  <c r="H22" i="5"/>
  <c r="H23" i="5"/>
  <c r="H24" i="5"/>
  <c r="H25" i="5"/>
  <c r="D26" i="5"/>
  <c r="F26" i="5"/>
  <c r="G26" i="5"/>
  <c r="H30" i="5"/>
  <c r="H31" i="5"/>
  <c r="H32" i="5"/>
  <c r="H33" i="5"/>
  <c r="H34" i="5"/>
  <c r="H35" i="5"/>
  <c r="H36" i="5"/>
  <c r="D37" i="5"/>
  <c r="F37" i="5"/>
  <c r="G37" i="5"/>
  <c r="H41" i="5"/>
  <c r="H42" i="5"/>
  <c r="H43" i="5"/>
  <c r="H44" i="5"/>
  <c r="H45" i="5"/>
  <c r="H46" i="5"/>
  <c r="H47" i="5"/>
  <c r="D48" i="5"/>
  <c r="F48" i="5"/>
  <c r="G48" i="5"/>
  <c r="F15" i="5"/>
  <c r="G15" i="5"/>
  <c r="H15" i="5" s="1"/>
  <c r="H84" i="5" s="1"/>
  <c r="H8" i="5"/>
  <c r="H77" i="5" s="1"/>
  <c r="H9" i="5"/>
  <c r="H10" i="5"/>
  <c r="H11" i="5"/>
  <c r="H80" i="5" s="1"/>
  <c r="H12" i="5"/>
  <c r="H81" i="5" s="1"/>
  <c r="H13" i="5"/>
  <c r="H14" i="5"/>
  <c r="D15" i="5"/>
  <c r="F54" i="1"/>
  <c r="F63" i="5" s="1"/>
  <c r="G63" i="5"/>
  <c r="F49" i="1"/>
  <c r="F52" i="5" s="1"/>
  <c r="J49" i="1"/>
  <c r="J58" i="1" s="1"/>
  <c r="F29" i="1"/>
  <c r="F29" i="5" s="1"/>
  <c r="G29" i="5"/>
  <c r="F23" i="1"/>
  <c r="F18" i="5" s="1"/>
  <c r="E23" i="1"/>
  <c r="E54" i="1"/>
  <c r="E49" i="1"/>
  <c r="E41" i="1"/>
  <c r="G41" i="1" s="1"/>
  <c r="I41" i="1" s="1"/>
  <c r="E29" i="1"/>
  <c r="E29" i="5" l="1"/>
  <c r="G29" i="1"/>
  <c r="I29" i="1" s="1"/>
  <c r="E52" i="5"/>
  <c r="G49" i="1"/>
  <c r="I49" i="1" s="1"/>
  <c r="K49" i="1" s="1"/>
  <c r="E63" i="5"/>
  <c r="G54" i="1"/>
  <c r="I54" i="1" s="1"/>
  <c r="K54" i="1" s="1"/>
  <c r="E18" i="5"/>
  <c r="G23" i="1"/>
  <c r="I23" i="1" s="1"/>
  <c r="H85" i="5"/>
  <c r="H86" i="5" s="1"/>
  <c r="J59" i="1"/>
  <c r="J75" i="1"/>
  <c r="G52" i="5"/>
  <c r="H52" i="5" s="1"/>
  <c r="F58" i="1"/>
  <c r="F40" i="5"/>
  <c r="F77" i="1"/>
  <c r="E40" i="5"/>
  <c r="E77" i="1"/>
  <c r="E7" i="5"/>
  <c r="E58" i="1"/>
  <c r="G58" i="1" s="1"/>
  <c r="I58" i="1" s="1"/>
  <c r="I59" i="1" s="1"/>
  <c r="G40" i="5"/>
  <c r="K41" i="1"/>
  <c r="C12" i="4"/>
  <c r="G12" i="4" s="1"/>
  <c r="H71" i="5"/>
  <c r="H60" i="5"/>
  <c r="H48" i="5"/>
  <c r="H37" i="5"/>
  <c r="H26" i="5"/>
  <c r="G7" i="5"/>
  <c r="C40" i="6"/>
  <c r="D43" i="6" s="1"/>
  <c r="F84" i="5"/>
  <c r="F85" i="5" s="1"/>
  <c r="F86" i="5" s="1"/>
  <c r="C10" i="4"/>
  <c r="G10" i="4" s="1"/>
  <c r="D84" i="5"/>
  <c r="C7" i="6"/>
  <c r="D12" i="6" s="1"/>
  <c r="F7" i="5"/>
  <c r="C29" i="6"/>
  <c r="D36" i="6" s="1"/>
  <c r="H63" i="5"/>
  <c r="C18" i="6"/>
  <c r="D23" i="6" s="1"/>
  <c r="H29" i="5"/>
  <c r="G18" i="5"/>
  <c r="H18" i="5" l="1"/>
  <c r="K58" i="1"/>
  <c r="K59" i="1"/>
  <c r="J60" i="1"/>
  <c r="E78" i="1"/>
  <c r="F78" i="1"/>
  <c r="J78" i="1"/>
  <c r="H40" i="5"/>
  <c r="G86" i="5"/>
  <c r="F59" i="1"/>
  <c r="F60" i="1" s="1"/>
  <c r="D47" i="6"/>
  <c r="D46" i="6"/>
  <c r="D44" i="6"/>
  <c r="C14" i="4"/>
  <c r="G14" i="4" s="1"/>
  <c r="D45" i="6"/>
  <c r="H7" i="5"/>
  <c r="D34" i="6"/>
  <c r="D35" i="6"/>
  <c r="D32" i="6"/>
  <c r="D85" i="5"/>
  <c r="D86" i="5" s="1"/>
  <c r="D11" i="6"/>
  <c r="D14" i="6"/>
  <c r="D10" i="6"/>
  <c r="D13" i="6"/>
  <c r="D24" i="6"/>
  <c r="D21" i="6"/>
  <c r="D22" i="6"/>
  <c r="D33" i="6"/>
  <c r="D25" i="6"/>
  <c r="C41" i="6"/>
  <c r="E59" i="1"/>
  <c r="G59" i="1" l="1"/>
  <c r="J70" i="1"/>
  <c r="K78" i="1"/>
  <c r="E60" i="1"/>
  <c r="G60" i="1" s="1"/>
  <c r="I60" i="1" s="1"/>
  <c r="K60" i="1" s="1"/>
  <c r="J71" i="1"/>
  <c r="K71" i="1" s="1"/>
  <c r="E67" i="1"/>
  <c r="G67" i="1" s="1"/>
  <c r="K67" i="1" s="1"/>
  <c r="E66" i="1"/>
  <c r="G66" i="1" s="1"/>
  <c r="K66" i="1" s="1"/>
  <c r="C15" i="4"/>
  <c r="C16" i="4" s="1"/>
  <c r="C30" i="6"/>
  <c r="C19" i="6"/>
  <c r="C8" i="6"/>
  <c r="D21" i="4"/>
  <c r="D20" i="4"/>
  <c r="G27" i="4" l="1"/>
  <c r="F27" i="4"/>
  <c r="F69" i="1"/>
  <c r="G69" i="1" s="1"/>
  <c r="K69" i="1" s="1"/>
  <c r="F68" i="1"/>
  <c r="G68" i="1" s="1"/>
  <c r="K68" i="1" s="1"/>
  <c r="F20" i="4"/>
  <c r="G20" i="4"/>
  <c r="F21" i="4"/>
  <c r="G21" i="4"/>
  <c r="D23" i="4"/>
  <c r="G23" i="4"/>
  <c r="D22" i="4"/>
  <c r="E72" i="1"/>
  <c r="G15" i="4"/>
  <c r="G16" i="4" s="1"/>
  <c r="G22" i="4"/>
  <c r="E20" i="4"/>
  <c r="F26" i="4" l="1"/>
  <c r="K70" i="1"/>
  <c r="G26" i="4" s="1"/>
  <c r="J72" i="1"/>
  <c r="D28" i="4"/>
  <c r="E24" i="4"/>
  <c r="G24" i="4"/>
  <c r="F72" i="1"/>
  <c r="G72" i="1" s="1"/>
  <c r="K72" i="1" s="1"/>
  <c r="G28" i="4" s="1"/>
  <c r="G25" i="4"/>
  <c r="E25" i="4"/>
  <c r="E21" i="4"/>
  <c r="E22" i="4"/>
  <c r="F28" i="4" l="1"/>
  <c r="E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tc={A22DEAE2-A802-4D88-98A3-CCD346041CEC}</author>
  </authors>
  <commentList>
    <comment ref="F38" authorId="0" shapeId="0" xr:uid="{A22DEAE2-A802-4D88-98A3-CCD346041CE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Revoir en hausse</t>
      </text>
    </comment>
  </commentList>
</comments>
</file>

<file path=xl/sharedStrings.xml><?xml version="1.0" encoding="utf-8"?>
<sst xmlns="http://schemas.openxmlformats.org/spreadsheetml/2006/main" count="638" uniqueCount="544">
  <si>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</si>
  <si>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</si>
  <si>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</si>
  <si>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</si>
  <si>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</si>
  <si>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</si>
  <si>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</si>
  <si>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</si>
  <si>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</si>
  <si>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</si>
  <si>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</si>
  <si>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</si>
  <si>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</si>
  <si>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</si>
  <si>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</si>
  <si>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</si>
  <si>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</si>
  <si>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</si>
  <si>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</si>
  <si>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</si>
  <si>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</si>
  <si>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</si>
  <si>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</si>
  <si>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</si>
  <si>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</si>
  <si>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</si>
  <si>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</si>
  <si>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</si>
  <si>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</si>
  <si>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</si>
  <si>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</si>
  <si>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</si>
  <si>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</si>
  <si>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</si>
  <si>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</si>
  <si>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</si>
  <si>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</si>
  <si>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</si>
  <si>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</si>
  <si>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</si>
  <si>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</si>
  <si>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</si>
  <si>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</si>
  <si>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</si>
  <si>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</si>
  <si>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</si>
  <si>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</si>
  <si>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</si>
  <si>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</si>
  <si>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</si>
  <si>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</si>
  <si>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</si>
  <si>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</si>
  <si>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</si>
  <si>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</si>
  <si>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</si>
  <si>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</si>
  <si>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</si>
  <si>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</si>
  <si>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</si>
  <si>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</si>
  <si>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</si>
  <si>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</si>
  <si>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</si>
  <si>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</si>
  <si>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</si>
  <si>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</si>
  <si>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</si>
  <si>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</si>
  <si>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</si>
  <si>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</si>
  <si>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</si>
  <si>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</si>
  <si>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</si>
  <si>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</si>
  <si>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</si>
  <si>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</si>
  <si>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</si>
  <si>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</si>
  <si>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</si>
  <si>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</si>
  <si>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</si>
  <si>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</si>
  <si>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</si>
  <si>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</si>
  <si>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</si>
  <si>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</si>
  <si>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</si>
  <si>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</si>
  <si>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</si>
  <si>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</si>
  <si>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</si>
  <si>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</si>
  <si>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</si>
  <si>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</si>
  <si>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</si>
  <si>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</si>
  <si>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</si>
  <si>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</si>
  <si>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</si>
  <si>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</si>
  <si>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</si>
  <si>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</si>
  <si>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</si>
  <si>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</si>
  <si>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</si>
  <si>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</si>
  <si>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</si>
  <si>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</si>
  <si>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</si>
  <si>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</si>
  <si>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</si>
  <si>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</si>
  <si>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</si>
  <si>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</si>
  <si>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</si>
  <si>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</si>
  <si>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</si>
  <si>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</si>
  <si>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</si>
  <si>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</si>
  <si>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</si>
  <si>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</si>
  <si>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</si>
  <si>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</si>
  <si>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</si>
  <si>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</si>
  <si>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</si>
  <si>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</si>
  <si>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</si>
  <si>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</si>
  <si>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</si>
  <si>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</si>
  <si>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</si>
  <si>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</si>
  <si>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</si>
  <si>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</si>
  <si>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</si>
  <si>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</si>
  <si>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</si>
  <si>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</si>
  <si>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</si>
  <si>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</si>
  <si>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</si>
  <si>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</si>
  <si>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</si>
  <si>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</si>
  <si>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</si>
  <si>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</si>
  <si>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</si>
  <si>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</si>
  <si>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</si>
  <si>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</si>
  <si>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</si>
  <si>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</si>
  <si>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</si>
  <si>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</si>
  <si>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</si>
  <si>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</si>
  <si>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</si>
  <si>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</si>
  <si>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</si>
  <si>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</si>
  <si>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</si>
  <si>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</si>
  <si>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</si>
  <si>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</si>
  <si>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</si>
  <si>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</si>
  <si>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</si>
  <si>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</si>
  <si>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</si>
  <si>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</si>
  <si>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</si>
  <si>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</si>
  <si>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</si>
  <si>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</si>
  <si>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</si>
  <si>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</si>
  <si>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</si>
  <si>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</si>
  <si>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</si>
  <si>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</si>
  <si>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</si>
  <si>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</si>
  <si>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</si>
  <si>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</si>
  <si>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</si>
  <si>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</si>
  <si>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</si>
  <si>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</si>
  <si>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</si>
  <si>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</si>
  <si>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</si>
  <si>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</si>
  <si>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</si>
  <si>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</si>
  <si>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</si>
  <si>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</si>
  <si>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</si>
  <si>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</si>
  <si>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</si>
  <si>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</si>
  <si>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</si>
  <si>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</si>
  <si>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</si>
  <si>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</si>
  <si>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</si>
  <si>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</si>
  <si>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</si>
  <si>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</si>
  <si>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</si>
  <si>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</si>
  <si>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</si>
  <si>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</si>
  <si>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</si>
  <si>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</si>
  <si>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</si>
  <si>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</si>
  <si>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</si>
  <si>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</si>
  <si>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</si>
  <si>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</si>
  <si>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</si>
  <si>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</si>
  <si>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</si>
  <si>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</si>
  <si>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</si>
  <si>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</si>
  <si>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</si>
  <si>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</si>
  <si>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</si>
  <si>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</si>
  <si>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</si>
  <si>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</si>
  <si>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</si>
  <si>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</si>
  <si>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</si>
  <si>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</si>
  <si>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</si>
  <si>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</si>
  <si>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</si>
  <si>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</si>
  <si>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</si>
  <si>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</si>
  <si>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</si>
  <si>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</si>
  <si>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</si>
  <si>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</si>
  <si>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</si>
  <si>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</si>
  <si>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</si>
  <si>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</si>
  <si>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</si>
  <si>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</si>
  <si>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</si>
  <si>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</si>
  <si>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</si>
  <si>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</si>
  <si>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</si>
  <si>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</si>
  <si>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</si>
  <si>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</si>
  <si>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</si>
  <si>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</si>
  <si>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</si>
  <si>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</si>
  <si>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</si>
  <si>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</si>
  <si>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</si>
  <si>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</si>
  <si>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</si>
  <si>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</si>
  <si>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</si>
  <si>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</si>
  <si>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</si>
  <si>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</si>
  <si>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</si>
  <si>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</si>
  <si>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</si>
  <si>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</si>
  <si>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</si>
  <si>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</si>
  <si>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</si>
  <si>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</si>
  <si>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</si>
  <si>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</si>
  <si>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</si>
  <si>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</si>
  <si>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</si>
  <si>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</si>
  <si>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</si>
  <si>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</si>
  <si>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</si>
  <si>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</si>
  <si>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</si>
  <si>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</si>
  <si>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</si>
  <si>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</si>
  <si>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</si>
  <si>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</si>
  <si>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</si>
  <si>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</si>
  <si>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</si>
  <si>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</si>
  <si>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</si>
  <si>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</si>
  <si>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</si>
  <si>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</si>
  <si>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</si>
  <si>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</si>
  <si>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</si>
  <si>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</si>
  <si>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</si>
  <si>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</si>
  <si>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</si>
  <si>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</si>
  <si>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</si>
  <si>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</si>
  <si>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</si>
  <si>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</si>
  <si>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</si>
  <si>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</si>
  <si>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</si>
  <si>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</si>
  <si>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</si>
  <si>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</si>
  <si>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</si>
  <si>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</si>
  <si>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</si>
  <si>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</si>
  <si>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</si>
  <si>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</si>
  <si>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</si>
  <si>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</si>
  <si>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</si>
  <si>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</si>
  <si>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</si>
  <si>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</si>
  <si>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</si>
  <si>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</si>
  <si>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</si>
  <si>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</si>
  <si>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</si>
  <si>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</si>
  <si>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</si>
  <si>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</si>
  <si>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</si>
  <si>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</si>
  <si>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</si>
  <si>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</si>
  <si>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</si>
  <si>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</si>
  <si>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</si>
  <si>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</si>
  <si>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</si>
  <si>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</si>
  <si>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</si>
  <si>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</si>
  <si>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</si>
  <si>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</si>
  <si>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</si>
  <si>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</si>
  <si>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</si>
  <si>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</si>
  <si>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</si>
  <si>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</si>
  <si>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</si>
  <si>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</si>
  <si>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</si>
  <si>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</si>
  <si>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</si>
  <si>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</si>
  <si>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</si>
  <si>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Produit 1.2:</t>
  </si>
  <si>
    <t>Activite 1.2.1</t>
  </si>
  <si>
    <t>Activite 1.2.2</t>
  </si>
  <si>
    <t>Activite 1.2.3</t>
  </si>
  <si>
    <t>Activite 1.2.4</t>
  </si>
  <si>
    <t>Produit 1.3:</t>
  </si>
  <si>
    <t>Activite 1.3.1</t>
  </si>
  <si>
    <t>Activite 1.3.2</t>
  </si>
  <si>
    <t>Activite 1.3.3</t>
  </si>
  <si>
    <t>Activite 1.3.4</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</si>
  <si>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</si>
  <si>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</si>
  <si>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</si>
  <si>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</si>
  <si>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</si>
  <si>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</si>
  <si>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</si>
  <si>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</si>
  <si>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</si>
  <si>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</si>
  <si>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</si>
  <si>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</si>
  <si>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</si>
  <si>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</si>
  <si>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</si>
  <si>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Produit 2.2</t>
  </si>
  <si>
    <t>Activite 2.2.1</t>
  </si>
  <si>
    <t>Activite' 2.2.2</t>
  </si>
  <si>
    <t>Activite 2.2.3</t>
  </si>
  <si>
    <t>Formulation du resultat/ produit/activite</t>
  </si>
  <si>
    <t xml:space="preserve">Pourcentage du budget pour chaque produit ou activite reserve pour action directe sur égalité des sexes et autonomisation des femmes (GEWE) (cas echeant) </t>
  </si>
  <si>
    <t>Produit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</si>
  <si>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</si>
  <si>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</si>
  <si>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</si>
  <si>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</si>
  <si>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</si>
  <si>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</si>
  <si>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</si>
  <si>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</si>
  <si>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</si>
  <si>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</si>
  <si>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</si>
  <si>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</si>
  <si>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</si>
  <si>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</si>
  <si>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</si>
  <si>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</si>
  <si>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</si>
  <si>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</si>
  <si>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</si>
  <si>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</si>
  <si>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</si>
  <si>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</si>
  <si>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</si>
  <si>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</si>
  <si>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</si>
  <si>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</si>
  <si>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</si>
  <si>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</si>
  <si>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</si>
  <si>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</si>
  <si>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</si>
  <si>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</si>
  <si>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</si>
  <si>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</si>
  <si>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</si>
  <si>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</si>
  <si>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</si>
  <si>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</si>
  <si>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</si>
  <si>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</si>
  <si>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</si>
  <si>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</si>
  <si>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</si>
  <si>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</si>
  <si>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</si>
  <si>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</si>
  <si>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</si>
  <si>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</si>
  <si>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</si>
  <si>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Recrutement du staff du Secrétariat</t>
  </si>
  <si>
    <t>La coordination, le suivi &amp; évaluation et le rapportage des résultats du portefeuille du PBF sont assurés par le Secrétariat PBF</t>
  </si>
  <si>
    <t>Produit  1.1 : Le Secrétariat PBF est mis en place et fonctionnel</t>
  </si>
  <si>
    <t>Fonctionnement  du Secrétariat (l'entretien du bureau, équipements, eau et électricité, vehicule etc.)</t>
  </si>
  <si>
    <t>Soutien et participation aux événements liés à la consolidation de la paix (Journée Internationale de la Paix) et autres manifestations organisées par les associations locales</t>
  </si>
  <si>
    <t>Le cadre stratégique et technique pour l’identification de projets de consolidation de la paix ayant un effet catalytique est mis en place, en complémentarité avec d’autres plan stratégiques (UNDAFs, PRSP, Stratégies régionales, etc..)</t>
  </si>
  <si>
    <t>Elaboration d’une cartographie des acteurs (UN, Gouvernement, SCOs, PTF) dans le domaine de la consolidation de la paix qui est mise à jour régulièrement et identification des gaps et points d’entrées programmatiques pour les projets du PBF</t>
  </si>
  <si>
    <t>Elaboration, facilitation de la coordination et la mise à jour périodique de l'analyse des conflits en étroite collaboration avec le SNU, le Gouvernement, la Société Civile et les PTF</t>
  </si>
  <si>
    <t>Renforcement des capacités des agences récipiendaires et des partenaires (OSC, ONG, Gouvernement) en matière d’approches sensibles aux conflits, consolidation de la paix et programmation sensible au genre, à l'autonomisation des femmes et des jeunes</t>
  </si>
  <si>
    <t>Etudes spécifiques sur l'analyse des conflits en fonction d'événements conjonturels observés</t>
  </si>
  <si>
    <t xml:space="preserve">Des mécanismes de coordination entre les projets et les partenaires clés sont mise en place pour assurer la réalisation des résultats stratégiques du portefeuille PBF et la cohérence/synergies entre les projets et les activités. </t>
  </si>
  <si>
    <t>Appui au rôle de coordination du RC dans le cadre de la programmation en consolidation de la paix , en étroite collaboration avec le Conseiller en Paix et Développement (PDA) et ou le Strategic Planner dans le bureau du RC</t>
  </si>
  <si>
    <t>Appui au mécanisme de coordination stratégique( COCS ), synergie du portefeuille PBF entre les agences onusiennes, les ONGs récipiendaires et le Gouvernement (Primature)-réunions mensuelles-</t>
  </si>
  <si>
    <t>Appui à la tenue des réunions de coordination technique/ synergie (Comités Techniques de Suivi de la mise en oeuvre) des projets entre les Agences du SNU, les OSC, ONG et les Ministères.</t>
  </si>
  <si>
    <t>Organisation ou participation, le cas échéant des réunions régionales dans le cadre des projets transfrontaliers et s’assurer de la coordination avec les autres pays impliquées</t>
  </si>
  <si>
    <t>Le suivi et évaluation du portefeuille du PBF est assuré</t>
  </si>
  <si>
    <t>Activite 1.4.9</t>
  </si>
  <si>
    <t>Documentation, analyse, publication et dissémination des leçons apprises dans le cadre de la mise en œuvre du portefeuille des projets PBF (ateliers, mini-retraite, plateformes adéquates, etc…)</t>
  </si>
  <si>
    <t>Enquêtes initiales de perception projets PRF</t>
  </si>
  <si>
    <t>Enquêtes finales de perception projets PRF</t>
  </si>
  <si>
    <t>Effectuer des missions régulières sur le terrain pour le suivi des projets PBF et produire des rapports de mission  à partager avec le RCO et PBSO</t>
  </si>
  <si>
    <t xml:space="preserve">Appui à la mise en place d'un mécanisme de suivi communautaire et de communication systématique sur les projets PBF à travers des échanges entre les communautés bénéficiaires, les Comités de Pilotage et le Secrétariat PBF. </t>
  </si>
  <si>
    <t>Ebaucher le rapport annuel stratégique de consolidation de la paix à travers un processus consultatif, et le soumettre au Gouvernement (Primature) et, subséquemment au Bureau pour la Consolidation de la Paix à New York, pour le 1er décembre de chaque année au plus tard</t>
  </si>
  <si>
    <t>Organisation des missions de supervision inter-agences élargies au siège et appuyer les missions de suivi du PBSO (le cas échéant).</t>
  </si>
  <si>
    <t>Liaison régulière avec PBSO par rapport à la mise en œuvre des projets PBF, l’évolution du contexte socio-politique et les processus de planification au sein de UNCT et du Gouvernement en lien avec les activités du PBF</t>
  </si>
  <si>
    <t>Le Secrétariat et les Comités de Pilotage des projets et le Bureau du Coordonnateur Résident du Système des Nations Unies sont appuyés afin d’assurer leur rôle d’orientation stratégique, de l’endossement des projets PBF et de suivi et évaluation du portefeuille,</t>
  </si>
  <si>
    <t>Les capacités des Comités de Pilotage (y compris au niveau technique) et des autres partenaires pertinents sont renforcées pour assurer la supervision et le suivi &amp; évaluation des projets du PBF.</t>
  </si>
  <si>
    <t xml:space="preserve">Organisation de réunions régulières des Comités de Pilotage (y compris au niveau technique) des projets pour examiner et évaluer les propositions progrès de la mise en œuvre des projets; leur suivi et évaluation, le progrès de la mise en œuvre de l’ensemble du portefeuille PBF </t>
  </si>
  <si>
    <t>Entreprendre des examens et de contrôle-qualité des documents relatifs au PBF (y compris des documents de projet et des rapports y relatifs) avant toute soumission aux Comités de Pilotage, et Bureau pour la Consolidation de la Paix, afin d’aider les RUNOs à renforcer la qualité des produits, en ligne avec les notes d’orientation du PBF. S’assurer que les questions transversales importantes pour le PBF (telles que le genre) soient prises en compte</t>
  </si>
  <si>
    <t>Faciliter l’organisation de missions de monitoring par les entités nationales (Primature et ministères clés) pour la revue de la mise en œuvre du portefeuille du PBF, tel que requis</t>
  </si>
  <si>
    <t xml:space="preserve">Fournir un appui-conseil au management des Nations Unies, à la Primature et aux différents Comités de Pilotage des projets, sur des questions relatives à la consolidation de la paix et s’assurer que les projets financés par le PBF intègrent les meilleures pratiques relatives à la consolidation de la paix sur ces questions. </t>
  </si>
  <si>
    <t>Le plaidoyer, la communication et le partenariat/création de réseaux sont assurées pour promouvoir une meilleure compréhension et connaissance du portefeuille PBF et de ses résultats  par les autorités nationales, la société civile, les bailleurs de fonds et le grand public</t>
  </si>
  <si>
    <t>Accompagnement des partenaires de mise en œuvre des projets du portefeuille du PBF et les autres partenaires clés de consolidation de la paix pour une meilleure comprehension et appropriation des orientations du PBF, y compris les questions de genre et les demandes en matière de rapportage</t>
  </si>
  <si>
    <t xml:space="preserve">Elaboration et mise en œuvre d'un plan de communication intégré afin de promouvoir la visibilité des activités du PBF dans le pays </t>
  </si>
  <si>
    <t>Développement et mise en œuvre d’une stratégie de mobilisation de ressources pour la pérennisation des programmes projets du PBF (Assurer les effets catalytiques des projets PBF)</t>
  </si>
  <si>
    <t>Chauffeur NPSA 2</t>
  </si>
  <si>
    <t xml:space="preserve">Renforcement des capacités du personnel du Secretariat.  </t>
  </si>
  <si>
    <t>Coordonnateur National - NOC</t>
  </si>
  <si>
    <t>Chargé de Suivi Evaluation VNU international</t>
  </si>
  <si>
    <r>
      <rPr>
        <u/>
        <sz val="12"/>
        <color theme="1"/>
        <rFont val="Calibri"/>
        <family val="2"/>
        <scheme val="minor"/>
      </rPr>
      <t xml:space="preserve">Evaluation finale indépendante du Projet Secrétariat  </t>
    </r>
    <r>
      <rPr>
        <u/>
        <sz val="12"/>
        <color rgb="FF00B0F0"/>
        <rFont val="Calibri"/>
        <family val="2"/>
        <scheme val="minor"/>
      </rPr>
      <t xml:space="preserve"> </t>
    </r>
    <r>
      <rPr>
        <sz val="12"/>
        <color rgb="FF00B0F0"/>
        <rFont val="Calibri"/>
        <family val="2"/>
        <scheme val="minor"/>
      </rPr>
      <t>Appui à l’évaluation du portefeuille PBF</t>
    </r>
    <r>
      <rPr>
        <sz val="12"/>
        <color theme="1"/>
        <rFont val="Calibri"/>
        <family val="2"/>
        <scheme val="minor"/>
      </rPr>
      <t xml:space="preserve"> </t>
    </r>
  </si>
  <si>
    <t>Mettre en place un mécanisme de suivi du portefeuille (installation d’un logiciel, collecte et analyse des données)</t>
  </si>
  <si>
    <t>Activite 1.4.10</t>
  </si>
  <si>
    <t>Quatrieme tranche</t>
  </si>
  <si>
    <t>Cinquieme tranche</t>
  </si>
  <si>
    <t>Sixieme tranche</t>
  </si>
  <si>
    <t>Fourth tranche</t>
  </si>
  <si>
    <t>fifth tranche</t>
  </si>
  <si>
    <t>sixth tranche</t>
  </si>
  <si>
    <t>Septième tranche</t>
  </si>
  <si>
    <t>Huitième tranche</t>
  </si>
  <si>
    <t>Annexe D - Budget du Projet Appui à la Coordination des Projets PBF 2024-2025</t>
  </si>
  <si>
    <t>Seventh</t>
  </si>
  <si>
    <t>Eighth</t>
  </si>
  <si>
    <t>pour la prise en compte du genre dans l'organisation de ces évenements</t>
  </si>
  <si>
    <t>Analyste Communiocation FT NOA</t>
  </si>
  <si>
    <t>Total 2020-2023</t>
  </si>
  <si>
    <t>Depense au 30 Septembre 2023</t>
  </si>
  <si>
    <t>Solde au 30 Septembre 2023</t>
  </si>
  <si>
    <t>30%</t>
  </si>
  <si>
    <t>Dans le cadre de sa mission fera la promotion du genre</t>
  </si>
  <si>
    <t>Des thematiques liées à la promotion du genre seront inclues</t>
  </si>
  <si>
    <t xml:space="preserve">pour la prise en compte du genre dans les achats </t>
  </si>
  <si>
    <t>Pour la prise en charge des femmes participantes à cette activité et dans l'echantillon des bénéficiaires et faire la promotion du genre</t>
  </si>
  <si>
    <t>Pour la prise en charge des femmes participantes à cette activité en mettant l'accent sur la promotion du genre</t>
  </si>
  <si>
    <t>Organisation recipiendiaire  (budget en USD) PNUD 2020-2021</t>
  </si>
  <si>
    <t>Organisation recipiendiaire (budget en USD) PNUD 2022</t>
  </si>
  <si>
    <t>Organisation recipiendiaire  (budget en USD)  PNUD 2023</t>
  </si>
  <si>
    <t>Organisation recipiendiaire  (budget en USD) PNUD 2024-2025</t>
  </si>
  <si>
    <t>Pour la prise en charge des activités du RC et ou de la PDA lié à la promotion du genre</t>
  </si>
  <si>
    <t>Ce comité devra prendre en compte des sujets lié à la promotion du genre tel que la répresentativité des femmes dans les mécanismes de gouvernance des projets.</t>
  </si>
  <si>
    <t>Ces comités devront prendre en compte des sujets et les analyses lié à la promotion du genre assortit de récommandation pour renforcer ou pour promouvoir la prsie en compte du genre.</t>
  </si>
  <si>
    <t>cette documentation et analyse prendront en compte les dynamiques et promotion du genre et a la desaggregation par sexe</t>
  </si>
  <si>
    <t>Analyse de la dynamiques du genre, a la desaggregation par sexe et à la promotion du genre lors des entretiens et de la selection de l'echantillon de bénéficiaires</t>
  </si>
  <si>
    <t xml:space="preserve">Prise en compte de la dynamiques du genre, de la desaggregation par sexe et de la participation des femmes lors de la mis en place du mécanisme </t>
  </si>
  <si>
    <t>L'élaboration de ce rapport prendra en compte l'analyse des dynamiques et promotion du genre, à la desaggregation par sexe et l'implication des femmes à ce processus</t>
  </si>
  <si>
    <t xml:space="preserve">Ce mécanisme prendra en compte l'analyse des dynamiques et promotion du genre, à la desaggregation par sexe et l'implication des femmes </t>
  </si>
  <si>
    <t>Analyse de la dynamiques du genre, a la desaggregation par sexe et à la promotion du genre lors des entretiens et de la selection de l'echantillon de bénéficiaires lors de ces missions</t>
  </si>
  <si>
    <t>Ces missions prendront en compte l'analyse des dynamiques et promotion du genre, à la desaggregation par sexe et l'implication des femmes à ce processus</t>
  </si>
  <si>
    <t>Cette strategie prendra en compte la mobilisation des ressources pour soutenir les initiatives de promotion du genre</t>
  </si>
  <si>
    <t xml:space="preserve">Les outils de communications à concevoir mettront l'accent sur la promotion du genre et la visibilité des actions du PBF en matiere d'égalité des sexes </t>
  </si>
  <si>
    <t>Dans le cadre de l'appui apporté aux missions du PBF, il contribuera à la promotion du genre</t>
  </si>
  <si>
    <t>Responsable Administratif et Financier  NPSA 6</t>
  </si>
  <si>
    <t>ib et B1B</t>
  </si>
  <si>
    <t>Budget 2024</t>
  </si>
  <si>
    <t>Niveau de depense/ engagement actuel 
(a remplir au moment des rapports de projet)         2024</t>
  </si>
  <si>
    <t>Depenses +GMS</t>
  </si>
  <si>
    <t>Dépense liées au Gender</t>
  </si>
  <si>
    <t>Annexe D - Rapport Fiancier Final du Projet PBF- Projet Appui à la Coordination des Projets PBF 2024-2025 du 14.11.2024</t>
  </si>
  <si>
    <t xml:space="preserve">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</si>
</sst>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quot;$&quot;* #,##0.00_);_(&quot;$&quot;* \(#,##0.00\);_(&quot;$&quot;* &quot;-&quot;??_);_(@_)"/>
    <numFmt numFmtId="165" formatCode="_-* #,##0.00\ _€_-;\-* #,##0.00\ _€_-;_-* &quot;-&quot;??\ _€_-;_-@_-"/>
  </numFmts>
  <fonts count="3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u/>
      <sz val="12"/>
      <color theme="1"/>
      <name val="Calibri"/>
      <family val="2"/>
      <scheme val="minor"/>
    </font>
    <font>
      <u/>
      <sz val="12"/>
      <color rgb="FF00B0F0"/>
      <name val="Calibri"/>
      <family val="2"/>
      <scheme val="minor"/>
    </font>
    <font>
      <sz val="12"/>
      <color rgb="FF00B0F0"/>
      <name val="Calibri"/>
      <family val="2"/>
      <scheme val="minor"/>
    </font>
    <font>
      <sz val="12"/>
      <color rgb="FFFF0000"/>
      <name val="Calibri"/>
      <family val="2"/>
      <scheme val="minor"/>
    </font>
    <font>
      <sz val="12"/>
      <name val="Calibri"/>
      <family val="2"/>
      <scheme val="minor"/>
    </font>
    <font>
      <sz val="10"/>
      <name val="Calibri"/>
      <family val="2"/>
      <scheme val="minor"/>
    </font>
    <font>
      <b/>
      <sz val="10"/>
      <color theme="1"/>
      <name val="Calibri"/>
      <family val="2"/>
      <scheme val="minor"/>
    </font>
    <font>
      <sz val="9"/>
      <color rgb="FF000000"/>
      <name val="Calibri"/>
      <family val="2"/>
    </font>
    <font>
      <sz val="11"/>
      <name val="Calibri"/>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rgb="FF66FFFF"/>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rgb="FF000000"/>
      </top>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364">
    <xf numFmtId="0" fontId="0" fillId="0" borderId="0" xfId="0"/>
    <xf numFmtId="0" fontId="0" fillId="0" borderId="0" xfId="0" applyBorder="1"/>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0" fontId="5" fillId="0" borderId="0" xfId="0" applyFont="1" applyFill="1" applyBorder="1" applyAlignment="1" applyProtection="1">
      <alignment vertical="center" wrapText="1"/>
      <protection locked="0"/>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0" fontId="5" fillId="3" borderId="0" xfId="0" applyFont="1" applyFill="1" applyBorder="1" applyAlignment="1" applyProtection="1">
      <alignment vertical="center" wrapText="1"/>
      <protection locked="0"/>
    </xf>
    <xf numFmtId="0" fontId="2" fillId="3" borderId="0" xfId="0" applyFont="1" applyFill="1" applyBorder="1" applyAlignment="1" applyProtection="1">
      <alignment vertical="center" wrapText="1"/>
      <protection locked="0"/>
    </xf>
    <xf numFmtId="0" fontId="5" fillId="3" borderId="0" xfId="0" applyFont="1" applyFill="1" applyBorder="1" applyAlignment="1">
      <alignment vertical="center" wrapText="1"/>
    </xf>
    <xf numFmtId="164" fontId="5"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7" fillId="2" borderId="8" xfId="0"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5" fillId="3" borderId="0" xfId="1" applyFont="1" applyFill="1" applyBorder="1" applyAlignment="1" applyProtection="1">
      <alignment vertical="center" wrapText="1"/>
      <protection locked="0"/>
    </xf>
    <xf numFmtId="0" fontId="5" fillId="3" borderId="0" xfId="0"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8" xfId="0" applyFont="1" applyFill="1" applyBorder="1" applyAlignment="1">
      <alignment vertical="center" wrapText="1"/>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7"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2"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0" fillId="0" borderId="0" xfId="0" applyFont="1" applyFill="1" applyBorder="1" applyAlignment="1">
      <alignment horizontal="center" wrapText="1"/>
    </xf>
    <xf numFmtId="0" fontId="3" fillId="3" borderId="0" xfId="0" applyFont="1" applyFill="1" applyBorder="1" applyAlignment="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pplyProtection="1">
      <alignment vertical="center" wrapText="1"/>
    </xf>
    <xf numFmtId="0" fontId="6" fillId="2" borderId="3" xfId="0" applyFont="1" applyFill="1" applyBorder="1" applyAlignment="1" applyProtection="1">
      <alignment vertical="center" wrapText="1"/>
      <protection locked="0"/>
    </xf>
    <xf numFmtId="0" fontId="5" fillId="0" borderId="0" xfId="0" applyFont="1" applyBorder="1" applyAlignment="1">
      <alignment wrapText="1"/>
    </xf>
    <xf numFmtId="0" fontId="5" fillId="3" borderId="0" xfId="0" applyFont="1" applyFill="1" applyBorder="1" applyAlignment="1">
      <alignment wrapText="1"/>
    </xf>
    <xf numFmtId="164" fontId="2" fillId="4" borderId="3" xfId="1" applyFont="1" applyFill="1" applyBorder="1" applyAlignment="1" applyProtection="1">
      <alignment wrapText="1"/>
    </xf>
    <xf numFmtId="0" fontId="5" fillId="0" borderId="0" xfId="0" applyFont="1" applyFill="1" applyBorder="1" applyAlignment="1">
      <alignment wrapText="1"/>
    </xf>
    <xf numFmtId="164" fontId="2" fillId="2" borderId="3" xfId="0" applyNumberFormat="1" applyFont="1" applyFill="1" applyBorder="1" applyAlignment="1">
      <alignment wrapText="1"/>
    </xf>
    <xf numFmtId="0" fontId="6" fillId="2" borderId="37" xfId="0" applyFont="1" applyFill="1" applyBorder="1" applyAlignment="1" applyProtection="1">
      <alignment vertical="center" wrapText="1"/>
    </xf>
    <xf numFmtId="164" fontId="2" fillId="2" borderId="37"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6"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7" xfId="0" applyNumberFormat="1" applyFont="1" applyFill="1" applyBorder="1" applyAlignment="1">
      <alignment wrapText="1"/>
    </xf>
    <xf numFmtId="164" fontId="5" fillId="2" borderId="13" xfId="0" applyNumberFormat="1" applyFont="1" applyFill="1" applyBorder="1" applyAlignment="1">
      <alignment wrapText="1"/>
    </xf>
    <xf numFmtId="0" fontId="5" fillId="0" borderId="0" xfId="0" applyFont="1"/>
    <xf numFmtId="0" fontId="13" fillId="0" borderId="0" xfId="0" applyFont="1" applyAlignment="1"/>
    <xf numFmtId="49" fontId="0" fillId="0" borderId="0" xfId="0" applyNumberFormat="1"/>
    <xf numFmtId="0" fontId="13" fillId="0" borderId="0" xfId="0" applyFont="1" applyAlignment="1">
      <alignment vertical="center"/>
    </xf>
    <xf numFmtId="49" fontId="14" fillId="0" borderId="0" xfId="0" applyNumberFormat="1" applyFont="1" applyAlignment="1">
      <alignment horizontal="left"/>
    </xf>
    <xf numFmtId="49" fontId="14" fillId="0" borderId="0" xfId="0" applyNumberFormat="1" applyFont="1" applyAlignment="1">
      <alignment horizontal="left" wrapText="1"/>
    </xf>
    <xf numFmtId="49" fontId="14"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5" fillId="0" borderId="37" xfId="0" applyNumberFormat="1" applyFont="1" applyBorder="1" applyAlignment="1" applyProtection="1">
      <alignment wrapText="1"/>
      <protection locked="0"/>
    </xf>
    <xf numFmtId="164" fontId="5" fillId="3" borderId="37" xfId="1" applyNumberFormat="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2" fillId="2" borderId="3" xfId="1" applyFont="1" applyFill="1" applyBorder="1" applyAlignment="1" applyProtection="1">
      <alignment horizontal="center" vertical="center" wrapText="1"/>
    </xf>
    <xf numFmtId="0" fontId="5" fillId="2" borderId="8" xfId="0" applyFont="1" applyFill="1" applyBorder="1" applyAlignment="1" applyProtection="1">
      <alignment vertical="center" wrapText="1"/>
    </xf>
    <xf numFmtId="164" fontId="5"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0" fontId="2" fillId="2" borderId="37" xfId="0" applyFont="1" applyFill="1" applyBorder="1" applyAlignment="1" applyProtection="1">
      <alignment vertical="center" wrapText="1"/>
    </xf>
    <xf numFmtId="0" fontId="2" fillId="2" borderId="33" xfId="0"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164" fontId="5" fillId="2" borderId="3" xfId="1"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NumberFormat="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49" xfId="0" applyFont="1" applyFill="1" applyBorder="1" applyAlignment="1" applyProtection="1">
      <alignment vertical="center" wrapText="1"/>
    </xf>
    <xf numFmtId="0" fontId="7" fillId="2" borderId="49"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164" fontId="5" fillId="2" borderId="8" xfId="1" applyFont="1" applyFill="1" applyBorder="1" applyAlignment="1" applyProtection="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0" fontId="7" fillId="2" borderId="33" xfId="0" applyFont="1" applyFill="1" applyBorder="1" applyAlignment="1" applyProtection="1">
      <alignment vertical="center" wrapText="1"/>
    </xf>
    <xf numFmtId="164" fontId="5" fillId="2" borderId="5" xfId="0" applyNumberFormat="1" applyFont="1" applyFill="1" applyBorder="1" applyAlignment="1">
      <alignment wrapText="1"/>
    </xf>
    <xf numFmtId="164" fontId="2" fillId="2" borderId="9" xfId="1" applyNumberFormat="1" applyFont="1" applyFill="1" applyBorder="1" applyAlignment="1">
      <alignment wrapText="1"/>
    </xf>
    <xf numFmtId="164" fontId="5" fillId="2" borderId="27" xfId="1" applyFont="1" applyFill="1" applyBorder="1" applyAlignment="1" applyProtection="1">
      <alignment wrapText="1"/>
    </xf>
    <xf numFmtId="164" fontId="5" fillId="2" borderId="29" xfId="1" applyNumberFormat="1" applyFont="1" applyFill="1" applyBorder="1" applyAlignment="1">
      <alignment wrapText="1"/>
    </xf>
    <xf numFmtId="164" fontId="5" fillId="2" borderId="16" xfId="0" applyNumberFormat="1" applyFont="1" applyFill="1" applyBorder="1" applyAlignment="1">
      <alignment wrapText="1"/>
    </xf>
    <xf numFmtId="164" fontId="5" fillId="0" borderId="0" xfId="1" applyFont="1" applyFill="1" applyBorder="1" applyAlignment="1" applyProtection="1">
      <alignment vertical="center" wrapText="1"/>
      <protection locked="0"/>
    </xf>
    <xf numFmtId="164" fontId="2" fillId="0" borderId="0" xfId="1" applyFont="1" applyFill="1" applyBorder="1" applyAlignment="1">
      <alignment vertical="center" wrapText="1"/>
    </xf>
    <xf numFmtId="164" fontId="0" fillId="0" borderId="0" xfId="1" applyFont="1" applyFill="1" applyBorder="1" applyAlignment="1">
      <alignment wrapText="1"/>
    </xf>
    <xf numFmtId="0" fontId="1" fillId="2" borderId="8" xfId="0" applyFont="1" applyFill="1" applyBorder="1" applyAlignment="1" applyProtection="1">
      <alignment vertical="center" wrapText="1"/>
    </xf>
    <xf numFmtId="0" fontId="5" fillId="2" borderId="33" xfId="0" applyFont="1" applyFill="1" applyBorder="1" applyAlignment="1" applyProtection="1">
      <alignment horizontal="center" vertical="center" wrapText="1"/>
    </xf>
    <xf numFmtId="164" fontId="2" fillId="2" borderId="30"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0" fillId="7" borderId="6" xfId="0" applyFont="1" applyFill="1" applyBorder="1" applyAlignment="1">
      <alignment vertical="top" wrapText="1"/>
    </xf>
    <xf numFmtId="164" fontId="2" fillId="2" borderId="3" xfId="1" applyFont="1" applyFill="1" applyBorder="1" applyAlignment="1" applyProtection="1">
      <alignment horizontal="center" vertical="center" wrapText="1"/>
      <protection locked="0"/>
    </xf>
    <xf numFmtId="0" fontId="7" fillId="2" borderId="50" xfId="0" applyFont="1" applyFill="1" applyBorder="1" applyAlignment="1" applyProtection="1">
      <alignment vertical="center" wrapText="1"/>
    </xf>
    <xf numFmtId="164" fontId="11" fillId="0" borderId="0" xfId="1" applyFont="1" applyFill="1" applyBorder="1" applyAlignment="1">
      <alignment horizontal="left" wrapText="1"/>
    </xf>
    <xf numFmtId="164" fontId="2" fillId="0" borderId="3" xfId="1" applyFont="1" applyFill="1" applyBorder="1" applyAlignment="1" applyProtection="1">
      <alignment horizontal="center" vertical="center" wrapText="1"/>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8" borderId="3" xfId="0" applyFont="1" applyFill="1" applyBorder="1" applyAlignment="1" applyProtection="1">
      <alignment horizontal="center" vertical="center" wrapText="1"/>
    </xf>
    <xf numFmtId="0" fontId="1" fillId="3" borderId="3" xfId="0" applyFont="1" applyFill="1" applyBorder="1" applyAlignment="1" applyProtection="1">
      <alignment vertical="center" wrapText="1"/>
      <protection locked="0"/>
    </xf>
    <xf numFmtId="49" fontId="1" fillId="3" borderId="3" xfId="0" applyNumberFormat="1" applyFont="1" applyFill="1" applyBorder="1" applyAlignment="1" applyProtection="1">
      <alignment horizontal="left" vertical="top" wrapText="1"/>
      <protection locked="0"/>
    </xf>
    <xf numFmtId="164" fontId="1" fillId="2" borderId="3" xfId="1" applyNumberFormat="1" applyFont="1" applyFill="1" applyBorder="1" applyAlignment="1" applyProtection="1">
      <alignment horizontal="center" vertical="center" wrapText="1"/>
    </xf>
    <xf numFmtId="164" fontId="1" fillId="3" borderId="3" xfId="1" applyFont="1" applyFill="1" applyBorder="1" applyAlignment="1" applyProtection="1">
      <alignment horizontal="left" vertical="top" wrapText="1"/>
      <protection locked="0"/>
    </xf>
    <xf numFmtId="9" fontId="1" fillId="0" borderId="3" xfId="2" applyFont="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0" fontId="1" fillId="0" borderId="3" xfId="0" applyFont="1" applyBorder="1" applyAlignment="1" applyProtection="1">
      <alignment horizontal="left" vertical="top" wrapText="1"/>
      <protection locked="0"/>
    </xf>
    <xf numFmtId="164" fontId="1" fillId="3" borderId="3" xfId="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0" borderId="0" xfId="0" applyFont="1" applyBorder="1" applyAlignment="1">
      <alignment wrapText="1"/>
    </xf>
    <xf numFmtId="0" fontId="1" fillId="3" borderId="0" xfId="0" applyFont="1" applyFill="1" applyBorder="1" applyAlignment="1" applyProtection="1">
      <alignment vertical="center" wrapText="1"/>
      <protection locked="0"/>
    </xf>
    <xf numFmtId="0" fontId="1" fillId="3" borderId="0" xfId="0" applyFont="1" applyFill="1" applyBorder="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0" fontId="1" fillId="3" borderId="3" xfId="0" applyFont="1" applyFill="1" applyBorder="1" applyAlignment="1">
      <alignment vertical="center" wrapText="1"/>
    </xf>
    <xf numFmtId="0" fontId="1" fillId="6" borderId="4" xfId="0" applyFont="1" applyFill="1" applyBorder="1" applyAlignment="1" applyProtection="1">
      <alignment vertical="center" wrapText="1"/>
    </xf>
    <xf numFmtId="9" fontId="1" fillId="0" borderId="2" xfId="2" applyFont="1" applyBorder="1" applyAlignment="1" applyProtection="1">
      <alignment horizontal="center" vertical="center" wrapText="1"/>
      <protection locked="0"/>
    </xf>
    <xf numFmtId="9" fontId="1" fillId="3" borderId="2" xfId="2" applyFont="1" applyFill="1" applyBorder="1" applyAlignment="1" applyProtection="1">
      <alignment horizontal="center" vertical="center" wrapText="1"/>
      <protection locked="0"/>
    </xf>
    <xf numFmtId="164" fontId="2" fillId="2" borderId="37" xfId="1" applyNumberFormat="1" applyFont="1" applyFill="1" applyBorder="1" applyAlignment="1" applyProtection="1">
      <alignment horizontal="center" vertical="center" wrapText="1"/>
    </xf>
    <xf numFmtId="164" fontId="1" fillId="2" borderId="3" xfId="1" applyFont="1" applyFill="1" applyBorder="1" applyAlignment="1" applyProtection="1">
      <alignment horizontal="center" vertical="center" wrapText="1"/>
    </xf>
    <xf numFmtId="0" fontId="1" fillId="3" borderId="3" xfId="0" applyFont="1" applyFill="1" applyBorder="1" applyAlignment="1">
      <alignment horizontal="left" vertical="center" wrapText="1"/>
    </xf>
    <xf numFmtId="164" fontId="1" fillId="9" borderId="3" xfId="1" applyFont="1" applyFill="1" applyBorder="1" applyAlignment="1" applyProtection="1">
      <alignment horizontal="center" vertical="center" wrapText="1"/>
      <protection locked="0"/>
    </xf>
    <xf numFmtId="164" fontId="1" fillId="9" borderId="3" xfId="1" applyNumberFormat="1" applyFont="1" applyFill="1" applyBorder="1" applyAlignment="1" applyProtection="1">
      <alignment horizontal="center" vertical="center" wrapText="1"/>
      <protection locked="0"/>
    </xf>
    <xf numFmtId="0" fontId="2" fillId="10" borderId="6" xfId="0" applyFont="1" applyFill="1" applyBorder="1" applyAlignment="1" applyProtection="1">
      <alignment horizontal="center" vertical="center" wrapText="1"/>
      <protection locked="0"/>
    </xf>
    <xf numFmtId="164" fontId="1" fillId="10" borderId="3" xfId="1" applyFont="1" applyFill="1" applyBorder="1" applyAlignment="1" applyProtection="1">
      <alignment horizontal="center" vertical="center" wrapText="1"/>
      <protection locked="0"/>
    </xf>
    <xf numFmtId="164" fontId="2" fillId="10" borderId="3" xfId="1" applyNumberFormat="1" applyFont="1" applyFill="1" applyBorder="1" applyAlignment="1" applyProtection="1">
      <alignment horizontal="center" vertical="center" wrapText="1"/>
    </xf>
    <xf numFmtId="164" fontId="2" fillId="10" borderId="5" xfId="1" applyNumberFormat="1" applyFont="1" applyFill="1" applyBorder="1" applyAlignment="1" applyProtection="1">
      <alignment horizontal="center" vertical="center" wrapText="1"/>
    </xf>
    <xf numFmtId="164" fontId="2" fillId="10" borderId="37" xfId="1" applyNumberFormat="1" applyFont="1" applyFill="1" applyBorder="1" applyAlignment="1" applyProtection="1">
      <alignment horizontal="center" vertical="center" wrapText="1"/>
    </xf>
    <xf numFmtId="164" fontId="1" fillId="10" borderId="0" xfId="1" applyFont="1" applyFill="1" applyBorder="1" applyAlignment="1" applyProtection="1">
      <alignment horizontal="center" vertical="center" wrapText="1"/>
      <protection locked="0"/>
    </xf>
    <xf numFmtId="164" fontId="1" fillId="10" borderId="3" xfId="1" applyNumberFormat="1" applyFont="1" applyFill="1" applyBorder="1" applyAlignment="1" applyProtection="1">
      <alignment horizontal="center" vertical="center" wrapText="1"/>
      <protection locked="0"/>
    </xf>
    <xf numFmtId="164" fontId="2" fillId="10" borderId="3" xfId="1" applyFont="1" applyFill="1" applyBorder="1" applyAlignment="1" applyProtection="1">
      <alignment horizontal="center" vertical="center" wrapText="1"/>
      <protection locked="0"/>
    </xf>
    <xf numFmtId="164" fontId="5" fillId="10" borderId="3" xfId="0" applyNumberFormat="1" applyFont="1" applyFill="1" applyBorder="1" applyAlignment="1" applyProtection="1">
      <alignment vertical="center" wrapText="1"/>
    </xf>
    <xf numFmtId="164" fontId="2" fillId="10" borderId="13" xfId="1" applyFont="1" applyFill="1" applyBorder="1" applyAlignment="1" applyProtection="1">
      <alignment vertical="center" wrapText="1"/>
    </xf>
    <xf numFmtId="164" fontId="2" fillId="10" borderId="3" xfId="1" applyFont="1" applyFill="1" applyBorder="1" applyAlignment="1" applyProtection="1">
      <alignment vertical="center" wrapText="1"/>
    </xf>
    <xf numFmtId="0" fontId="0" fillId="10" borderId="0" xfId="0" applyFont="1" applyFill="1" applyBorder="1" applyAlignment="1">
      <alignment wrapText="1"/>
    </xf>
    <xf numFmtId="0" fontId="2" fillId="11" borderId="6" xfId="0" applyFont="1" applyFill="1" applyBorder="1" applyAlignment="1" applyProtection="1">
      <alignment horizontal="center" vertical="center" wrapText="1"/>
      <protection locked="0"/>
    </xf>
    <xf numFmtId="164" fontId="1" fillId="11" borderId="3" xfId="1" applyFont="1" applyFill="1" applyBorder="1" applyAlignment="1" applyProtection="1">
      <alignment horizontal="center" vertical="center" wrapText="1"/>
      <protection locked="0"/>
    </xf>
    <xf numFmtId="164" fontId="2" fillId="11" borderId="3" xfId="1" applyNumberFormat="1" applyFont="1" applyFill="1" applyBorder="1" applyAlignment="1" applyProtection="1">
      <alignment horizontal="center" vertical="center" wrapText="1"/>
    </xf>
    <xf numFmtId="164" fontId="2" fillId="11" borderId="5" xfId="1" applyNumberFormat="1" applyFont="1" applyFill="1" applyBorder="1" applyAlignment="1" applyProtection="1">
      <alignment horizontal="center" vertical="center" wrapText="1"/>
    </xf>
    <xf numFmtId="164" fontId="2" fillId="11" borderId="37" xfId="1" applyNumberFormat="1" applyFont="1" applyFill="1" applyBorder="1" applyAlignment="1" applyProtection="1">
      <alignment horizontal="center" vertical="center" wrapText="1"/>
    </xf>
    <xf numFmtId="164" fontId="1" fillId="11" borderId="0" xfId="1" applyFont="1" applyFill="1" applyBorder="1" applyAlignment="1" applyProtection="1">
      <alignment horizontal="center" vertical="center" wrapText="1"/>
      <protection locked="0"/>
    </xf>
    <xf numFmtId="164" fontId="1" fillId="11" borderId="3" xfId="1" applyNumberFormat="1" applyFont="1" applyFill="1" applyBorder="1" applyAlignment="1" applyProtection="1">
      <alignment horizontal="center" vertical="center" wrapText="1"/>
      <protection locked="0"/>
    </xf>
    <xf numFmtId="164" fontId="2" fillId="11" borderId="3" xfId="1" applyFont="1" applyFill="1" applyBorder="1" applyAlignment="1" applyProtection="1">
      <alignment horizontal="center" vertical="center" wrapText="1"/>
      <protection locked="0"/>
    </xf>
    <xf numFmtId="164" fontId="5" fillId="11" borderId="3" xfId="0" applyNumberFormat="1" applyFont="1" applyFill="1" applyBorder="1" applyAlignment="1" applyProtection="1">
      <alignment vertical="center" wrapText="1"/>
    </xf>
    <xf numFmtId="164" fontId="2" fillId="11" borderId="13" xfId="1" applyFont="1" applyFill="1" applyBorder="1" applyAlignment="1" applyProtection="1">
      <alignment vertical="center" wrapText="1"/>
    </xf>
    <xf numFmtId="164" fontId="2" fillId="11" borderId="3" xfId="1" applyFont="1" applyFill="1" applyBorder="1" applyAlignment="1" applyProtection="1">
      <alignment vertical="center" wrapText="1"/>
    </xf>
    <xf numFmtId="10" fontId="2" fillId="11" borderId="9" xfId="2" applyNumberFormat="1" applyFont="1" applyFill="1" applyBorder="1" applyAlignment="1" applyProtection="1">
      <alignment wrapText="1"/>
    </xf>
    <xf numFmtId="164" fontId="2" fillId="11" borderId="9" xfId="2" applyNumberFormat="1" applyFont="1" applyFill="1" applyBorder="1" applyAlignment="1" applyProtection="1">
      <alignment wrapText="1"/>
    </xf>
    <xf numFmtId="0" fontId="0" fillId="11" borderId="0" xfId="0" applyFont="1" applyFill="1" applyBorder="1" applyAlignment="1">
      <alignment wrapText="1"/>
    </xf>
    <xf numFmtId="164" fontId="2" fillId="11" borderId="5" xfId="1" applyFont="1" applyFill="1" applyBorder="1" applyAlignment="1" applyProtection="1">
      <alignment vertical="center" wrapText="1"/>
    </xf>
    <xf numFmtId="164" fontId="2" fillId="10" borderId="5" xfId="1" applyFont="1" applyFill="1" applyBorder="1" applyAlignment="1" applyProtection="1">
      <alignment vertical="center" wrapText="1"/>
    </xf>
    <xf numFmtId="0" fontId="2" fillId="2" borderId="33" xfId="0" applyFont="1" applyFill="1" applyBorder="1" applyAlignment="1">
      <alignment vertical="center" wrapText="1"/>
    </xf>
    <xf numFmtId="164" fontId="2" fillId="2" borderId="5" xfId="1" applyFont="1" applyFill="1" applyBorder="1" applyAlignment="1">
      <alignment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12" borderId="3" xfId="0" applyFont="1" applyFill="1" applyBorder="1" applyAlignment="1" applyProtection="1">
      <alignment horizontal="center" vertical="center" wrapText="1"/>
      <protection locked="0"/>
    </xf>
    <xf numFmtId="49" fontId="1" fillId="12" borderId="3" xfId="0" applyNumberFormat="1" applyFont="1" applyFill="1" applyBorder="1" applyAlignment="1" applyProtection="1">
      <alignment horizontal="left" vertical="top" wrapText="1"/>
      <protection locked="0"/>
    </xf>
    <xf numFmtId="164" fontId="1" fillId="12" borderId="3" xfId="1" applyNumberFormat="1" applyFont="1" applyFill="1" applyBorder="1" applyAlignment="1" applyProtection="1">
      <alignment horizontal="center" vertical="center" wrapText="1"/>
      <protection locked="0"/>
    </xf>
    <xf numFmtId="164" fontId="2" fillId="12" borderId="3" xfId="1" applyNumberFormat="1" applyFont="1" applyFill="1" applyBorder="1" applyAlignment="1" applyProtection="1">
      <alignment horizontal="center" vertical="center" wrapText="1"/>
    </xf>
    <xf numFmtId="164" fontId="2" fillId="12" borderId="5" xfId="1" applyNumberFormat="1" applyFont="1" applyFill="1" applyBorder="1" applyAlignment="1" applyProtection="1">
      <alignment horizontal="center" vertical="center" wrapText="1"/>
    </xf>
    <xf numFmtId="164" fontId="1" fillId="12" borderId="3" xfId="1" applyFont="1" applyFill="1" applyBorder="1" applyAlignment="1" applyProtection="1">
      <alignment horizontal="center" vertical="center" wrapText="1"/>
      <protection locked="0"/>
    </xf>
    <xf numFmtId="164" fontId="2" fillId="12" borderId="37" xfId="1" applyNumberFormat="1" applyFont="1" applyFill="1" applyBorder="1" applyAlignment="1" applyProtection="1">
      <alignment horizontal="center" vertical="center" wrapText="1"/>
    </xf>
    <xf numFmtId="164" fontId="2" fillId="12" borderId="3" xfId="1" applyFont="1" applyFill="1" applyBorder="1" applyAlignment="1" applyProtection="1">
      <alignment horizontal="center" vertical="center" wrapText="1"/>
      <protection locked="0"/>
    </xf>
    <xf numFmtId="164" fontId="5" fillId="12" borderId="3" xfId="0" applyNumberFormat="1" applyFont="1" applyFill="1" applyBorder="1" applyAlignment="1" applyProtection="1">
      <alignment vertical="center" wrapText="1"/>
    </xf>
    <xf numFmtId="164" fontId="2" fillId="12" borderId="13" xfId="1" applyFont="1" applyFill="1" applyBorder="1" applyAlignment="1" applyProtection="1">
      <alignment vertical="center" wrapText="1"/>
    </xf>
    <xf numFmtId="164" fontId="5" fillId="9" borderId="3" xfId="0" applyNumberFormat="1" applyFont="1" applyFill="1" applyBorder="1" applyAlignment="1" applyProtection="1">
      <alignment vertical="center" wrapText="1"/>
    </xf>
    <xf numFmtId="164" fontId="2" fillId="9" borderId="13" xfId="1" applyFont="1" applyFill="1" applyBorder="1" applyAlignment="1" applyProtection="1">
      <alignment vertical="center" wrapText="1"/>
    </xf>
    <xf numFmtId="164" fontId="2" fillId="9" borderId="3" xfId="1" applyFont="1" applyFill="1" applyBorder="1" applyAlignment="1" applyProtection="1">
      <alignment horizontal="center" vertical="center" wrapText="1"/>
      <protection locked="0"/>
    </xf>
    <xf numFmtId="164" fontId="2" fillId="9" borderId="4" xfId="1" applyFont="1" applyFill="1" applyBorder="1" applyAlignment="1" applyProtection="1">
      <alignment vertical="center" wrapText="1"/>
    </xf>
    <xf numFmtId="164" fontId="2" fillId="9" borderId="38" xfId="1" applyFont="1" applyFill="1" applyBorder="1" applyAlignment="1" applyProtection="1">
      <alignment vertical="center" wrapText="1"/>
    </xf>
    <xf numFmtId="164" fontId="2" fillId="12" borderId="4" xfId="1" applyFont="1" applyFill="1" applyBorder="1" applyAlignment="1" applyProtection="1">
      <alignment vertical="center" wrapText="1"/>
    </xf>
    <xf numFmtId="164" fontId="2" fillId="12" borderId="38" xfId="1" applyFont="1" applyFill="1" applyBorder="1" applyAlignment="1" applyProtection="1">
      <alignment vertical="center" wrapText="1"/>
    </xf>
    <xf numFmtId="10" fontId="2" fillId="10" borderId="4" xfId="2" applyNumberFormat="1" applyFont="1" applyFill="1" applyBorder="1" applyAlignment="1" applyProtection="1">
      <alignment wrapText="1"/>
    </xf>
    <xf numFmtId="164" fontId="2" fillId="10" borderId="4" xfId="2" applyNumberFormat="1" applyFont="1" applyFill="1" applyBorder="1" applyAlignment="1" applyProtection="1">
      <alignment wrapText="1"/>
    </xf>
    <xf numFmtId="9" fontId="2" fillId="2" borderId="2" xfId="2" applyFont="1" applyFill="1" applyBorder="1" applyAlignment="1">
      <alignment vertical="center" wrapText="1"/>
    </xf>
    <xf numFmtId="164" fontId="2" fillId="2" borderId="9" xfId="2" applyNumberFormat="1" applyFont="1" applyFill="1" applyBorder="1" applyAlignment="1">
      <alignment vertical="center" wrapText="1"/>
    </xf>
    <xf numFmtId="164" fontId="2" fillId="2" borderId="30" xfId="2" applyNumberFormat="1" applyFont="1" applyFill="1" applyBorder="1" applyAlignment="1">
      <alignment vertical="center" wrapText="1"/>
    </xf>
    <xf numFmtId="0" fontId="2" fillId="2" borderId="54" xfId="0" applyFont="1" applyFill="1" applyBorder="1" applyAlignment="1">
      <alignment vertical="center" wrapText="1"/>
    </xf>
    <xf numFmtId="164" fontId="3" fillId="2" borderId="55" xfId="0" applyNumberFormat="1" applyFont="1" applyFill="1" applyBorder="1"/>
    <xf numFmtId="164" fontId="3" fillId="2" borderId="56" xfId="0" applyNumberFormat="1" applyFont="1" applyFill="1" applyBorder="1"/>
    <xf numFmtId="0" fontId="2" fillId="2" borderId="1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6" xfId="0" applyFont="1" applyFill="1" applyBorder="1" applyAlignment="1">
      <alignment horizontal="center" vertical="center" wrapText="1"/>
    </xf>
    <xf numFmtId="164" fontId="2" fillId="2" borderId="14" xfId="0" applyNumberFormat="1" applyFont="1" applyFill="1" applyBorder="1" applyAlignment="1">
      <alignment wrapText="1"/>
    </xf>
    <xf numFmtId="10" fontId="2" fillId="12" borderId="4" xfId="2" applyNumberFormat="1" applyFont="1" applyFill="1" applyBorder="1" applyAlignment="1" applyProtection="1">
      <alignment wrapText="1"/>
    </xf>
    <xf numFmtId="164" fontId="2" fillId="12" borderId="4" xfId="2" applyNumberFormat="1" applyFont="1" applyFill="1" applyBorder="1" applyAlignment="1" applyProtection="1">
      <alignment wrapText="1"/>
    </xf>
    <xf numFmtId="164" fontId="2" fillId="9" borderId="3" xfId="1" applyNumberFormat="1" applyFont="1" applyFill="1" applyBorder="1" applyAlignment="1" applyProtection="1">
      <alignment horizontal="center" vertical="center" wrapText="1"/>
    </xf>
    <xf numFmtId="164" fontId="2" fillId="9" borderId="5" xfId="1" applyNumberFormat="1" applyFont="1" applyFill="1" applyBorder="1" applyAlignment="1" applyProtection="1">
      <alignment horizontal="center" vertical="center" wrapText="1"/>
    </xf>
    <xf numFmtId="164" fontId="2" fillId="9" borderId="37" xfId="1" applyNumberFormat="1" applyFont="1" applyFill="1" applyBorder="1" applyAlignment="1" applyProtection="1">
      <alignment horizontal="center" vertical="center" wrapText="1"/>
    </xf>
    <xf numFmtId="10" fontId="2" fillId="9" borderId="4" xfId="2" applyNumberFormat="1" applyFont="1" applyFill="1" applyBorder="1" applyAlignment="1" applyProtection="1">
      <alignment wrapText="1"/>
    </xf>
    <xf numFmtId="164" fontId="2" fillId="9" borderId="4" xfId="2" applyNumberFormat="1" applyFont="1" applyFill="1" applyBorder="1" applyAlignment="1" applyProtection="1">
      <alignment wrapText="1"/>
    </xf>
    <xf numFmtId="164" fontId="2" fillId="4" borderId="16" xfId="0" applyNumberFormat="1" applyFont="1" applyFill="1" applyBorder="1" applyAlignment="1" applyProtection="1">
      <alignment vertical="center" wrapText="1"/>
    </xf>
    <xf numFmtId="164" fontId="2" fillId="4" borderId="35" xfId="0" applyNumberFormat="1" applyFont="1" applyFill="1" applyBorder="1" applyAlignment="1" applyProtection="1">
      <alignment vertical="center" wrapText="1"/>
    </xf>
    <xf numFmtId="10" fontId="2" fillId="4" borderId="9" xfId="2" applyNumberFormat="1" applyFont="1" applyFill="1" applyBorder="1" applyAlignment="1" applyProtection="1">
      <alignment wrapText="1"/>
    </xf>
    <xf numFmtId="10" fontId="2" fillId="4" borderId="4" xfId="2" applyNumberFormat="1" applyFont="1" applyFill="1" applyBorder="1" applyAlignment="1" applyProtection="1">
      <alignment wrapText="1"/>
    </xf>
    <xf numFmtId="164" fontId="2" fillId="4" borderId="3" xfId="2" applyNumberFormat="1" applyFont="1" applyFill="1" applyBorder="1" applyAlignment="1" applyProtection="1">
      <alignment wrapText="1"/>
    </xf>
    <xf numFmtId="10" fontId="2" fillId="4" borderId="3" xfId="2" applyNumberFormat="1" applyFont="1" applyFill="1" applyBorder="1" applyAlignment="1" applyProtection="1">
      <alignment wrapText="1"/>
    </xf>
    <xf numFmtId="164" fontId="2" fillId="2" borderId="3" xfId="0" applyNumberFormat="1" applyFont="1" applyFill="1" applyBorder="1" applyAlignment="1">
      <alignment vertical="center" wrapText="1"/>
    </xf>
    <xf numFmtId="0" fontId="0" fillId="3" borderId="0" xfId="0" applyFont="1" applyFill="1" applyBorder="1" applyAlignment="1">
      <alignment horizontal="center" wrapText="1"/>
    </xf>
    <xf numFmtId="164" fontId="2" fillId="3" borderId="3" xfId="1" applyNumberFormat="1" applyFont="1" applyFill="1" applyBorder="1" applyAlignment="1" applyProtection="1">
      <alignment horizontal="center" vertical="center" wrapText="1"/>
    </xf>
    <xf numFmtId="164" fontId="2" fillId="3" borderId="5" xfId="1" applyNumberFormat="1" applyFont="1" applyFill="1" applyBorder="1" applyAlignment="1" applyProtection="1">
      <alignment horizontal="center" vertical="center" wrapText="1"/>
    </xf>
    <xf numFmtId="164" fontId="2" fillId="3" borderId="37" xfId="1" applyNumberFormat="1" applyFont="1" applyFill="1" applyBorder="1" applyAlignment="1" applyProtection="1">
      <alignment horizontal="center" vertical="center" wrapText="1"/>
    </xf>
    <xf numFmtId="164" fontId="1" fillId="3" borderId="3" xfId="1" applyNumberFormat="1" applyFont="1" applyFill="1" applyBorder="1" applyAlignment="1" applyProtection="1">
      <alignment horizontal="center" vertical="center" wrapText="1"/>
      <protection locked="0"/>
    </xf>
    <xf numFmtId="164" fontId="2" fillId="3" borderId="3" xfId="1" applyFont="1" applyFill="1" applyBorder="1" applyAlignment="1" applyProtection="1">
      <alignment horizontal="center" vertical="center" wrapText="1"/>
      <protection locked="0"/>
    </xf>
    <xf numFmtId="164" fontId="5" fillId="3" borderId="3" xfId="0" applyNumberFormat="1" applyFont="1" applyFill="1" applyBorder="1" applyAlignment="1" applyProtection="1">
      <alignment vertical="center" wrapText="1"/>
    </xf>
    <xf numFmtId="164" fontId="2" fillId="3" borderId="13" xfId="1" applyFont="1" applyFill="1" applyBorder="1" applyAlignment="1" applyProtection="1">
      <alignment vertical="center" wrapText="1"/>
    </xf>
    <xf numFmtId="164" fontId="2" fillId="3" borderId="4" xfId="1" applyFont="1" applyFill="1" applyBorder="1" applyAlignment="1" applyProtection="1">
      <alignment vertical="center" wrapText="1"/>
    </xf>
    <xf numFmtId="164" fontId="2" fillId="3" borderId="35" xfId="0" applyNumberFormat="1" applyFont="1" applyFill="1" applyBorder="1" applyAlignment="1" applyProtection="1">
      <alignment vertical="center" wrapText="1"/>
    </xf>
    <xf numFmtId="10" fontId="2" fillId="3" borderId="4" xfId="2" applyNumberFormat="1" applyFont="1" applyFill="1" applyBorder="1" applyAlignment="1" applyProtection="1">
      <alignment wrapText="1"/>
    </xf>
    <xf numFmtId="164" fontId="2" fillId="3" borderId="4" xfId="2" applyNumberFormat="1" applyFont="1" applyFill="1" applyBorder="1" applyAlignment="1" applyProtection="1">
      <alignment wrapText="1"/>
    </xf>
    <xf numFmtId="0" fontId="2" fillId="9" borderId="25"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164" fontId="2" fillId="3" borderId="3" xfId="1" applyNumberFormat="1" applyFont="1" applyFill="1" applyBorder="1" applyAlignment="1" applyProtection="1">
      <alignment horizontal="center" vertical="center" wrapText="1"/>
      <protection locked="0"/>
    </xf>
    <xf numFmtId="164" fontId="2" fillId="3" borderId="3" xfId="0" applyNumberFormat="1" applyFont="1" applyFill="1" applyBorder="1" applyAlignment="1" applyProtection="1">
      <alignment vertical="center" wrapText="1"/>
    </xf>
    <xf numFmtId="164" fontId="2" fillId="2" borderId="38" xfId="1" applyFont="1" applyFill="1" applyBorder="1" applyAlignment="1" applyProtection="1">
      <alignment vertical="center" wrapText="1"/>
    </xf>
    <xf numFmtId="164" fontId="1" fillId="3" borderId="3" xfId="1" applyFont="1" applyFill="1" applyBorder="1" applyAlignment="1" applyProtection="1">
      <alignment horizontal="left" vertical="center" wrapText="1"/>
      <protection locked="0"/>
    </xf>
    <xf numFmtId="0" fontId="2" fillId="2" borderId="37" xfId="0" applyFont="1" applyFill="1" applyBorder="1" applyAlignment="1">
      <alignment horizontal="center" vertical="top" wrapText="1"/>
    </xf>
    <xf numFmtId="164" fontId="24" fillId="0" borderId="3" xfId="1" applyFont="1" applyFill="1" applyBorder="1" applyAlignment="1" applyProtection="1">
      <alignment horizontal="center" vertical="center" wrapText="1"/>
      <protection locked="0"/>
    </xf>
    <xf numFmtId="164" fontId="25" fillId="3" borderId="3" xfId="1" applyFont="1" applyFill="1" applyBorder="1" applyAlignment="1" applyProtection="1">
      <alignment horizontal="left" vertical="top" wrapText="1"/>
      <protection locked="0"/>
    </xf>
    <xf numFmtId="164" fontId="25" fillId="0" borderId="3" xfId="1" applyFont="1" applyFill="1" applyBorder="1" applyAlignment="1" applyProtection="1">
      <alignment horizontal="center" vertical="center" wrapText="1"/>
      <protection locked="0"/>
    </xf>
    <xf numFmtId="164" fontId="26" fillId="0" borderId="3" xfId="1" applyFont="1" applyFill="1" applyBorder="1" applyAlignment="1" applyProtection="1">
      <alignment horizontal="center" vertical="center" wrapText="1"/>
      <protection locked="0"/>
    </xf>
    <xf numFmtId="0" fontId="27" fillId="2" borderId="37" xfId="0" applyFont="1" applyFill="1" applyBorder="1" applyAlignment="1">
      <alignment horizontal="center" vertical="top" wrapText="1"/>
    </xf>
    <xf numFmtId="0" fontId="1" fillId="0" borderId="0" xfId="0"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43" fontId="5" fillId="2" borderId="9" xfId="3" applyFont="1" applyFill="1" applyBorder="1" applyAlignment="1" applyProtection="1">
      <alignment vertical="center" wrapText="1"/>
    </xf>
    <xf numFmtId="164" fontId="2" fillId="12" borderId="16" xfId="0" applyNumberFormat="1" applyFont="1" applyFill="1" applyBorder="1" applyAlignment="1" applyProtection="1">
      <alignment vertical="center" wrapText="1"/>
    </xf>
    <xf numFmtId="10" fontId="2" fillId="12" borderId="9" xfId="2" applyNumberFormat="1" applyFont="1" applyFill="1" applyBorder="1" applyAlignment="1" applyProtection="1">
      <alignment wrapText="1"/>
    </xf>
    <xf numFmtId="165" fontId="0" fillId="0" borderId="0" xfId="0" applyNumberFormat="1" applyFont="1" applyBorder="1" applyAlignment="1">
      <alignment wrapText="1"/>
    </xf>
    <xf numFmtId="43" fontId="2" fillId="3" borderId="0" xfId="3" applyFont="1" applyFill="1" applyBorder="1" applyAlignment="1" applyProtection="1">
      <alignment vertical="center" wrapText="1"/>
      <protection locked="0"/>
    </xf>
    <xf numFmtId="165" fontId="2" fillId="3" borderId="0" xfId="0" applyNumberFormat="1" applyFont="1" applyFill="1" applyBorder="1" applyAlignment="1" applyProtection="1">
      <alignment vertical="center" wrapText="1"/>
      <protection locked="0"/>
    </xf>
    <xf numFmtId="43" fontId="0" fillId="0" borderId="0" xfId="3" applyFont="1" applyBorder="1" applyAlignment="1">
      <alignment wrapText="1"/>
    </xf>
    <xf numFmtId="43" fontId="5" fillId="0" borderId="0" xfId="3" applyFont="1" applyFill="1" applyBorder="1" applyAlignment="1" applyProtection="1">
      <alignment vertical="center" wrapText="1"/>
      <protection locked="0"/>
    </xf>
    <xf numFmtId="164" fontId="2" fillId="9" borderId="0" xfId="0" applyNumberFormat="1" applyFont="1" applyFill="1" applyBorder="1" applyAlignment="1">
      <alignment vertical="center" wrapText="1"/>
    </xf>
    <xf numFmtId="0" fontId="0" fillId="3" borderId="0" xfId="0" applyFont="1" applyFill="1" applyBorder="1" applyAlignment="1">
      <alignment vertical="center" wrapText="1"/>
    </xf>
    <xf numFmtId="0" fontId="1" fillId="0" borderId="0" xfId="0" applyFont="1" applyBorder="1" applyAlignment="1">
      <alignment vertical="center" wrapText="1"/>
    </xf>
    <xf numFmtId="49" fontId="1" fillId="3" borderId="3" xfId="1" applyNumberFormat="1" applyFont="1" applyFill="1" applyBorder="1" applyAlignment="1" applyProtection="1">
      <alignment horizontal="left" vertical="center" wrapText="1"/>
      <protection locked="0"/>
    </xf>
    <xf numFmtId="0" fontId="0" fillId="0" borderId="0" xfId="0" applyFont="1" applyBorder="1" applyAlignment="1">
      <alignment vertical="center" wrapText="1"/>
    </xf>
    <xf numFmtId="0" fontId="0" fillId="2" borderId="3" xfId="0" applyFont="1" applyFill="1" applyBorder="1" applyAlignment="1">
      <alignment vertical="center" wrapText="1"/>
    </xf>
    <xf numFmtId="164" fontId="1" fillId="13" borderId="3" xfId="1" applyFont="1" applyFill="1" applyBorder="1" applyAlignment="1" applyProtection="1">
      <alignment horizontal="left" vertical="center" wrapText="1"/>
      <protection locked="0"/>
    </xf>
    <xf numFmtId="164" fontId="1" fillId="13" borderId="3" xfId="1" applyFont="1" applyFill="1" applyBorder="1" applyAlignment="1" applyProtection="1">
      <alignment horizontal="center" vertical="center" wrapText="1"/>
      <protection locked="0"/>
    </xf>
    <xf numFmtId="164" fontId="2" fillId="13" borderId="3" xfId="1" applyFont="1" applyFill="1" applyBorder="1" applyAlignment="1" applyProtection="1">
      <alignment horizontal="center" vertical="center" wrapText="1"/>
    </xf>
    <xf numFmtId="164" fontId="1" fillId="13" borderId="3" xfId="1" applyFont="1" applyFill="1" applyBorder="1" applyAlignment="1" applyProtection="1">
      <alignment horizontal="center" wrapText="1"/>
      <protection locked="0"/>
    </xf>
    <xf numFmtId="9" fontId="17" fillId="13" borderId="14" xfId="2" applyFont="1" applyFill="1" applyBorder="1" applyAlignment="1">
      <alignment vertical="center" wrapText="1"/>
    </xf>
    <xf numFmtId="164" fontId="2" fillId="0" borderId="0" xfId="1" applyFont="1" applyFill="1" applyBorder="1" applyAlignment="1">
      <alignment horizontal="right" vertical="center" wrapText="1"/>
    </xf>
    <xf numFmtId="164" fontId="17" fillId="13" borderId="36" xfId="1" applyFont="1" applyFill="1" applyBorder="1" applyAlignment="1">
      <alignment vertical="center" wrapText="1"/>
    </xf>
    <xf numFmtId="164" fontId="2" fillId="0" borderId="47" xfId="1" applyFont="1" applyFill="1" applyBorder="1" applyAlignment="1">
      <alignment vertical="center" wrapText="1"/>
    </xf>
    <xf numFmtId="164" fontId="0" fillId="13" borderId="6" xfId="1" applyFont="1" applyFill="1" applyBorder="1" applyAlignment="1">
      <alignment vertical="center" wrapText="1"/>
    </xf>
    <xf numFmtId="9" fontId="0" fillId="13" borderId="6" xfId="2" applyFont="1" applyFill="1" applyBorder="1" applyAlignment="1">
      <alignment wrapText="1"/>
    </xf>
    <xf numFmtId="0" fontId="15" fillId="0" borderId="0" xfId="0" applyFont="1" applyAlignment="1">
      <alignment horizontal="left" vertical="top" wrapText="1"/>
    </xf>
    <xf numFmtId="0" fontId="0" fillId="5" borderId="11"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2" borderId="27" xfId="0" applyFont="1" applyFill="1" applyBorder="1" applyAlignment="1" applyProtection="1">
      <alignment horizontal="center" vertical="center" wrapText="1"/>
    </xf>
    <xf numFmtId="0" fontId="2" fillId="2" borderId="53"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4" borderId="39" xfId="0" applyFont="1" applyFill="1" applyBorder="1" applyAlignment="1" applyProtection="1">
      <alignment horizontal="center" vertical="center" wrapText="1"/>
    </xf>
    <xf numFmtId="0" fontId="2" fillId="4" borderId="40" xfId="0" applyFont="1" applyFill="1" applyBorder="1" applyAlignment="1" applyProtection="1">
      <alignment horizontal="center" vertical="center" wrapText="1"/>
    </xf>
    <xf numFmtId="0" fontId="2" fillId="4" borderId="41" xfId="0" applyFont="1" applyFill="1" applyBorder="1" applyAlignment="1" applyProtection="1">
      <alignment horizontal="center" vertical="center" wrapText="1"/>
    </xf>
    <xf numFmtId="0" fontId="2" fillId="3" borderId="51"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49" fontId="2" fillId="3" borderId="6" xfId="0" applyNumberFormat="1" applyFont="1" applyFill="1" applyBorder="1" applyAlignment="1" applyProtection="1">
      <alignment horizontal="left" vertical="top" wrapText="1"/>
      <protection locked="0"/>
    </xf>
    <xf numFmtId="49" fontId="2" fillId="3" borderId="23" xfId="0" applyNumberFormat="1" applyFont="1" applyFill="1" applyBorder="1" applyAlignment="1" applyProtection="1">
      <alignment horizontal="left" vertical="top" wrapText="1"/>
      <protection locked="0"/>
    </xf>
    <xf numFmtId="164" fontId="2" fillId="3" borderId="6" xfId="1" applyFont="1" applyFill="1" applyBorder="1" applyAlignment="1" applyProtection="1">
      <alignment horizontal="left" vertical="top" wrapText="1"/>
      <protection locked="0"/>
    </xf>
    <xf numFmtId="0" fontId="20" fillId="0" borderId="0" xfId="0" applyFont="1" applyFill="1" applyBorder="1" applyAlignment="1">
      <alignment horizontal="left" wrapText="1"/>
    </xf>
    <xf numFmtId="49" fontId="2" fillId="3" borderId="51" xfId="0" applyNumberFormat="1" applyFont="1" applyFill="1" applyBorder="1" applyAlignment="1" applyProtection="1">
      <alignment horizontal="left" vertical="top" wrapText="1"/>
      <protection locked="0"/>
    </xf>
    <xf numFmtId="0" fontId="1" fillId="3" borderId="5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164" fontId="1" fillId="3" borderId="6" xfId="1" applyFont="1" applyFill="1" applyBorder="1" applyAlignment="1" applyProtection="1">
      <alignment horizontal="left" vertical="top" wrapText="1"/>
      <protection locked="0"/>
    </xf>
    <xf numFmtId="0" fontId="1" fillId="6" borderId="38" xfId="0" applyFont="1" applyFill="1" applyBorder="1" applyAlignment="1" applyProtection="1">
      <alignment horizontal="left" vertical="center" wrapText="1"/>
    </xf>
    <xf numFmtId="0" fontId="1" fillId="6" borderId="52" xfId="0" applyFont="1" applyFill="1" applyBorder="1" applyAlignment="1" applyProtection="1">
      <alignment horizontal="left" vertical="center" wrapText="1"/>
    </xf>
    <xf numFmtId="0" fontId="1" fillId="6" borderId="42" xfId="0" applyFont="1" applyFill="1" applyBorder="1" applyAlignment="1" applyProtection="1">
      <alignment horizontal="left" vertical="center" wrapText="1"/>
    </xf>
    <xf numFmtId="43" fontId="28" fillId="0" borderId="57" xfId="3" applyFont="1" applyBorder="1" applyAlignment="1">
      <alignment vertical="top" wrapText="1" readingOrder="1"/>
    </xf>
    <xf numFmtId="43" fontId="29" fillId="0" borderId="57" xfId="3" applyFont="1" applyBorder="1" applyAlignment="1">
      <alignment vertical="top" wrapText="1"/>
    </xf>
    <xf numFmtId="0" fontId="3" fillId="2" borderId="7"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5" fillId="0" borderId="0" xfId="0" applyFont="1" applyBorder="1" applyAlignment="1">
      <alignment horizontal="left" vertical="top" wrapText="1"/>
    </xf>
    <xf numFmtId="0" fontId="19" fillId="0" borderId="47" xfId="0" applyFont="1" applyFill="1" applyBorder="1" applyAlignment="1">
      <alignment horizontal="left" wrapText="1"/>
    </xf>
    <xf numFmtId="0" fontId="2" fillId="2" borderId="42" xfId="0" applyFont="1" applyFill="1" applyBorder="1" applyAlignment="1">
      <alignment horizontal="left" wrapText="1"/>
    </xf>
    <xf numFmtId="0" fontId="2" fillId="2" borderId="47" xfId="0" applyFont="1" applyFill="1" applyBorder="1" applyAlignment="1">
      <alignment horizontal="left" wrapText="1"/>
    </xf>
    <xf numFmtId="0" fontId="2" fillId="2" borderId="48" xfId="0" applyFont="1" applyFill="1" applyBorder="1" applyAlignment="1">
      <alignment horizontal="left" wrapText="1"/>
    </xf>
    <xf numFmtId="164" fontId="3" fillId="2" borderId="4" xfId="0" applyNumberFormat="1" applyFont="1" applyFill="1" applyBorder="1" applyAlignment="1">
      <alignment horizontal="center"/>
    </xf>
    <xf numFmtId="164" fontId="3" fillId="2" borderId="34" xfId="0" applyNumberFormat="1" applyFont="1" applyFill="1" applyBorder="1" applyAlignment="1">
      <alignment horizontal="center"/>
    </xf>
    <xf numFmtId="164" fontId="3" fillId="2" borderId="42" xfId="0" applyNumberFormat="1" applyFont="1" applyFill="1" applyBorder="1" applyAlignment="1">
      <alignment horizontal="center"/>
    </xf>
    <xf numFmtId="164" fontId="3" fillId="2" borderId="43" xfId="0" applyNumberFormat="1" applyFont="1" applyFill="1" applyBorder="1" applyAlignment="1">
      <alignment horizontal="center"/>
    </xf>
    <xf numFmtId="0" fontId="3" fillId="2" borderId="39" xfId="0" applyFont="1" applyFill="1" applyBorder="1" applyAlignment="1">
      <alignment horizontal="left"/>
    </xf>
    <xf numFmtId="0" fontId="3" fillId="2" borderId="40" xfId="0" applyFont="1" applyFill="1" applyBorder="1" applyAlignment="1">
      <alignment horizontal="left"/>
    </xf>
    <xf numFmtId="0" fontId="3" fillId="2" borderId="41" xfId="0" applyFont="1" applyFill="1" applyBorder="1" applyAlignment="1">
      <alignment horizontal="left"/>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0" fontId="0" fillId="2" borderId="44" xfId="0" applyNumberFormat="1" applyFill="1" applyBorder="1" applyAlignment="1">
      <alignment horizontal="center" wrapText="1"/>
    </xf>
    <xf numFmtId="0" fontId="0" fillId="2" borderId="45" xfId="0" applyNumberFormat="1" applyFill="1" applyBorder="1" applyAlignment="1">
      <alignment horizontal="center" wrapText="1"/>
    </xf>
    <xf numFmtId="0" fontId="0" fillId="2" borderId="46" xfId="0" applyNumberFormat="1"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4">
    <cellStyle name="Milliers" xfId="3" builtinId="3"/>
    <cellStyle name="Monétaire" xfId="1" builtinId="4"/>
    <cellStyle name="Normal" xfId="0" builtinId="0"/>
    <cellStyle name="Pourcentage" xfId="2" builtinId="5"/>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AA4BF502-4CA2-4E31-9936-6BF849E90593}"/>
  </tableStyles>
  <colors>
    <mruColors>
      <color rgb="FF66FFFF"/>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Joachim Ouedraogo" id="{2E721CC7-1284-47E3-AB46-760B1B989CB3}" userId="S::joachim.ouedraogo@undp.org::c71a921c-9271-4bec-ab6d-322f19f0a85c"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8" dT="2023-10-24T15:32:55.59" personId="{2E721CC7-1284-47E3-AB46-760B1B989CB3}" id="{A22DEAE2-A802-4D88-98A3-CCD346041CEC}">
    <text>Revoir en hausse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baseColWidth="10" defaultColWidth="8.7265625" defaultRowHeight="14.5" x14ac:dyDescent="0.35"/>
  <cols>
    <col min="2" max="2" width="133.453125" customWidth="1"/>
  </cols>
  <sheetData>
    <row r="2" spans="2:5" ht="36.75" customHeight="1" thickBot="1" x14ac:dyDescent="0.4">
      <c r="B2" s="295" t="s">
        <v>451</v>
      </c>
      <c r="C2" s="295"/>
      <c r="D2" s="295"/>
      <c r="E2" s="295"/>
    </row>
    <row r="3" spans="2:5" ht="361.5" customHeight="1" thickBot="1" x14ac:dyDescent="0.4">
      <c r="B3" s="137" t="s">
        <v>452</v>
      </c>
    </row>
  </sheetData>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S144"/>
  <sheetViews>
    <sheetView showGridLines="0" showZeros="0" tabSelected="1" topLeftCell="D1" zoomScale="61" zoomScaleNormal="61" workbookViewId="0">
      <pane ySplit="5" topLeftCell="A6" activePane="bottomLeft" state="frozen"/>
      <selection pane="bottomLeft" activeCell="H51" sqref="G51:H51"/>
    </sheetView>
  </sheetViews>
  <sheetFormatPr baseColWidth="10" defaultColWidth="9.1796875" defaultRowHeight="14.5" x14ac:dyDescent="0.35"/>
  <cols>
    <col min="1" max="1" width="4.26953125" style="25" customWidth="1"/>
    <col min="2" max="2" width="15" style="25" customWidth="1"/>
    <col min="3" max="3" width="48.7265625" style="25" customWidth="1"/>
    <col min="4" max="4" width="19.81640625" style="195" customWidth="1"/>
    <col min="5" max="5" width="23.1796875" style="181" customWidth="1"/>
    <col min="6" max="6" width="19.81640625" style="25" customWidth="1"/>
    <col min="7" max="7" width="21" style="26" customWidth="1"/>
    <col min="8" max="8" width="23" style="26" customWidth="1"/>
    <col min="9" max="9" width="19.26953125" style="26" customWidth="1"/>
    <col min="10" max="10" width="21.26953125" style="25" customWidth="1"/>
    <col min="11" max="11" width="22.26953125" style="25" customWidth="1"/>
    <col min="12" max="12" width="21.1796875" style="25" customWidth="1"/>
    <col min="13" max="13" width="35" style="129" customWidth="1"/>
    <col min="14" max="14" width="39.81640625" style="129" customWidth="1"/>
    <col min="15" max="15" width="21.26953125" style="25" customWidth="1"/>
    <col min="16" max="16" width="12.54296875" style="25" bestFit="1" customWidth="1"/>
    <col min="17" max="17" width="0.453125" style="25" customWidth="1"/>
    <col min="18" max="18" width="9.1796875" style="25" hidden="1" customWidth="1"/>
    <col min="19" max="19" width="12.81640625" style="25" bestFit="1" customWidth="1"/>
    <col min="20" max="16384" width="9.1796875" style="25"/>
  </cols>
  <sheetData>
    <row r="1" spans="2:16" x14ac:dyDescent="0.35">
      <c r="B1" s="27"/>
      <c r="C1" s="27"/>
      <c r="D1" s="27"/>
      <c r="E1" s="27"/>
      <c r="F1" s="27"/>
      <c r="J1" s="27"/>
      <c r="K1" s="27"/>
      <c r="L1" s="27"/>
      <c r="O1" s="27"/>
    </row>
    <row r="2" spans="2:16" ht="29.25" customHeight="1" x14ac:dyDescent="0.35">
      <c r="B2" s="295" t="s">
        <v>542</v>
      </c>
      <c r="C2" s="295"/>
      <c r="D2" s="295"/>
      <c r="E2" s="295"/>
      <c r="F2" s="295"/>
      <c r="G2" s="295"/>
      <c r="H2" s="295"/>
      <c r="I2" s="295"/>
      <c r="J2" s="295"/>
      <c r="K2" s="295"/>
      <c r="L2" s="295"/>
      <c r="M2" s="295"/>
      <c r="N2" s="295"/>
      <c r="O2" s="295"/>
    </row>
    <row r="3" spans="2:16" ht="24" customHeight="1" x14ac:dyDescent="0.6">
      <c r="B3" s="312" t="s">
        <v>366</v>
      </c>
      <c r="C3" s="312"/>
      <c r="D3" s="312"/>
      <c r="E3" s="312"/>
      <c r="F3" s="312"/>
      <c r="G3" s="312"/>
      <c r="H3" s="312"/>
      <c r="I3" s="312"/>
      <c r="J3" s="312"/>
      <c r="K3" s="312"/>
      <c r="L3" s="312"/>
      <c r="M3" s="140"/>
      <c r="N3" s="140"/>
    </row>
    <row r="4" spans="2:16" ht="6.75" customHeight="1" thickBot="1" x14ac:dyDescent="0.4">
      <c r="D4" s="28"/>
      <c r="E4" s="28"/>
      <c r="F4" s="28"/>
      <c r="G4" s="245"/>
      <c r="H4" s="245"/>
      <c r="I4" s="245"/>
      <c r="J4" s="28"/>
      <c r="K4" s="28"/>
      <c r="L4" s="27"/>
      <c r="O4" s="26"/>
    </row>
    <row r="5" spans="2:16" ht="174" customHeight="1" thickBot="1" x14ac:dyDescent="0.4">
      <c r="B5" s="79" t="s">
        <v>367</v>
      </c>
      <c r="C5" s="79" t="s">
        <v>403</v>
      </c>
      <c r="D5" s="182" t="s">
        <v>519</v>
      </c>
      <c r="E5" s="170" t="s">
        <v>520</v>
      </c>
      <c r="F5" s="257" t="s">
        <v>521</v>
      </c>
      <c r="G5" s="258" t="s">
        <v>510</v>
      </c>
      <c r="H5" s="258" t="s">
        <v>511</v>
      </c>
      <c r="I5" s="258" t="s">
        <v>512</v>
      </c>
      <c r="J5" s="202" t="s">
        <v>522</v>
      </c>
      <c r="K5" s="79" t="s">
        <v>11</v>
      </c>
      <c r="L5" s="79" t="s">
        <v>404</v>
      </c>
      <c r="M5" s="79" t="s">
        <v>539</v>
      </c>
      <c r="N5" s="144" t="s">
        <v>453</v>
      </c>
      <c r="O5" s="79" t="s">
        <v>454</v>
      </c>
    </row>
    <row r="6" spans="2:16" ht="51" customHeight="1" thickBot="1" x14ac:dyDescent="0.4">
      <c r="B6" s="76" t="s">
        <v>368</v>
      </c>
      <c r="C6" s="309" t="s">
        <v>456</v>
      </c>
      <c r="D6" s="309"/>
      <c r="E6" s="309"/>
      <c r="F6" s="309"/>
      <c r="G6" s="310"/>
      <c r="H6" s="310"/>
      <c r="I6" s="310"/>
      <c r="J6" s="309"/>
      <c r="K6" s="309"/>
      <c r="L6" s="309"/>
      <c r="M6" s="311"/>
      <c r="N6" s="311"/>
      <c r="O6" s="309"/>
    </row>
    <row r="7" spans="2:16" ht="51" customHeight="1" thickBot="1" x14ac:dyDescent="0.4">
      <c r="B7" s="76" t="s">
        <v>369</v>
      </c>
      <c r="C7" s="313" t="s">
        <v>457</v>
      </c>
      <c r="D7" s="313"/>
      <c r="E7" s="313"/>
      <c r="F7" s="313"/>
      <c r="G7" s="313"/>
      <c r="H7" s="313"/>
      <c r="I7" s="313"/>
      <c r="J7" s="313"/>
      <c r="K7" s="309"/>
      <c r="L7" s="309"/>
      <c r="M7" s="311"/>
      <c r="N7" s="311"/>
      <c r="O7" s="309"/>
    </row>
    <row r="8" spans="2:16" ht="51" customHeight="1" x14ac:dyDescent="0.35">
      <c r="B8" s="317" t="s">
        <v>370</v>
      </c>
      <c r="C8" s="161" t="s">
        <v>455</v>
      </c>
      <c r="D8" s="183">
        <v>0</v>
      </c>
      <c r="E8" s="171">
        <v>0</v>
      </c>
      <c r="F8" s="168">
        <v>1500</v>
      </c>
      <c r="G8" s="154">
        <f>SUM(D8:F8)</f>
        <v>1500</v>
      </c>
      <c r="H8" s="262">
        <v>850</v>
      </c>
      <c r="I8" s="262">
        <f>G8-H8</f>
        <v>650</v>
      </c>
      <c r="J8" s="203"/>
      <c r="K8" s="147">
        <f>SUM(I8:J8)</f>
        <v>650</v>
      </c>
      <c r="L8" s="146"/>
      <c r="M8" s="285">
        <v>650</v>
      </c>
      <c r="N8" s="148"/>
      <c r="O8" s="146"/>
    </row>
    <row r="9" spans="2:16" ht="57" customHeight="1" x14ac:dyDescent="0.35">
      <c r="B9" s="318"/>
      <c r="C9" s="153" t="s">
        <v>492</v>
      </c>
      <c r="D9" s="183">
        <v>125000</v>
      </c>
      <c r="E9" s="171">
        <v>69468</v>
      </c>
      <c r="F9" s="168">
        <f>12*8102.52</f>
        <v>97230.24</v>
      </c>
      <c r="G9" s="154">
        <f t="shared" ref="G9:G17" si="0">SUM(D9:F9)</f>
        <v>291698.24</v>
      </c>
      <c r="H9" s="262">
        <v>249518.27000000002</v>
      </c>
      <c r="I9" s="262">
        <f t="shared" ref="I9:I17" si="1">G9-H9</f>
        <v>42179.969999999972</v>
      </c>
      <c r="J9" s="207">
        <f>24*9000</f>
        <v>216000</v>
      </c>
      <c r="K9" s="147">
        <f>SUM(I9:J9)</f>
        <v>258179.96999999997</v>
      </c>
      <c r="L9" s="149">
        <v>0.35</v>
      </c>
      <c r="M9" s="285">
        <v>13594.23</v>
      </c>
      <c r="N9" s="265" t="s">
        <v>514</v>
      </c>
      <c r="O9" s="146" t="s">
        <v>537</v>
      </c>
    </row>
    <row r="10" spans="2:16" ht="59.5" customHeight="1" x14ac:dyDescent="0.35">
      <c r="B10" s="318"/>
      <c r="C10" s="153" t="s">
        <v>493</v>
      </c>
      <c r="D10" s="183">
        <v>54000</v>
      </c>
      <c r="E10" s="171">
        <v>36000</v>
      </c>
      <c r="F10" s="168">
        <f>12*3000</f>
        <v>36000</v>
      </c>
      <c r="G10" s="154">
        <f t="shared" si="0"/>
        <v>126000</v>
      </c>
      <c r="H10" s="262">
        <v>117000</v>
      </c>
      <c r="I10" s="262">
        <f t="shared" si="1"/>
        <v>9000</v>
      </c>
      <c r="J10" s="207">
        <f>24*4050+7200</f>
        <v>104400</v>
      </c>
      <c r="K10" s="147">
        <f t="shared" ref="K10:K17" si="2">SUM(I10:J10)</f>
        <v>113400</v>
      </c>
      <c r="L10" s="149">
        <v>0.35</v>
      </c>
      <c r="M10" s="285">
        <v>51912.520000000004</v>
      </c>
      <c r="N10" s="265" t="s">
        <v>514</v>
      </c>
      <c r="O10" s="146"/>
    </row>
    <row r="11" spans="2:16" ht="51" customHeight="1" x14ac:dyDescent="0.35">
      <c r="B11" s="318"/>
      <c r="C11" s="153" t="s">
        <v>509</v>
      </c>
      <c r="D11" s="183">
        <v>22230</v>
      </c>
      <c r="E11" s="171">
        <v>12000</v>
      </c>
      <c r="F11" s="168">
        <f>12*4804</f>
        <v>57648</v>
      </c>
      <c r="G11" s="154">
        <f t="shared" si="0"/>
        <v>91878</v>
      </c>
      <c r="H11" s="262">
        <v>39034</v>
      </c>
      <c r="I11" s="262">
        <f t="shared" si="1"/>
        <v>52844</v>
      </c>
      <c r="J11" s="207">
        <f>24*5350</f>
        <v>128400</v>
      </c>
      <c r="K11" s="147">
        <f t="shared" si="2"/>
        <v>181244</v>
      </c>
      <c r="L11" s="149">
        <v>0.35</v>
      </c>
      <c r="M11" s="285">
        <v>43657.229999999996</v>
      </c>
      <c r="N11" s="265" t="s">
        <v>514</v>
      </c>
      <c r="O11" s="146"/>
    </row>
    <row r="12" spans="2:16" ht="51" customHeight="1" x14ac:dyDescent="0.35">
      <c r="B12" s="318"/>
      <c r="C12" s="153" t="s">
        <v>536</v>
      </c>
      <c r="D12" s="183">
        <v>26100</v>
      </c>
      <c r="E12" s="171">
        <v>18000</v>
      </c>
      <c r="F12" s="168">
        <f>12*1373</f>
        <v>16476</v>
      </c>
      <c r="G12" s="154">
        <f t="shared" si="0"/>
        <v>60576</v>
      </c>
      <c r="H12" s="262">
        <v>56484</v>
      </c>
      <c r="I12" s="262">
        <f t="shared" si="1"/>
        <v>4092</v>
      </c>
      <c r="J12" s="207">
        <f>24*1700+3000</f>
        <v>43800</v>
      </c>
      <c r="K12" s="147">
        <f t="shared" si="2"/>
        <v>47892</v>
      </c>
      <c r="L12" s="149">
        <v>0.2</v>
      </c>
      <c r="M12" s="285">
        <v>19018.22</v>
      </c>
      <c r="N12" s="265" t="s">
        <v>535</v>
      </c>
      <c r="O12" s="146"/>
    </row>
    <row r="13" spans="2:16" ht="54.65" customHeight="1" x14ac:dyDescent="0.35">
      <c r="B13" s="319"/>
      <c r="C13" s="153" t="s">
        <v>490</v>
      </c>
      <c r="D13" s="183">
        <v>8100</v>
      </c>
      <c r="E13" s="171">
        <v>6000</v>
      </c>
      <c r="F13" s="168">
        <f>12*688</f>
        <v>8256</v>
      </c>
      <c r="G13" s="154">
        <f t="shared" si="0"/>
        <v>22356</v>
      </c>
      <c r="H13" s="262">
        <v>20129</v>
      </c>
      <c r="I13" s="262">
        <f t="shared" si="1"/>
        <v>2227</v>
      </c>
      <c r="J13" s="207">
        <f>24*880+1400</f>
        <v>22520</v>
      </c>
      <c r="K13" s="147">
        <f t="shared" si="2"/>
        <v>24747</v>
      </c>
      <c r="L13" s="149">
        <v>0.2</v>
      </c>
      <c r="M13" s="286">
        <v>9002.2000000000007</v>
      </c>
      <c r="N13" s="265" t="s">
        <v>535</v>
      </c>
      <c r="O13" s="152"/>
    </row>
    <row r="14" spans="2:16" ht="42.5" customHeight="1" x14ac:dyDescent="0.35">
      <c r="B14" s="162" t="s">
        <v>371</v>
      </c>
      <c r="C14" s="161" t="s">
        <v>491</v>
      </c>
      <c r="D14" s="183">
        <v>20000</v>
      </c>
      <c r="E14" s="171">
        <v>17000</v>
      </c>
      <c r="F14" s="168">
        <f>10000*4+5000</f>
        <v>45000</v>
      </c>
      <c r="G14" s="154">
        <f t="shared" si="0"/>
        <v>82000</v>
      </c>
      <c r="H14" s="262">
        <v>42726.44</v>
      </c>
      <c r="I14" s="262">
        <f t="shared" si="1"/>
        <v>39273.56</v>
      </c>
      <c r="J14" s="207">
        <v>1000</v>
      </c>
      <c r="K14" s="147">
        <f t="shared" si="2"/>
        <v>40273.56</v>
      </c>
      <c r="L14" s="149" t="s">
        <v>513</v>
      </c>
      <c r="M14" s="286">
        <v>6000</v>
      </c>
      <c r="N14" s="266" t="s">
        <v>515</v>
      </c>
      <c r="O14" s="152"/>
    </row>
    <row r="15" spans="2:16" ht="60" customHeight="1" x14ac:dyDescent="0.35">
      <c r="B15" s="162" t="s">
        <v>372</v>
      </c>
      <c r="C15" s="161" t="s">
        <v>458</v>
      </c>
      <c r="D15" s="183">
        <v>25000</v>
      </c>
      <c r="E15" s="171">
        <v>75000</v>
      </c>
      <c r="F15" s="168">
        <f>70000</f>
        <v>70000</v>
      </c>
      <c r="G15" s="154">
        <f>SUM(D15:F15)</f>
        <v>170000</v>
      </c>
      <c r="H15" s="262">
        <v>148585.09</v>
      </c>
      <c r="I15" s="262">
        <f>G15-H15</f>
        <v>21414.910000000003</v>
      </c>
      <c r="J15" s="207">
        <f>25000*2</f>
        <v>50000</v>
      </c>
      <c r="K15" s="147">
        <f>SUM(I15:J15)</f>
        <v>71414.91</v>
      </c>
      <c r="L15" s="149">
        <v>0.2</v>
      </c>
      <c r="M15" s="286">
        <f>35000-13848.18-9002.2</f>
        <v>12149.619999999999</v>
      </c>
      <c r="N15" s="151" t="s">
        <v>516</v>
      </c>
      <c r="O15" s="152"/>
    </row>
    <row r="16" spans="2:16" ht="95.5" customHeight="1" x14ac:dyDescent="0.35">
      <c r="B16" s="162" t="s">
        <v>373</v>
      </c>
      <c r="C16" s="161" t="s">
        <v>459</v>
      </c>
      <c r="D16" s="183">
        <v>14500</v>
      </c>
      <c r="E16" s="171">
        <v>8000</v>
      </c>
      <c r="F16" s="168">
        <f>10000</f>
        <v>10000</v>
      </c>
      <c r="G16" s="154">
        <f t="shared" si="0"/>
        <v>32500</v>
      </c>
      <c r="H16" s="262">
        <v>18000</v>
      </c>
      <c r="I16" s="262">
        <f t="shared" si="1"/>
        <v>14500</v>
      </c>
      <c r="J16" s="207">
        <f>5000*2</f>
        <v>10000</v>
      </c>
      <c r="K16" s="147">
        <f t="shared" si="2"/>
        <v>24500</v>
      </c>
      <c r="L16" s="149">
        <v>0.3</v>
      </c>
      <c r="M16" s="286">
        <v>35000</v>
      </c>
      <c r="N16" s="151" t="s">
        <v>508</v>
      </c>
      <c r="O16" s="152"/>
      <c r="P16" s="274"/>
    </row>
    <row r="17" spans="1:15" ht="28" customHeight="1" thickBot="1" x14ac:dyDescent="0.4">
      <c r="A17" s="26"/>
      <c r="B17" s="156"/>
      <c r="C17" s="77" t="s">
        <v>405</v>
      </c>
      <c r="D17" s="184">
        <f t="shared" ref="D17:F17" si="3">SUM(D8:D16)</f>
        <v>294930</v>
      </c>
      <c r="E17" s="172">
        <f t="shared" si="3"/>
        <v>241468</v>
      </c>
      <c r="F17" s="233">
        <f t="shared" si="3"/>
        <v>342110.24</v>
      </c>
      <c r="G17" s="250">
        <f t="shared" si="0"/>
        <v>878508.24</v>
      </c>
      <c r="H17" s="262">
        <v>692326.79999999993</v>
      </c>
      <c r="I17" s="262">
        <f t="shared" si="1"/>
        <v>186181.44000000006</v>
      </c>
      <c r="J17" s="205">
        <f>SUM(J8:J16)</f>
        <v>576120</v>
      </c>
      <c r="K17" s="11">
        <f t="shared" si="2"/>
        <v>762301.44000000006</v>
      </c>
      <c r="L17" s="88">
        <f>(L9*J9)+(L10*J10)+(L11*J11)+(L12*J12)+(L13*J13)+(L14*J14)+(L15*J15)+(L16*J16)</f>
        <v>183644</v>
      </c>
      <c r="M17" s="287">
        <f>SUM(M8:M16)</f>
        <v>190984.02</v>
      </c>
      <c r="N17" s="141"/>
      <c r="O17" s="155"/>
    </row>
    <row r="18" spans="1:15" ht="37.5" customHeight="1" thickBot="1" x14ac:dyDescent="0.4">
      <c r="A18" s="26"/>
      <c r="B18" s="76" t="s">
        <v>374</v>
      </c>
      <c r="C18" s="307" t="s">
        <v>460</v>
      </c>
      <c r="D18" s="307"/>
      <c r="E18" s="307"/>
      <c r="F18" s="307"/>
      <c r="G18" s="307"/>
      <c r="H18" s="307"/>
      <c r="I18" s="307"/>
      <c r="J18" s="307"/>
      <c r="K18" s="307"/>
      <c r="L18" s="308"/>
      <c r="M18" s="311"/>
      <c r="N18" s="311"/>
      <c r="O18" s="308"/>
    </row>
    <row r="19" spans="1:15" ht="77.5" x14ac:dyDescent="0.35">
      <c r="A19" s="26"/>
      <c r="B19" s="162" t="s">
        <v>375</v>
      </c>
      <c r="C19" s="145" t="s">
        <v>461</v>
      </c>
      <c r="D19" s="183">
        <v>0</v>
      </c>
      <c r="E19" s="171">
        <v>25000</v>
      </c>
      <c r="F19" s="168">
        <v>0</v>
      </c>
      <c r="G19" s="154">
        <f>SUM(D19:F19)</f>
        <v>25000</v>
      </c>
      <c r="H19" s="154">
        <v>20744.84</v>
      </c>
      <c r="I19" s="154">
        <f>G19-H19</f>
        <v>4255.16</v>
      </c>
      <c r="J19" s="204"/>
      <c r="K19" s="147">
        <f>SUM(I19:J19)</f>
        <v>4255.16</v>
      </c>
      <c r="L19" s="149">
        <v>0.3</v>
      </c>
      <c r="M19" s="286"/>
      <c r="N19" s="151" t="s">
        <v>517</v>
      </c>
      <c r="O19" s="152"/>
    </row>
    <row r="20" spans="1:15" ht="62" x14ac:dyDescent="0.35">
      <c r="A20" s="26"/>
      <c r="B20" s="162" t="s">
        <v>376</v>
      </c>
      <c r="C20" s="145" t="s">
        <v>462</v>
      </c>
      <c r="D20" s="183">
        <v>15000</v>
      </c>
      <c r="E20" s="171">
        <v>0</v>
      </c>
      <c r="F20" s="168">
        <v>10000</v>
      </c>
      <c r="G20" s="154">
        <f t="shared" ref="G20:G23" si="4">SUM(D20:F20)</f>
        <v>25000</v>
      </c>
      <c r="H20" s="154">
        <v>6780</v>
      </c>
      <c r="I20" s="154">
        <f t="shared" ref="I20:I23" si="5">G20-H20</f>
        <v>18220</v>
      </c>
      <c r="J20" s="204">
        <v>32000</v>
      </c>
      <c r="K20" s="147">
        <f t="shared" ref="K20:K21" si="6">SUM(I20:J20)</f>
        <v>50220</v>
      </c>
      <c r="L20" s="149">
        <v>0.3</v>
      </c>
      <c r="M20" s="286">
        <v>16700</v>
      </c>
      <c r="N20" s="151" t="s">
        <v>517</v>
      </c>
      <c r="O20" s="152"/>
    </row>
    <row r="21" spans="1:15" ht="116.5" customHeight="1" x14ac:dyDescent="0.35">
      <c r="A21" s="26"/>
      <c r="B21" s="162" t="s">
        <v>377</v>
      </c>
      <c r="C21" s="145" t="s">
        <v>463</v>
      </c>
      <c r="D21" s="183">
        <v>10000</v>
      </c>
      <c r="E21" s="171">
        <v>25000</v>
      </c>
      <c r="F21" s="168">
        <v>15000</v>
      </c>
      <c r="G21" s="154">
        <f t="shared" si="4"/>
        <v>50000</v>
      </c>
      <c r="H21" s="154">
        <v>32850</v>
      </c>
      <c r="I21" s="154">
        <f t="shared" si="5"/>
        <v>17150</v>
      </c>
      <c r="J21" s="204">
        <f>10000*2</f>
        <v>20000</v>
      </c>
      <c r="K21" s="147">
        <f t="shared" si="6"/>
        <v>37150</v>
      </c>
      <c r="L21" s="149">
        <v>0.4</v>
      </c>
      <c r="M21" s="286">
        <v>8799.84</v>
      </c>
      <c r="N21" s="266" t="s">
        <v>518</v>
      </c>
      <c r="O21" s="152"/>
    </row>
    <row r="22" spans="1:15" ht="72.75" customHeight="1" x14ac:dyDescent="0.35">
      <c r="A22" s="26"/>
      <c r="B22" s="162" t="s">
        <v>378</v>
      </c>
      <c r="C22" s="145" t="s">
        <v>464</v>
      </c>
      <c r="D22" s="183">
        <v>10000</v>
      </c>
      <c r="E22" s="171">
        <v>0</v>
      </c>
      <c r="F22" s="168">
        <v>0</v>
      </c>
      <c r="G22" s="154">
        <f>SUM(D22:F22)</f>
        <v>10000</v>
      </c>
      <c r="H22" s="154">
        <v>3600.98</v>
      </c>
      <c r="I22" s="154">
        <f>G22-H22</f>
        <v>6399.02</v>
      </c>
      <c r="J22" s="204"/>
      <c r="K22" s="147">
        <f>SUM(I22:J22)</f>
        <v>6399.02</v>
      </c>
      <c r="L22" s="149">
        <v>0.3</v>
      </c>
      <c r="M22" s="286">
        <v>2300</v>
      </c>
      <c r="N22" s="151" t="s">
        <v>517</v>
      </c>
      <c r="O22" s="152"/>
    </row>
    <row r="23" spans="1:15" s="283" customFormat="1" ht="39" customHeight="1" thickBot="1" x14ac:dyDescent="0.4">
      <c r="A23" s="280"/>
      <c r="B23" s="281"/>
      <c r="C23" s="77" t="s">
        <v>405</v>
      </c>
      <c r="D23" s="185">
        <f>SUM(D19:D22)</f>
        <v>35000</v>
      </c>
      <c r="E23" s="173">
        <f>SUM(E19:E22)</f>
        <v>50000</v>
      </c>
      <c r="F23" s="234">
        <f>SUM(F19:F22)</f>
        <v>25000</v>
      </c>
      <c r="G23" s="250">
        <f t="shared" si="4"/>
        <v>110000</v>
      </c>
      <c r="H23" s="247">
        <v>63975.82</v>
      </c>
      <c r="I23" s="154">
        <f t="shared" si="5"/>
        <v>46024.18</v>
      </c>
      <c r="J23" s="206">
        <f>SUM(J19:J22)</f>
        <v>52000</v>
      </c>
      <c r="K23" s="13">
        <f>SUM(K19:K22)</f>
        <v>98024.180000000008</v>
      </c>
      <c r="L23" s="88">
        <f>(L19*J19)+(L20*J20)+(L21*J21)+(L22*J22)</f>
        <v>17600</v>
      </c>
      <c r="M23" s="287">
        <f>SUM(M19:M22)</f>
        <v>27799.84</v>
      </c>
      <c r="N23" s="141"/>
      <c r="O23" s="282"/>
    </row>
    <row r="24" spans="1:15" ht="51" customHeight="1" thickBot="1" x14ac:dyDescent="0.4">
      <c r="A24" s="26"/>
      <c r="B24" s="76" t="s">
        <v>379</v>
      </c>
      <c r="C24" s="307" t="s">
        <v>465</v>
      </c>
      <c r="D24" s="307"/>
      <c r="E24" s="314"/>
      <c r="F24" s="314"/>
      <c r="G24" s="314"/>
      <c r="H24" s="314"/>
      <c r="I24" s="314"/>
      <c r="J24" s="314"/>
      <c r="K24" s="314"/>
      <c r="L24" s="315"/>
      <c r="M24" s="316"/>
      <c r="N24" s="316"/>
      <c r="O24" s="315"/>
    </row>
    <row r="25" spans="1:15" ht="112" customHeight="1" x14ac:dyDescent="0.35">
      <c r="A25" s="26"/>
      <c r="B25" s="162" t="s">
        <v>380</v>
      </c>
      <c r="C25" s="145" t="s">
        <v>466</v>
      </c>
      <c r="D25" s="183">
        <v>0</v>
      </c>
      <c r="E25" s="171">
        <v>17000</v>
      </c>
      <c r="F25" s="168">
        <v>10000</v>
      </c>
      <c r="G25" s="154">
        <f>SUM(D25:F25)</f>
        <v>27000</v>
      </c>
      <c r="H25" s="154">
        <v>15750</v>
      </c>
      <c r="I25" s="154">
        <f>G25-H25</f>
        <v>11250</v>
      </c>
      <c r="J25" s="204">
        <v>9000</v>
      </c>
      <c r="K25" s="147">
        <f>SUM(I25:J25)</f>
        <v>20250</v>
      </c>
      <c r="L25" s="149">
        <v>0.3</v>
      </c>
      <c r="M25" s="286">
        <v>9800</v>
      </c>
      <c r="N25" s="266" t="s">
        <v>523</v>
      </c>
      <c r="O25" s="152"/>
    </row>
    <row r="26" spans="1:15" ht="125.5" customHeight="1" x14ac:dyDescent="0.35">
      <c r="A26" s="26"/>
      <c r="B26" s="162" t="s">
        <v>381</v>
      </c>
      <c r="C26" s="145" t="s">
        <v>467</v>
      </c>
      <c r="D26" s="183">
        <v>2000</v>
      </c>
      <c r="E26" s="171">
        <v>3000</v>
      </c>
      <c r="F26" s="168">
        <v>5000</v>
      </c>
      <c r="G26" s="154">
        <f t="shared" ref="G26:G27" si="7">SUM(D26:F26)</f>
        <v>10000</v>
      </c>
      <c r="H26" s="154">
        <v>5500</v>
      </c>
      <c r="I26" s="154">
        <f t="shared" ref="I26:I28" si="8">G26-H26</f>
        <v>4500</v>
      </c>
      <c r="J26" s="204">
        <f>10000*2</f>
        <v>20000</v>
      </c>
      <c r="K26" s="147">
        <f>SUM(I26:J26)</f>
        <v>24500</v>
      </c>
      <c r="L26" s="149">
        <v>0.3</v>
      </c>
      <c r="M26" s="286">
        <v>18500</v>
      </c>
      <c r="N26" s="267" t="s">
        <v>524</v>
      </c>
      <c r="O26" s="152"/>
    </row>
    <row r="27" spans="1:15" ht="62" x14ac:dyDescent="0.35">
      <c r="A27" s="26"/>
      <c r="B27" s="162" t="s">
        <v>382</v>
      </c>
      <c r="C27" s="145" t="s">
        <v>468</v>
      </c>
      <c r="D27" s="183">
        <v>4800</v>
      </c>
      <c r="E27" s="171">
        <v>5000</v>
      </c>
      <c r="F27" s="168">
        <v>5000</v>
      </c>
      <c r="G27" s="154">
        <f t="shared" si="7"/>
        <v>14800</v>
      </c>
      <c r="H27" s="154">
        <v>9830</v>
      </c>
      <c r="I27" s="154">
        <f t="shared" si="8"/>
        <v>4970</v>
      </c>
      <c r="J27" s="204">
        <v>6000</v>
      </c>
      <c r="K27" s="147">
        <f t="shared" ref="K27" si="9">SUM(I27:J27)</f>
        <v>10970</v>
      </c>
      <c r="L27" s="149">
        <v>0.2</v>
      </c>
      <c r="M27" s="286">
        <v>6700</v>
      </c>
      <c r="N27" s="267" t="s">
        <v>525</v>
      </c>
      <c r="O27" s="152"/>
    </row>
    <row r="28" spans="1:15" ht="87.5" customHeight="1" x14ac:dyDescent="0.35">
      <c r="A28" s="26"/>
      <c r="B28" s="162" t="s">
        <v>383</v>
      </c>
      <c r="C28" s="145" t="s">
        <v>469</v>
      </c>
      <c r="D28" s="183">
        <v>15000</v>
      </c>
      <c r="E28" s="171">
        <v>20000</v>
      </c>
      <c r="F28" s="168">
        <v>15000</v>
      </c>
      <c r="G28" s="154">
        <f>SUM(D28:F28)</f>
        <v>50000</v>
      </c>
      <c r="H28" s="154">
        <v>35200</v>
      </c>
      <c r="I28" s="154">
        <f t="shared" si="8"/>
        <v>14800</v>
      </c>
      <c r="J28" s="204">
        <f>10200</f>
        <v>10200</v>
      </c>
      <c r="K28" s="147">
        <f>SUM(I28:J28)</f>
        <v>25000</v>
      </c>
      <c r="L28" s="149">
        <v>0.2</v>
      </c>
      <c r="M28" s="286">
        <v>4350</v>
      </c>
      <c r="N28" s="267" t="s">
        <v>525</v>
      </c>
      <c r="O28" s="152"/>
    </row>
    <row r="29" spans="1:15" s="283" customFormat="1" ht="31" customHeight="1" thickBot="1" x14ac:dyDescent="0.4">
      <c r="B29" s="281"/>
      <c r="C29" s="77" t="s">
        <v>405</v>
      </c>
      <c r="D29" s="185">
        <f>SUM(D25:D28)</f>
        <v>21800</v>
      </c>
      <c r="E29" s="173">
        <f>SUM(E25:E28)</f>
        <v>45000</v>
      </c>
      <c r="F29" s="234">
        <f>SUM(F25:F28)</f>
        <v>35000</v>
      </c>
      <c r="G29" s="250">
        <f>SUM(D29:F29)</f>
        <v>101800</v>
      </c>
      <c r="H29" s="247">
        <v>66280</v>
      </c>
      <c r="I29" s="154">
        <f>G29-H29</f>
        <v>35520</v>
      </c>
      <c r="J29" s="206">
        <f>SUM(J25:J28)</f>
        <v>45200</v>
      </c>
      <c r="K29" s="13">
        <f>SUM(K25:K28)</f>
        <v>80720</v>
      </c>
      <c r="L29" s="88">
        <f>(L25*J25)+(L26*J26)+(L27*J27)+(L28*J28)</f>
        <v>11940</v>
      </c>
      <c r="M29" s="287">
        <f>SUM(M25:M28)</f>
        <v>39350</v>
      </c>
      <c r="N29" s="141"/>
      <c r="O29" s="282"/>
    </row>
    <row r="30" spans="1:15" ht="38.5" customHeight="1" thickBot="1" x14ac:dyDescent="0.4">
      <c r="B30" s="76" t="s">
        <v>384</v>
      </c>
      <c r="C30" s="307" t="s">
        <v>470</v>
      </c>
      <c r="D30" s="307"/>
      <c r="E30" s="307"/>
      <c r="F30" s="307"/>
      <c r="G30" s="307"/>
      <c r="H30" s="307"/>
      <c r="I30" s="307"/>
      <c r="J30" s="307"/>
      <c r="K30" s="307"/>
      <c r="L30" s="308"/>
      <c r="M30" s="308"/>
      <c r="N30" s="308"/>
      <c r="O30" s="308"/>
    </row>
    <row r="31" spans="1:15" ht="62" x14ac:dyDescent="0.35">
      <c r="B31" s="162" t="s">
        <v>385</v>
      </c>
      <c r="C31" s="161" t="s">
        <v>472</v>
      </c>
      <c r="D31" s="183">
        <v>10000</v>
      </c>
      <c r="E31" s="171">
        <v>10000</v>
      </c>
      <c r="F31" s="168"/>
      <c r="G31" s="154">
        <f>SUM(D31:F31)</f>
        <v>20000</v>
      </c>
      <c r="H31" s="154">
        <v>10950</v>
      </c>
      <c r="I31" s="154">
        <f>G31-H31</f>
        <v>9050</v>
      </c>
      <c r="J31" s="207">
        <v>0</v>
      </c>
      <c r="K31" s="166">
        <f>SUM(I31:J31)</f>
        <v>9050</v>
      </c>
      <c r="L31" s="163">
        <v>0.3</v>
      </c>
      <c r="M31" s="286">
        <v>1500</v>
      </c>
      <c r="N31" s="266" t="s">
        <v>526</v>
      </c>
      <c r="O31" s="152"/>
    </row>
    <row r="32" spans="1:15" ht="30.5" customHeight="1" x14ac:dyDescent="0.35">
      <c r="B32" s="162" t="s">
        <v>386</v>
      </c>
      <c r="C32" s="161" t="s">
        <v>473</v>
      </c>
      <c r="D32" s="183">
        <v>50000</v>
      </c>
      <c r="E32" s="171">
        <v>0</v>
      </c>
      <c r="F32" s="168">
        <v>0</v>
      </c>
      <c r="G32" s="154">
        <f t="shared" ref="G32:G41" si="10">SUM(D32:F32)</f>
        <v>50000</v>
      </c>
      <c r="H32" s="154">
        <v>50000</v>
      </c>
      <c r="I32" s="154">
        <f t="shared" ref="I32:I41" si="11">G32-H32</f>
        <v>0</v>
      </c>
      <c r="J32" s="207">
        <v>0</v>
      </c>
      <c r="K32" s="166">
        <f t="shared" ref="K32:K34" si="12">SUM(I32:J32)</f>
        <v>0</v>
      </c>
      <c r="L32" s="163"/>
      <c r="M32" s="288"/>
      <c r="N32" s="264"/>
      <c r="O32" s="152"/>
    </row>
    <row r="33" spans="1:15" ht="30.5" customHeight="1" x14ac:dyDescent="0.35">
      <c r="B33" s="162" t="s">
        <v>387</v>
      </c>
      <c r="C33" s="161" t="s">
        <v>474</v>
      </c>
      <c r="D33" s="183">
        <v>50000</v>
      </c>
      <c r="E33" s="171">
        <v>0</v>
      </c>
      <c r="F33" s="168">
        <v>0</v>
      </c>
      <c r="G33" s="154">
        <f t="shared" si="10"/>
        <v>50000</v>
      </c>
      <c r="H33" s="154">
        <v>41943.57</v>
      </c>
      <c r="I33" s="154">
        <f t="shared" si="11"/>
        <v>8056.43</v>
      </c>
      <c r="J33" s="207">
        <v>0</v>
      </c>
      <c r="K33" s="166">
        <f t="shared" si="12"/>
        <v>8056.43</v>
      </c>
      <c r="L33" s="163"/>
      <c r="M33" s="288"/>
      <c r="N33" s="264"/>
      <c r="O33" s="152"/>
    </row>
    <row r="34" spans="1:15" ht="30.5" customHeight="1" x14ac:dyDescent="0.35">
      <c r="B34" s="162" t="s">
        <v>388</v>
      </c>
      <c r="C34" s="161" t="s">
        <v>494</v>
      </c>
      <c r="D34" s="183">
        <v>30000</v>
      </c>
      <c r="E34" s="171">
        <v>0</v>
      </c>
      <c r="F34" s="168">
        <v>25000</v>
      </c>
      <c r="G34" s="154">
        <f t="shared" si="10"/>
        <v>55000</v>
      </c>
      <c r="H34" s="154">
        <v>3585.93</v>
      </c>
      <c r="I34" s="154">
        <f t="shared" si="11"/>
        <v>51414.07</v>
      </c>
      <c r="J34" s="207">
        <v>0</v>
      </c>
      <c r="K34" s="166">
        <f t="shared" si="12"/>
        <v>51414.07</v>
      </c>
      <c r="L34" s="163">
        <v>0.3</v>
      </c>
      <c r="M34" s="288"/>
      <c r="N34" s="264"/>
      <c r="O34" s="152"/>
    </row>
    <row r="35" spans="1:15" ht="62" x14ac:dyDescent="0.35">
      <c r="B35" s="162" t="s">
        <v>389</v>
      </c>
      <c r="C35" s="161" t="s">
        <v>475</v>
      </c>
      <c r="D35" s="183">
        <v>35000</v>
      </c>
      <c r="E35" s="171">
        <v>60000</v>
      </c>
      <c r="F35" s="168">
        <f>4*10000</f>
        <v>40000</v>
      </c>
      <c r="G35" s="154">
        <f t="shared" si="10"/>
        <v>135000</v>
      </c>
      <c r="H35" s="154">
        <v>98134.07</v>
      </c>
      <c r="I35" s="154">
        <f t="shared" si="11"/>
        <v>36865.929999999993</v>
      </c>
      <c r="J35" s="207">
        <f>10000*2</f>
        <v>20000</v>
      </c>
      <c r="K35" s="166">
        <f>SUM(I35:J35)</f>
        <v>56865.929999999993</v>
      </c>
      <c r="L35" s="163">
        <v>0.4</v>
      </c>
      <c r="M35" s="286">
        <v>18700</v>
      </c>
      <c r="N35" s="266" t="s">
        <v>527</v>
      </c>
      <c r="O35" s="152"/>
    </row>
    <row r="36" spans="1:15" ht="77.5" x14ac:dyDescent="0.35">
      <c r="A36" s="26"/>
      <c r="B36" s="162" t="s">
        <v>390</v>
      </c>
      <c r="C36" s="161" t="s">
        <v>476</v>
      </c>
      <c r="D36" s="183">
        <v>10000</v>
      </c>
      <c r="E36" s="171">
        <v>20000</v>
      </c>
      <c r="F36" s="168">
        <v>25000</v>
      </c>
      <c r="G36" s="154">
        <f>SUM(D36:F36)</f>
        <v>55000</v>
      </c>
      <c r="H36" s="154">
        <v>32750</v>
      </c>
      <c r="I36" s="154">
        <f>G36-H36</f>
        <v>22250</v>
      </c>
      <c r="J36" s="207">
        <v>0</v>
      </c>
      <c r="K36" s="166">
        <f>SUM(I36:J36)</f>
        <v>22250</v>
      </c>
      <c r="L36" s="163">
        <v>0.3</v>
      </c>
      <c r="M36" s="286">
        <v>11530</v>
      </c>
      <c r="N36" s="266" t="s">
        <v>528</v>
      </c>
      <c r="O36" s="152"/>
    </row>
    <row r="37" spans="1:15" s="26" customFormat="1" ht="93" x14ac:dyDescent="0.35">
      <c r="A37" s="25"/>
      <c r="B37" s="162" t="s">
        <v>391</v>
      </c>
      <c r="C37" s="167" t="s">
        <v>477</v>
      </c>
      <c r="D37" s="183">
        <v>8000</v>
      </c>
      <c r="E37" s="171">
        <v>6000</v>
      </c>
      <c r="F37" s="168">
        <v>0</v>
      </c>
      <c r="G37" s="154">
        <f t="shared" si="10"/>
        <v>14000</v>
      </c>
      <c r="H37" s="154">
        <v>11800</v>
      </c>
      <c r="I37" s="154">
        <f t="shared" si="11"/>
        <v>2200</v>
      </c>
      <c r="J37" s="207">
        <f>5000*2</f>
        <v>10000</v>
      </c>
      <c r="K37" s="166">
        <f>SUM(I37:J37)</f>
        <v>12200</v>
      </c>
      <c r="L37" s="164">
        <v>0.3</v>
      </c>
      <c r="M37" s="286"/>
      <c r="N37" s="266" t="s">
        <v>529</v>
      </c>
      <c r="O37" s="155"/>
    </row>
    <row r="38" spans="1:15" s="26" customFormat="1" ht="62" x14ac:dyDescent="0.35">
      <c r="A38" s="25"/>
      <c r="B38" s="162" t="s">
        <v>392</v>
      </c>
      <c r="C38" s="167" t="s">
        <v>495</v>
      </c>
      <c r="D38" s="183"/>
      <c r="E38" s="171"/>
      <c r="F38" s="168">
        <v>60000</v>
      </c>
      <c r="G38" s="154">
        <f>SUM(D38:F38)</f>
        <v>60000</v>
      </c>
      <c r="H38" s="154"/>
      <c r="I38" s="154">
        <f>G38-H38</f>
        <v>60000</v>
      </c>
      <c r="J38" s="207">
        <f>40000</f>
        <v>40000</v>
      </c>
      <c r="K38" s="166">
        <f>SUM(I38:J38)</f>
        <v>100000</v>
      </c>
      <c r="L38" s="164">
        <v>0.3</v>
      </c>
      <c r="M38" s="286"/>
      <c r="N38" s="266" t="s">
        <v>530</v>
      </c>
      <c r="O38" s="154"/>
    </row>
    <row r="39" spans="1:15" s="26" customFormat="1" ht="77.5" x14ac:dyDescent="0.35">
      <c r="A39" s="25"/>
      <c r="B39" s="162" t="s">
        <v>471</v>
      </c>
      <c r="C39" s="161" t="s">
        <v>479</v>
      </c>
      <c r="D39" s="183">
        <v>0</v>
      </c>
      <c r="E39" s="171">
        <v>0</v>
      </c>
      <c r="F39" s="168">
        <v>0</v>
      </c>
      <c r="G39" s="154">
        <f t="shared" si="10"/>
        <v>0</v>
      </c>
      <c r="H39" s="154"/>
      <c r="I39" s="154">
        <f t="shared" si="11"/>
        <v>0</v>
      </c>
      <c r="J39" s="207">
        <v>0</v>
      </c>
      <c r="K39" s="166">
        <f t="shared" ref="K39" si="13">SUM(I39:J39)</f>
        <v>0</v>
      </c>
      <c r="L39" s="164"/>
      <c r="M39" s="286"/>
      <c r="N39" s="264"/>
      <c r="O39" s="155"/>
    </row>
    <row r="40" spans="1:15" ht="77.5" x14ac:dyDescent="0.35">
      <c r="B40" s="162" t="s">
        <v>496</v>
      </c>
      <c r="C40" s="161" t="s">
        <v>478</v>
      </c>
      <c r="D40" s="183">
        <v>7000</v>
      </c>
      <c r="E40" s="171">
        <v>10000</v>
      </c>
      <c r="F40" s="168">
        <v>10000</v>
      </c>
      <c r="G40" s="154">
        <f t="shared" si="10"/>
        <v>27000</v>
      </c>
      <c r="H40" s="154">
        <v>15500</v>
      </c>
      <c r="I40" s="154">
        <f t="shared" si="11"/>
        <v>11500</v>
      </c>
      <c r="J40" s="207">
        <v>3500</v>
      </c>
      <c r="K40" s="166">
        <f>SUM(I40:J40)</f>
        <v>15000</v>
      </c>
      <c r="L40" s="164">
        <v>0.3</v>
      </c>
      <c r="M40" s="286">
        <v>3497</v>
      </c>
      <c r="N40" s="266" t="s">
        <v>531</v>
      </c>
      <c r="O40" s="155"/>
    </row>
    <row r="41" spans="1:15" s="283" customFormat="1" ht="27" customHeight="1" x14ac:dyDescent="0.35">
      <c r="B41" s="281"/>
      <c r="C41" s="92" t="s">
        <v>405</v>
      </c>
      <c r="D41" s="186">
        <f>SUM(D31:D40)</f>
        <v>200000</v>
      </c>
      <c r="E41" s="174">
        <f>SUM(E31:E40)</f>
        <v>106000</v>
      </c>
      <c r="F41" s="235">
        <f>SUM(F31:F40)</f>
        <v>160000</v>
      </c>
      <c r="G41" s="250">
        <f t="shared" si="10"/>
        <v>466000</v>
      </c>
      <c r="H41" s="248">
        <v>264663.57</v>
      </c>
      <c r="I41" s="154">
        <f t="shared" si="11"/>
        <v>201336.43</v>
      </c>
      <c r="J41" s="208">
        <f>SUM(J31:J40)</f>
        <v>73500</v>
      </c>
      <c r="K41" s="165">
        <f>SUM(K31:K40)</f>
        <v>274836.43</v>
      </c>
      <c r="L41" s="88">
        <f>(L31*J31)+(L32*J32)+(L33*J33)+(L34*J34)+(L35*J35)+(L36*J36)+(L37*J37)+(L40*J40)</f>
        <v>12050</v>
      </c>
      <c r="M41" s="287">
        <f>SUM(M31:M40)</f>
        <v>35227</v>
      </c>
      <c r="N41" s="141"/>
      <c r="O41" s="282"/>
    </row>
    <row r="42" spans="1:15" ht="16" thickBot="1" x14ac:dyDescent="0.4">
      <c r="B42" s="157"/>
      <c r="C42" s="158"/>
      <c r="D42" s="187"/>
      <c r="E42" s="175"/>
      <c r="F42" s="159"/>
      <c r="G42" s="159"/>
      <c r="H42" s="159"/>
      <c r="I42" s="159"/>
      <c r="J42" s="159"/>
      <c r="K42" s="159"/>
      <c r="L42" s="159"/>
      <c r="M42" s="160"/>
      <c r="N42" s="160"/>
      <c r="O42" s="159"/>
    </row>
    <row r="43" spans="1:15" ht="51" customHeight="1" thickBot="1" x14ac:dyDescent="0.4">
      <c r="B43" s="77" t="s">
        <v>393</v>
      </c>
      <c r="C43" s="308" t="s">
        <v>480</v>
      </c>
      <c r="D43" s="308"/>
      <c r="E43" s="308"/>
      <c r="F43" s="308"/>
      <c r="G43" s="308"/>
      <c r="H43" s="308"/>
      <c r="I43" s="308"/>
      <c r="J43" s="308"/>
      <c r="K43" s="308"/>
      <c r="L43" s="308"/>
      <c r="M43" s="311"/>
      <c r="N43" s="311"/>
      <c r="O43" s="308"/>
    </row>
    <row r="44" spans="1:15" ht="51" customHeight="1" thickBot="1" x14ac:dyDescent="0.4">
      <c r="B44" s="76" t="s">
        <v>394</v>
      </c>
      <c r="C44" s="307" t="s">
        <v>481</v>
      </c>
      <c r="D44" s="307"/>
      <c r="E44" s="307"/>
      <c r="F44" s="307"/>
      <c r="G44" s="307"/>
      <c r="H44" s="307"/>
      <c r="I44" s="307"/>
      <c r="J44" s="307"/>
      <c r="K44" s="307"/>
      <c r="L44" s="308"/>
      <c r="M44" s="311"/>
      <c r="N44" s="311"/>
      <c r="O44" s="308"/>
    </row>
    <row r="45" spans="1:15" ht="93" x14ac:dyDescent="0.35">
      <c r="B45" s="162" t="s">
        <v>395</v>
      </c>
      <c r="C45" s="161" t="s">
        <v>482</v>
      </c>
      <c r="D45" s="183">
        <v>3000</v>
      </c>
      <c r="E45" s="171">
        <v>0</v>
      </c>
      <c r="F45" s="168">
        <v>2000</v>
      </c>
      <c r="G45" s="154">
        <f>SUM(D45:F45)</f>
        <v>5000</v>
      </c>
      <c r="H45" s="150">
        <v>3000</v>
      </c>
      <c r="I45" s="154">
        <f>G45-H45</f>
        <v>2000</v>
      </c>
      <c r="J45" s="204">
        <f>2500*2</f>
        <v>5000</v>
      </c>
      <c r="K45" s="147">
        <f>SUM(I45:J45)</f>
        <v>7000</v>
      </c>
      <c r="L45" s="149">
        <v>0.3</v>
      </c>
      <c r="M45" s="288"/>
      <c r="N45" s="267" t="s">
        <v>525</v>
      </c>
      <c r="O45" s="152"/>
    </row>
    <row r="46" spans="1:15" ht="139.5" x14ac:dyDescent="0.35">
      <c r="B46" s="162" t="s">
        <v>396</v>
      </c>
      <c r="C46" s="161" t="s">
        <v>483</v>
      </c>
      <c r="D46" s="188">
        <v>0</v>
      </c>
      <c r="E46" s="176">
        <v>0</v>
      </c>
      <c r="F46" s="169">
        <v>0</v>
      </c>
      <c r="G46" s="154">
        <f>SUM(D46:F46)</f>
        <v>0</v>
      </c>
      <c r="H46" s="150"/>
      <c r="I46" s="154">
        <f>G46-H46</f>
        <v>0</v>
      </c>
      <c r="J46" s="204"/>
      <c r="K46" s="147">
        <f t="shared" ref="K46:K49" si="14">SUM(I46:J46)</f>
        <v>0</v>
      </c>
      <c r="L46" s="149"/>
      <c r="M46" s="288"/>
      <c r="N46" s="151"/>
      <c r="O46" s="152"/>
    </row>
    <row r="47" spans="1:15" ht="62" x14ac:dyDescent="0.35">
      <c r="B47" s="162" t="s">
        <v>397</v>
      </c>
      <c r="C47" s="161" t="s">
        <v>484</v>
      </c>
      <c r="D47" s="183">
        <v>3500</v>
      </c>
      <c r="E47" s="171">
        <v>10000</v>
      </c>
      <c r="F47" s="168">
        <f>3000+7000</f>
        <v>10000</v>
      </c>
      <c r="G47" s="154">
        <f t="shared" ref="G47:G49" si="15">SUM(D47:F47)</f>
        <v>23500</v>
      </c>
      <c r="H47" s="150">
        <v>19260</v>
      </c>
      <c r="I47" s="154">
        <f>G47-H47</f>
        <v>4240</v>
      </c>
      <c r="J47" s="204">
        <f>10760</f>
        <v>10760</v>
      </c>
      <c r="K47" s="147">
        <f t="shared" si="14"/>
        <v>15000</v>
      </c>
      <c r="L47" s="149">
        <v>0.3</v>
      </c>
      <c r="M47" s="288"/>
      <c r="N47" s="266" t="s">
        <v>532</v>
      </c>
      <c r="O47" s="152"/>
    </row>
    <row r="48" spans="1:15" ht="108.5" x14ac:dyDescent="0.35">
      <c r="B48" s="162" t="s">
        <v>398</v>
      </c>
      <c r="C48" s="161" t="s">
        <v>485</v>
      </c>
      <c r="D48" s="188">
        <v>0</v>
      </c>
      <c r="E48" s="176">
        <v>0</v>
      </c>
      <c r="F48" s="169">
        <v>0</v>
      </c>
      <c r="G48" s="154">
        <f t="shared" si="15"/>
        <v>0</v>
      </c>
      <c r="H48" s="150"/>
      <c r="I48" s="154">
        <f>G48-H48</f>
        <v>0</v>
      </c>
      <c r="J48" s="204"/>
      <c r="K48" s="147">
        <f t="shared" si="14"/>
        <v>0</v>
      </c>
      <c r="L48" s="149"/>
      <c r="M48" s="288"/>
      <c r="N48" s="151"/>
      <c r="O48" s="152"/>
    </row>
    <row r="49" spans="1:19" s="26" customFormat="1" ht="33.5" customHeight="1" thickBot="1" x14ac:dyDescent="0.4">
      <c r="A49" s="25"/>
      <c r="B49" s="156"/>
      <c r="C49" s="77" t="s">
        <v>405</v>
      </c>
      <c r="D49" s="184">
        <f>SUM(D45:D48)</f>
        <v>6500</v>
      </c>
      <c r="E49" s="172">
        <f>SUM(E45:E48)</f>
        <v>10000</v>
      </c>
      <c r="F49" s="233">
        <f>SUM(F45:F48)</f>
        <v>12000</v>
      </c>
      <c r="G49" s="250">
        <f t="shared" si="15"/>
        <v>28500</v>
      </c>
      <c r="H49" s="88">
        <f>SUM(H45:H48)</f>
        <v>22260</v>
      </c>
      <c r="I49" s="154">
        <f>G49-H49</f>
        <v>6240</v>
      </c>
      <c r="J49" s="205">
        <f>SUM(J45:J48)</f>
        <v>15760</v>
      </c>
      <c r="K49" s="11">
        <f t="shared" si="14"/>
        <v>22000</v>
      </c>
      <c r="L49" s="88">
        <f>(L45*J45)+(L46*J46)+(L47*J47)+(L48*J48)</f>
        <v>4728</v>
      </c>
      <c r="M49" s="287">
        <f>SUM(M45:M48)</f>
        <v>0</v>
      </c>
      <c r="N49" s="141"/>
      <c r="O49" s="155"/>
    </row>
    <row r="50" spans="1:19" ht="51" customHeight="1" thickBot="1" x14ac:dyDescent="0.4">
      <c r="B50" s="76" t="s">
        <v>399</v>
      </c>
      <c r="C50" s="307" t="s">
        <v>486</v>
      </c>
      <c r="D50" s="307"/>
      <c r="E50" s="314"/>
      <c r="F50" s="314"/>
      <c r="G50" s="314"/>
      <c r="H50" s="314"/>
      <c r="I50" s="314"/>
      <c r="J50" s="314"/>
      <c r="K50" s="314"/>
      <c r="L50" s="315"/>
      <c r="M50" s="316"/>
      <c r="N50" s="316"/>
      <c r="O50" s="315"/>
    </row>
    <row r="51" spans="1:19" ht="93" x14ac:dyDescent="0.35">
      <c r="B51" s="162" t="s">
        <v>400</v>
      </c>
      <c r="C51" s="161" t="s">
        <v>487</v>
      </c>
      <c r="D51" s="188"/>
      <c r="E51" s="176"/>
      <c r="F51" s="169"/>
      <c r="G51" s="249">
        <f>SUM(D51:F51)</f>
        <v>0</v>
      </c>
      <c r="H51" s="249" t="s">
        <v>543</v>
      </c>
      <c r="I51" s="249" t="e">
        <f>G51-H51</f>
        <v>#VALUE!</v>
      </c>
      <c r="J51" s="204"/>
      <c r="K51" s="147" t="e">
        <f>SUM(I51:J51)</f>
        <v>#VALUE!</v>
      </c>
      <c r="L51" s="149"/>
      <c r="M51" s="288"/>
      <c r="N51" s="151"/>
      <c r="O51" s="152"/>
    </row>
    <row r="52" spans="1:19" ht="52" x14ac:dyDescent="0.35">
      <c r="B52" s="162" t="s">
        <v>401</v>
      </c>
      <c r="C52" s="161" t="s">
        <v>488</v>
      </c>
      <c r="D52" s="183">
        <v>11500</v>
      </c>
      <c r="E52" s="171">
        <v>25000</v>
      </c>
      <c r="F52" s="168">
        <f>50000</f>
        <v>50000</v>
      </c>
      <c r="G52" s="249">
        <f t="shared" ref="G52:G54" si="16">SUM(D52:F52)</f>
        <v>86500</v>
      </c>
      <c r="H52" s="154">
        <v>36000</v>
      </c>
      <c r="I52" s="249">
        <f>G52-H52</f>
        <v>50500</v>
      </c>
      <c r="J52" s="204">
        <v>0</v>
      </c>
      <c r="K52" s="147">
        <f t="shared" ref="K52:K54" si="17">SUM(I52:J52)</f>
        <v>50500</v>
      </c>
      <c r="L52" s="149">
        <v>0.3</v>
      </c>
      <c r="M52" s="286">
        <v>37775.61</v>
      </c>
      <c r="N52" s="267" t="s">
        <v>534</v>
      </c>
      <c r="O52" s="152"/>
    </row>
    <row r="53" spans="1:19" ht="62" x14ac:dyDescent="0.35">
      <c r="B53" s="162" t="s">
        <v>402</v>
      </c>
      <c r="C53" s="161" t="s">
        <v>489</v>
      </c>
      <c r="D53" s="183">
        <v>7000</v>
      </c>
      <c r="E53" s="171">
        <v>0</v>
      </c>
      <c r="F53" s="168">
        <v>0</v>
      </c>
      <c r="G53" s="249">
        <f t="shared" si="16"/>
        <v>7000</v>
      </c>
      <c r="H53" s="154">
        <v>6850</v>
      </c>
      <c r="I53" s="249">
        <f t="shared" ref="I53:I54" si="18">G53-H53</f>
        <v>150</v>
      </c>
      <c r="J53" s="204">
        <v>10000</v>
      </c>
      <c r="K53" s="147">
        <f t="shared" si="17"/>
        <v>10150</v>
      </c>
      <c r="L53" s="149">
        <v>0.3</v>
      </c>
      <c r="M53" s="288"/>
      <c r="N53" s="267" t="s">
        <v>533</v>
      </c>
      <c r="O53" s="152"/>
    </row>
    <row r="54" spans="1:19" s="283" customFormat="1" ht="27.5" customHeight="1" x14ac:dyDescent="0.35">
      <c r="B54" s="281"/>
      <c r="C54" s="77" t="s">
        <v>405</v>
      </c>
      <c r="D54" s="184">
        <f>SUM(D51:D53)</f>
        <v>18500</v>
      </c>
      <c r="E54" s="172">
        <f>SUM(E51:E53)</f>
        <v>25000</v>
      </c>
      <c r="F54" s="233">
        <f>SUM(F51:F53)</f>
        <v>50000</v>
      </c>
      <c r="G54" s="259">
        <f t="shared" si="16"/>
        <v>93500</v>
      </c>
      <c r="H54" s="246">
        <v>42850</v>
      </c>
      <c r="I54" s="259">
        <f t="shared" si="18"/>
        <v>50650</v>
      </c>
      <c r="J54" s="205">
        <f>SUM(J51:J53)</f>
        <v>10000</v>
      </c>
      <c r="K54" s="11">
        <f t="shared" si="17"/>
        <v>60650</v>
      </c>
      <c r="L54" s="88">
        <f>(L50*J50)+(L51*J51)+(L52*J52)+(L53*J53)</f>
        <v>3000</v>
      </c>
      <c r="M54" s="287">
        <f>SUM(M51:M53)</f>
        <v>37775.61</v>
      </c>
      <c r="N54" s="141"/>
      <c r="O54" s="282"/>
    </row>
    <row r="55" spans="1:19" ht="33.75" customHeight="1" thickBot="1" x14ac:dyDescent="0.4">
      <c r="B55" s="5"/>
      <c r="C55" s="7"/>
      <c r="D55" s="127"/>
      <c r="E55" s="127"/>
      <c r="F55" s="14"/>
      <c r="G55" s="14"/>
      <c r="H55" s="14"/>
      <c r="I55" s="14"/>
      <c r="J55" s="14"/>
      <c r="K55" s="14"/>
      <c r="L55" s="14"/>
      <c r="M55" s="278">
        <f>M17+M23+M29+M41+M49+M54</f>
        <v>331136.46999999997</v>
      </c>
      <c r="N55" s="127"/>
      <c r="O55" s="320"/>
      <c r="P55" s="321"/>
    </row>
    <row r="56" spans="1:19" ht="40.5" customHeight="1" x14ac:dyDescent="0.35">
      <c r="B56" s="5"/>
      <c r="C56" s="304" t="s">
        <v>414</v>
      </c>
      <c r="D56" s="305"/>
      <c r="E56" s="305"/>
      <c r="F56" s="305"/>
      <c r="G56" s="305"/>
      <c r="H56" s="305"/>
      <c r="I56" s="305"/>
      <c r="J56" s="305"/>
      <c r="K56" s="306"/>
      <c r="L56" s="8"/>
      <c r="M56" s="142"/>
      <c r="N56" s="142"/>
      <c r="O56" s="275"/>
      <c r="S56" s="277"/>
    </row>
    <row r="57" spans="1:19" ht="93.75" customHeight="1" x14ac:dyDescent="0.35">
      <c r="B57" s="5"/>
      <c r="C57" s="131"/>
      <c r="D57" s="189" t="str">
        <f>D5</f>
        <v>Organisation recipiendiaire  (budget en USD) PNUD 2020-2021</v>
      </c>
      <c r="E57" s="177" t="str">
        <f>E5</f>
        <v>Organisation recipiendiaire (budget en USD) PNUD 2022</v>
      </c>
      <c r="F57" s="214" t="str">
        <f>F5</f>
        <v>Organisation recipiendiaire  (budget en USD)  PNUD 2023</v>
      </c>
      <c r="G57" s="258" t="s">
        <v>510</v>
      </c>
      <c r="H57" s="250" t="s">
        <v>511</v>
      </c>
      <c r="I57" s="258" t="s">
        <v>512</v>
      </c>
      <c r="J57" s="209" t="str">
        <f>J5</f>
        <v>Organisation recipiendiaire  (budget en USD) PNUD 2024-2025</v>
      </c>
      <c r="K57" s="132" t="s">
        <v>11</v>
      </c>
      <c r="L57" s="7"/>
      <c r="M57" s="127"/>
      <c r="N57" s="127"/>
      <c r="O57" s="276"/>
      <c r="S57" s="274"/>
    </row>
    <row r="58" spans="1:19" ht="54" customHeight="1" x14ac:dyDescent="0.35">
      <c r="B58" s="15"/>
      <c r="C58" s="89" t="s">
        <v>406</v>
      </c>
      <c r="D58" s="190">
        <f>SUM(D17,D23,D29,D41,D49,D54)</f>
        <v>576730</v>
      </c>
      <c r="E58" s="178">
        <f>SUM(E17,E23,E29,E41,E49,E54)</f>
        <v>477468</v>
      </c>
      <c r="F58" s="212">
        <f>SUM(F17,F23,F29,F41,F49,F54)</f>
        <v>624110.24</v>
      </c>
      <c r="G58" s="251">
        <f>SUM(D58:F58)</f>
        <v>1678308.24</v>
      </c>
      <c r="H58" s="251">
        <f>SUM(H17,H23,H29,H41,H49,H54)</f>
        <v>1152356.19</v>
      </c>
      <c r="I58" s="251">
        <f>G58-H58</f>
        <v>525952.05000000005</v>
      </c>
      <c r="J58" s="210">
        <f>SUM(J17,J23,J29,J41,J49,J54)</f>
        <v>772580</v>
      </c>
      <c r="K58" s="271">
        <f>SUM(I58:J58)</f>
        <v>1298532.05</v>
      </c>
      <c r="L58" s="7"/>
      <c r="M58" s="127"/>
      <c r="N58" s="127"/>
      <c r="O58" s="9"/>
    </row>
    <row r="59" spans="1:19" ht="65.25" customHeight="1" x14ac:dyDescent="0.35">
      <c r="B59" s="4"/>
      <c r="C59" s="130" t="s">
        <v>407</v>
      </c>
      <c r="D59" s="190">
        <f>D58*0.07</f>
        <v>40371.100000000006</v>
      </c>
      <c r="E59" s="178">
        <f>E58*0.07</f>
        <v>33422.76</v>
      </c>
      <c r="F59" s="212">
        <f>F58*0.07</f>
        <v>43687.716800000002</v>
      </c>
      <c r="G59" s="251">
        <f>SUM(D59:F59)</f>
        <v>117481.57680000001</v>
      </c>
      <c r="H59" s="251">
        <f>H58*0.07</f>
        <v>80664.933300000004</v>
      </c>
      <c r="I59" s="251">
        <f>I58*0.07</f>
        <v>36816.643500000006</v>
      </c>
      <c r="J59" s="210">
        <f>J58*0.07</f>
        <v>54080.600000000006</v>
      </c>
      <c r="K59" s="90">
        <f>SUM(I59:J59)</f>
        <v>90897.243500000011</v>
      </c>
      <c r="L59" s="269"/>
      <c r="M59" s="127"/>
      <c r="N59" s="127"/>
      <c r="O59" s="2"/>
    </row>
    <row r="60" spans="1:19" ht="65.25" customHeight="1" thickBot="1" x14ac:dyDescent="0.4">
      <c r="B60" s="4"/>
      <c r="C60" s="19" t="s">
        <v>11</v>
      </c>
      <c r="D60" s="191">
        <f>SUM(D58:D59)</f>
        <v>617101.1</v>
      </c>
      <c r="E60" s="179">
        <f>SUM(E58:E59)</f>
        <v>510890.76</v>
      </c>
      <c r="F60" s="213">
        <f>SUM(F58:F59)</f>
        <v>667797.95680000004</v>
      </c>
      <c r="G60" s="260">
        <f t="shared" ref="G60" si="19">SUM(D60:F60)</f>
        <v>1795789.8167999999</v>
      </c>
      <c r="H60" s="252">
        <f>SUM(H58:H59)</f>
        <v>1233021.1232999999</v>
      </c>
      <c r="I60" s="252">
        <f>G60-H60</f>
        <v>562768.69350000005</v>
      </c>
      <c r="J60" s="211">
        <f>SUM(J58:J59)</f>
        <v>826660.6</v>
      </c>
      <c r="K60" s="91">
        <f>SUM(I60:J60)</f>
        <v>1389429.2935000001</v>
      </c>
      <c r="L60" s="278"/>
      <c r="M60" s="127"/>
      <c r="N60" s="270"/>
      <c r="O60" s="2"/>
    </row>
    <row r="61" spans="1:19" s="26" customFormat="1" ht="29.25" customHeight="1" thickBot="1" x14ac:dyDescent="0.4">
      <c r="B61" s="7"/>
      <c r="C61" s="21"/>
      <c r="D61" s="6"/>
      <c r="E61" s="6"/>
      <c r="F61" s="22"/>
      <c r="G61" s="22"/>
      <c r="H61" s="22"/>
      <c r="I61" s="22"/>
      <c r="J61" s="22"/>
      <c r="K61" s="22"/>
      <c r="L61" s="22"/>
      <c r="M61" s="128"/>
      <c r="N61" s="128"/>
      <c r="O61" s="8"/>
    </row>
    <row r="62" spans="1:19" ht="46.5" customHeight="1" x14ac:dyDescent="0.35">
      <c r="B62" s="2"/>
      <c r="C62" s="299" t="s">
        <v>408</v>
      </c>
      <c r="D62" s="300"/>
      <c r="E62" s="301"/>
      <c r="F62" s="302"/>
      <c r="G62" s="302"/>
      <c r="H62" s="302"/>
      <c r="I62" s="302"/>
      <c r="J62" s="302"/>
      <c r="K62" s="302"/>
      <c r="L62" s="303"/>
      <c r="M62" s="32"/>
      <c r="N62" s="32"/>
      <c r="O62" s="2"/>
    </row>
    <row r="63" spans="1:19" ht="84.75" customHeight="1" x14ac:dyDescent="0.35">
      <c r="B63" s="2"/>
      <c r="C63" s="78"/>
      <c r="D63" s="189" t="str">
        <f>D5</f>
        <v>Organisation recipiendiaire  (budget en USD) PNUD 2020-2021</v>
      </c>
      <c r="E63" s="177" t="str">
        <f>E5</f>
        <v>Organisation recipiendiaire (budget en USD) PNUD 2022</v>
      </c>
      <c r="F63" s="214" t="str">
        <f>F5</f>
        <v>Organisation recipiendiaire  (budget en USD)  PNUD 2023</v>
      </c>
      <c r="G63" s="258" t="s">
        <v>510</v>
      </c>
      <c r="H63" s="138"/>
      <c r="I63" s="138"/>
      <c r="J63" s="209" t="str">
        <f>J5</f>
        <v>Organisation recipiendiaire  (budget en USD) PNUD 2024-2025</v>
      </c>
      <c r="K63" s="133" t="s">
        <v>11</v>
      </c>
      <c r="L63" s="134" t="s">
        <v>9</v>
      </c>
      <c r="M63" s="32"/>
      <c r="N63" s="32"/>
      <c r="O63" s="2"/>
    </row>
    <row r="64" spans="1:19" ht="42.75" customHeight="1" x14ac:dyDescent="0.35">
      <c r="B64" s="2"/>
      <c r="C64" s="18" t="s">
        <v>409</v>
      </c>
      <c r="D64" s="192">
        <f>D60*L64</f>
        <v>431970.76999999996</v>
      </c>
      <c r="E64" s="180"/>
      <c r="F64" s="215"/>
      <c r="G64" s="253">
        <f>SUM(D64:F64)</f>
        <v>431970.76999999996</v>
      </c>
      <c r="H64" s="80"/>
      <c r="I64" s="80"/>
      <c r="J64" s="217"/>
      <c r="K64" s="80">
        <f>G64</f>
        <v>431970.76999999996</v>
      </c>
      <c r="L64" s="100">
        <v>0.7</v>
      </c>
      <c r="M64" s="142"/>
      <c r="N64" s="142"/>
      <c r="O64" s="2"/>
    </row>
    <row r="65" spans="2:15" ht="37.5" customHeight="1" x14ac:dyDescent="0.35">
      <c r="B65" s="298"/>
      <c r="C65" s="93" t="s">
        <v>410</v>
      </c>
      <c r="D65" s="192">
        <f>D60*L65</f>
        <v>185130.33</v>
      </c>
      <c r="E65" s="180"/>
      <c r="F65" s="215"/>
      <c r="G65" s="253">
        <f t="shared" ref="G65:G72" si="20">SUM(D65:F65)</f>
        <v>185130.33</v>
      </c>
      <c r="H65" s="80"/>
      <c r="I65" s="80"/>
      <c r="J65" s="217"/>
      <c r="K65" s="80">
        <f t="shared" ref="K65:K69" si="21">G65</f>
        <v>185130.33</v>
      </c>
      <c r="L65" s="101">
        <v>0.3</v>
      </c>
      <c r="M65" s="142"/>
      <c r="N65" s="142"/>
      <c r="O65" s="27"/>
    </row>
    <row r="66" spans="2:15" ht="40.5" customHeight="1" x14ac:dyDescent="0.35">
      <c r="B66" s="298"/>
      <c r="C66" s="93" t="s">
        <v>411</v>
      </c>
      <c r="D66" s="192"/>
      <c r="E66" s="180">
        <f>$E$60*L64</f>
        <v>357623.53200000001</v>
      </c>
      <c r="F66" s="215"/>
      <c r="G66" s="253">
        <f t="shared" si="20"/>
        <v>357623.53200000001</v>
      </c>
      <c r="H66" s="80"/>
      <c r="I66" s="80"/>
      <c r="J66" s="217"/>
      <c r="K66" s="80">
        <f t="shared" si="21"/>
        <v>357623.53200000001</v>
      </c>
      <c r="L66" s="102">
        <v>0.7</v>
      </c>
      <c r="M66" s="143"/>
      <c r="N66" s="143"/>
      <c r="O66" s="27"/>
    </row>
    <row r="67" spans="2:15" ht="36.75" customHeight="1" x14ac:dyDescent="0.35">
      <c r="B67" s="298"/>
      <c r="C67" s="93" t="s">
        <v>497</v>
      </c>
      <c r="D67" s="196"/>
      <c r="E67" s="197">
        <f>$E$60*L65</f>
        <v>153267.228</v>
      </c>
      <c r="F67" s="216"/>
      <c r="G67" s="253">
        <f t="shared" si="20"/>
        <v>153267.228</v>
      </c>
      <c r="H67" s="261"/>
      <c r="I67" s="261"/>
      <c r="J67" s="218"/>
      <c r="K67" s="80">
        <f t="shared" si="21"/>
        <v>153267.228</v>
      </c>
      <c r="L67" s="102">
        <v>0.3</v>
      </c>
      <c r="M67" s="143"/>
      <c r="N67" s="143"/>
      <c r="O67" s="27"/>
    </row>
    <row r="68" spans="2:15" ht="31.5" customHeight="1" x14ac:dyDescent="0.35">
      <c r="B68" s="298"/>
      <c r="C68" s="93" t="s">
        <v>498</v>
      </c>
      <c r="D68" s="196"/>
      <c r="E68" s="197"/>
      <c r="F68" s="216">
        <f>$F$60*L64</f>
        <v>467458.56975999998</v>
      </c>
      <c r="G68" s="253">
        <f t="shared" si="20"/>
        <v>467458.56975999998</v>
      </c>
      <c r="H68" s="261"/>
      <c r="I68" s="261"/>
      <c r="J68" s="218"/>
      <c r="K68" s="80">
        <f t="shared" si="21"/>
        <v>467458.56975999998</v>
      </c>
      <c r="L68" s="102">
        <v>0.7</v>
      </c>
      <c r="M68" s="143"/>
      <c r="N68" s="143"/>
      <c r="O68" s="27"/>
    </row>
    <row r="69" spans="2:15" ht="30" customHeight="1" x14ac:dyDescent="0.35">
      <c r="B69" s="298"/>
      <c r="C69" s="93" t="s">
        <v>499</v>
      </c>
      <c r="D69" s="196"/>
      <c r="E69" s="197"/>
      <c r="F69" s="216">
        <f>$F$60*L65</f>
        <v>200339.38704</v>
      </c>
      <c r="G69" s="253">
        <f t="shared" si="20"/>
        <v>200339.38704</v>
      </c>
      <c r="H69" s="261"/>
      <c r="I69" s="261"/>
      <c r="J69" s="218"/>
      <c r="K69" s="80">
        <f t="shared" si="21"/>
        <v>200339.38704</v>
      </c>
      <c r="L69" s="102">
        <v>0.3</v>
      </c>
      <c r="M69" s="143"/>
      <c r="N69" s="143"/>
      <c r="O69" s="27"/>
    </row>
    <row r="70" spans="2:15" ht="22.5" customHeight="1" x14ac:dyDescent="0.35">
      <c r="B70" s="298"/>
      <c r="C70" s="93" t="s">
        <v>503</v>
      </c>
      <c r="D70" s="196"/>
      <c r="E70" s="197"/>
      <c r="F70" s="216"/>
      <c r="G70" s="253">
        <f t="shared" si="20"/>
        <v>0</v>
      </c>
      <c r="H70" s="261"/>
      <c r="I70" s="261"/>
      <c r="J70" s="217">
        <f>$J$60*L70</f>
        <v>578662.41999999993</v>
      </c>
      <c r="K70" s="80">
        <f>J70</f>
        <v>578662.41999999993</v>
      </c>
      <c r="L70" s="102">
        <v>0.7</v>
      </c>
      <c r="M70" s="143"/>
      <c r="N70" s="143"/>
      <c r="O70" s="27"/>
    </row>
    <row r="71" spans="2:15" ht="21" customHeight="1" x14ac:dyDescent="0.35">
      <c r="B71" s="298"/>
      <c r="C71" s="93" t="s">
        <v>504</v>
      </c>
      <c r="D71" s="196"/>
      <c r="E71" s="197"/>
      <c r="F71" s="216"/>
      <c r="G71" s="253">
        <f t="shared" si="20"/>
        <v>0</v>
      </c>
      <c r="H71" s="261"/>
      <c r="I71" s="261"/>
      <c r="J71" s="217">
        <f>$J$60*L71</f>
        <v>247998.18</v>
      </c>
      <c r="K71" s="80">
        <f>J71</f>
        <v>247998.18</v>
      </c>
      <c r="L71" s="102">
        <v>0.3</v>
      </c>
      <c r="M71" s="143"/>
      <c r="N71" s="143"/>
      <c r="O71" s="27"/>
    </row>
    <row r="72" spans="2:15" ht="36.75" customHeight="1" thickBot="1" x14ac:dyDescent="0.4">
      <c r="B72" s="298"/>
      <c r="C72" s="19" t="s">
        <v>11</v>
      </c>
      <c r="D72" s="191">
        <f>SUM(D64:D66)</f>
        <v>617101.1</v>
      </c>
      <c r="E72" s="179">
        <f>SUM(E64:E69)</f>
        <v>510890.76</v>
      </c>
      <c r="F72" s="213">
        <f>SUM(F68:F69)</f>
        <v>667797.95680000004</v>
      </c>
      <c r="G72" s="253">
        <f t="shared" si="20"/>
        <v>1795789.8167999999</v>
      </c>
      <c r="H72" s="81"/>
      <c r="I72" s="81"/>
      <c r="J72" s="211">
        <f>SUM(J70:J71)</f>
        <v>826660.59999999986</v>
      </c>
      <c r="K72" s="81">
        <f>G72+J72</f>
        <v>2622450.4167999998</v>
      </c>
      <c r="L72" s="82">
        <v>1</v>
      </c>
      <c r="M72" s="31"/>
      <c r="N72" s="31"/>
      <c r="O72" s="27"/>
    </row>
    <row r="73" spans="2:15" ht="40.5" customHeight="1" thickBot="1" x14ac:dyDescent="0.4">
      <c r="B73" s="298"/>
      <c r="C73" s="3"/>
      <c r="D73" s="6"/>
      <c r="E73" s="6"/>
      <c r="F73" s="6"/>
      <c r="G73" s="22"/>
      <c r="H73" s="22"/>
      <c r="I73" s="22"/>
      <c r="J73" s="279">
        <v>625523.17000000004</v>
      </c>
      <c r="K73" s="6" t="s">
        <v>538</v>
      </c>
      <c r="L73" s="6"/>
      <c r="M73" s="292" t="s">
        <v>540</v>
      </c>
      <c r="N73" s="290" t="s">
        <v>541</v>
      </c>
      <c r="O73" s="27"/>
    </row>
    <row r="74" spans="2:15" ht="36" customHeight="1" thickBot="1" x14ac:dyDescent="0.4">
      <c r="B74" s="298"/>
      <c r="C74" s="83" t="s">
        <v>446</v>
      </c>
      <c r="D74" s="238"/>
      <c r="E74" s="239"/>
      <c r="F74" s="239"/>
      <c r="G74" s="254"/>
      <c r="H74" s="254"/>
      <c r="I74" s="254"/>
      <c r="J74" s="272">
        <f>L17+L23+L29+L41+L49+L54</f>
        <v>232962</v>
      </c>
      <c r="L74" s="244" t="s">
        <v>448</v>
      </c>
      <c r="M74" s="291">
        <f>M17+M23+M29+M41+M49+M54</f>
        <v>331136.46999999997</v>
      </c>
      <c r="N74" s="293">
        <f>M74*30.15/100</f>
        <v>99837.645704999988</v>
      </c>
      <c r="O74" s="27"/>
    </row>
    <row r="75" spans="2:15" ht="33.75" customHeight="1" thickBot="1" x14ac:dyDescent="0.4">
      <c r="B75" s="298"/>
      <c r="C75" s="84" t="s">
        <v>412</v>
      </c>
      <c r="D75" s="240"/>
      <c r="E75" s="241"/>
      <c r="F75" s="241"/>
      <c r="G75" s="255"/>
      <c r="H75" s="255"/>
      <c r="I75" s="255"/>
      <c r="J75" s="273">
        <f>J74/J58</f>
        <v>0.30153770483315645</v>
      </c>
      <c r="L75" s="284" t="s">
        <v>449</v>
      </c>
      <c r="M75" s="289">
        <f>M74/J73</f>
        <v>0.52937522682013516</v>
      </c>
      <c r="N75" s="294">
        <v>0.30149999999999999</v>
      </c>
      <c r="O75" s="27"/>
    </row>
    <row r="76" spans="2:15" ht="33.75" customHeight="1" x14ac:dyDescent="0.35">
      <c r="B76" s="298"/>
      <c r="C76" s="322"/>
      <c r="D76" s="323"/>
      <c r="E76" s="323"/>
      <c r="F76" s="323"/>
      <c r="G76" s="323"/>
      <c r="H76" s="323"/>
      <c r="I76" s="323"/>
      <c r="J76" s="324"/>
      <c r="K76" s="29"/>
      <c r="O76" s="27"/>
    </row>
    <row r="77" spans="2:15" ht="35.25" customHeight="1" x14ac:dyDescent="0.35">
      <c r="B77" s="298"/>
      <c r="C77" s="84" t="s">
        <v>447</v>
      </c>
      <c r="D77" s="194">
        <f>D41</f>
        <v>200000</v>
      </c>
      <c r="E77" s="220">
        <f>E41</f>
        <v>106000</v>
      </c>
      <c r="F77" s="237">
        <f>F41</f>
        <v>160000</v>
      </c>
      <c r="G77" s="256"/>
      <c r="H77" s="256"/>
      <c r="I77" s="256"/>
      <c r="J77" s="232">
        <f>J41</f>
        <v>73500</v>
      </c>
      <c r="K77" s="242">
        <v>0</v>
      </c>
      <c r="O77" s="27"/>
    </row>
    <row r="78" spans="2:15" ht="29.25" customHeight="1" x14ac:dyDescent="0.35">
      <c r="B78" s="298"/>
      <c r="C78" s="84" t="s">
        <v>413</v>
      </c>
      <c r="D78" s="193">
        <f>D77/D58</f>
        <v>0.34678272328472598</v>
      </c>
      <c r="E78" s="219">
        <f>E77/E58</f>
        <v>0.22200440657803244</v>
      </c>
      <c r="F78" s="236">
        <f>F77/F58</f>
        <v>0.25636496526639269</v>
      </c>
      <c r="G78" s="255"/>
      <c r="H78" s="255"/>
      <c r="I78" s="255"/>
      <c r="J78" s="231">
        <f>J77/J58</f>
        <v>9.5135778819021979E-2</v>
      </c>
      <c r="K78" s="243">
        <f>K77/K58</f>
        <v>0</v>
      </c>
      <c r="O78" s="27"/>
    </row>
    <row r="79" spans="2:15" ht="48.75" customHeight="1" x14ac:dyDescent="0.35">
      <c r="B79" s="298"/>
      <c r="C79" s="296" t="s">
        <v>439</v>
      </c>
      <c r="D79" s="297"/>
      <c r="E79" s="297"/>
      <c r="F79" s="297"/>
      <c r="G79" s="297"/>
      <c r="H79" s="297"/>
      <c r="I79" s="297"/>
      <c r="J79" s="297"/>
      <c r="K79" s="23"/>
      <c r="L79" s="27"/>
      <c r="O79" s="27"/>
    </row>
    <row r="80" spans="2:15" ht="65.25" customHeight="1" x14ac:dyDescent="0.35">
      <c r="B80" s="298"/>
      <c r="D80" s="27"/>
      <c r="E80" s="27"/>
    </row>
    <row r="81" spans="4:5" x14ac:dyDescent="0.35">
      <c r="D81" s="27"/>
      <c r="E81" s="27"/>
    </row>
    <row r="82" spans="4:5" x14ac:dyDescent="0.35">
      <c r="D82" s="27"/>
      <c r="E82" s="27"/>
    </row>
    <row r="83" spans="4:5" x14ac:dyDescent="0.35">
      <c r="D83" s="27"/>
      <c r="E83" s="27"/>
    </row>
    <row r="84" spans="4:5" x14ac:dyDescent="0.35">
      <c r="D84" s="27"/>
      <c r="E84" s="27"/>
    </row>
    <row r="85" spans="4:5" x14ac:dyDescent="0.35">
      <c r="D85" s="27"/>
      <c r="E85" s="27"/>
    </row>
    <row r="86" spans="4:5" x14ac:dyDescent="0.35">
      <c r="D86" s="27"/>
      <c r="E86" s="27"/>
    </row>
    <row r="87" spans="4:5" x14ac:dyDescent="0.35">
      <c r="D87" s="27"/>
      <c r="E87" s="27"/>
    </row>
    <row r="88" spans="4:5" x14ac:dyDescent="0.35">
      <c r="D88" s="27"/>
      <c r="E88" s="27"/>
    </row>
    <row r="89" spans="4:5" x14ac:dyDescent="0.35">
      <c r="D89" s="27"/>
      <c r="E89" s="27"/>
    </row>
    <row r="90" spans="4:5" x14ac:dyDescent="0.35">
      <c r="D90" s="27"/>
      <c r="E90" s="27"/>
    </row>
    <row r="91" spans="4:5" x14ac:dyDescent="0.35">
      <c r="D91" s="27"/>
      <c r="E91" s="27"/>
    </row>
    <row r="92" spans="4:5" x14ac:dyDescent="0.35">
      <c r="D92" s="27"/>
      <c r="E92" s="27"/>
    </row>
    <row r="93" spans="4:5" x14ac:dyDescent="0.35">
      <c r="D93" s="27"/>
      <c r="E93" s="27"/>
    </row>
    <row r="94" spans="4:5" x14ac:dyDescent="0.35">
      <c r="D94" s="27"/>
      <c r="E94" s="27"/>
    </row>
    <row r="95" spans="4:5" x14ac:dyDescent="0.35">
      <c r="D95" s="27"/>
      <c r="E95" s="27"/>
    </row>
    <row r="96" spans="4:5" x14ac:dyDescent="0.35">
      <c r="D96" s="27"/>
      <c r="E96" s="27"/>
    </row>
    <row r="97" spans="4:5" x14ac:dyDescent="0.35">
      <c r="D97" s="27"/>
      <c r="E97" s="27"/>
    </row>
    <row r="98" spans="4:5" x14ac:dyDescent="0.35">
      <c r="D98" s="27"/>
      <c r="E98" s="27"/>
    </row>
    <row r="99" spans="4:5" x14ac:dyDescent="0.35">
      <c r="D99" s="27"/>
      <c r="E99" s="27"/>
    </row>
    <row r="100" spans="4:5" x14ac:dyDescent="0.35">
      <c r="D100" s="27"/>
      <c r="E100" s="27"/>
    </row>
    <row r="101" spans="4:5" x14ac:dyDescent="0.35">
      <c r="D101" s="27"/>
      <c r="E101" s="27"/>
    </row>
    <row r="102" spans="4:5" x14ac:dyDescent="0.35">
      <c r="D102" s="27"/>
      <c r="E102" s="27"/>
    </row>
    <row r="103" spans="4:5" x14ac:dyDescent="0.35">
      <c r="D103" s="27"/>
      <c r="E103" s="27"/>
    </row>
    <row r="104" spans="4:5" x14ac:dyDescent="0.35">
      <c r="D104" s="27"/>
      <c r="E104" s="27"/>
    </row>
    <row r="105" spans="4:5" x14ac:dyDescent="0.35">
      <c r="D105" s="27"/>
      <c r="E105" s="27"/>
    </row>
    <row r="106" spans="4:5" x14ac:dyDescent="0.35">
      <c r="D106" s="27"/>
      <c r="E106" s="27"/>
    </row>
    <row r="107" spans="4:5" x14ac:dyDescent="0.35">
      <c r="D107" s="27"/>
      <c r="E107" s="27"/>
    </row>
    <row r="108" spans="4:5" x14ac:dyDescent="0.35">
      <c r="D108" s="27"/>
      <c r="E108" s="27"/>
    </row>
    <row r="109" spans="4:5" x14ac:dyDescent="0.35">
      <c r="D109" s="27"/>
      <c r="E109" s="27"/>
    </row>
    <row r="110" spans="4:5" x14ac:dyDescent="0.35">
      <c r="D110" s="27"/>
      <c r="E110" s="27"/>
    </row>
    <row r="111" spans="4:5" x14ac:dyDescent="0.35">
      <c r="D111" s="27"/>
      <c r="E111" s="27"/>
    </row>
    <row r="112" spans="4:5" x14ac:dyDescent="0.35">
      <c r="D112" s="27"/>
      <c r="E112" s="27"/>
    </row>
    <row r="113" spans="4:5" x14ac:dyDescent="0.35">
      <c r="D113" s="27"/>
      <c r="E113" s="27"/>
    </row>
    <row r="114" spans="4:5" x14ac:dyDescent="0.35">
      <c r="D114" s="27"/>
      <c r="E114" s="27"/>
    </row>
    <row r="115" spans="4:5" x14ac:dyDescent="0.35">
      <c r="D115" s="27"/>
      <c r="E115" s="27"/>
    </row>
    <row r="116" spans="4:5" x14ac:dyDescent="0.35">
      <c r="D116" s="27"/>
      <c r="E116" s="27"/>
    </row>
    <row r="117" spans="4:5" x14ac:dyDescent="0.35">
      <c r="D117" s="27"/>
      <c r="E117" s="27"/>
    </row>
    <row r="118" spans="4:5" x14ac:dyDescent="0.35">
      <c r="D118" s="27"/>
      <c r="E118" s="27"/>
    </row>
    <row r="119" spans="4:5" x14ac:dyDescent="0.35">
      <c r="D119" s="27"/>
      <c r="E119" s="27"/>
    </row>
    <row r="120" spans="4:5" x14ac:dyDescent="0.35">
      <c r="D120" s="27"/>
      <c r="E120" s="27"/>
    </row>
    <row r="121" spans="4:5" x14ac:dyDescent="0.35">
      <c r="D121" s="27"/>
      <c r="E121" s="27"/>
    </row>
    <row r="122" spans="4:5" x14ac:dyDescent="0.35">
      <c r="D122" s="27"/>
      <c r="E122" s="27"/>
    </row>
    <row r="123" spans="4:5" x14ac:dyDescent="0.35">
      <c r="D123" s="27"/>
      <c r="E123" s="27"/>
    </row>
    <row r="124" spans="4:5" x14ac:dyDescent="0.35">
      <c r="D124" s="27"/>
      <c r="E124" s="27"/>
    </row>
    <row r="125" spans="4:5" x14ac:dyDescent="0.35">
      <c r="D125" s="27"/>
      <c r="E125" s="27"/>
    </row>
    <row r="126" spans="4:5" x14ac:dyDescent="0.35">
      <c r="D126" s="27"/>
      <c r="E126" s="27"/>
    </row>
    <row r="127" spans="4:5" x14ac:dyDescent="0.35">
      <c r="D127" s="27"/>
      <c r="E127" s="27"/>
    </row>
    <row r="128" spans="4:5" x14ac:dyDescent="0.35">
      <c r="D128" s="27"/>
      <c r="E128" s="27"/>
    </row>
    <row r="129" spans="4:5" x14ac:dyDescent="0.35">
      <c r="D129" s="27"/>
      <c r="E129" s="27"/>
    </row>
    <row r="130" spans="4:5" x14ac:dyDescent="0.35">
      <c r="D130" s="27"/>
      <c r="E130" s="27"/>
    </row>
    <row r="131" spans="4:5" x14ac:dyDescent="0.35">
      <c r="D131" s="27"/>
      <c r="E131" s="27"/>
    </row>
    <row r="132" spans="4:5" x14ac:dyDescent="0.35">
      <c r="D132" s="27"/>
      <c r="E132" s="27"/>
    </row>
    <row r="133" spans="4:5" x14ac:dyDescent="0.35">
      <c r="D133" s="27"/>
      <c r="E133" s="27"/>
    </row>
    <row r="134" spans="4:5" x14ac:dyDescent="0.35">
      <c r="D134" s="27"/>
      <c r="E134" s="27"/>
    </row>
    <row r="135" spans="4:5" x14ac:dyDescent="0.35">
      <c r="D135" s="27"/>
      <c r="E135" s="27"/>
    </row>
    <row r="136" spans="4:5" x14ac:dyDescent="0.35">
      <c r="D136" s="27"/>
      <c r="E136" s="27"/>
    </row>
    <row r="137" spans="4:5" x14ac:dyDescent="0.35">
      <c r="D137" s="27"/>
      <c r="E137" s="27"/>
    </row>
    <row r="138" spans="4:5" x14ac:dyDescent="0.35">
      <c r="D138" s="27"/>
      <c r="E138" s="27"/>
    </row>
    <row r="139" spans="4:5" x14ac:dyDescent="0.35">
      <c r="D139" s="27"/>
      <c r="E139" s="27"/>
    </row>
    <row r="140" spans="4:5" x14ac:dyDescent="0.35">
      <c r="D140" s="27"/>
      <c r="E140" s="27"/>
    </row>
    <row r="141" spans="4:5" x14ac:dyDescent="0.35">
      <c r="D141" s="27"/>
      <c r="E141" s="27"/>
    </row>
    <row r="142" spans="4:5" x14ac:dyDescent="0.35">
      <c r="D142" s="27"/>
      <c r="E142" s="27"/>
    </row>
    <row r="143" spans="4:5" x14ac:dyDescent="0.35">
      <c r="D143" s="27"/>
      <c r="E143" s="27"/>
    </row>
    <row r="144" spans="4:5" x14ac:dyDescent="0.35">
      <c r="D144" s="27"/>
      <c r="E144" s="27"/>
    </row>
  </sheetData>
  <sheetProtection formatCells="0" formatColumns="0" formatRows="0"/>
  <mergeCells count="17">
    <mergeCell ref="C76:J76"/>
    <mergeCell ref="C79:J79"/>
    <mergeCell ref="B2:O2"/>
    <mergeCell ref="B65:B80"/>
    <mergeCell ref="C62:L62"/>
    <mergeCell ref="C56:K56"/>
    <mergeCell ref="C30:O30"/>
    <mergeCell ref="C6:O6"/>
    <mergeCell ref="C43:O43"/>
    <mergeCell ref="C44:O44"/>
    <mergeCell ref="B3:L3"/>
    <mergeCell ref="C18:O18"/>
    <mergeCell ref="C7:O7"/>
    <mergeCell ref="C24:O24"/>
    <mergeCell ref="B8:B13"/>
    <mergeCell ref="C50:O50"/>
    <mergeCell ref="O55:P55"/>
  </mergeCells>
  <conditionalFormatting sqref="E75:J75">
    <cfRule type="cellIs" dxfId="15" priority="48" operator="lessThan">
      <formula>0.15</formula>
    </cfRule>
  </conditionalFormatting>
  <conditionalFormatting sqref="E78:K78">
    <cfRule type="cellIs" dxfId="14" priority="46" operator="lessThan">
      <formula>0.05</formula>
    </cfRule>
  </conditionalFormatting>
  <conditionalFormatting sqref="L72:N72">
    <cfRule type="cellIs" dxfId="13" priority="3" operator="greaterThan">
      <formula>1</formula>
    </cfRule>
  </conditionalFormatting>
  <conditionalFormatting sqref="D75">
    <cfRule type="cellIs" dxfId="12" priority="2" operator="lessThan">
      <formula>0.15</formula>
    </cfRule>
  </conditionalFormatting>
  <conditionalFormatting sqref="D78">
    <cfRule type="cellIs" dxfId="11" priority="1" operator="lessThan">
      <formula>0.05</formula>
    </cfRule>
  </conditionalFormatting>
  <dataValidations xWindow="431" yWindow="475" count="4">
    <dataValidation allowBlank="1" showInputMessage="1" showErrorMessage="1" prompt="Insert *text* description of Outcome here" sqref="C43:O43 C6:O6" xr:uid="{89ACADD6-F982-42D9-AC8D-CCF9750605B2}"/>
    <dataValidation allowBlank="1" showInputMessage="1" showErrorMessage="1" prompt="Insert *text* description of Output here" sqref="C18 C24 C30 C44 C50 C7" xr:uid="{31AC9CA6-D499-4711-A99F-BECD0A64F3A8}"/>
    <dataValidation allowBlank="1" showInputMessage="1" showErrorMessage="1" prompt="Insert *text* description of Activity here" sqref="C19 C25 C45 C51 C8:C13" xr:uid="{E7A390F5-03DD-4A67-B842-17326B4F2DA4}"/>
    <dataValidation allowBlank="1" showErrorMessage="1" prompt="% Towards Gender Equality and Women's Empowerment Must be Higher than 15%_x000a_" sqref="D75:J75 D77:K77" xr:uid="{8C6643DA-1D03-44FB-AC1F-C4CB706ED3AA}"/>
  </dataValidations>
  <pageMargins left="0.7" right="1.67" top="0.75" bottom="0.75" header="0.3" footer="0.3"/>
  <pageSetup scale="22" orientation="landscape" r:id="rId1"/>
  <rowBreaks count="2" manualBreakCount="2">
    <brk id="23" max="14" man="1"/>
    <brk id="5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H100"/>
  <sheetViews>
    <sheetView showGridLines="0" showZeros="0" view="pageBreakPreview" topLeftCell="C1" zoomScale="80" zoomScaleNormal="80" zoomScaleSheetLayoutView="80" workbookViewId="0">
      <pane ySplit="4" topLeftCell="A68" activePane="bottomLeft" state="frozen"/>
      <selection pane="bottomLeft" activeCell="G88" sqref="G88"/>
    </sheetView>
  </sheetViews>
  <sheetFormatPr baseColWidth="10" defaultColWidth="9.1796875" defaultRowHeight="15.5" x14ac:dyDescent="0.35"/>
  <cols>
    <col min="1" max="1" width="4.453125" style="35" customWidth="1"/>
    <col min="2" max="2" width="3.26953125" style="35" customWidth="1"/>
    <col min="3" max="3" width="51.453125" style="35" customWidth="1"/>
    <col min="4" max="4" width="32" style="36" customWidth="1"/>
    <col min="5" max="5" width="28.453125" style="36" customWidth="1"/>
    <col min="6" max="6" width="29.26953125" style="36" customWidth="1"/>
    <col min="7" max="7" width="42.453125" style="36" customWidth="1"/>
    <col min="8" max="8" width="56.81640625" style="35" customWidth="1"/>
    <col min="9" max="16384" width="9.1796875" style="35"/>
  </cols>
  <sheetData>
    <row r="1" spans="2:8" ht="33.75" customHeight="1" x14ac:dyDescent="1">
      <c r="C1" s="331" t="s">
        <v>505</v>
      </c>
      <c r="D1" s="331"/>
      <c r="E1" s="331"/>
      <c r="F1" s="331"/>
      <c r="G1" s="331"/>
      <c r="H1" s="24"/>
    </row>
    <row r="2" spans="2:8" ht="25.5" customHeight="1" x14ac:dyDescent="0.45">
      <c r="C2" s="332" t="s">
        <v>440</v>
      </c>
      <c r="D2" s="332"/>
      <c r="E2" s="332"/>
      <c r="F2" s="332"/>
      <c r="G2" s="332"/>
    </row>
    <row r="3" spans="2:8" ht="9.75" customHeight="1" x14ac:dyDescent="0.35">
      <c r="C3" s="30"/>
      <c r="D3" s="30"/>
      <c r="E3" s="30"/>
      <c r="F3" s="30"/>
      <c r="G3" s="30"/>
    </row>
    <row r="4" spans="2:8" ht="52.5" customHeight="1" x14ac:dyDescent="0.35">
      <c r="C4" s="30"/>
      <c r="D4" s="138" t="str">
        <f>'1) Tableau budgétaire 1'!D5</f>
        <v>Organisation recipiendiaire  (budget en USD) PNUD 2020-2021</v>
      </c>
      <c r="E4" s="138" t="str">
        <f>'1) Tableau budgétaire 1'!E5</f>
        <v>Organisation recipiendiaire (budget en USD) PNUD 2022</v>
      </c>
      <c r="F4" s="138" t="str">
        <f>'1) Tableau budgétaire 1'!F5</f>
        <v>Organisation recipiendiaire  (budget en USD)  PNUD 2023</v>
      </c>
      <c r="G4" s="138" t="str">
        <f>'1) Tableau budgétaire 1'!J5</f>
        <v>Organisation recipiendiaire  (budget en USD) PNUD 2024-2025</v>
      </c>
      <c r="H4" s="135" t="s">
        <v>11</v>
      </c>
    </row>
    <row r="5" spans="2:8" ht="24" customHeight="1" x14ac:dyDescent="0.35">
      <c r="B5" s="328" t="s">
        <v>415</v>
      </c>
      <c r="C5" s="329"/>
      <c r="D5" s="329"/>
      <c r="E5" s="329"/>
      <c r="F5" s="329"/>
      <c r="G5" s="329"/>
      <c r="H5" s="330"/>
    </row>
    <row r="6" spans="2:8" ht="22.5" customHeight="1" x14ac:dyDescent="0.35">
      <c r="C6" s="328" t="s">
        <v>416</v>
      </c>
      <c r="D6" s="329"/>
      <c r="E6" s="329"/>
      <c r="F6" s="329"/>
      <c r="G6" s="329"/>
      <c r="H6" s="330"/>
    </row>
    <row r="7" spans="2:8" ht="24.75" customHeight="1" thickBot="1" x14ac:dyDescent="0.4">
      <c r="C7" s="42" t="s">
        <v>417</v>
      </c>
      <c r="D7" s="43">
        <f>'1) Tableau budgétaire 1'!D17</f>
        <v>294930</v>
      </c>
      <c r="E7" s="43">
        <f>'1) Tableau budgétaire 1'!E17</f>
        <v>241468</v>
      </c>
      <c r="F7" s="43">
        <f>'1) Tableau budgétaire 1'!F17</f>
        <v>342110.24</v>
      </c>
      <c r="G7" s="43">
        <f>'1) Tableau budgétaire 1'!J17</f>
        <v>576120</v>
      </c>
      <c r="H7" s="44">
        <f>SUM(D7:G7)</f>
        <v>1454628.24</v>
      </c>
    </row>
    <row r="8" spans="2:8" ht="21.75" customHeight="1" x14ac:dyDescent="0.35">
      <c r="C8" s="40" t="s">
        <v>418</v>
      </c>
      <c r="D8" s="73">
        <v>125000</v>
      </c>
      <c r="E8" s="73">
        <v>141468</v>
      </c>
      <c r="F8" s="74">
        <v>97230.24</v>
      </c>
      <c r="G8" s="74">
        <v>215000</v>
      </c>
      <c r="H8" s="41">
        <f t="shared" ref="H8:H14" si="0">SUM(D8:G8)</f>
        <v>578698.23999999999</v>
      </c>
    </row>
    <row r="9" spans="2:8" x14ac:dyDescent="0.35">
      <c r="C9" s="33" t="s">
        <v>419</v>
      </c>
      <c r="D9" s="75">
        <v>45000</v>
      </c>
      <c r="E9" s="75">
        <v>30000</v>
      </c>
      <c r="F9" s="10">
        <v>3000</v>
      </c>
      <c r="G9" s="10">
        <v>10000</v>
      </c>
      <c r="H9" s="39">
        <f t="shared" si="0"/>
        <v>88000</v>
      </c>
    </row>
    <row r="10" spans="2:8" ht="15.75" customHeight="1" x14ac:dyDescent="0.35">
      <c r="C10" s="33" t="s">
        <v>420</v>
      </c>
      <c r="D10" s="75">
        <v>45000</v>
      </c>
      <c r="E10" s="75">
        <v>16000</v>
      </c>
      <c r="F10" s="75">
        <v>5000</v>
      </c>
      <c r="G10" s="75">
        <v>30000</v>
      </c>
      <c r="H10" s="39">
        <f t="shared" si="0"/>
        <v>96000</v>
      </c>
    </row>
    <row r="11" spans="2:8" x14ac:dyDescent="0.35">
      <c r="C11" s="34" t="s">
        <v>421</v>
      </c>
      <c r="D11" s="75">
        <v>34930</v>
      </c>
      <c r="E11" s="75">
        <v>14000</v>
      </c>
      <c r="F11" s="75">
        <v>118380</v>
      </c>
      <c r="G11" s="75">
        <f>90400-6979.44+69140.56</f>
        <v>152561.12</v>
      </c>
      <c r="H11" s="39">
        <f t="shared" si="0"/>
        <v>319871.12</v>
      </c>
    </row>
    <row r="12" spans="2:8" x14ac:dyDescent="0.35">
      <c r="C12" s="33" t="s">
        <v>422</v>
      </c>
      <c r="D12" s="75">
        <v>14500</v>
      </c>
      <c r="E12" s="75">
        <v>20000</v>
      </c>
      <c r="F12" s="75">
        <f>45000</f>
        <v>45000</v>
      </c>
      <c r="G12" s="75">
        <v>60579.44</v>
      </c>
      <c r="H12" s="39">
        <f t="shared" si="0"/>
        <v>140079.44</v>
      </c>
    </row>
    <row r="13" spans="2:8" ht="21.75" customHeight="1" x14ac:dyDescent="0.35">
      <c r="C13" s="33" t="s">
        <v>423</v>
      </c>
      <c r="D13" s="75"/>
      <c r="E13" s="75"/>
      <c r="F13" s="75"/>
      <c r="G13" s="75"/>
      <c r="H13" s="39">
        <f t="shared" si="0"/>
        <v>0</v>
      </c>
    </row>
    <row r="14" spans="2:8" ht="36.75" customHeight="1" x14ac:dyDescent="0.35">
      <c r="C14" s="33" t="s">
        <v>424</v>
      </c>
      <c r="D14" s="75">
        <v>30500</v>
      </c>
      <c r="E14" s="75">
        <v>20000</v>
      </c>
      <c r="F14" s="75">
        <f>1500+65000+7000</f>
        <v>73500</v>
      </c>
      <c r="G14" s="75">
        <v>107979.44</v>
      </c>
      <c r="H14" s="39">
        <f t="shared" si="0"/>
        <v>231979.44</v>
      </c>
    </row>
    <row r="15" spans="2:8" ht="15.75" customHeight="1" x14ac:dyDescent="0.35">
      <c r="C15" s="37" t="s">
        <v>14</v>
      </c>
      <c r="D15" s="45">
        <f>SUM(D8:D14)</f>
        <v>294930</v>
      </c>
      <c r="E15" s="45">
        <f>SUM(E8:E14)</f>
        <v>241468</v>
      </c>
      <c r="F15" s="45">
        <f>SUM(F8:F14)</f>
        <v>342110.24</v>
      </c>
      <c r="G15" s="45">
        <f>SUM(G8:G14)</f>
        <v>576120</v>
      </c>
      <c r="H15" s="94">
        <f>SUM(D15:G15)</f>
        <v>1454628.24</v>
      </c>
    </row>
    <row r="16" spans="2:8" s="36" customFormat="1" x14ac:dyDescent="0.35">
      <c r="C16" s="46"/>
      <c r="D16" s="47"/>
      <c r="E16" s="47"/>
      <c r="F16" s="47"/>
      <c r="G16" s="47"/>
      <c r="H16" s="95"/>
    </row>
    <row r="17" spans="3:8" x14ac:dyDescent="0.35">
      <c r="C17" s="328" t="s">
        <v>425</v>
      </c>
      <c r="D17" s="329"/>
      <c r="E17" s="329"/>
      <c r="F17" s="329"/>
      <c r="G17" s="329"/>
      <c r="H17" s="330"/>
    </row>
    <row r="18" spans="3:8" ht="27" customHeight="1" thickBot="1" x14ac:dyDescent="0.4">
      <c r="C18" s="42" t="s">
        <v>426</v>
      </c>
      <c r="D18" s="43">
        <f>'1) Tableau budgétaire 1'!D23</f>
        <v>35000</v>
      </c>
      <c r="E18" s="43">
        <f>'1) Tableau budgétaire 1'!E23</f>
        <v>50000</v>
      </c>
      <c r="F18" s="43">
        <f>'1) Tableau budgétaire 1'!F23</f>
        <v>25000</v>
      </c>
      <c r="G18" s="43">
        <f>'1) Tableau budgétaire 1'!J23</f>
        <v>52000</v>
      </c>
      <c r="H18" s="44">
        <f t="shared" ref="H18:H26" si="1">SUM(D18:G18)</f>
        <v>162000</v>
      </c>
    </row>
    <row r="19" spans="3:8" x14ac:dyDescent="0.35">
      <c r="C19" s="40" t="s">
        <v>418</v>
      </c>
      <c r="D19" s="73"/>
      <c r="E19" s="73"/>
      <c r="F19" s="74"/>
      <c r="G19" s="74"/>
      <c r="H19" s="41">
        <f t="shared" si="1"/>
        <v>0</v>
      </c>
    </row>
    <row r="20" spans="3:8" x14ac:dyDescent="0.35">
      <c r="C20" s="33" t="s">
        <v>419</v>
      </c>
      <c r="D20" s="75">
        <v>10000</v>
      </c>
      <c r="E20" s="75">
        <v>5000</v>
      </c>
      <c r="F20" s="10"/>
      <c r="G20" s="10"/>
      <c r="H20" s="39">
        <f t="shared" si="1"/>
        <v>15000</v>
      </c>
    </row>
    <row r="21" spans="3:8" ht="31" x14ac:dyDescent="0.35">
      <c r="C21" s="33" t="s">
        <v>420</v>
      </c>
      <c r="D21" s="75"/>
      <c r="E21" s="75"/>
      <c r="F21" s="75"/>
      <c r="G21" s="75"/>
      <c r="H21" s="39">
        <f t="shared" si="1"/>
        <v>0</v>
      </c>
    </row>
    <row r="22" spans="3:8" x14ac:dyDescent="0.35">
      <c r="C22" s="34" t="s">
        <v>421</v>
      </c>
      <c r="D22" s="75">
        <v>15000</v>
      </c>
      <c r="E22" s="75">
        <v>25000</v>
      </c>
      <c r="F22" s="75"/>
      <c r="G22" s="75">
        <v>32000</v>
      </c>
      <c r="H22" s="39">
        <f t="shared" si="1"/>
        <v>72000</v>
      </c>
    </row>
    <row r="23" spans="3:8" x14ac:dyDescent="0.35">
      <c r="C23" s="33" t="s">
        <v>422</v>
      </c>
      <c r="D23" s="75">
        <v>5000</v>
      </c>
      <c r="E23" s="75">
        <v>15000</v>
      </c>
      <c r="F23" s="75"/>
      <c r="G23" s="75">
        <v>20000</v>
      </c>
      <c r="H23" s="39">
        <f t="shared" si="1"/>
        <v>40000</v>
      </c>
    </row>
    <row r="24" spans="3:8" x14ac:dyDescent="0.35">
      <c r="C24" s="33" t="s">
        <v>423</v>
      </c>
      <c r="D24" s="75"/>
      <c r="E24" s="75"/>
      <c r="F24" s="75"/>
      <c r="G24" s="75"/>
      <c r="H24" s="39">
        <f t="shared" si="1"/>
        <v>0</v>
      </c>
    </row>
    <row r="25" spans="3:8" ht="31" x14ac:dyDescent="0.35">
      <c r="C25" s="33" t="s">
        <v>424</v>
      </c>
      <c r="D25" s="75">
        <v>5000</v>
      </c>
      <c r="E25" s="75">
        <v>5000</v>
      </c>
      <c r="F25" s="75">
        <v>25000</v>
      </c>
      <c r="G25" s="75"/>
      <c r="H25" s="39">
        <f t="shared" si="1"/>
        <v>35000</v>
      </c>
    </row>
    <row r="26" spans="3:8" x14ac:dyDescent="0.35">
      <c r="C26" s="37" t="s">
        <v>14</v>
      </c>
      <c r="D26" s="45">
        <f>SUM(D19:D25)</f>
        <v>35000</v>
      </c>
      <c r="E26" s="45">
        <f>SUM(E19:E25)</f>
        <v>50000</v>
      </c>
      <c r="F26" s="45">
        <f>SUM(F19:F25)</f>
        <v>25000</v>
      </c>
      <c r="G26" s="45">
        <f>SUM(G19:G25)</f>
        <v>52000</v>
      </c>
      <c r="H26" s="39">
        <f t="shared" si="1"/>
        <v>162000</v>
      </c>
    </row>
    <row r="27" spans="3:8" s="36" customFormat="1" x14ac:dyDescent="0.35">
      <c r="C27" s="46"/>
      <c r="D27" s="47"/>
      <c r="E27" s="47"/>
      <c r="F27" s="47"/>
      <c r="G27" s="47"/>
      <c r="H27" s="48"/>
    </row>
    <row r="28" spans="3:8" x14ac:dyDescent="0.35">
      <c r="C28" s="328" t="s">
        <v>427</v>
      </c>
      <c r="D28" s="329"/>
      <c r="E28" s="329"/>
      <c r="F28" s="329"/>
      <c r="G28" s="329"/>
      <c r="H28" s="330"/>
    </row>
    <row r="29" spans="3:8" ht="21.75" customHeight="1" thickBot="1" x14ac:dyDescent="0.4">
      <c r="C29" s="42" t="s">
        <v>428</v>
      </c>
      <c r="D29" s="43">
        <f>'1) Tableau budgétaire 1'!D29</f>
        <v>21800</v>
      </c>
      <c r="E29" s="43">
        <f>'1) Tableau budgétaire 1'!E29</f>
        <v>45000</v>
      </c>
      <c r="F29" s="43">
        <f>'1) Tableau budgétaire 1'!F29</f>
        <v>35000</v>
      </c>
      <c r="G29" s="43">
        <f>'1) Tableau budgétaire 1'!J29</f>
        <v>45200</v>
      </c>
      <c r="H29" s="44">
        <f t="shared" ref="H29:H37" si="2">SUM(D29:G29)</f>
        <v>147000</v>
      </c>
    </row>
    <row r="30" spans="3:8" x14ac:dyDescent="0.35">
      <c r="C30" s="40" t="s">
        <v>418</v>
      </c>
      <c r="D30" s="73"/>
      <c r="E30" s="73"/>
      <c r="F30" s="74"/>
      <c r="G30" s="74"/>
      <c r="H30" s="41">
        <f t="shared" si="2"/>
        <v>0</v>
      </c>
    </row>
    <row r="31" spans="3:8" s="36" customFormat="1" ht="15.75" customHeight="1" x14ac:dyDescent="0.35">
      <c r="C31" s="33" t="s">
        <v>419</v>
      </c>
      <c r="D31" s="75">
        <v>1000</v>
      </c>
      <c r="E31" s="75">
        <v>13000</v>
      </c>
      <c r="F31" s="10"/>
      <c r="G31" s="10"/>
      <c r="H31" s="39">
        <f t="shared" si="2"/>
        <v>14000</v>
      </c>
    </row>
    <row r="32" spans="3:8" s="36" customFormat="1" ht="31" x14ac:dyDescent="0.35">
      <c r="C32" s="33" t="s">
        <v>420</v>
      </c>
      <c r="D32" s="75">
        <v>0</v>
      </c>
      <c r="E32" s="75"/>
      <c r="F32" s="75"/>
      <c r="G32" s="75"/>
      <c r="H32" s="39">
        <f t="shared" si="2"/>
        <v>0</v>
      </c>
    </row>
    <row r="33" spans="3:8" s="36" customFormat="1" x14ac:dyDescent="0.35">
      <c r="C33" s="34" t="s">
        <v>421</v>
      </c>
      <c r="D33" s="75">
        <v>5000</v>
      </c>
      <c r="E33" s="75">
        <v>5000</v>
      </c>
      <c r="F33" s="75"/>
      <c r="G33" s="75">
        <v>10200</v>
      </c>
      <c r="H33" s="39">
        <f t="shared" si="2"/>
        <v>20200</v>
      </c>
    </row>
    <row r="34" spans="3:8" x14ac:dyDescent="0.35">
      <c r="C34" s="33" t="s">
        <v>422</v>
      </c>
      <c r="D34" s="75">
        <v>4000</v>
      </c>
      <c r="E34" s="75">
        <v>27000</v>
      </c>
      <c r="F34" s="75">
        <v>10000</v>
      </c>
      <c r="G34" s="75">
        <v>15000</v>
      </c>
      <c r="H34" s="39">
        <f t="shared" si="2"/>
        <v>56000</v>
      </c>
    </row>
    <row r="35" spans="3:8" x14ac:dyDescent="0.35">
      <c r="C35" s="33" t="s">
        <v>423</v>
      </c>
      <c r="D35" s="75"/>
      <c r="E35" s="75"/>
      <c r="F35" s="75"/>
      <c r="G35" s="75"/>
      <c r="H35" s="39">
        <f t="shared" si="2"/>
        <v>0</v>
      </c>
    </row>
    <row r="36" spans="3:8" ht="31" x14ac:dyDescent="0.35">
      <c r="C36" s="33" t="s">
        <v>424</v>
      </c>
      <c r="D36" s="75">
        <v>11800</v>
      </c>
      <c r="E36" s="75">
        <v>0</v>
      </c>
      <c r="F36" s="75">
        <v>25000</v>
      </c>
      <c r="G36" s="75">
        <v>20000</v>
      </c>
      <c r="H36" s="39">
        <f t="shared" si="2"/>
        <v>56800</v>
      </c>
    </row>
    <row r="37" spans="3:8" x14ac:dyDescent="0.35">
      <c r="C37" s="104" t="s">
        <v>14</v>
      </c>
      <c r="D37" s="105">
        <f>SUM(D30:D36)</f>
        <v>21800</v>
      </c>
      <c r="E37" s="105">
        <f>SUM(E30:E36)</f>
        <v>45000</v>
      </c>
      <c r="F37" s="105">
        <f>SUM(F30:F36)</f>
        <v>35000</v>
      </c>
      <c r="G37" s="105">
        <f>SUM(G30:G36)</f>
        <v>45200</v>
      </c>
      <c r="H37" s="106">
        <f t="shared" si="2"/>
        <v>147000</v>
      </c>
    </row>
    <row r="38" spans="3:8" x14ac:dyDescent="0.35">
      <c r="C38" s="107"/>
      <c r="D38" s="108"/>
      <c r="E38" s="108"/>
      <c r="F38" s="108"/>
      <c r="G38" s="108"/>
      <c r="H38" s="109"/>
    </row>
    <row r="39" spans="3:8" s="36" customFormat="1" x14ac:dyDescent="0.35">
      <c r="C39" s="333" t="s">
        <v>429</v>
      </c>
      <c r="D39" s="334"/>
      <c r="E39" s="334"/>
      <c r="F39" s="334"/>
      <c r="G39" s="334"/>
      <c r="H39" s="335"/>
    </row>
    <row r="40" spans="3:8" ht="20.25" customHeight="1" thickBot="1" x14ac:dyDescent="0.4">
      <c r="C40" s="42" t="s">
        <v>430</v>
      </c>
      <c r="D40" s="43">
        <f>'1) Tableau budgétaire 1'!D41</f>
        <v>200000</v>
      </c>
      <c r="E40" s="43">
        <f>'1) Tableau budgétaire 1'!E41</f>
        <v>106000</v>
      </c>
      <c r="F40" s="43">
        <f>'1) Tableau budgétaire 1'!F41</f>
        <v>160000</v>
      </c>
      <c r="G40" s="43">
        <f>'1) Tableau budgétaire 1'!J41</f>
        <v>73500</v>
      </c>
      <c r="H40" s="44">
        <f t="shared" ref="H40:H48" si="3">SUM(D40:G40)</f>
        <v>539500</v>
      </c>
    </row>
    <row r="41" spans="3:8" x14ac:dyDescent="0.35">
      <c r="C41" s="40" t="s">
        <v>418</v>
      </c>
      <c r="D41" s="73"/>
      <c r="E41" s="73"/>
      <c r="F41" s="74"/>
      <c r="G41" s="74"/>
      <c r="H41" s="41">
        <f t="shared" si="3"/>
        <v>0</v>
      </c>
    </row>
    <row r="42" spans="3:8" ht="15.75" customHeight="1" x14ac:dyDescent="0.35">
      <c r="C42" s="33" t="s">
        <v>419</v>
      </c>
      <c r="D42" s="75">
        <v>5000</v>
      </c>
      <c r="E42" s="75">
        <v>5500</v>
      </c>
      <c r="F42" s="10"/>
      <c r="G42" s="10"/>
      <c r="H42" s="39">
        <f t="shared" si="3"/>
        <v>10500</v>
      </c>
    </row>
    <row r="43" spans="3:8" ht="32.25" customHeight="1" x14ac:dyDescent="0.35">
      <c r="C43" s="33" t="s">
        <v>420</v>
      </c>
      <c r="D43" s="75">
        <v>5000</v>
      </c>
      <c r="E43" s="75">
        <v>0</v>
      </c>
      <c r="F43" s="75"/>
      <c r="G43" s="75"/>
      <c r="H43" s="39">
        <f t="shared" si="3"/>
        <v>5000</v>
      </c>
    </row>
    <row r="44" spans="3:8" s="36" customFormat="1" x14ac:dyDescent="0.35">
      <c r="C44" s="34" t="s">
        <v>421</v>
      </c>
      <c r="D44" s="75">
        <v>166000</v>
      </c>
      <c r="E44" s="75">
        <v>15000</v>
      </c>
      <c r="F44" s="75">
        <v>65000</v>
      </c>
      <c r="G44" s="75">
        <v>25000</v>
      </c>
      <c r="H44" s="39">
        <f t="shared" si="3"/>
        <v>271000</v>
      </c>
    </row>
    <row r="45" spans="3:8" x14ac:dyDescent="0.35">
      <c r="C45" s="33" t="s">
        <v>422</v>
      </c>
      <c r="D45" s="75">
        <v>14000</v>
      </c>
      <c r="E45" s="75">
        <v>75000</v>
      </c>
      <c r="F45" s="75">
        <v>70000</v>
      </c>
      <c r="G45" s="75">
        <v>33000</v>
      </c>
      <c r="H45" s="39">
        <f t="shared" si="3"/>
        <v>192000</v>
      </c>
    </row>
    <row r="46" spans="3:8" x14ac:dyDescent="0.35">
      <c r="C46" s="33" t="s">
        <v>423</v>
      </c>
      <c r="D46" s="75"/>
      <c r="E46" s="75"/>
      <c r="F46" s="75"/>
      <c r="G46" s="75"/>
      <c r="H46" s="39">
        <f t="shared" si="3"/>
        <v>0</v>
      </c>
    </row>
    <row r="47" spans="3:8" ht="31" x14ac:dyDescent="0.35">
      <c r="C47" s="33" t="s">
        <v>424</v>
      </c>
      <c r="D47" s="75">
        <v>10000</v>
      </c>
      <c r="E47" s="75">
        <v>10500</v>
      </c>
      <c r="F47" s="75">
        <v>25000</v>
      </c>
      <c r="G47" s="75">
        <v>15500</v>
      </c>
      <c r="H47" s="39">
        <f t="shared" si="3"/>
        <v>61000</v>
      </c>
    </row>
    <row r="48" spans="3:8" ht="21" customHeight="1" x14ac:dyDescent="0.35">
      <c r="C48" s="37" t="s">
        <v>14</v>
      </c>
      <c r="D48" s="45">
        <f>SUM(D41:D47)</f>
        <v>200000</v>
      </c>
      <c r="E48" s="45">
        <f>SUM(E41:E47)</f>
        <v>106000</v>
      </c>
      <c r="F48" s="45">
        <f>SUM(F41:F47)</f>
        <v>160000</v>
      </c>
      <c r="G48" s="45">
        <f>SUM(G41:G47)</f>
        <v>73500</v>
      </c>
      <c r="H48" s="39">
        <f t="shared" si="3"/>
        <v>539500</v>
      </c>
    </row>
    <row r="49" spans="2:8" s="36" customFormat="1" ht="22.5" customHeight="1" x14ac:dyDescent="0.35">
      <c r="C49" s="49"/>
      <c r="D49" s="47"/>
      <c r="E49" s="47"/>
      <c r="F49" s="47"/>
      <c r="G49" s="47"/>
      <c r="H49" s="48"/>
    </row>
    <row r="50" spans="2:8" x14ac:dyDescent="0.35">
      <c r="B50" s="328" t="s">
        <v>431</v>
      </c>
      <c r="C50" s="329"/>
      <c r="D50" s="329"/>
      <c r="E50" s="329"/>
      <c r="F50" s="329"/>
      <c r="G50" s="329"/>
      <c r="H50" s="330"/>
    </row>
    <row r="51" spans="2:8" x14ac:dyDescent="0.35">
      <c r="C51" s="328" t="s">
        <v>394</v>
      </c>
      <c r="D51" s="329"/>
      <c r="E51" s="329"/>
      <c r="F51" s="329"/>
      <c r="G51" s="329"/>
      <c r="H51" s="330"/>
    </row>
    <row r="52" spans="2:8" ht="24" customHeight="1" thickBot="1" x14ac:dyDescent="0.4">
      <c r="C52" s="42" t="s">
        <v>432</v>
      </c>
      <c r="D52" s="43">
        <f>'1) Tableau budgétaire 1'!D49</f>
        <v>6500</v>
      </c>
      <c r="E52" s="43">
        <f>'1) Tableau budgétaire 1'!E49</f>
        <v>10000</v>
      </c>
      <c r="F52" s="43">
        <f>'1) Tableau budgétaire 1'!F49</f>
        <v>12000</v>
      </c>
      <c r="G52" s="43">
        <f>'1) Tableau budgétaire 1'!J49</f>
        <v>15760</v>
      </c>
      <c r="H52" s="44">
        <f>SUM(D52:G52)</f>
        <v>44260</v>
      </c>
    </row>
    <row r="53" spans="2:8" ht="15.75" customHeight="1" x14ac:dyDescent="0.35">
      <c r="C53" s="40" t="s">
        <v>418</v>
      </c>
      <c r="D53" s="73"/>
      <c r="E53" s="73"/>
      <c r="F53" s="74"/>
      <c r="G53" s="74"/>
      <c r="H53" s="41">
        <f t="shared" ref="H53:H60" si="4">SUM(D53:G53)</f>
        <v>0</v>
      </c>
    </row>
    <row r="54" spans="2:8" ht="15.75" customHeight="1" x14ac:dyDescent="0.35">
      <c r="C54" s="33" t="s">
        <v>419</v>
      </c>
      <c r="D54" s="75"/>
      <c r="E54" s="75"/>
      <c r="F54" s="10"/>
      <c r="G54" s="10"/>
      <c r="H54" s="39">
        <f t="shared" si="4"/>
        <v>0</v>
      </c>
    </row>
    <row r="55" spans="2:8" ht="15.75" customHeight="1" x14ac:dyDescent="0.35">
      <c r="C55" s="33" t="s">
        <v>420</v>
      </c>
      <c r="D55" s="75"/>
      <c r="E55" s="75"/>
      <c r="F55" s="75"/>
      <c r="G55" s="75"/>
      <c r="H55" s="39">
        <f t="shared" si="4"/>
        <v>0</v>
      </c>
    </row>
    <row r="56" spans="2:8" ht="18.75" customHeight="1" x14ac:dyDescent="0.35">
      <c r="C56" s="34" t="s">
        <v>421</v>
      </c>
      <c r="D56" s="75">
        <v>2000</v>
      </c>
      <c r="E56" s="75"/>
      <c r="F56" s="75"/>
      <c r="G56" s="75"/>
      <c r="H56" s="39">
        <f t="shared" si="4"/>
        <v>2000</v>
      </c>
    </row>
    <row r="57" spans="2:8" x14ac:dyDescent="0.35">
      <c r="C57" s="33" t="s">
        <v>422</v>
      </c>
      <c r="D57" s="75">
        <v>2000</v>
      </c>
      <c r="E57" s="75">
        <v>10000</v>
      </c>
      <c r="F57" s="75"/>
      <c r="G57" s="75">
        <v>10000</v>
      </c>
      <c r="H57" s="39">
        <f t="shared" si="4"/>
        <v>22000</v>
      </c>
    </row>
    <row r="58" spans="2:8" s="36" customFormat="1" ht="21.75" customHeight="1" x14ac:dyDescent="0.35">
      <c r="B58" s="35"/>
      <c r="C58" s="33" t="s">
        <v>423</v>
      </c>
      <c r="D58" s="75"/>
      <c r="E58" s="75"/>
      <c r="F58" s="75"/>
      <c r="G58" s="75"/>
      <c r="H58" s="39">
        <f t="shared" si="4"/>
        <v>0</v>
      </c>
    </row>
    <row r="59" spans="2:8" s="36" customFormat="1" ht="31" x14ac:dyDescent="0.35">
      <c r="B59" s="35"/>
      <c r="C59" s="33" t="s">
        <v>424</v>
      </c>
      <c r="D59" s="75">
        <v>2500</v>
      </c>
      <c r="E59" s="75">
        <v>0</v>
      </c>
      <c r="F59" s="75">
        <v>12000</v>
      </c>
      <c r="G59" s="75">
        <v>5760</v>
      </c>
      <c r="H59" s="39">
        <f t="shared" si="4"/>
        <v>20260</v>
      </c>
    </row>
    <row r="60" spans="2:8" x14ac:dyDescent="0.35">
      <c r="C60" s="37" t="s">
        <v>14</v>
      </c>
      <c r="D60" s="45">
        <f>SUM(D53:D59)</f>
        <v>6500</v>
      </c>
      <c r="E60" s="45">
        <f>SUM(E53:E59)</f>
        <v>10000</v>
      </c>
      <c r="F60" s="45">
        <f>SUM(F53:F59)</f>
        <v>12000</v>
      </c>
      <c r="G60" s="45">
        <f>SUM(G53:G59)</f>
        <v>15760</v>
      </c>
      <c r="H60" s="39">
        <f t="shared" si="4"/>
        <v>44260</v>
      </c>
    </row>
    <row r="61" spans="2:8" s="36" customFormat="1" x14ac:dyDescent="0.35">
      <c r="C61" s="46"/>
      <c r="D61" s="47"/>
      <c r="E61" s="47"/>
      <c r="F61" s="47"/>
      <c r="G61" s="47"/>
      <c r="H61" s="48"/>
    </row>
    <row r="62" spans="2:8" x14ac:dyDescent="0.35">
      <c r="B62" s="36"/>
      <c r="C62" s="328" t="s">
        <v>399</v>
      </c>
      <c r="D62" s="329"/>
      <c r="E62" s="329"/>
      <c r="F62" s="329"/>
      <c r="G62" s="329"/>
      <c r="H62" s="330"/>
    </row>
    <row r="63" spans="2:8" ht="21.75" customHeight="1" thickBot="1" x14ac:dyDescent="0.4">
      <c r="C63" s="42" t="s">
        <v>433</v>
      </c>
      <c r="D63" s="43">
        <f>'1) Tableau budgétaire 1'!D54</f>
        <v>18500</v>
      </c>
      <c r="E63" s="43">
        <f>'1) Tableau budgétaire 1'!E54</f>
        <v>25000</v>
      </c>
      <c r="F63" s="43">
        <f>'1) Tableau budgétaire 1'!F54</f>
        <v>50000</v>
      </c>
      <c r="G63" s="43">
        <f>'1) Tableau budgétaire 1'!J54</f>
        <v>10000</v>
      </c>
      <c r="H63" s="44">
        <f t="shared" ref="H63:H71" si="5">SUM(D63:G63)</f>
        <v>103500</v>
      </c>
    </row>
    <row r="64" spans="2:8" ht="15.75" customHeight="1" x14ac:dyDescent="0.35">
      <c r="C64" s="40" t="s">
        <v>418</v>
      </c>
      <c r="D64" s="73"/>
      <c r="E64" s="73"/>
      <c r="F64" s="74"/>
      <c r="G64" s="74"/>
      <c r="H64" s="41">
        <f t="shared" si="5"/>
        <v>0</v>
      </c>
    </row>
    <row r="65" spans="3:8" ht="15.75" customHeight="1" x14ac:dyDescent="0.35">
      <c r="C65" s="33" t="s">
        <v>419</v>
      </c>
      <c r="D65" s="75"/>
      <c r="E65" s="75"/>
      <c r="F65" s="10"/>
      <c r="G65" s="10"/>
      <c r="H65" s="39">
        <f t="shared" si="5"/>
        <v>0</v>
      </c>
    </row>
    <row r="66" spans="3:8" ht="15.75" customHeight="1" x14ac:dyDescent="0.35">
      <c r="C66" s="33" t="s">
        <v>420</v>
      </c>
      <c r="D66" s="75"/>
      <c r="E66" s="75"/>
      <c r="F66" s="75"/>
      <c r="G66" s="75"/>
      <c r="H66" s="39">
        <f t="shared" si="5"/>
        <v>0</v>
      </c>
    </row>
    <row r="67" spans="3:8" x14ac:dyDescent="0.35">
      <c r="C67" s="34" t="s">
        <v>421</v>
      </c>
      <c r="D67" s="75"/>
      <c r="E67" s="75">
        <v>25000</v>
      </c>
      <c r="F67" s="75">
        <v>50000</v>
      </c>
      <c r="G67" s="75">
        <v>5000</v>
      </c>
      <c r="H67" s="39">
        <f t="shared" si="5"/>
        <v>80000</v>
      </c>
    </row>
    <row r="68" spans="3:8" x14ac:dyDescent="0.35">
      <c r="C68" s="33" t="s">
        <v>422</v>
      </c>
      <c r="D68" s="75"/>
      <c r="E68" s="75"/>
      <c r="F68" s="75"/>
      <c r="G68" s="75"/>
      <c r="H68" s="39">
        <f t="shared" si="5"/>
        <v>0</v>
      </c>
    </row>
    <row r="69" spans="3:8" x14ac:dyDescent="0.35">
      <c r="C69" s="33" t="s">
        <v>423</v>
      </c>
      <c r="D69" s="75"/>
      <c r="E69" s="75"/>
      <c r="F69" s="75"/>
      <c r="G69" s="75"/>
      <c r="H69" s="39">
        <f t="shared" si="5"/>
        <v>0</v>
      </c>
    </row>
    <row r="70" spans="3:8" ht="31" x14ac:dyDescent="0.35">
      <c r="C70" s="33" t="s">
        <v>424</v>
      </c>
      <c r="D70" s="75">
        <v>18500</v>
      </c>
      <c r="E70" s="75"/>
      <c r="F70" s="75"/>
      <c r="G70" s="75">
        <v>5000</v>
      </c>
      <c r="H70" s="39">
        <f t="shared" si="5"/>
        <v>23500</v>
      </c>
    </row>
    <row r="71" spans="3:8" x14ac:dyDescent="0.35">
      <c r="C71" s="37" t="s">
        <v>14</v>
      </c>
      <c r="D71" s="45">
        <f>SUM(D64:D70)</f>
        <v>18500</v>
      </c>
      <c r="E71" s="45">
        <f>SUM(E64:E70)</f>
        <v>25000</v>
      </c>
      <c r="F71" s="45">
        <f>SUM(F64:F70)</f>
        <v>50000</v>
      </c>
      <c r="G71" s="45">
        <f>SUM(G64:G70)</f>
        <v>10000</v>
      </c>
      <c r="H71" s="39">
        <f t="shared" si="5"/>
        <v>103500</v>
      </c>
    </row>
    <row r="72" spans="3:8" s="36" customFormat="1" x14ac:dyDescent="0.35">
      <c r="C72" s="46"/>
      <c r="D72" s="47"/>
      <c r="E72" s="47"/>
      <c r="F72" s="47"/>
      <c r="G72" s="47"/>
      <c r="H72" s="48"/>
    </row>
    <row r="73" spans="3:8" s="38" customFormat="1" ht="15.75" customHeight="1" x14ac:dyDescent="0.35">
      <c r="C73" s="35"/>
      <c r="D73" s="36"/>
      <c r="E73" s="36"/>
      <c r="F73" s="36"/>
      <c r="G73" s="36"/>
      <c r="H73" s="35"/>
    </row>
    <row r="74" spans="3:8" s="38" customFormat="1" ht="15.75" customHeight="1" thickBot="1" x14ac:dyDescent="0.4">
      <c r="C74" s="35"/>
      <c r="D74" s="36"/>
      <c r="E74" s="36"/>
      <c r="F74" s="36"/>
      <c r="G74" s="36"/>
      <c r="H74" s="35"/>
    </row>
    <row r="75" spans="3:8" s="38" customFormat="1" ht="19.5" customHeight="1" thickBot="1" x14ac:dyDescent="0.4">
      <c r="C75" s="325" t="s">
        <v>414</v>
      </c>
      <c r="D75" s="326"/>
      <c r="E75" s="326"/>
      <c r="F75" s="326"/>
      <c r="G75" s="326"/>
      <c r="H75" s="327"/>
    </row>
    <row r="76" spans="3:8" s="38" customFormat="1" ht="51.75" customHeight="1" x14ac:dyDescent="0.35">
      <c r="C76" s="52"/>
      <c r="D76" s="138" t="str">
        <f>'1) Tableau budgétaire 1'!D57</f>
        <v>Organisation recipiendiaire  (budget en USD) PNUD 2020-2021</v>
      </c>
      <c r="E76" s="138" t="str">
        <f>'1) Tableau budgétaire 1'!E57</f>
        <v>Organisation recipiendiaire (budget en USD) PNUD 2022</v>
      </c>
      <c r="F76" s="138" t="str">
        <f>'1) Tableau budgétaire 1'!F5</f>
        <v>Organisation recipiendiaire  (budget en USD)  PNUD 2023</v>
      </c>
      <c r="G76" s="138" t="str">
        <f>'1) Tableau budgétaire 1'!J5</f>
        <v>Organisation recipiendiaire  (budget en USD) PNUD 2024-2025</v>
      </c>
      <c r="H76" s="136" t="s">
        <v>414</v>
      </c>
    </row>
    <row r="77" spans="3:8" s="38" customFormat="1" ht="19.5" customHeight="1" x14ac:dyDescent="0.35">
      <c r="C77" s="139" t="s">
        <v>418</v>
      </c>
      <c r="D77" s="96">
        <f t="shared" ref="D77:E83" si="6">SUM(D64,D53,D41,D30,D19,D8)</f>
        <v>125000</v>
      </c>
      <c r="E77" s="96">
        <f t="shared" si="6"/>
        <v>141468</v>
      </c>
      <c r="F77" s="96">
        <f t="shared" ref="F77:H77" si="7">SUM(F64,F53,F41,F30,F19,F8)</f>
        <v>97230.24</v>
      </c>
      <c r="G77" s="96">
        <f t="shared" si="7"/>
        <v>215000</v>
      </c>
      <c r="H77" s="96">
        <f t="shared" si="7"/>
        <v>578698.23999999999</v>
      </c>
    </row>
    <row r="78" spans="3:8" s="38" customFormat="1" ht="34.5" customHeight="1" x14ac:dyDescent="0.35">
      <c r="C78" s="110" t="s">
        <v>419</v>
      </c>
      <c r="D78" s="53">
        <f t="shared" si="6"/>
        <v>61000</v>
      </c>
      <c r="E78" s="53">
        <f t="shared" si="6"/>
        <v>53500</v>
      </c>
      <c r="F78" s="53">
        <f t="shared" ref="F78:H78" si="8">SUM(F65,F54,F42,F31,F20,F9)</f>
        <v>3000</v>
      </c>
      <c r="G78" s="53">
        <f t="shared" si="8"/>
        <v>10000</v>
      </c>
      <c r="H78" s="96">
        <f t="shared" si="8"/>
        <v>127500</v>
      </c>
    </row>
    <row r="79" spans="3:8" s="38" customFormat="1" ht="48" customHeight="1" x14ac:dyDescent="0.35">
      <c r="C79" s="110" t="s">
        <v>420</v>
      </c>
      <c r="D79" s="53">
        <f>SUM(D66,D55,D43,D32,D21,D10)</f>
        <v>50000</v>
      </c>
      <c r="E79" s="53">
        <f t="shared" si="6"/>
        <v>16000</v>
      </c>
      <c r="F79" s="53">
        <f t="shared" ref="F79:H79" si="9">SUM(F66,F55,F43,F32,F21,F10)</f>
        <v>5000</v>
      </c>
      <c r="G79" s="53">
        <f t="shared" si="9"/>
        <v>30000</v>
      </c>
      <c r="H79" s="96">
        <f t="shared" si="9"/>
        <v>101000</v>
      </c>
    </row>
    <row r="80" spans="3:8" s="38" customFormat="1" ht="33" customHeight="1" x14ac:dyDescent="0.35">
      <c r="C80" s="111" t="s">
        <v>421</v>
      </c>
      <c r="D80" s="53">
        <f t="shared" si="6"/>
        <v>222930</v>
      </c>
      <c r="E80" s="53">
        <f t="shared" si="6"/>
        <v>84000</v>
      </c>
      <c r="F80" s="53">
        <f t="shared" ref="F80:H80" si="10">SUM(F67,F56,F44,F33,F22,F11)</f>
        <v>233380</v>
      </c>
      <c r="G80" s="53">
        <f t="shared" si="10"/>
        <v>224761.12</v>
      </c>
      <c r="H80" s="96">
        <f t="shared" si="10"/>
        <v>765071.12</v>
      </c>
    </row>
    <row r="81" spans="3:8" s="38" customFormat="1" ht="21" customHeight="1" x14ac:dyDescent="0.35">
      <c r="C81" s="110" t="s">
        <v>422</v>
      </c>
      <c r="D81" s="53">
        <f t="shared" si="6"/>
        <v>39500</v>
      </c>
      <c r="E81" s="53">
        <f t="shared" si="6"/>
        <v>147000</v>
      </c>
      <c r="F81" s="53">
        <f t="shared" ref="F81:H81" si="11">SUM(F68,F57,F45,F34,F23,F12)</f>
        <v>125000</v>
      </c>
      <c r="G81" s="53">
        <f t="shared" si="11"/>
        <v>138579.44</v>
      </c>
      <c r="H81" s="96">
        <f t="shared" si="11"/>
        <v>450079.44</v>
      </c>
    </row>
    <row r="82" spans="3:8" s="38" customFormat="1" ht="39.75" customHeight="1" x14ac:dyDescent="0.35">
      <c r="C82" s="110" t="s">
        <v>423</v>
      </c>
      <c r="D82" s="53">
        <f t="shared" si="6"/>
        <v>0</v>
      </c>
      <c r="E82" s="53">
        <f t="shared" si="6"/>
        <v>0</v>
      </c>
      <c r="F82" s="53">
        <f t="shared" ref="F82:H82" si="12">SUM(F69,F58,F46,F35,F24,F13)</f>
        <v>0</v>
      </c>
      <c r="G82" s="53">
        <f t="shared" si="12"/>
        <v>0</v>
      </c>
      <c r="H82" s="96">
        <f t="shared" si="12"/>
        <v>0</v>
      </c>
    </row>
    <row r="83" spans="3:8" s="38" customFormat="1" ht="39.75" customHeight="1" x14ac:dyDescent="0.35">
      <c r="C83" s="110" t="s">
        <v>424</v>
      </c>
      <c r="D83" s="96">
        <f t="shared" si="6"/>
        <v>78300</v>
      </c>
      <c r="E83" s="96">
        <f t="shared" si="6"/>
        <v>35500</v>
      </c>
      <c r="F83" s="96">
        <f t="shared" ref="F83:H83" si="13">SUM(F70,F59,F47,F36,F25,F14)</f>
        <v>160500</v>
      </c>
      <c r="G83" s="96">
        <f t="shared" si="13"/>
        <v>154239.44</v>
      </c>
      <c r="H83" s="96">
        <f t="shared" si="13"/>
        <v>428539.44</v>
      </c>
    </row>
    <row r="84" spans="3:8" s="38" customFormat="1" ht="22.5" customHeight="1" x14ac:dyDescent="0.35">
      <c r="C84" s="89" t="s">
        <v>406</v>
      </c>
      <c r="D84" s="97">
        <f>SUM(D77:D83)</f>
        <v>576730</v>
      </c>
      <c r="E84" s="97">
        <f>SUM(E77:E83)</f>
        <v>477468</v>
      </c>
      <c r="F84" s="97">
        <f>SUM(F77:F83)</f>
        <v>624110.24</v>
      </c>
      <c r="G84" s="97">
        <f>SUM(G77:G83)</f>
        <v>772580</v>
      </c>
      <c r="H84" s="96">
        <f t="shared" ref="H84" si="14">SUM(H71,H60,H48,H37,H26,H15)</f>
        <v>2450888.2400000002</v>
      </c>
    </row>
    <row r="85" spans="3:8" s="38" customFormat="1" ht="26.25" customHeight="1" thickBot="1" x14ac:dyDescent="0.4">
      <c r="C85" s="89" t="s">
        <v>407</v>
      </c>
      <c r="D85" s="54">
        <f>D84*0.07</f>
        <v>40371.100000000006</v>
      </c>
      <c r="E85" s="54">
        <f>E84*0.07</f>
        <v>33422.76</v>
      </c>
      <c r="F85" s="54">
        <f t="shared" ref="F85:G85" si="15">F84*0.07</f>
        <v>43687.716800000002</v>
      </c>
      <c r="G85" s="54">
        <f t="shared" si="15"/>
        <v>54080.600000000006</v>
      </c>
      <c r="H85" s="54">
        <f>H84*0.07</f>
        <v>171562.17680000004</v>
      </c>
    </row>
    <row r="86" spans="3:8" s="38" customFormat="1" ht="23.25" customHeight="1" thickBot="1" x14ac:dyDescent="0.4">
      <c r="C86" s="98" t="s">
        <v>364</v>
      </c>
      <c r="D86" s="99">
        <f>SUM(D84:D85)</f>
        <v>617101.1</v>
      </c>
      <c r="E86" s="99">
        <f>SUM(E84:E85)</f>
        <v>510890.76</v>
      </c>
      <c r="F86" s="99">
        <f t="shared" ref="F86:G86" si="16">SUM(F84:F85)</f>
        <v>667797.95680000004</v>
      </c>
      <c r="G86" s="99">
        <f t="shared" si="16"/>
        <v>826660.6</v>
      </c>
      <c r="H86" s="99">
        <f>SUM(H84:H85)</f>
        <v>2622450.4168000002</v>
      </c>
    </row>
    <row r="87" spans="3:8" ht="15.75" customHeight="1" x14ac:dyDescent="0.35"/>
    <row r="88" spans="3:8" ht="15.75" customHeight="1" x14ac:dyDescent="0.35"/>
    <row r="89" spans="3:8" ht="15.75" customHeight="1" x14ac:dyDescent="0.35"/>
    <row r="90" spans="3:8" ht="12" customHeight="1" x14ac:dyDescent="0.35"/>
    <row r="91" spans="3:8" ht="24.75" hidden="1" customHeight="1" x14ac:dyDescent="0.35"/>
    <row r="92" spans="3:8" ht="41.25" hidden="1" customHeight="1" x14ac:dyDescent="0.35"/>
    <row r="93" spans="3:8" ht="51.75" hidden="1" customHeight="1" x14ac:dyDescent="0.35"/>
    <row r="94" spans="3:8" ht="42" hidden="1" customHeight="1" x14ac:dyDescent="0.35"/>
    <row r="95" spans="3:8" s="36" customFormat="1" ht="42" hidden="1" customHeight="1" x14ac:dyDescent="0.35">
      <c r="C95" s="35"/>
      <c r="H95" s="35"/>
    </row>
    <row r="96" spans="3:8" s="36" customFormat="1" ht="30" customHeight="1" x14ac:dyDescent="0.35">
      <c r="C96" s="35"/>
      <c r="H96" s="35"/>
    </row>
    <row r="97" spans="3:8" s="36" customFormat="1" ht="63.75" hidden="1" customHeight="1" x14ac:dyDescent="0.35">
      <c r="C97" s="35"/>
      <c r="H97" s="35"/>
    </row>
    <row r="98" spans="3:8" s="36" customFormat="1" ht="42" hidden="1" customHeight="1" x14ac:dyDescent="0.35">
      <c r="C98" s="35"/>
      <c r="H98" s="35"/>
    </row>
    <row r="99" spans="3:8" ht="23.25" hidden="1" customHeight="1" x14ac:dyDescent="0.35"/>
    <row r="100" spans="3:8" ht="27.75" hidden="1" customHeight="1" x14ac:dyDescent="0.35"/>
  </sheetData>
  <sheetProtection insertColumns="0" insertRows="0" deleteRows="0"/>
  <mergeCells count="11">
    <mergeCell ref="C75:H75"/>
    <mergeCell ref="C62:H62"/>
    <mergeCell ref="C51:H51"/>
    <mergeCell ref="C1:G1"/>
    <mergeCell ref="C2:G2"/>
    <mergeCell ref="B5:H5"/>
    <mergeCell ref="C6:H6"/>
    <mergeCell ref="B50:H50"/>
    <mergeCell ref="C17:H17"/>
    <mergeCell ref="C28:H28"/>
    <mergeCell ref="C39:H39"/>
  </mergeCells>
  <conditionalFormatting sqref="H15">
    <cfRule type="cellIs" dxfId="10" priority="18" operator="notEqual">
      <formula>$H$7</formula>
    </cfRule>
  </conditionalFormatting>
  <conditionalFormatting sqref="H26">
    <cfRule type="cellIs" dxfId="9" priority="17" operator="notEqual">
      <formula>$H$18</formula>
    </cfRule>
  </conditionalFormatting>
  <conditionalFormatting sqref="H37">
    <cfRule type="cellIs" dxfId="8" priority="16" operator="notEqual">
      <formula>$H$29</formula>
    </cfRule>
  </conditionalFormatting>
  <conditionalFormatting sqref="H48">
    <cfRule type="cellIs" dxfId="7" priority="15" operator="notEqual">
      <formula>$H$40</formula>
    </cfRule>
  </conditionalFormatting>
  <conditionalFormatting sqref="H60">
    <cfRule type="cellIs" dxfId="6" priority="14" operator="notEqual">
      <formula>$H$52</formula>
    </cfRule>
  </conditionalFormatting>
  <conditionalFormatting sqref="H71">
    <cfRule type="cellIs" dxfId="5" priority="13" operator="notEqual">
      <formula>$H$63</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2" xr:uid="{9DD30DAD-252C-43C8-B2D2-D70E24558917}"/>
    <dataValidation allowBlank="1" showInputMessage="1" showErrorMessage="1" prompt="Services contracted by an organization which follow the normal procurement processes." sqref="C11 C22 C33 C44 C56 C67 C80" xr:uid="{D2D4883A-DF6E-4599-89E1-C25704DD6B71}"/>
    <dataValidation allowBlank="1" showInputMessage="1" showErrorMessage="1" prompt="Includes staff and non-staff travel paid for by the organization directly related to a project." sqref="C12 C23 C34 C45 C57 C68 C8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8" xr:uid="{F098AF50-6738-49DD-B927-47F3EEE74261}"/>
    <dataValidation allowBlank="1" showInputMessage="1" showErrorMessage="1" prompt="Includes all related staff and temporary staff costs including base salary, post adjustment and all staff entitlements." sqref="C8 C19 C30 C41 C53 C64 C77" xr:uid="{340B5EBB-3C3E-458C-BC5F-57C720FFB61A}"/>
    <dataValidation allowBlank="1" showInputMessage="1" showErrorMessage="1" prompt="Output totals must match the original total from Table 1, and will show as red if not. " sqref="H15" xr:uid="{CB4E1972-F42E-40FE-9670-1760DDE11E59}"/>
  </dataValidations>
  <pageMargins left="0.7" right="1.31" top="0.75" bottom="0.75" header="0.3" footer="0.3"/>
  <pageSetup scale="42" orientation="landscape" r:id="rId1"/>
  <rowBreaks count="2" manualBreakCount="2">
    <brk id="61" max="16383" man="1"/>
    <brk id="96"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4"/>
  <sheetViews>
    <sheetView showGridLines="0" topLeftCell="A3" workbookViewId="0"/>
  </sheetViews>
  <sheetFormatPr baseColWidth="10" defaultColWidth="8.81640625" defaultRowHeight="14.5" x14ac:dyDescent="0.35"/>
  <cols>
    <col min="2" max="2" width="73.26953125" customWidth="1"/>
  </cols>
  <sheetData>
    <row r="1" spans="2:6" ht="15" thickBot="1" x14ac:dyDescent="0.4"/>
    <row r="2" spans="2:6" ht="15" thickBot="1" x14ac:dyDescent="0.4">
      <c r="B2" s="115" t="s">
        <v>434</v>
      </c>
      <c r="C2" s="1"/>
      <c r="D2" s="1"/>
      <c r="E2" s="1"/>
      <c r="F2" s="1"/>
    </row>
    <row r="3" spans="2:6" ht="70.5" customHeight="1" x14ac:dyDescent="0.35">
      <c r="B3" s="116" t="s">
        <v>441</v>
      </c>
    </row>
    <row r="4" spans="2:6" ht="58" x14ac:dyDescent="0.35">
      <c r="B4" s="113" t="s">
        <v>435</v>
      </c>
    </row>
    <row r="5" spans="2:6" x14ac:dyDescent="0.35">
      <c r="B5" s="113"/>
    </row>
    <row r="6" spans="2:6" ht="58" x14ac:dyDescent="0.35">
      <c r="B6" s="112" t="s">
        <v>436</v>
      </c>
    </row>
    <row r="7" spans="2:6" x14ac:dyDescent="0.35">
      <c r="B7" s="113"/>
    </row>
    <row r="8" spans="2:6" ht="72.5" x14ac:dyDescent="0.35">
      <c r="B8" s="112" t="s">
        <v>442</v>
      </c>
    </row>
    <row r="9" spans="2:6" x14ac:dyDescent="0.35">
      <c r="B9" s="113"/>
    </row>
    <row r="10" spans="2:6" ht="29" x14ac:dyDescent="0.35">
      <c r="B10" s="113" t="s">
        <v>437</v>
      </c>
    </row>
    <row r="11" spans="2:6" x14ac:dyDescent="0.35">
      <c r="B11" s="113"/>
    </row>
    <row r="12" spans="2:6" ht="72.5" x14ac:dyDescent="0.35">
      <c r="B12" s="112" t="s">
        <v>443</v>
      </c>
    </row>
    <row r="13" spans="2:6" x14ac:dyDescent="0.35">
      <c r="B13" s="113"/>
    </row>
    <row r="14" spans="2:6" ht="58.5" thickBot="1" x14ac:dyDescent="0.4">
      <c r="B14" s="114" t="s">
        <v>438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view="pageBreakPreview" zoomScale="70" zoomScaleNormal="80" zoomScaleSheetLayoutView="70" workbookViewId="0">
      <selection activeCell="I11" sqref="I11"/>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49" t="s">
        <v>365</v>
      </c>
      <c r="C2" s="350"/>
      <c r="D2" s="351"/>
    </row>
    <row r="3" spans="2:4" ht="15" thickBot="1" x14ac:dyDescent="0.4">
      <c r="B3" s="352"/>
      <c r="C3" s="353"/>
      <c r="D3" s="354"/>
    </row>
    <row r="4" spans="2:4" ht="15" thickBot="1" x14ac:dyDescent="0.4"/>
    <row r="5" spans="2:4" x14ac:dyDescent="0.35">
      <c r="B5" s="340" t="s">
        <v>15</v>
      </c>
      <c r="C5" s="341"/>
      <c r="D5" s="342"/>
    </row>
    <row r="6" spans="2:4" ht="15" thickBot="1" x14ac:dyDescent="0.4">
      <c r="B6" s="343"/>
      <c r="C6" s="344"/>
      <c r="D6" s="345"/>
    </row>
    <row r="7" spans="2:4" x14ac:dyDescent="0.35">
      <c r="B7" s="62" t="s">
        <v>16</v>
      </c>
      <c r="C7" s="338">
        <f>SUM('1) Tableau budgétaire 1'!E17:J17,'1) Tableau budgétaire 1'!E23:J23,'1) Tableau budgétaire 1'!E29:J29,'1) Tableau budgétaire 1'!E41:J41)</f>
        <v>4864014.72</v>
      </c>
      <c r="D7" s="339"/>
    </row>
    <row r="8" spans="2:4" x14ac:dyDescent="0.35">
      <c r="B8" s="62" t="s">
        <v>363</v>
      </c>
      <c r="C8" s="336">
        <f>SUM(D10:D14)</f>
        <v>0</v>
      </c>
      <c r="D8" s="337"/>
    </row>
    <row r="9" spans="2:4" x14ac:dyDescent="0.35">
      <c r="B9" s="63" t="s">
        <v>357</v>
      </c>
      <c r="C9" s="64" t="s">
        <v>358</v>
      </c>
      <c r="D9" s="65" t="s">
        <v>359</v>
      </c>
    </row>
    <row r="10" spans="2:4" ht="35.15" customHeight="1" x14ac:dyDescent="0.35">
      <c r="B10" s="85"/>
      <c r="C10" s="67"/>
      <c r="D10" s="68">
        <f>$C$7*C10</f>
        <v>0</v>
      </c>
    </row>
    <row r="11" spans="2:4" ht="35.15" customHeight="1" x14ac:dyDescent="0.35">
      <c r="B11" s="85"/>
      <c r="C11" s="67"/>
      <c r="D11" s="68">
        <f>C7*C11</f>
        <v>0</v>
      </c>
    </row>
    <row r="12" spans="2:4" ht="35.15" customHeight="1" x14ac:dyDescent="0.35">
      <c r="B12" s="86"/>
      <c r="C12" s="67"/>
      <c r="D12" s="68">
        <f>C7*C12</f>
        <v>0</v>
      </c>
    </row>
    <row r="13" spans="2:4" ht="35.15" customHeight="1" x14ac:dyDescent="0.35">
      <c r="B13" s="86"/>
      <c r="C13" s="67"/>
      <c r="D13" s="68">
        <f>C7*C13</f>
        <v>0</v>
      </c>
    </row>
    <row r="14" spans="2:4" ht="35.15" customHeight="1" thickBot="1" x14ac:dyDescent="0.4">
      <c r="B14" s="87"/>
      <c r="C14" s="67"/>
      <c r="D14" s="72">
        <f>C7*C14</f>
        <v>0</v>
      </c>
    </row>
    <row r="15" spans="2:4" ht="15" thickBot="1" x14ac:dyDescent="0.4"/>
    <row r="16" spans="2:4" x14ac:dyDescent="0.35">
      <c r="B16" s="340" t="s">
        <v>360</v>
      </c>
      <c r="C16" s="341"/>
      <c r="D16" s="342"/>
    </row>
    <row r="17" spans="2:4" ht="15" thickBot="1" x14ac:dyDescent="0.4">
      <c r="B17" s="346"/>
      <c r="C17" s="347"/>
      <c r="D17" s="348"/>
    </row>
    <row r="18" spans="2:4" x14ac:dyDescent="0.35">
      <c r="B18" s="62" t="s">
        <v>16</v>
      </c>
      <c r="C18" s="338" t="e">
        <f>SUM('1) Tableau budgétaire 1'!E49:J49,'1) Tableau budgétaire 1'!E54:J54,'1) Tableau budgétaire 1'!#REF!,'1) Tableau budgétaire 1'!#REF!)</f>
        <v>#REF!</v>
      </c>
      <c r="D18" s="339"/>
    </row>
    <row r="19" spans="2:4" x14ac:dyDescent="0.35">
      <c r="B19" s="62" t="s">
        <v>363</v>
      </c>
      <c r="C19" s="336" t="e">
        <f>SUM(D21:D25)</f>
        <v>#REF!</v>
      </c>
      <c r="D19" s="337"/>
    </row>
    <row r="20" spans="2:4" x14ac:dyDescent="0.35">
      <c r="B20" s="63" t="s">
        <v>357</v>
      </c>
      <c r="C20" s="64" t="s">
        <v>358</v>
      </c>
      <c r="D20" s="65" t="s">
        <v>359</v>
      </c>
    </row>
    <row r="21" spans="2:4" ht="35.15" customHeight="1" x14ac:dyDescent="0.35">
      <c r="B21" s="66"/>
      <c r="C21" s="67"/>
      <c r="D21" s="68" t="e">
        <f>$C$18*C21</f>
        <v>#REF!</v>
      </c>
    </row>
    <row r="22" spans="2:4" ht="35.15" customHeight="1" x14ac:dyDescent="0.35">
      <c r="B22" s="69"/>
      <c r="C22" s="67"/>
      <c r="D22" s="68" t="e">
        <f>$C$18*C22</f>
        <v>#REF!</v>
      </c>
    </row>
    <row r="23" spans="2:4" ht="35.15" customHeight="1" x14ac:dyDescent="0.35">
      <c r="B23" s="70"/>
      <c r="C23" s="67"/>
      <c r="D23" s="68" t="e">
        <f>$C$18*C23</f>
        <v>#REF!</v>
      </c>
    </row>
    <row r="24" spans="2:4" ht="35.15" customHeight="1" x14ac:dyDescent="0.35">
      <c r="B24" s="70"/>
      <c r="C24" s="67"/>
      <c r="D24" s="68" t="e">
        <f>$C$18*C24</f>
        <v>#REF!</v>
      </c>
    </row>
    <row r="25" spans="2:4" ht="35.15" customHeight="1" thickBot="1" x14ac:dyDescent="0.4">
      <c r="B25" s="71"/>
      <c r="C25" s="67"/>
      <c r="D25" s="68" t="e">
        <f>$C$18*C25</f>
        <v>#REF!</v>
      </c>
    </row>
    <row r="26" spans="2:4" ht="15" thickBot="1" x14ac:dyDescent="0.4"/>
    <row r="27" spans="2:4" x14ac:dyDescent="0.35">
      <c r="B27" s="340" t="s">
        <v>361</v>
      </c>
      <c r="C27" s="341"/>
      <c r="D27" s="342"/>
    </row>
    <row r="28" spans="2:4" ht="15" thickBot="1" x14ac:dyDescent="0.4">
      <c r="B28" s="343"/>
      <c r="C28" s="344"/>
      <c r="D28" s="345"/>
    </row>
    <row r="29" spans="2:4" x14ac:dyDescent="0.35">
      <c r="B29" s="62" t="s">
        <v>16</v>
      </c>
      <c r="C29" s="338" t="e">
        <f>SUM('1) Tableau budgétaire 1'!#REF!,'1) Tableau budgétaire 1'!#REF!,'1) Tableau budgétaire 1'!#REF!,'1) Tableau budgétaire 1'!#REF!)</f>
        <v>#REF!</v>
      </c>
      <c r="D29" s="339"/>
    </row>
    <row r="30" spans="2:4" x14ac:dyDescent="0.35">
      <c r="B30" s="62" t="s">
        <v>363</v>
      </c>
      <c r="C30" s="336" t="e">
        <f>SUM(D32:D36)</f>
        <v>#REF!</v>
      </c>
      <c r="D30" s="337"/>
    </row>
    <row r="31" spans="2:4" x14ac:dyDescent="0.35">
      <c r="B31" s="63" t="s">
        <v>357</v>
      </c>
      <c r="C31" s="64" t="s">
        <v>358</v>
      </c>
      <c r="D31" s="65" t="s">
        <v>359</v>
      </c>
    </row>
    <row r="32" spans="2:4" ht="35.15" customHeight="1" x14ac:dyDescent="0.35">
      <c r="B32" s="66"/>
      <c r="C32" s="67"/>
      <c r="D32" s="68" t="e">
        <f>$C$29*C32</f>
        <v>#REF!</v>
      </c>
    </row>
    <row r="33" spans="2:4" ht="35.15" customHeight="1" x14ac:dyDescent="0.35">
      <c r="B33" s="69"/>
      <c r="C33" s="67"/>
      <c r="D33" s="68" t="e">
        <f>$C$29*C33</f>
        <v>#REF!</v>
      </c>
    </row>
    <row r="34" spans="2:4" ht="35.15" customHeight="1" x14ac:dyDescent="0.35">
      <c r="B34" s="70"/>
      <c r="C34" s="67"/>
      <c r="D34" s="68" t="e">
        <f>$C$29*C34</f>
        <v>#REF!</v>
      </c>
    </row>
    <row r="35" spans="2:4" ht="35.15" customHeight="1" x14ac:dyDescent="0.35">
      <c r="B35" s="70"/>
      <c r="C35" s="67"/>
      <c r="D35" s="68" t="e">
        <f>$C$29*C35</f>
        <v>#REF!</v>
      </c>
    </row>
    <row r="36" spans="2:4" ht="35.15" customHeight="1" thickBot="1" x14ac:dyDescent="0.4">
      <c r="B36" s="71"/>
      <c r="C36" s="67"/>
      <c r="D36" s="68" t="e">
        <f>$C$29*C36</f>
        <v>#REF!</v>
      </c>
    </row>
    <row r="37" spans="2:4" ht="15" thickBot="1" x14ac:dyDescent="0.4"/>
    <row r="38" spans="2:4" x14ac:dyDescent="0.35">
      <c r="B38" s="340" t="s">
        <v>362</v>
      </c>
      <c r="C38" s="341"/>
      <c r="D38" s="342"/>
    </row>
    <row r="39" spans="2:4" ht="15" thickBot="1" x14ac:dyDescent="0.4">
      <c r="B39" s="343"/>
      <c r="C39" s="344"/>
      <c r="D39" s="345"/>
    </row>
    <row r="40" spans="2:4" x14ac:dyDescent="0.35">
      <c r="B40" s="62" t="s">
        <v>16</v>
      </c>
      <c r="C40" s="338" t="e">
        <f>SUM('1) Tableau budgétaire 1'!#REF!,'1) Tableau budgétaire 1'!#REF!,'1) Tableau budgétaire 1'!#REF!,'1) Tableau budgétaire 1'!#REF!)</f>
        <v>#REF!</v>
      </c>
      <c r="D40" s="339"/>
    </row>
    <row r="41" spans="2:4" x14ac:dyDescent="0.35">
      <c r="B41" s="62" t="s">
        <v>363</v>
      </c>
      <c r="C41" s="336" t="e">
        <f>SUM(D43:D47)</f>
        <v>#REF!</v>
      </c>
      <c r="D41" s="337"/>
    </row>
    <row r="42" spans="2:4" x14ac:dyDescent="0.35">
      <c r="B42" s="63" t="s">
        <v>357</v>
      </c>
      <c r="C42" s="64" t="s">
        <v>358</v>
      </c>
      <c r="D42" s="65" t="s">
        <v>359</v>
      </c>
    </row>
    <row r="43" spans="2:4" ht="35.15" customHeight="1" x14ac:dyDescent="0.35">
      <c r="B43" s="66"/>
      <c r="C43" s="67"/>
      <c r="D43" s="68" t="e">
        <f>$C$40*C43</f>
        <v>#REF!</v>
      </c>
    </row>
    <row r="44" spans="2:4" ht="35.15" customHeight="1" x14ac:dyDescent="0.35">
      <c r="B44" s="69"/>
      <c r="C44" s="67"/>
      <c r="D44" s="68" t="e">
        <f>$C$40*C44</f>
        <v>#REF!</v>
      </c>
    </row>
    <row r="45" spans="2:4" ht="35.15" customHeight="1" x14ac:dyDescent="0.35">
      <c r="B45" s="70"/>
      <c r="C45" s="67"/>
      <c r="D45" s="68" t="e">
        <f>$C$40*C45</f>
        <v>#REF!</v>
      </c>
    </row>
    <row r="46" spans="2:4" ht="35.15" customHeight="1" x14ac:dyDescent="0.35">
      <c r="B46" s="70"/>
      <c r="C46" s="67"/>
      <c r="D46" s="68" t="e">
        <f>$C$40*C46</f>
        <v>#REF!</v>
      </c>
    </row>
    <row r="47" spans="2:4" ht="35.15" customHeight="1" thickBot="1" x14ac:dyDescent="0.4">
      <c r="B47" s="71"/>
      <c r="C47" s="67"/>
      <c r="D47" s="72" t="e">
        <f>$C$40*C47</f>
        <v>#REF!</v>
      </c>
    </row>
  </sheetData>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4" priority="2" operator="greaterThan">
      <formula>$C$29</formula>
    </cfRule>
    <cfRule type="cellIs" dxfId="3" priority="5" operator="greaterThan">
      <formula>$C$29</formula>
    </cfRule>
  </conditionalFormatting>
  <conditionalFormatting sqref="C8:D8">
    <cfRule type="cellIs" dxfId="2" priority="4" operator="greaterThan">
      <formula>$C$7</formula>
    </cfRule>
  </conditionalFormatting>
  <conditionalFormatting sqref="C19:D19">
    <cfRule type="cellIs" dxfId="1" priority="3" operator="greaterThan">
      <formula>$C$18</formula>
    </cfRule>
  </conditionalFormatting>
  <conditionalFormatting sqref="C41:D41">
    <cfRule type="cellIs" dxfId="0" priority="1" operator="greaterThan">
      <formula>$C$40</formula>
    </cfRule>
  </conditionalFormatting>
  <pageMargins left="0.7" right="0.7" top="0.75" bottom="0.75" header="0.3" footer="0.3"/>
  <pageSetup scale="9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H28"/>
  <sheetViews>
    <sheetView showGridLines="0" topLeftCell="A7" zoomScale="80" zoomScaleNormal="80" workbookViewId="0">
      <selection activeCell="F27" sqref="F27"/>
    </sheetView>
  </sheetViews>
  <sheetFormatPr baseColWidth="10" defaultColWidth="8.81640625" defaultRowHeight="14.5" x14ac:dyDescent="0.35"/>
  <cols>
    <col min="1" max="1" width="2.453125" customWidth="1"/>
    <col min="2" max="2" width="20.453125" customWidth="1"/>
    <col min="3" max="5" width="25.453125" customWidth="1"/>
    <col min="6" max="6" width="22.7265625" customWidth="1"/>
    <col min="7" max="7" width="17.81640625" customWidth="1"/>
    <col min="8" max="8" width="9.54296875" customWidth="1"/>
  </cols>
  <sheetData>
    <row r="1" spans="2:7" ht="15" thickBot="1" x14ac:dyDescent="0.4"/>
    <row r="2" spans="2:7" s="55" customFormat="1" ht="15.5" x14ac:dyDescent="0.35">
      <c r="B2" s="358" t="s">
        <v>12</v>
      </c>
      <c r="C2" s="359"/>
      <c r="D2" s="359"/>
      <c r="E2" s="359"/>
      <c r="F2" s="359"/>
      <c r="G2" s="360"/>
    </row>
    <row r="3" spans="2:7" s="55" customFormat="1" ht="16" thickBot="1" x14ac:dyDescent="0.4">
      <c r="B3" s="361"/>
      <c r="C3" s="362"/>
      <c r="D3" s="362"/>
      <c r="E3" s="362"/>
      <c r="F3" s="362"/>
      <c r="G3" s="363"/>
    </row>
    <row r="4" spans="2:7" s="55" customFormat="1" ht="16" thickBot="1" x14ac:dyDescent="0.4"/>
    <row r="5" spans="2:7" s="55" customFormat="1" ht="16" thickBot="1" x14ac:dyDescent="0.4">
      <c r="B5" s="325" t="s">
        <v>6</v>
      </c>
      <c r="C5" s="326"/>
      <c r="D5" s="326"/>
      <c r="E5" s="326"/>
      <c r="F5" s="326"/>
      <c r="G5" s="327"/>
    </row>
    <row r="6" spans="2:7" s="55" customFormat="1" ht="66.75" customHeight="1" x14ac:dyDescent="0.35">
      <c r="B6" s="52"/>
      <c r="C6" s="263" t="str">
        <f>'2) Tableau budgétaire 2'!D4</f>
        <v>Organisation recipiendiaire  (budget en USD) PNUD 2020-2021</v>
      </c>
      <c r="D6" s="263" t="str">
        <f>'2) Tableau budgétaire 2'!E4</f>
        <v>Organisation recipiendiaire (budget en USD) PNUD 2022</v>
      </c>
      <c r="E6" s="263" t="str">
        <f>'1) Tableau budgétaire 1'!F5</f>
        <v>Organisation recipiendiaire  (budget en USD)  PNUD 2023</v>
      </c>
      <c r="F6" s="268" t="str">
        <f>'1) Tableau budgétaire 1'!J5</f>
        <v>Organisation recipiendiaire  (budget en USD) PNUD 2024-2025</v>
      </c>
      <c r="G6" s="201" t="s">
        <v>6</v>
      </c>
    </row>
    <row r="7" spans="2:7" s="55" customFormat="1" ht="31" x14ac:dyDescent="0.35">
      <c r="B7" s="12" t="s">
        <v>0</v>
      </c>
      <c r="C7" s="53">
        <f>'2) Tableau budgétaire 2'!D77</f>
        <v>125000</v>
      </c>
      <c r="D7" s="53">
        <f>'2) Tableau budgétaire 2'!E77</f>
        <v>141468</v>
      </c>
      <c r="E7" s="53">
        <f>'2) Tableau budgétaire 2'!F77</f>
        <v>97230.24</v>
      </c>
      <c r="F7" s="53">
        <f>'2) Tableau budgétaire 2'!G77</f>
        <v>215000</v>
      </c>
      <c r="G7" s="50">
        <f t="shared" ref="G7:G13" si="0">SUM(C7:F7)</f>
        <v>578698.23999999999</v>
      </c>
    </row>
    <row r="8" spans="2:7" s="55" customFormat="1" ht="46.5" x14ac:dyDescent="0.35">
      <c r="B8" s="12" t="s">
        <v>1</v>
      </c>
      <c r="C8" s="53">
        <f>'2) Tableau budgétaire 2'!D78</f>
        <v>61000</v>
      </c>
      <c r="D8" s="53">
        <f>'2) Tableau budgétaire 2'!E78</f>
        <v>53500</v>
      </c>
      <c r="E8" s="53">
        <f>'2) Tableau budgétaire 2'!F78</f>
        <v>3000</v>
      </c>
      <c r="F8" s="53">
        <f>'2) Tableau budgétaire 2'!G78</f>
        <v>10000</v>
      </c>
      <c r="G8" s="51">
        <f t="shared" si="0"/>
        <v>127500</v>
      </c>
    </row>
    <row r="9" spans="2:7" s="55" customFormat="1" ht="62" x14ac:dyDescent="0.35">
      <c r="B9" s="12" t="s">
        <v>2</v>
      </c>
      <c r="C9" s="53">
        <f>'2) Tableau budgétaire 2'!D79</f>
        <v>50000</v>
      </c>
      <c r="D9" s="53">
        <f>'2) Tableau budgétaire 2'!E79</f>
        <v>16000</v>
      </c>
      <c r="E9" s="53">
        <f>'2) Tableau budgétaire 2'!F79</f>
        <v>5000</v>
      </c>
      <c r="F9" s="53">
        <f>'2) Tableau budgétaire 2'!G79</f>
        <v>30000</v>
      </c>
      <c r="G9" s="51">
        <f t="shared" si="0"/>
        <v>101000</v>
      </c>
    </row>
    <row r="10" spans="2:7" s="55" customFormat="1" ht="31" x14ac:dyDescent="0.35">
      <c r="B10" s="20" t="s">
        <v>3</v>
      </c>
      <c r="C10" s="53">
        <f>'2) Tableau budgétaire 2'!D80</f>
        <v>222930</v>
      </c>
      <c r="D10" s="53">
        <f>'2) Tableau budgétaire 2'!E80</f>
        <v>84000</v>
      </c>
      <c r="E10" s="53">
        <f>'2) Tableau budgétaire 2'!F80</f>
        <v>233380</v>
      </c>
      <c r="F10" s="53">
        <f>'2) Tableau budgétaire 2'!G80</f>
        <v>224761.12</v>
      </c>
      <c r="G10" s="51">
        <f t="shared" si="0"/>
        <v>765071.12</v>
      </c>
    </row>
    <row r="11" spans="2:7" s="55" customFormat="1" ht="15.5" x14ac:dyDescent="0.35">
      <c r="B11" s="12" t="s">
        <v>5</v>
      </c>
      <c r="C11" s="53">
        <f>'2) Tableau budgétaire 2'!D81</f>
        <v>39500</v>
      </c>
      <c r="D11" s="53">
        <f>'2) Tableau budgétaire 2'!E81</f>
        <v>147000</v>
      </c>
      <c r="E11" s="53">
        <f>'2) Tableau budgétaire 2'!F81</f>
        <v>125000</v>
      </c>
      <c r="F11" s="53">
        <f>'2) Tableau budgétaire 2'!G81</f>
        <v>138579.44</v>
      </c>
      <c r="G11" s="51">
        <f t="shared" si="0"/>
        <v>450079.44</v>
      </c>
    </row>
    <row r="12" spans="2:7" s="55" customFormat="1" ht="46.5" x14ac:dyDescent="0.35">
      <c r="B12" s="12" t="s">
        <v>4</v>
      </c>
      <c r="C12" s="53">
        <f>'2) Tableau budgétaire 2'!D82</f>
        <v>0</v>
      </c>
      <c r="D12" s="53">
        <f>'2) Tableau budgétaire 2'!E82</f>
        <v>0</v>
      </c>
      <c r="E12" s="53">
        <f>'2) Tableau budgétaire 2'!F82</f>
        <v>0</v>
      </c>
      <c r="F12" s="53">
        <f>'2) Tableau budgétaire 2'!G82</f>
        <v>0</v>
      </c>
      <c r="G12" s="51">
        <f t="shared" si="0"/>
        <v>0</v>
      </c>
    </row>
    <row r="13" spans="2:7" s="55" customFormat="1" ht="31.5" thickBot="1" x14ac:dyDescent="0.4">
      <c r="B13" s="121" t="s">
        <v>13</v>
      </c>
      <c r="C13" s="122">
        <f>'2) Tableau budgétaire 2'!D83</f>
        <v>78300</v>
      </c>
      <c r="D13" s="122">
        <f>'2) Tableau budgétaire 2'!E83</f>
        <v>35500</v>
      </c>
      <c r="E13" s="122">
        <f>'2) Tableau budgétaire 2'!F83</f>
        <v>160500</v>
      </c>
      <c r="F13" s="122">
        <f>'2) Tableau budgétaire 2'!G83</f>
        <v>154239.44</v>
      </c>
      <c r="G13" s="230">
        <f t="shared" si="0"/>
        <v>428539.44</v>
      </c>
    </row>
    <row r="14" spans="2:7" s="55" customFormat="1" ht="30" customHeight="1" x14ac:dyDescent="0.35">
      <c r="B14" s="124" t="s">
        <v>445</v>
      </c>
      <c r="C14" s="125">
        <f>SUM(C7:C13)</f>
        <v>576730</v>
      </c>
      <c r="D14" s="125">
        <f>SUM(D7:D13)</f>
        <v>477468</v>
      </c>
      <c r="E14" s="125">
        <f>SUM(E7:E13)</f>
        <v>624110.24</v>
      </c>
      <c r="F14" s="125">
        <f>SUM(F7:F13)</f>
        <v>772580</v>
      </c>
      <c r="G14" s="126">
        <f>SUM(C14:F14)</f>
        <v>2450888.2400000002</v>
      </c>
    </row>
    <row r="15" spans="2:7" s="55" customFormat="1" ht="22.5" customHeight="1" x14ac:dyDescent="0.35">
      <c r="B15" s="117" t="s">
        <v>444</v>
      </c>
      <c r="C15" s="118">
        <f>C14*0.07</f>
        <v>40371.100000000006</v>
      </c>
      <c r="D15" s="118">
        <f>D14*0.07</f>
        <v>33422.76</v>
      </c>
      <c r="E15" s="118">
        <f t="shared" ref="E15:G15" si="1">E14*0.07</f>
        <v>43687.716800000002</v>
      </c>
      <c r="F15" s="118">
        <f t="shared" si="1"/>
        <v>54080.600000000006</v>
      </c>
      <c r="G15" s="123">
        <f t="shared" si="1"/>
        <v>171562.17680000004</v>
      </c>
    </row>
    <row r="16" spans="2:7" s="55" customFormat="1" ht="30" customHeight="1" thickBot="1" x14ac:dyDescent="0.4">
      <c r="B16" s="119" t="s">
        <v>11</v>
      </c>
      <c r="C16" s="120">
        <f>C14+C15</f>
        <v>617101.1</v>
      </c>
      <c r="D16" s="120">
        <f>D14+D15</f>
        <v>510890.76</v>
      </c>
      <c r="E16" s="120">
        <f t="shared" ref="E16:F16" si="2">E14+E15</f>
        <v>667797.95680000004</v>
      </c>
      <c r="F16" s="120">
        <f t="shared" si="2"/>
        <v>826660.6</v>
      </c>
      <c r="G16" s="120">
        <f>G14+G15</f>
        <v>2622450.4168000002</v>
      </c>
    </row>
    <row r="17" spans="2:8" s="55" customFormat="1" ht="16" thickBot="1" x14ac:dyDescent="0.4"/>
    <row r="18" spans="2:8" s="55" customFormat="1" ht="16" thickBot="1" x14ac:dyDescent="0.4">
      <c r="B18" s="355" t="s">
        <v>7</v>
      </c>
      <c r="C18" s="356"/>
      <c r="D18" s="356"/>
      <c r="E18" s="356"/>
      <c r="F18" s="356"/>
      <c r="G18" s="357"/>
    </row>
    <row r="19" spans="2:8" ht="60.75" customHeight="1" x14ac:dyDescent="0.35">
      <c r="B19" s="227"/>
      <c r="C19" s="228" t="str">
        <f>'2) Tableau budgétaire 2'!D4</f>
        <v>Organisation recipiendiaire  (budget en USD) PNUD 2020-2021</v>
      </c>
      <c r="D19" s="228" t="str">
        <f>'2) Tableau budgétaire 2'!E4</f>
        <v>Organisation recipiendiaire (budget en USD) PNUD 2022</v>
      </c>
      <c r="E19" s="228" t="str">
        <f>'1) Tableau budgétaire 1'!F5</f>
        <v>Organisation recipiendiaire  (budget en USD)  PNUD 2023</v>
      </c>
      <c r="F19" s="228" t="str">
        <f>'1) Tableau budgétaire 1'!J5</f>
        <v>Organisation recipiendiaire  (budget en USD) PNUD 2024-2025</v>
      </c>
      <c r="G19" s="229" t="s">
        <v>364</v>
      </c>
      <c r="H19" s="200" t="s">
        <v>9</v>
      </c>
    </row>
    <row r="20" spans="2:8" ht="23.25" customHeight="1" x14ac:dyDescent="0.35">
      <c r="B20" s="17" t="s">
        <v>8</v>
      </c>
      <c r="C20" s="16">
        <f>'1) Tableau budgétaire 1'!D64</f>
        <v>431970.76999999996</v>
      </c>
      <c r="D20" s="16">
        <f>'1) Tableau budgétaire 1'!E64</f>
        <v>0</v>
      </c>
      <c r="E20" s="16">
        <f>'1) Tableau budgétaire 1'!F64</f>
        <v>0</v>
      </c>
      <c r="F20" s="16">
        <f>'1) Tableau budgétaire 1'!J64</f>
        <v>0</v>
      </c>
      <c r="G20" s="222">
        <f>'1) Tableau budgétaire 1'!K64</f>
        <v>431970.76999999996</v>
      </c>
      <c r="H20" s="221">
        <f>'1) Tableau budgétaire 1'!L64</f>
        <v>0.7</v>
      </c>
    </row>
    <row r="21" spans="2:8" ht="24.75" customHeight="1" x14ac:dyDescent="0.35">
      <c r="B21" s="17" t="s">
        <v>10</v>
      </c>
      <c r="C21" s="16">
        <f>'1) Tableau budgétaire 1'!D65</f>
        <v>185130.33</v>
      </c>
      <c r="D21" s="16">
        <f>'1) Tableau budgétaire 1'!E65</f>
        <v>0</v>
      </c>
      <c r="E21" s="16">
        <f>'1) Tableau budgétaire 1'!F65</f>
        <v>0</v>
      </c>
      <c r="F21" s="16">
        <f>'1) Tableau budgétaire 1'!J65</f>
        <v>0</v>
      </c>
      <c r="G21" s="222">
        <f>'1) Tableau budgétaire 1'!K65</f>
        <v>185130.33</v>
      </c>
      <c r="H21" s="221">
        <f>'1) Tableau budgétaire 1'!L65</f>
        <v>0.3</v>
      </c>
    </row>
    <row r="22" spans="2:8" ht="24.75" customHeight="1" x14ac:dyDescent="0.35">
      <c r="B22" s="17" t="s">
        <v>450</v>
      </c>
      <c r="C22" s="16"/>
      <c r="D22" s="16">
        <f>'1) Tableau budgétaire 1'!E66</f>
        <v>357623.53200000001</v>
      </c>
      <c r="E22" s="16">
        <f>'1) Tableau budgétaire 1'!F66</f>
        <v>0</v>
      </c>
      <c r="F22" s="16"/>
      <c r="G22" s="222">
        <f>'1) Tableau budgétaire 1'!K66</f>
        <v>357623.53200000001</v>
      </c>
      <c r="H22" s="221">
        <f>'1) Tableau budgétaire 1'!L66</f>
        <v>0.7</v>
      </c>
    </row>
    <row r="23" spans="2:8" ht="24.75" customHeight="1" x14ac:dyDescent="0.35">
      <c r="B23" s="198" t="s">
        <v>500</v>
      </c>
      <c r="C23" s="199"/>
      <c r="D23" s="199">
        <f>'1) Tableau budgétaire 1'!E67</f>
        <v>153267.228</v>
      </c>
      <c r="E23" s="199"/>
      <c r="F23" s="199"/>
      <c r="G23" s="222">
        <f>'1) Tableau budgétaire 1'!K67</f>
        <v>153267.228</v>
      </c>
      <c r="H23" s="221">
        <v>0.3</v>
      </c>
    </row>
    <row r="24" spans="2:8" ht="24.75" customHeight="1" x14ac:dyDescent="0.35">
      <c r="B24" s="198" t="s">
        <v>501</v>
      </c>
      <c r="C24" s="199"/>
      <c r="D24" s="199"/>
      <c r="E24" s="199">
        <f>'1) Tableau budgétaire 1'!F68</f>
        <v>467458.56975999998</v>
      </c>
      <c r="F24" s="199"/>
      <c r="G24" s="222">
        <f>'1) Tableau budgétaire 1'!K68</f>
        <v>467458.56975999998</v>
      </c>
      <c r="H24" s="221">
        <v>0.7</v>
      </c>
    </row>
    <row r="25" spans="2:8" ht="24.75" customHeight="1" x14ac:dyDescent="0.35">
      <c r="B25" s="198" t="s">
        <v>502</v>
      </c>
      <c r="C25" s="199"/>
      <c r="D25" s="199"/>
      <c r="E25" s="199">
        <f>'1) Tableau budgétaire 1'!F69</f>
        <v>200339.38704</v>
      </c>
      <c r="F25" s="16"/>
      <c r="G25" s="222">
        <f>'1) Tableau budgétaire 1'!K69</f>
        <v>200339.38704</v>
      </c>
      <c r="H25" s="221">
        <v>0.3</v>
      </c>
    </row>
    <row r="26" spans="2:8" ht="24.75" customHeight="1" x14ac:dyDescent="0.35">
      <c r="B26" s="198" t="s">
        <v>506</v>
      </c>
      <c r="C26" s="199"/>
      <c r="D26" s="199"/>
      <c r="E26" s="199"/>
      <c r="F26" s="199">
        <f>'1) Tableau budgétaire 1'!J70</f>
        <v>578662.41999999993</v>
      </c>
      <c r="G26" s="222">
        <f>'1) Tableau budgétaire 1'!K70</f>
        <v>578662.41999999993</v>
      </c>
      <c r="H26" s="221">
        <v>0.7</v>
      </c>
    </row>
    <row r="27" spans="2:8" ht="24.75" customHeight="1" thickBot="1" x14ac:dyDescent="0.4">
      <c r="B27" s="198" t="s">
        <v>507</v>
      </c>
      <c r="C27" s="199"/>
      <c r="D27" s="199"/>
      <c r="E27" s="199"/>
      <c r="F27" s="199">
        <f>'1) Tableau budgétaire 1'!J71</f>
        <v>247998.18</v>
      </c>
      <c r="G27" s="223">
        <f>'1) Tableau budgétaire 1'!K71</f>
        <v>247998.18</v>
      </c>
      <c r="H27" s="221">
        <v>0.3</v>
      </c>
    </row>
    <row r="28" spans="2:8" ht="16" thickBot="1" x14ac:dyDescent="0.4">
      <c r="B28" s="224" t="s">
        <v>364</v>
      </c>
      <c r="C28" s="225">
        <f>SUM(C20:C22)</f>
        <v>617101.1</v>
      </c>
      <c r="D28" s="225">
        <f>SUM(D20:D25)</f>
        <v>510890.76</v>
      </c>
      <c r="E28" s="225">
        <f>SUM(E20:E25)</f>
        <v>667797.95680000004</v>
      </c>
      <c r="F28" s="225">
        <f>'1) Tableau budgétaire 1'!J72</f>
        <v>826660.59999999986</v>
      </c>
      <c r="G28" s="226">
        <f>'1) Tableau budgétaire 1'!K72</f>
        <v>2622450.4167999998</v>
      </c>
    </row>
  </sheetData>
  <sheetProtection formatCells="0" formatColumns="0" formatRows="0"/>
  <mergeCells count="3">
    <mergeCell ref="B18:G18"/>
    <mergeCell ref="B5:G5"/>
    <mergeCell ref="B2:G3"/>
  </mergeCells>
  <dataValidations disablePrompts="1"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26" bottom="0.41" header="0.26" footer="0.76"/>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03">
        <v>0</v>
      </c>
    </row>
    <row r="2" spans="1:1" x14ac:dyDescent="0.35">
      <c r="A2" s="103">
        <v>0.2</v>
      </c>
    </row>
    <row r="3" spans="1:1" x14ac:dyDescent="0.35">
      <c r="A3" s="103">
        <v>0.4</v>
      </c>
    </row>
    <row r="4" spans="1:1" x14ac:dyDescent="0.35">
      <c r="A4" s="103">
        <v>0.6</v>
      </c>
    </row>
    <row r="5" spans="1:1" x14ac:dyDescent="0.35">
      <c r="A5" s="103">
        <v>0.8</v>
      </c>
    </row>
    <row r="6" spans="1:1" x14ac:dyDescent="0.35">
      <c r="A6" s="10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56" t="s">
        <v>17</v>
      </c>
      <c r="B1" s="57" t="s">
        <v>18</v>
      </c>
    </row>
    <row r="2" spans="1:2" x14ac:dyDescent="0.35">
      <c r="A2" s="58" t="s">
        <v>19</v>
      </c>
      <c r="B2" s="59" t="s">
        <v>20</v>
      </c>
    </row>
    <row r="3" spans="1:2" x14ac:dyDescent="0.35">
      <c r="A3" s="58" t="s">
        <v>21</v>
      </c>
      <c r="B3" s="59" t="s">
        <v>22</v>
      </c>
    </row>
    <row r="4" spans="1:2" x14ac:dyDescent="0.35">
      <c r="A4" s="58" t="s">
        <v>23</v>
      </c>
      <c r="B4" s="59" t="s">
        <v>24</v>
      </c>
    </row>
    <row r="5" spans="1:2" x14ac:dyDescent="0.35">
      <c r="A5" s="58" t="s">
        <v>25</v>
      </c>
      <c r="B5" s="59" t="s">
        <v>26</v>
      </c>
    </row>
    <row r="6" spans="1:2" x14ac:dyDescent="0.35">
      <c r="A6" s="58" t="s">
        <v>27</v>
      </c>
      <c r="B6" s="59" t="s">
        <v>28</v>
      </c>
    </row>
    <row r="7" spans="1:2" x14ac:dyDescent="0.35">
      <c r="A7" s="58" t="s">
        <v>29</v>
      </c>
      <c r="B7" s="59" t="s">
        <v>30</v>
      </c>
    </row>
    <row r="8" spans="1:2" x14ac:dyDescent="0.35">
      <c r="A8" s="58" t="s">
        <v>31</v>
      </c>
      <c r="B8" s="59" t="s">
        <v>32</v>
      </c>
    </row>
    <row r="9" spans="1:2" x14ac:dyDescent="0.35">
      <c r="A9" s="58" t="s">
        <v>33</v>
      </c>
      <c r="B9" s="59" t="s">
        <v>34</v>
      </c>
    </row>
    <row r="10" spans="1:2" x14ac:dyDescent="0.35">
      <c r="A10" s="58" t="s">
        <v>35</v>
      </c>
      <c r="B10" s="59" t="s">
        <v>36</v>
      </c>
    </row>
    <row r="11" spans="1:2" x14ac:dyDescent="0.35">
      <c r="A11" s="58" t="s">
        <v>37</v>
      </c>
      <c r="B11" s="59" t="s">
        <v>38</v>
      </c>
    </row>
    <row r="12" spans="1:2" x14ac:dyDescent="0.35">
      <c r="A12" s="58" t="s">
        <v>39</v>
      </c>
      <c r="B12" s="59" t="s">
        <v>40</v>
      </c>
    </row>
    <row r="13" spans="1:2" x14ac:dyDescent="0.35">
      <c r="A13" s="58" t="s">
        <v>41</v>
      </c>
      <c r="B13" s="59" t="s">
        <v>42</v>
      </c>
    </row>
    <row r="14" spans="1:2" x14ac:dyDescent="0.35">
      <c r="A14" s="58" t="s">
        <v>43</v>
      </c>
      <c r="B14" s="59" t="s">
        <v>44</v>
      </c>
    </row>
    <row r="15" spans="1:2" x14ac:dyDescent="0.35">
      <c r="A15" s="58" t="s">
        <v>45</v>
      </c>
      <c r="B15" s="59" t="s">
        <v>46</v>
      </c>
    </row>
    <row r="16" spans="1:2" x14ac:dyDescent="0.35">
      <c r="A16" s="58" t="s">
        <v>47</v>
      </c>
      <c r="B16" s="59" t="s">
        <v>48</v>
      </c>
    </row>
    <row r="17" spans="1:2" x14ac:dyDescent="0.35">
      <c r="A17" s="58" t="s">
        <v>49</v>
      </c>
      <c r="B17" s="59" t="s">
        <v>50</v>
      </c>
    </row>
    <row r="18" spans="1:2" x14ac:dyDescent="0.35">
      <c r="A18" s="58" t="s">
        <v>51</v>
      </c>
      <c r="B18" s="59" t="s">
        <v>52</v>
      </c>
    </row>
    <row r="19" spans="1:2" x14ac:dyDescent="0.35">
      <c r="A19" s="58" t="s">
        <v>53</v>
      </c>
      <c r="B19" s="59" t="s">
        <v>54</v>
      </c>
    </row>
    <row r="20" spans="1:2" x14ac:dyDescent="0.35">
      <c r="A20" s="58" t="s">
        <v>55</v>
      </c>
      <c r="B20" s="59" t="s">
        <v>56</v>
      </c>
    </row>
    <row r="21" spans="1:2" x14ac:dyDescent="0.35">
      <c r="A21" s="58" t="s">
        <v>57</v>
      </c>
      <c r="B21" s="59" t="s">
        <v>58</v>
      </c>
    </row>
    <row r="22" spans="1:2" x14ac:dyDescent="0.35">
      <c r="A22" s="58" t="s">
        <v>59</v>
      </c>
      <c r="B22" s="59" t="s">
        <v>60</v>
      </c>
    </row>
    <row r="23" spans="1:2" x14ac:dyDescent="0.35">
      <c r="A23" s="58" t="s">
        <v>61</v>
      </c>
      <c r="B23" s="59" t="s">
        <v>62</v>
      </c>
    </row>
    <row r="24" spans="1:2" x14ac:dyDescent="0.35">
      <c r="A24" s="58" t="s">
        <v>63</v>
      </c>
      <c r="B24" s="59" t="s">
        <v>64</v>
      </c>
    </row>
    <row r="25" spans="1:2" x14ac:dyDescent="0.35">
      <c r="A25" s="58" t="s">
        <v>65</v>
      </c>
      <c r="B25" s="59" t="s">
        <v>66</v>
      </c>
    </row>
    <row r="26" spans="1:2" x14ac:dyDescent="0.35">
      <c r="A26" s="58" t="s">
        <v>67</v>
      </c>
      <c r="B26" s="59" t="s">
        <v>68</v>
      </c>
    </row>
    <row r="27" spans="1:2" x14ac:dyDescent="0.35">
      <c r="A27" s="58" t="s">
        <v>69</v>
      </c>
      <c r="B27" s="59" t="s">
        <v>70</v>
      </c>
    </row>
    <row r="28" spans="1:2" x14ac:dyDescent="0.35">
      <c r="A28" s="58" t="s">
        <v>71</v>
      </c>
      <c r="B28" s="59" t="s">
        <v>72</v>
      </c>
    </row>
    <row r="29" spans="1:2" x14ac:dyDescent="0.35">
      <c r="A29" s="58" t="s">
        <v>73</v>
      </c>
      <c r="B29" s="59" t="s">
        <v>74</v>
      </c>
    </row>
    <row r="30" spans="1:2" x14ac:dyDescent="0.35">
      <c r="A30" s="58" t="s">
        <v>75</v>
      </c>
      <c r="B30" s="59" t="s">
        <v>76</v>
      </c>
    </row>
    <row r="31" spans="1:2" x14ac:dyDescent="0.35">
      <c r="A31" s="58" t="s">
        <v>77</v>
      </c>
      <c r="B31" s="59" t="s">
        <v>78</v>
      </c>
    </row>
    <row r="32" spans="1:2" x14ac:dyDescent="0.35">
      <c r="A32" s="58" t="s">
        <v>79</v>
      </c>
      <c r="B32" s="59" t="s">
        <v>80</v>
      </c>
    </row>
    <row r="33" spans="1:2" x14ac:dyDescent="0.35">
      <c r="A33" s="58" t="s">
        <v>81</v>
      </c>
      <c r="B33" s="59" t="s">
        <v>82</v>
      </c>
    </row>
    <row r="34" spans="1:2" x14ac:dyDescent="0.35">
      <c r="A34" s="58" t="s">
        <v>83</v>
      </c>
      <c r="B34" s="59" t="s">
        <v>84</v>
      </c>
    </row>
    <row r="35" spans="1:2" x14ac:dyDescent="0.35">
      <c r="A35" s="58" t="s">
        <v>85</v>
      </c>
      <c r="B35" s="59" t="s">
        <v>86</v>
      </c>
    </row>
    <row r="36" spans="1:2" x14ac:dyDescent="0.35">
      <c r="A36" s="58" t="s">
        <v>87</v>
      </c>
      <c r="B36" s="59" t="s">
        <v>88</v>
      </c>
    </row>
    <row r="37" spans="1:2" x14ac:dyDescent="0.35">
      <c r="A37" s="58" t="s">
        <v>89</v>
      </c>
      <c r="B37" s="59" t="s">
        <v>90</v>
      </c>
    </row>
    <row r="38" spans="1:2" x14ac:dyDescent="0.35">
      <c r="A38" s="58" t="s">
        <v>91</v>
      </c>
      <c r="B38" s="59" t="s">
        <v>92</v>
      </c>
    </row>
    <row r="39" spans="1:2" x14ac:dyDescent="0.35">
      <c r="A39" s="58" t="s">
        <v>93</v>
      </c>
      <c r="B39" s="59" t="s">
        <v>94</v>
      </c>
    </row>
    <row r="40" spans="1:2" x14ac:dyDescent="0.35">
      <c r="A40" s="58" t="s">
        <v>95</v>
      </c>
      <c r="B40" s="59" t="s">
        <v>96</v>
      </c>
    </row>
    <row r="41" spans="1:2" x14ac:dyDescent="0.35">
      <c r="A41" s="58" t="s">
        <v>97</v>
      </c>
      <c r="B41" s="59" t="s">
        <v>98</v>
      </c>
    </row>
    <row r="42" spans="1:2" x14ac:dyDescent="0.35">
      <c r="A42" s="58" t="s">
        <v>99</v>
      </c>
      <c r="B42" s="59" t="s">
        <v>100</v>
      </c>
    </row>
    <row r="43" spans="1:2" x14ac:dyDescent="0.35">
      <c r="A43" s="58" t="s">
        <v>101</v>
      </c>
      <c r="B43" s="59" t="s">
        <v>102</v>
      </c>
    </row>
    <row r="44" spans="1:2" x14ac:dyDescent="0.35">
      <c r="A44" s="58" t="s">
        <v>103</v>
      </c>
      <c r="B44" s="59" t="s">
        <v>104</v>
      </c>
    </row>
    <row r="45" spans="1:2" x14ac:dyDescent="0.35">
      <c r="A45" s="58" t="s">
        <v>105</v>
      </c>
      <c r="B45" s="59" t="s">
        <v>106</v>
      </c>
    </row>
    <row r="46" spans="1:2" x14ac:dyDescent="0.35">
      <c r="A46" s="58" t="s">
        <v>107</v>
      </c>
      <c r="B46" s="59" t="s">
        <v>108</v>
      </c>
    </row>
    <row r="47" spans="1:2" x14ac:dyDescent="0.35">
      <c r="A47" s="58" t="s">
        <v>109</v>
      </c>
      <c r="B47" s="59" t="s">
        <v>110</v>
      </c>
    </row>
    <row r="48" spans="1:2" x14ac:dyDescent="0.35">
      <c r="A48" s="58" t="s">
        <v>111</v>
      </c>
      <c r="B48" s="59" t="s">
        <v>112</v>
      </c>
    </row>
    <row r="49" spans="1:2" x14ac:dyDescent="0.35">
      <c r="A49" s="58" t="s">
        <v>113</v>
      </c>
      <c r="B49" s="59" t="s">
        <v>114</v>
      </c>
    </row>
    <row r="50" spans="1:2" x14ac:dyDescent="0.35">
      <c r="A50" s="58" t="s">
        <v>115</v>
      </c>
      <c r="B50" s="59" t="s">
        <v>116</v>
      </c>
    </row>
    <row r="51" spans="1:2" x14ac:dyDescent="0.35">
      <c r="A51" s="58" t="s">
        <v>117</v>
      </c>
      <c r="B51" s="59" t="s">
        <v>118</v>
      </c>
    </row>
    <row r="52" spans="1:2" x14ac:dyDescent="0.35">
      <c r="A52" s="58" t="s">
        <v>119</v>
      </c>
      <c r="B52" s="59" t="s">
        <v>120</v>
      </c>
    </row>
    <row r="53" spans="1:2" x14ac:dyDescent="0.35">
      <c r="A53" s="58" t="s">
        <v>121</v>
      </c>
      <c r="B53" s="59" t="s">
        <v>122</v>
      </c>
    </row>
    <row r="54" spans="1:2" x14ac:dyDescent="0.35">
      <c r="A54" s="58" t="s">
        <v>123</v>
      </c>
      <c r="B54" s="59" t="s">
        <v>124</v>
      </c>
    </row>
    <row r="55" spans="1:2" x14ac:dyDescent="0.35">
      <c r="A55" s="58" t="s">
        <v>125</v>
      </c>
      <c r="B55" s="59" t="s">
        <v>126</v>
      </c>
    </row>
    <row r="56" spans="1:2" x14ac:dyDescent="0.35">
      <c r="A56" s="58" t="s">
        <v>127</v>
      </c>
      <c r="B56" s="59" t="s">
        <v>128</v>
      </c>
    </row>
    <row r="57" spans="1:2" x14ac:dyDescent="0.35">
      <c r="A57" s="58" t="s">
        <v>129</v>
      </c>
      <c r="B57" s="59" t="s">
        <v>130</v>
      </c>
    </row>
    <row r="58" spans="1:2" x14ac:dyDescent="0.35">
      <c r="A58" s="58" t="s">
        <v>131</v>
      </c>
      <c r="B58" s="59" t="s">
        <v>132</v>
      </c>
    </row>
    <row r="59" spans="1:2" x14ac:dyDescent="0.35">
      <c r="A59" s="58" t="s">
        <v>133</v>
      </c>
      <c r="B59" s="59" t="s">
        <v>134</v>
      </c>
    </row>
    <row r="60" spans="1:2" x14ac:dyDescent="0.35">
      <c r="A60" s="58" t="s">
        <v>135</v>
      </c>
      <c r="B60" s="59" t="s">
        <v>136</v>
      </c>
    </row>
    <row r="61" spans="1:2" x14ac:dyDescent="0.35">
      <c r="A61" s="58" t="s">
        <v>137</v>
      </c>
      <c r="B61" s="59" t="s">
        <v>138</v>
      </c>
    </row>
    <row r="62" spans="1:2" x14ac:dyDescent="0.35">
      <c r="A62" s="58" t="s">
        <v>139</v>
      </c>
      <c r="B62" s="59" t="s">
        <v>140</v>
      </c>
    </row>
    <row r="63" spans="1:2" x14ac:dyDescent="0.35">
      <c r="A63" s="58" t="s">
        <v>141</v>
      </c>
      <c r="B63" s="59" t="s">
        <v>142</v>
      </c>
    </row>
    <row r="64" spans="1:2" x14ac:dyDescent="0.35">
      <c r="A64" s="58" t="s">
        <v>143</v>
      </c>
      <c r="B64" s="59" t="s">
        <v>144</v>
      </c>
    </row>
    <row r="65" spans="1:2" x14ac:dyDescent="0.35">
      <c r="A65" s="58" t="s">
        <v>145</v>
      </c>
      <c r="B65" s="59" t="s">
        <v>146</v>
      </c>
    </row>
    <row r="66" spans="1:2" x14ac:dyDescent="0.35">
      <c r="A66" s="58" t="s">
        <v>147</v>
      </c>
      <c r="B66" s="59" t="s">
        <v>148</v>
      </c>
    </row>
    <row r="67" spans="1:2" x14ac:dyDescent="0.35">
      <c r="A67" s="58" t="s">
        <v>149</v>
      </c>
      <c r="B67" s="59" t="s">
        <v>150</v>
      </c>
    </row>
    <row r="68" spans="1:2" x14ac:dyDescent="0.35">
      <c r="A68" s="58" t="s">
        <v>151</v>
      </c>
      <c r="B68" s="59" t="s">
        <v>152</v>
      </c>
    </row>
    <row r="69" spans="1:2" x14ac:dyDescent="0.35">
      <c r="A69" s="58" t="s">
        <v>153</v>
      </c>
      <c r="B69" s="59" t="s">
        <v>154</v>
      </c>
    </row>
    <row r="70" spans="1:2" x14ac:dyDescent="0.35">
      <c r="A70" s="58" t="s">
        <v>155</v>
      </c>
      <c r="B70" s="59" t="s">
        <v>156</v>
      </c>
    </row>
    <row r="71" spans="1:2" x14ac:dyDescent="0.35">
      <c r="A71" s="58" t="s">
        <v>157</v>
      </c>
      <c r="B71" s="59" t="s">
        <v>158</v>
      </c>
    </row>
    <row r="72" spans="1:2" x14ac:dyDescent="0.35">
      <c r="A72" s="58" t="s">
        <v>159</v>
      </c>
      <c r="B72" s="59" t="s">
        <v>160</v>
      </c>
    </row>
    <row r="73" spans="1:2" x14ac:dyDescent="0.35">
      <c r="A73" s="58" t="s">
        <v>161</v>
      </c>
      <c r="B73" s="59" t="s">
        <v>162</v>
      </c>
    </row>
    <row r="74" spans="1:2" x14ac:dyDescent="0.35">
      <c r="A74" s="58" t="s">
        <v>163</v>
      </c>
      <c r="B74" s="59" t="s">
        <v>164</v>
      </c>
    </row>
    <row r="75" spans="1:2" x14ac:dyDescent="0.35">
      <c r="A75" s="58" t="s">
        <v>165</v>
      </c>
      <c r="B75" s="60" t="s">
        <v>166</v>
      </c>
    </row>
    <row r="76" spans="1:2" x14ac:dyDescent="0.35">
      <c r="A76" s="58" t="s">
        <v>167</v>
      </c>
      <c r="B76" s="60" t="s">
        <v>168</v>
      </c>
    </row>
    <row r="77" spans="1:2" x14ac:dyDescent="0.35">
      <c r="A77" s="58" t="s">
        <v>169</v>
      </c>
      <c r="B77" s="60" t="s">
        <v>170</v>
      </c>
    </row>
    <row r="78" spans="1:2" x14ac:dyDescent="0.35">
      <c r="A78" s="58" t="s">
        <v>171</v>
      </c>
      <c r="B78" s="60" t="s">
        <v>172</v>
      </c>
    </row>
    <row r="79" spans="1:2" x14ac:dyDescent="0.35">
      <c r="A79" s="58" t="s">
        <v>173</v>
      </c>
      <c r="B79" s="60" t="s">
        <v>174</v>
      </c>
    </row>
    <row r="80" spans="1:2" x14ac:dyDescent="0.35">
      <c r="A80" s="58" t="s">
        <v>175</v>
      </c>
      <c r="B80" s="60" t="s">
        <v>176</v>
      </c>
    </row>
    <row r="81" spans="1:2" x14ac:dyDescent="0.35">
      <c r="A81" s="58" t="s">
        <v>177</v>
      </c>
      <c r="B81" s="60" t="s">
        <v>178</v>
      </c>
    </row>
    <row r="82" spans="1:2" x14ac:dyDescent="0.35">
      <c r="A82" s="58" t="s">
        <v>179</v>
      </c>
      <c r="B82" s="60" t="s">
        <v>180</v>
      </c>
    </row>
    <row r="83" spans="1:2" x14ac:dyDescent="0.35">
      <c r="A83" s="58" t="s">
        <v>181</v>
      </c>
      <c r="B83" s="60" t="s">
        <v>182</v>
      </c>
    </row>
    <row r="84" spans="1:2" x14ac:dyDescent="0.35">
      <c r="A84" s="58" t="s">
        <v>183</v>
      </c>
      <c r="B84" s="60" t="s">
        <v>184</v>
      </c>
    </row>
    <row r="85" spans="1:2" x14ac:dyDescent="0.35">
      <c r="A85" s="58" t="s">
        <v>185</v>
      </c>
      <c r="B85" s="60" t="s">
        <v>186</v>
      </c>
    </row>
    <row r="86" spans="1:2" x14ac:dyDescent="0.35">
      <c r="A86" s="58" t="s">
        <v>187</v>
      </c>
      <c r="B86" s="60" t="s">
        <v>188</v>
      </c>
    </row>
    <row r="87" spans="1:2" x14ac:dyDescent="0.35">
      <c r="A87" s="58" t="s">
        <v>189</v>
      </c>
      <c r="B87" s="60" t="s">
        <v>190</v>
      </c>
    </row>
    <row r="88" spans="1:2" x14ac:dyDescent="0.35">
      <c r="A88" s="58" t="s">
        <v>191</v>
      </c>
      <c r="B88" s="60" t="s">
        <v>192</v>
      </c>
    </row>
    <row r="89" spans="1:2" x14ac:dyDescent="0.35">
      <c r="A89" s="58" t="s">
        <v>193</v>
      </c>
      <c r="B89" s="60" t="s">
        <v>194</v>
      </c>
    </row>
    <row r="90" spans="1:2" x14ac:dyDescent="0.35">
      <c r="A90" s="58" t="s">
        <v>195</v>
      </c>
      <c r="B90" s="60" t="s">
        <v>196</v>
      </c>
    </row>
    <row r="91" spans="1:2" x14ac:dyDescent="0.35">
      <c r="A91" s="58" t="s">
        <v>197</v>
      </c>
      <c r="B91" s="60" t="s">
        <v>198</v>
      </c>
    </row>
    <row r="92" spans="1:2" x14ac:dyDescent="0.35">
      <c r="A92" s="58" t="s">
        <v>199</v>
      </c>
      <c r="B92" s="60" t="s">
        <v>200</v>
      </c>
    </row>
    <row r="93" spans="1:2" x14ac:dyDescent="0.35">
      <c r="A93" s="58" t="s">
        <v>201</v>
      </c>
      <c r="B93" s="60" t="s">
        <v>202</v>
      </c>
    </row>
    <row r="94" spans="1:2" x14ac:dyDescent="0.35">
      <c r="A94" s="58" t="s">
        <v>203</v>
      </c>
      <c r="B94" s="60" t="s">
        <v>204</v>
      </c>
    </row>
    <row r="95" spans="1:2" x14ac:dyDescent="0.35">
      <c r="A95" s="58" t="s">
        <v>205</v>
      </c>
      <c r="B95" s="60" t="s">
        <v>206</v>
      </c>
    </row>
    <row r="96" spans="1:2" x14ac:dyDescent="0.35">
      <c r="A96" s="58" t="s">
        <v>207</v>
      </c>
      <c r="B96" s="60" t="s">
        <v>208</v>
      </c>
    </row>
    <row r="97" spans="1:2" x14ac:dyDescent="0.35">
      <c r="A97" s="58" t="s">
        <v>209</v>
      </c>
      <c r="B97" s="60" t="s">
        <v>210</v>
      </c>
    </row>
    <row r="98" spans="1:2" x14ac:dyDescent="0.35">
      <c r="A98" s="58" t="s">
        <v>211</v>
      </c>
      <c r="B98" s="60" t="s">
        <v>212</v>
      </c>
    </row>
    <row r="99" spans="1:2" x14ac:dyDescent="0.35">
      <c r="A99" s="58" t="s">
        <v>213</v>
      </c>
      <c r="B99" s="60" t="s">
        <v>214</v>
      </c>
    </row>
    <row r="100" spans="1:2" x14ac:dyDescent="0.35">
      <c r="A100" s="58" t="s">
        <v>215</v>
      </c>
      <c r="B100" s="60" t="s">
        <v>216</v>
      </c>
    </row>
    <row r="101" spans="1:2" x14ac:dyDescent="0.35">
      <c r="A101" s="58" t="s">
        <v>217</v>
      </c>
      <c r="B101" s="60" t="s">
        <v>218</v>
      </c>
    </row>
    <row r="102" spans="1:2" x14ac:dyDescent="0.35">
      <c r="A102" s="58" t="s">
        <v>219</v>
      </c>
      <c r="B102" s="60" t="s">
        <v>220</v>
      </c>
    </row>
    <row r="103" spans="1:2" x14ac:dyDescent="0.35">
      <c r="A103" s="58" t="s">
        <v>221</v>
      </c>
      <c r="B103" s="60" t="s">
        <v>222</v>
      </c>
    </row>
    <row r="104" spans="1:2" x14ac:dyDescent="0.35">
      <c r="A104" s="58" t="s">
        <v>223</v>
      </c>
      <c r="B104" s="60" t="s">
        <v>224</v>
      </c>
    </row>
    <row r="105" spans="1:2" x14ac:dyDescent="0.35">
      <c r="A105" s="58" t="s">
        <v>225</v>
      </c>
      <c r="B105" s="60" t="s">
        <v>226</v>
      </c>
    </row>
    <row r="106" spans="1:2" x14ac:dyDescent="0.35">
      <c r="A106" s="58" t="s">
        <v>227</v>
      </c>
      <c r="B106" s="60" t="s">
        <v>228</v>
      </c>
    </row>
    <row r="107" spans="1:2" x14ac:dyDescent="0.35">
      <c r="A107" s="58" t="s">
        <v>229</v>
      </c>
      <c r="B107" s="60" t="s">
        <v>230</v>
      </c>
    </row>
    <row r="108" spans="1:2" x14ac:dyDescent="0.35">
      <c r="A108" s="58" t="s">
        <v>231</v>
      </c>
      <c r="B108" s="60" t="s">
        <v>232</v>
      </c>
    </row>
    <row r="109" spans="1:2" x14ac:dyDescent="0.35">
      <c r="A109" s="58" t="s">
        <v>233</v>
      </c>
      <c r="B109" s="60" t="s">
        <v>234</v>
      </c>
    </row>
    <row r="110" spans="1:2" x14ac:dyDescent="0.35">
      <c r="A110" s="58" t="s">
        <v>235</v>
      </c>
      <c r="B110" s="60" t="s">
        <v>236</v>
      </c>
    </row>
    <row r="111" spans="1:2" x14ac:dyDescent="0.35">
      <c r="A111" s="58" t="s">
        <v>237</v>
      </c>
      <c r="B111" s="60" t="s">
        <v>238</v>
      </c>
    </row>
    <row r="112" spans="1:2" x14ac:dyDescent="0.35">
      <c r="A112" s="58" t="s">
        <v>239</v>
      </c>
      <c r="B112" s="60" t="s">
        <v>240</v>
      </c>
    </row>
    <row r="113" spans="1:2" x14ac:dyDescent="0.35">
      <c r="A113" s="58" t="s">
        <v>241</v>
      </c>
      <c r="B113" s="60" t="s">
        <v>242</v>
      </c>
    </row>
    <row r="114" spans="1:2" x14ac:dyDescent="0.35">
      <c r="A114" s="58" t="s">
        <v>243</v>
      </c>
      <c r="B114" s="60" t="s">
        <v>244</v>
      </c>
    </row>
    <row r="115" spans="1:2" x14ac:dyDescent="0.35">
      <c r="A115" s="58" t="s">
        <v>245</v>
      </c>
      <c r="B115" s="60" t="s">
        <v>246</v>
      </c>
    </row>
    <row r="116" spans="1:2" x14ac:dyDescent="0.35">
      <c r="A116" s="58" t="s">
        <v>247</v>
      </c>
      <c r="B116" s="60" t="s">
        <v>248</v>
      </c>
    </row>
    <row r="117" spans="1:2" x14ac:dyDescent="0.35">
      <c r="A117" s="58" t="s">
        <v>249</v>
      </c>
      <c r="B117" s="60" t="s">
        <v>250</v>
      </c>
    </row>
    <row r="118" spans="1:2" x14ac:dyDescent="0.35">
      <c r="A118" s="58" t="s">
        <v>251</v>
      </c>
      <c r="B118" s="60" t="s">
        <v>252</v>
      </c>
    </row>
    <row r="119" spans="1:2" x14ac:dyDescent="0.35">
      <c r="A119" s="58" t="s">
        <v>253</v>
      </c>
      <c r="B119" s="60" t="s">
        <v>254</v>
      </c>
    </row>
    <row r="120" spans="1:2" x14ac:dyDescent="0.35">
      <c r="A120" s="58" t="s">
        <v>255</v>
      </c>
      <c r="B120" s="60" t="s">
        <v>256</v>
      </c>
    </row>
    <row r="121" spans="1:2" x14ac:dyDescent="0.35">
      <c r="A121" s="58" t="s">
        <v>257</v>
      </c>
      <c r="B121" s="60" t="s">
        <v>258</v>
      </c>
    </row>
    <row r="122" spans="1:2" x14ac:dyDescent="0.35">
      <c r="A122" s="58" t="s">
        <v>259</v>
      </c>
      <c r="B122" s="60" t="s">
        <v>260</v>
      </c>
    </row>
    <row r="123" spans="1:2" x14ac:dyDescent="0.35">
      <c r="A123" s="58" t="s">
        <v>261</v>
      </c>
      <c r="B123" s="60" t="s">
        <v>262</v>
      </c>
    </row>
    <row r="124" spans="1:2" x14ac:dyDescent="0.35">
      <c r="A124" s="58" t="s">
        <v>263</v>
      </c>
      <c r="B124" s="60" t="s">
        <v>264</v>
      </c>
    </row>
    <row r="125" spans="1:2" x14ac:dyDescent="0.35">
      <c r="A125" s="58" t="s">
        <v>265</v>
      </c>
      <c r="B125" s="60" t="s">
        <v>266</v>
      </c>
    </row>
    <row r="126" spans="1:2" x14ac:dyDescent="0.35">
      <c r="A126" s="58" t="s">
        <v>267</v>
      </c>
      <c r="B126" s="60" t="s">
        <v>268</v>
      </c>
    </row>
    <row r="127" spans="1:2" x14ac:dyDescent="0.35">
      <c r="A127" s="58" t="s">
        <v>269</v>
      </c>
      <c r="B127" s="60" t="s">
        <v>270</v>
      </c>
    </row>
    <row r="128" spans="1:2" x14ac:dyDescent="0.35">
      <c r="A128" s="58" t="s">
        <v>271</v>
      </c>
      <c r="B128" s="60" t="s">
        <v>272</v>
      </c>
    </row>
    <row r="129" spans="1:2" x14ac:dyDescent="0.35">
      <c r="A129" s="58" t="s">
        <v>273</v>
      </c>
      <c r="B129" s="60" t="s">
        <v>274</v>
      </c>
    </row>
    <row r="130" spans="1:2" x14ac:dyDescent="0.35">
      <c r="A130" s="58" t="s">
        <v>275</v>
      </c>
      <c r="B130" s="60" t="s">
        <v>276</v>
      </c>
    </row>
    <row r="131" spans="1:2" x14ac:dyDescent="0.35">
      <c r="A131" s="58" t="s">
        <v>277</v>
      </c>
      <c r="B131" s="60" t="s">
        <v>278</v>
      </c>
    </row>
    <row r="132" spans="1:2" x14ac:dyDescent="0.35">
      <c r="A132" s="58" t="s">
        <v>279</v>
      </c>
      <c r="B132" s="60" t="s">
        <v>280</v>
      </c>
    </row>
    <row r="133" spans="1:2" x14ac:dyDescent="0.35">
      <c r="A133" s="58" t="s">
        <v>281</v>
      </c>
      <c r="B133" s="60" t="s">
        <v>282</v>
      </c>
    </row>
    <row r="134" spans="1:2" x14ac:dyDescent="0.35">
      <c r="A134" s="58" t="s">
        <v>283</v>
      </c>
      <c r="B134" s="60" t="s">
        <v>284</v>
      </c>
    </row>
    <row r="135" spans="1:2" x14ac:dyDescent="0.35">
      <c r="A135" s="58" t="s">
        <v>285</v>
      </c>
      <c r="B135" s="60" t="s">
        <v>286</v>
      </c>
    </row>
    <row r="136" spans="1:2" x14ac:dyDescent="0.35">
      <c r="A136" s="58" t="s">
        <v>287</v>
      </c>
      <c r="B136" s="60" t="s">
        <v>288</v>
      </c>
    </row>
    <row r="137" spans="1:2" x14ac:dyDescent="0.35">
      <c r="A137" s="58" t="s">
        <v>289</v>
      </c>
      <c r="B137" s="60" t="s">
        <v>290</v>
      </c>
    </row>
    <row r="138" spans="1:2" x14ac:dyDescent="0.35">
      <c r="A138" s="58" t="s">
        <v>291</v>
      </c>
      <c r="B138" s="60" t="s">
        <v>292</v>
      </c>
    </row>
    <row r="139" spans="1:2" x14ac:dyDescent="0.35">
      <c r="A139" s="58" t="s">
        <v>293</v>
      </c>
      <c r="B139" s="60" t="s">
        <v>294</v>
      </c>
    </row>
    <row r="140" spans="1:2" x14ac:dyDescent="0.35">
      <c r="A140" s="58" t="s">
        <v>295</v>
      </c>
      <c r="B140" s="60" t="s">
        <v>296</v>
      </c>
    </row>
    <row r="141" spans="1:2" x14ac:dyDescent="0.35">
      <c r="A141" s="58" t="s">
        <v>297</v>
      </c>
      <c r="B141" s="60" t="s">
        <v>298</v>
      </c>
    </row>
    <row r="142" spans="1:2" x14ac:dyDescent="0.35">
      <c r="A142" s="58" t="s">
        <v>299</v>
      </c>
      <c r="B142" s="60" t="s">
        <v>300</v>
      </c>
    </row>
    <row r="143" spans="1:2" x14ac:dyDescent="0.35">
      <c r="A143" s="58" t="s">
        <v>301</v>
      </c>
      <c r="B143" s="60" t="s">
        <v>302</v>
      </c>
    </row>
    <row r="144" spans="1:2" x14ac:dyDescent="0.35">
      <c r="A144" s="58" t="s">
        <v>303</v>
      </c>
      <c r="B144" s="61" t="s">
        <v>304</v>
      </c>
    </row>
    <row r="145" spans="1:2" x14ac:dyDescent="0.35">
      <c r="A145" s="58" t="s">
        <v>305</v>
      </c>
      <c r="B145" s="60" t="s">
        <v>306</v>
      </c>
    </row>
    <row r="146" spans="1:2" x14ac:dyDescent="0.35">
      <c r="A146" s="58" t="s">
        <v>307</v>
      </c>
      <c r="B146" s="60" t="s">
        <v>308</v>
      </c>
    </row>
    <row r="147" spans="1:2" x14ac:dyDescent="0.35">
      <c r="A147" s="58" t="s">
        <v>309</v>
      </c>
      <c r="B147" s="60" t="s">
        <v>310</v>
      </c>
    </row>
    <row r="148" spans="1:2" x14ac:dyDescent="0.35">
      <c r="A148" s="58" t="s">
        <v>311</v>
      </c>
      <c r="B148" s="60" t="s">
        <v>312</v>
      </c>
    </row>
    <row r="149" spans="1:2" x14ac:dyDescent="0.35">
      <c r="A149" s="58" t="s">
        <v>313</v>
      </c>
      <c r="B149" s="60" t="s">
        <v>314</v>
      </c>
    </row>
    <row r="150" spans="1:2" x14ac:dyDescent="0.35">
      <c r="A150" s="58" t="s">
        <v>315</v>
      </c>
      <c r="B150" s="60" t="s">
        <v>316</v>
      </c>
    </row>
    <row r="151" spans="1:2" x14ac:dyDescent="0.35">
      <c r="A151" s="58" t="s">
        <v>317</v>
      </c>
      <c r="B151" s="60" t="s">
        <v>318</v>
      </c>
    </row>
    <row r="152" spans="1:2" x14ac:dyDescent="0.35">
      <c r="A152" s="58" t="s">
        <v>319</v>
      </c>
      <c r="B152" s="60" t="s">
        <v>320</v>
      </c>
    </row>
    <row r="153" spans="1:2" x14ac:dyDescent="0.35">
      <c r="A153" s="58" t="s">
        <v>321</v>
      </c>
      <c r="B153" s="60" t="s">
        <v>322</v>
      </c>
    </row>
    <row r="154" spans="1:2" x14ac:dyDescent="0.35">
      <c r="A154" s="58" t="s">
        <v>323</v>
      </c>
      <c r="B154" s="60" t="s">
        <v>324</v>
      </c>
    </row>
    <row r="155" spans="1:2" x14ac:dyDescent="0.35">
      <c r="A155" s="58" t="s">
        <v>325</v>
      </c>
      <c r="B155" s="60" t="s">
        <v>326</v>
      </c>
    </row>
    <row r="156" spans="1:2" x14ac:dyDescent="0.35">
      <c r="A156" s="58" t="s">
        <v>327</v>
      </c>
      <c r="B156" s="60" t="s">
        <v>328</v>
      </c>
    </row>
    <row r="157" spans="1:2" x14ac:dyDescent="0.35">
      <c r="A157" s="58" t="s">
        <v>329</v>
      </c>
      <c r="B157" s="60" t="s">
        <v>330</v>
      </c>
    </row>
    <row r="158" spans="1:2" x14ac:dyDescent="0.35">
      <c r="A158" s="58" t="s">
        <v>331</v>
      </c>
      <c r="B158" s="60" t="s">
        <v>332</v>
      </c>
    </row>
    <row r="159" spans="1:2" x14ac:dyDescent="0.35">
      <c r="A159" s="58" t="s">
        <v>333</v>
      </c>
      <c r="B159" s="60" t="s">
        <v>334</v>
      </c>
    </row>
    <row r="160" spans="1:2" x14ac:dyDescent="0.35">
      <c r="A160" s="58" t="s">
        <v>335</v>
      </c>
      <c r="B160" s="60" t="s">
        <v>336</v>
      </c>
    </row>
    <row r="161" spans="1:2" x14ac:dyDescent="0.35">
      <c r="A161" s="58" t="s">
        <v>337</v>
      </c>
      <c r="B161" s="60" t="s">
        <v>338</v>
      </c>
    </row>
    <row r="162" spans="1:2" x14ac:dyDescent="0.35">
      <c r="A162" s="58" t="s">
        <v>339</v>
      </c>
      <c r="B162" s="60" t="s">
        <v>340</v>
      </c>
    </row>
    <row r="163" spans="1:2" x14ac:dyDescent="0.35">
      <c r="A163" s="58" t="s">
        <v>341</v>
      </c>
      <c r="B163" s="60" t="s">
        <v>342</v>
      </c>
    </row>
    <row r="164" spans="1:2" x14ac:dyDescent="0.35">
      <c r="A164" s="58" t="s">
        <v>343</v>
      </c>
      <c r="B164" s="60" t="s">
        <v>344</v>
      </c>
    </row>
    <row r="165" spans="1:2" x14ac:dyDescent="0.35">
      <c r="A165" s="58" t="s">
        <v>345</v>
      </c>
      <c r="B165" s="60" t="s">
        <v>346</v>
      </c>
    </row>
    <row r="166" spans="1:2" x14ac:dyDescent="0.35">
      <c r="A166" s="58" t="s">
        <v>347</v>
      </c>
      <c r="B166" s="60" t="s">
        <v>348</v>
      </c>
    </row>
    <row r="167" spans="1:2" x14ac:dyDescent="0.35">
      <c r="A167" s="58" t="s">
        <v>349</v>
      </c>
      <c r="B167" s="60" t="s">
        <v>350</v>
      </c>
    </row>
    <row r="168" spans="1:2" x14ac:dyDescent="0.35">
      <c r="A168" s="58" t="s">
        <v>351</v>
      </c>
      <c r="B168" s="60" t="s">
        <v>352</v>
      </c>
    </row>
    <row r="169" spans="1:2" x14ac:dyDescent="0.35">
      <c r="A169" s="58" t="s">
        <v>353</v>
      </c>
      <c r="B169" s="60" t="s">
        <v>354</v>
      </c>
    </row>
    <row r="170" spans="1:2" x14ac:dyDescent="0.35">
      <c r="A170" s="58" t="s">
        <v>355</v>
      </c>
      <c r="B170" s="60"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boubacar.bah@undp.org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MPTF_00006_00740</ProjectId>
    <FundCode xmlns="f9695bc1-6109-4dcd-a27a-f8a0370b00e2">MPTF_00006</FundCode>
    <Comments xmlns="f9695bc1-6109-4dcd-a27a-f8a0370b00e2">Rapport financier annuel 2024</Comments>
    <Active xmlns="f9695bc1-6109-4dcd-a27a-f8a0370b00e2">Yes</Active>
    <DocumentDate xmlns="b1528a4b-5ccb-40f7-a09e-43427183cd95">2024-11-14T08:00:00+00:00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F079AD25-5447-46AF-964C-4F6026B823DE}">
  <ds:schemaRefs>
    <ds:schemaRef ds:uri="http://purl.org/dc/dcmitype/"/>
    <ds:schemaRef ds:uri="http://schemas.microsoft.com/office/2006/documentManagement/types"/>
    <ds:schemaRef ds:uri="9dc44b34-9e2b-42ea-86f7-9ee7f71036fc"/>
    <ds:schemaRef ds:uri="http://purl.org/dc/term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3352a50b-fe51-4c0c-a9ac-ac90f8281031"/>
    <ds:schemaRef ds:uri="http://www.w3.org/XML/1998/namespace"/>
  </ds:schemaRefs>
</ds:datastoreItem>
</file>

<file path=customXml/itemProps3.xml><?xml version="1.0" encoding="utf-8"?>
<ds:datastoreItem xmlns:ds="http://schemas.openxmlformats.org/officeDocument/2006/customXml" ds:itemID="{84FA4E71-1F64-4EA8-9798-F7B8212FE7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lpstr>'1) Tableau budgétaire 1'!Zone_d_impression</vt:lpstr>
      <vt:lpstr>'2) Tableau budgétaire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PBF_ NOV 2024.xlsx</dc:title>
  <dc:creator>Jelena Zelenovic</dc:creator>
  <cp:lastModifiedBy>Boubacar BAH</cp:lastModifiedBy>
  <cp:lastPrinted>2023-12-12T15:22:14Z</cp:lastPrinted>
  <dcterms:created xsi:type="dcterms:W3CDTF">2017-11-15T21:17:43Z</dcterms:created>
  <dcterms:modified xsi:type="dcterms:W3CDTF">2024-11-14T22:31:40Z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