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undp-my.sharepoint.com/personal/mamadou_salieu_bah_undp_org/Documents/Documents/REPORTS/2024 reports/November reports 2024/ITCJ/"/>
    </mc:Choice>
  </mc:AlternateContent>
  <xr:revisionPtr revIDLastSave="48" documentId="8_{75EFD93B-DC72-4B56-A1EA-A79B2F6ACC45}" xr6:coauthVersionLast="47" xr6:coauthVersionMax="47" xr10:uidLastSave="{25E8D5B0-E298-482B-ACE2-DC5D59C41263}"/>
  <bookViews>
    <workbookView xWindow="-98" yWindow="-98" windowWidth="19396" windowHeight="10276" tabRatio="729" activeTab="1" xr2:uid="{00000000-000D-0000-FFFF-FFFF00000000}"/>
  </bookViews>
  <sheets>
    <sheet name="UNPBF_FC-3007 Y2 Q3 Report" sheetId="8" r:id="rId1"/>
    <sheet name="Budget Tables- Jan-Sept' 2024" sheetId="9" r:id="rId2"/>
    <sheet name="MIP Run w-adjustments" sheetId="14" r:id="rId3"/>
    <sheet name="MIP run from Jan-Mar 2024" sheetId="10" state="hidden" r:id="rId4"/>
  </sheets>
  <definedNames>
    <definedName name="_xlnm._FilterDatabase" localSheetId="2" hidden="1">'MIP Run w-adjustments'!$A$1:$K$545</definedName>
  </definedNames>
  <calcPr calcId="191029"/>
  <pivotCaches>
    <pivotCache cacheId="0" r:id="rId5"/>
    <pivotCache cacheId="1"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0" i="9" l="1"/>
  <c r="O45" i="14"/>
  <c r="R211" i="8"/>
  <c r="R218" i="8"/>
  <c r="O38" i="14"/>
  <c r="O31" i="14"/>
  <c r="O40" i="14"/>
  <c r="R215" i="8" l="1"/>
  <c r="R214" i="8"/>
  <c r="R213" i="8"/>
  <c r="R153" i="8" l="1"/>
  <c r="R191" i="8"/>
  <c r="Q227" i="8"/>
  <c r="R205" i="8"/>
  <c r="R227" i="8" s="1"/>
  <c r="R46" i="8"/>
  <c r="S46" i="8" s="1"/>
  <c r="S146" i="8"/>
  <c r="S147" i="8"/>
  <c r="S148" i="8"/>
  <c r="R230" i="8"/>
  <c r="R220" i="8"/>
  <c r="R75" i="8"/>
  <c r="R138" i="8"/>
  <c r="R224" i="8"/>
  <c r="R93" i="8"/>
  <c r="R103" i="8"/>
  <c r="S67" i="8"/>
  <c r="R106" i="8"/>
  <c r="I91" i="8"/>
  <c r="I92" i="8"/>
  <c r="J92" i="8" s="1"/>
  <c r="I93" i="8"/>
  <c r="J93" i="8" s="1"/>
  <c r="T93" i="8" s="1"/>
  <c r="I94" i="8"/>
  <c r="K94" i="8" s="1"/>
  <c r="I95" i="8"/>
  <c r="J95" i="8" s="1"/>
  <c r="T95" i="8" s="1"/>
  <c r="I96" i="8"/>
  <c r="K96" i="8" s="1"/>
  <c r="I97" i="8"/>
  <c r="J97" i="8" s="1"/>
  <c r="T97" i="8" s="1"/>
  <c r="I98" i="8"/>
  <c r="J98" i="8" s="1"/>
  <c r="T98" i="8" s="1"/>
  <c r="I99" i="8"/>
  <c r="I100" i="8"/>
  <c r="I101" i="8"/>
  <c r="I102" i="8"/>
  <c r="I103" i="8"/>
  <c r="I104" i="8"/>
  <c r="I105" i="8"/>
  <c r="I106" i="8"/>
  <c r="I107" i="8"/>
  <c r="J107" i="8" s="1"/>
  <c r="T107" i="8" s="1"/>
  <c r="I108" i="8"/>
  <c r="K108" i="8" s="1"/>
  <c r="I127" i="8"/>
  <c r="J127" i="8" s="1"/>
  <c r="I128" i="8"/>
  <c r="J128" i="8" s="1"/>
  <c r="T128" i="8" s="1"/>
  <c r="I129" i="8"/>
  <c r="J129" i="8" s="1"/>
  <c r="T129" i="8" s="1"/>
  <c r="I130" i="8"/>
  <c r="J130" i="8" s="1"/>
  <c r="T130" i="8" s="1"/>
  <c r="I131" i="8"/>
  <c r="I132" i="8"/>
  <c r="I133" i="8"/>
  <c r="I134" i="8"/>
  <c r="I135" i="8"/>
  <c r="I136" i="8"/>
  <c r="I137" i="8"/>
  <c r="I111" i="8"/>
  <c r="I125" i="8" s="1"/>
  <c r="I112" i="8"/>
  <c r="I113" i="8"/>
  <c r="I114" i="8"/>
  <c r="I115" i="8"/>
  <c r="K115" i="8" s="1"/>
  <c r="I116" i="8"/>
  <c r="J116" i="8" s="1"/>
  <c r="T116" i="8" s="1"/>
  <c r="I117" i="8"/>
  <c r="J117" i="8" s="1"/>
  <c r="T117" i="8" s="1"/>
  <c r="I118" i="8"/>
  <c r="J118" i="8" s="1"/>
  <c r="T118" i="8" s="1"/>
  <c r="I119" i="8"/>
  <c r="I120" i="8"/>
  <c r="I121" i="8"/>
  <c r="I122" i="8"/>
  <c r="I123" i="8"/>
  <c r="I124" i="8"/>
  <c r="I77" i="8"/>
  <c r="F78" i="8"/>
  <c r="I78" i="8"/>
  <c r="I89" i="8" s="1"/>
  <c r="I79" i="8"/>
  <c r="I80" i="8"/>
  <c r="K80" i="8" s="1"/>
  <c r="I81" i="8"/>
  <c r="K81" i="8" s="1"/>
  <c r="I82" i="8"/>
  <c r="J82" i="8" s="1"/>
  <c r="T82" i="8" s="1"/>
  <c r="I83" i="8"/>
  <c r="J83" i="8" s="1"/>
  <c r="T83" i="8" s="1"/>
  <c r="I85" i="8"/>
  <c r="J85" i="8" s="1"/>
  <c r="T85" i="8" s="1"/>
  <c r="I86" i="8"/>
  <c r="I87" i="8"/>
  <c r="I88" i="8"/>
  <c r="I74" i="8"/>
  <c r="I75" i="8"/>
  <c r="I205" i="8"/>
  <c r="I206" i="8"/>
  <c r="I194" i="8"/>
  <c r="H195" i="8"/>
  <c r="I195" i="8"/>
  <c r="H196" i="8"/>
  <c r="I196" i="8"/>
  <c r="J196" i="8" s="1"/>
  <c r="J198" i="8" s="1"/>
  <c r="I198" i="8"/>
  <c r="I201" i="8" s="1"/>
  <c r="I169" i="8"/>
  <c r="I190" i="8" s="1"/>
  <c r="I170" i="8"/>
  <c r="I171" i="8"/>
  <c r="I172" i="8"/>
  <c r="I173" i="8"/>
  <c r="I174" i="8"/>
  <c r="I175" i="8"/>
  <c r="I176" i="8"/>
  <c r="I177" i="8"/>
  <c r="I178" i="8"/>
  <c r="I179" i="8"/>
  <c r="I180" i="8"/>
  <c r="K180" i="8" s="1"/>
  <c r="I181" i="8"/>
  <c r="J181" i="8" s="1"/>
  <c r="T181" i="8" s="1"/>
  <c r="I182" i="8"/>
  <c r="J182" i="8" s="1"/>
  <c r="T182" i="8" s="1"/>
  <c r="I183" i="8"/>
  <c r="J183" i="8" s="1"/>
  <c r="T183" i="8" s="1"/>
  <c r="I184" i="8"/>
  <c r="J184" i="8" s="1"/>
  <c r="T184" i="8" s="1"/>
  <c r="I185" i="8"/>
  <c r="I186" i="8"/>
  <c r="I187" i="8"/>
  <c r="I188" i="8"/>
  <c r="I189" i="8"/>
  <c r="I155" i="8"/>
  <c r="I156" i="8"/>
  <c r="I157" i="8"/>
  <c r="I167" i="8" s="1"/>
  <c r="I158" i="8"/>
  <c r="I159" i="8"/>
  <c r="K159" i="8" s="1"/>
  <c r="I160" i="8"/>
  <c r="J160" i="8" s="1"/>
  <c r="I161" i="8"/>
  <c r="J161" i="8" s="1"/>
  <c r="I162" i="8"/>
  <c r="J162" i="8" s="1"/>
  <c r="I163" i="8"/>
  <c r="K163" i="8" s="1"/>
  <c r="T163" i="8" s="1"/>
  <c r="I164" i="8"/>
  <c r="J164" i="8" s="1"/>
  <c r="I165" i="8"/>
  <c r="I166" i="8"/>
  <c r="I142" i="8"/>
  <c r="I143" i="8"/>
  <c r="I144" i="8"/>
  <c r="I145" i="8"/>
  <c r="I146" i="8"/>
  <c r="I147" i="8"/>
  <c r="I148" i="8"/>
  <c r="I149" i="8"/>
  <c r="I150" i="8"/>
  <c r="J150" i="8" s="1"/>
  <c r="T150" i="8" s="1"/>
  <c r="I151" i="8"/>
  <c r="J151" i="8" s="1"/>
  <c r="T151" i="8" s="1"/>
  <c r="I152" i="8"/>
  <c r="J152" i="8" s="1"/>
  <c r="T152" i="8" s="1"/>
  <c r="I153" i="8"/>
  <c r="I52" i="8"/>
  <c r="I68" i="8" s="1"/>
  <c r="F53" i="8"/>
  <c r="I53" i="8"/>
  <c r="I54" i="8"/>
  <c r="F55" i="8"/>
  <c r="I55" i="8" s="1"/>
  <c r="F56" i="8"/>
  <c r="I56" i="8" s="1"/>
  <c r="I57" i="8"/>
  <c r="I58" i="8"/>
  <c r="I59" i="8"/>
  <c r="I60" i="8"/>
  <c r="J60" i="8" s="1"/>
  <c r="T60" i="8" s="1"/>
  <c r="I61" i="8"/>
  <c r="J61" i="8" s="1"/>
  <c r="T61" i="8" s="1"/>
  <c r="I62" i="8"/>
  <c r="J62" i="8" s="1"/>
  <c r="T62" i="8" s="1"/>
  <c r="I63" i="8"/>
  <c r="J63" i="8" s="1"/>
  <c r="T63" i="8" s="1"/>
  <c r="I64" i="8"/>
  <c r="J64" i="8" s="1"/>
  <c r="T64" i="8" s="1"/>
  <c r="I65" i="8"/>
  <c r="I66" i="8"/>
  <c r="I67" i="8"/>
  <c r="I44" i="8"/>
  <c r="I45" i="8"/>
  <c r="I46" i="8"/>
  <c r="I47" i="8"/>
  <c r="I48" i="8"/>
  <c r="I49" i="8"/>
  <c r="I50" i="8"/>
  <c r="F32" i="8"/>
  <c r="I32" i="8"/>
  <c r="K32" i="8" s="1"/>
  <c r="F33" i="8"/>
  <c r="I33" i="8"/>
  <c r="J33" i="8" s="1"/>
  <c r="T33" i="8" s="1"/>
  <c r="I34" i="8"/>
  <c r="F35" i="8"/>
  <c r="I35" i="8" s="1"/>
  <c r="I36" i="8"/>
  <c r="I38" i="8"/>
  <c r="I39" i="8"/>
  <c r="I40" i="8"/>
  <c r="I41" i="8"/>
  <c r="I12" i="8"/>
  <c r="I14" i="8"/>
  <c r="I30" i="8" s="1"/>
  <c r="I15" i="8"/>
  <c r="J15" i="8" s="1"/>
  <c r="I16" i="8"/>
  <c r="J16" i="8" s="1"/>
  <c r="T16" i="8" s="1"/>
  <c r="I17" i="8"/>
  <c r="K17" i="8" s="1"/>
  <c r="I22" i="8"/>
  <c r="J22" i="8" s="1"/>
  <c r="T22" i="8" s="1"/>
  <c r="I23" i="8"/>
  <c r="J23" i="8" s="1"/>
  <c r="T23" i="8" s="1"/>
  <c r="I24" i="8"/>
  <c r="J24" i="8" s="1"/>
  <c r="T24" i="8" s="1"/>
  <c r="I25" i="8"/>
  <c r="I26" i="8"/>
  <c r="I27" i="8"/>
  <c r="I28" i="8"/>
  <c r="I29" i="8"/>
  <c r="H211" i="8"/>
  <c r="I211" i="8"/>
  <c r="J211" i="8" s="1"/>
  <c r="I212" i="8"/>
  <c r="K212" i="8" s="1"/>
  <c r="I213" i="8"/>
  <c r="J213" i="8" s="1"/>
  <c r="I214" i="8"/>
  <c r="J214" i="8" s="1"/>
  <c r="I215" i="8"/>
  <c r="J215" i="8" s="1"/>
  <c r="I216" i="8"/>
  <c r="Q218" i="8"/>
  <c r="S218" i="8" s="1"/>
  <c r="R104" i="8"/>
  <c r="R229" i="8" s="1"/>
  <c r="R99" i="8"/>
  <c r="R101" i="8"/>
  <c r="R94" i="8"/>
  <c r="S94" i="8" s="1"/>
  <c r="R95" i="8"/>
  <c r="R226" i="8" s="1"/>
  <c r="J96" i="8"/>
  <c r="T96" i="8" s="1"/>
  <c r="R97" i="8"/>
  <c r="R225" i="8" s="1"/>
  <c r="O32" i="14" s="1"/>
  <c r="O33" i="14" s="1"/>
  <c r="R98" i="8"/>
  <c r="J99" i="8"/>
  <c r="T99" i="8"/>
  <c r="J100" i="8"/>
  <c r="T100" i="8"/>
  <c r="J101" i="8"/>
  <c r="T101" i="8"/>
  <c r="J102" i="8"/>
  <c r="T102" i="8"/>
  <c r="J103" i="8"/>
  <c r="T103" i="8" s="1"/>
  <c r="J104" i="8"/>
  <c r="T104" i="8" s="1"/>
  <c r="J105" i="8"/>
  <c r="T105" i="8" s="1"/>
  <c r="J106" i="8"/>
  <c r="T106" i="8"/>
  <c r="J91" i="8"/>
  <c r="T91" i="8"/>
  <c r="S91" i="8"/>
  <c r="S96" i="8"/>
  <c r="S97" i="8"/>
  <c r="S98" i="8"/>
  <c r="S99" i="8"/>
  <c r="S100" i="8"/>
  <c r="S101" i="8"/>
  <c r="S102" i="8"/>
  <c r="S103" i="8"/>
  <c r="S104" i="8"/>
  <c r="S105" i="8"/>
  <c r="S106" i="8"/>
  <c r="S107" i="8"/>
  <c r="S108" i="8"/>
  <c r="S53" i="8"/>
  <c r="S68" i="8" s="1"/>
  <c r="S54" i="8"/>
  <c r="S55" i="8"/>
  <c r="S56" i="8"/>
  <c r="S57" i="8"/>
  <c r="S58" i="8"/>
  <c r="S59" i="8"/>
  <c r="S60" i="8"/>
  <c r="S61" i="8"/>
  <c r="S62" i="8"/>
  <c r="S63" i="8"/>
  <c r="S64" i="8"/>
  <c r="S65" i="8"/>
  <c r="S66" i="8"/>
  <c r="S52" i="8"/>
  <c r="J52" i="8"/>
  <c r="T52" i="8"/>
  <c r="R80" i="8"/>
  <c r="R228" i="8" s="1"/>
  <c r="R68" i="8"/>
  <c r="R42" i="8"/>
  <c r="R30" i="8"/>
  <c r="Q167" i="8"/>
  <c r="R167" i="8"/>
  <c r="Q190" i="8"/>
  <c r="Q191" i="8" s="1"/>
  <c r="Q153" i="8"/>
  <c r="R190" i="8"/>
  <c r="R125" i="8"/>
  <c r="R216" i="8"/>
  <c r="Q212" i="8"/>
  <c r="Q224" i="8" s="1"/>
  <c r="S212" i="8"/>
  <c r="J212" i="8"/>
  <c r="T212" i="8"/>
  <c r="S213" i="8"/>
  <c r="S214" i="8"/>
  <c r="S215" i="8"/>
  <c r="S211" i="8"/>
  <c r="J205" i="8"/>
  <c r="S195" i="8"/>
  <c r="S196" i="8"/>
  <c r="S197" i="8"/>
  <c r="S194" i="8"/>
  <c r="S198" i="8" s="1"/>
  <c r="S202" i="8" s="1"/>
  <c r="J194" i="8"/>
  <c r="K194" i="8" s="1"/>
  <c r="S169" i="8"/>
  <c r="S190" i="8" s="1"/>
  <c r="S170" i="8"/>
  <c r="S171" i="8"/>
  <c r="S172" i="8"/>
  <c r="S173" i="8"/>
  <c r="S174" i="8"/>
  <c r="S175" i="8"/>
  <c r="S176" i="8"/>
  <c r="S177" i="8"/>
  <c r="S178" i="8"/>
  <c r="S179" i="8"/>
  <c r="S180" i="8"/>
  <c r="S181" i="8"/>
  <c r="S182" i="8"/>
  <c r="S183" i="8"/>
  <c r="S184" i="8"/>
  <c r="S185" i="8"/>
  <c r="S186" i="8"/>
  <c r="S187" i="8"/>
  <c r="S188" i="8"/>
  <c r="S189" i="8"/>
  <c r="J170" i="8"/>
  <c r="T170" i="8"/>
  <c r="J171" i="8"/>
  <c r="T171" i="8"/>
  <c r="J172" i="8"/>
  <c r="J190" i="8" s="1"/>
  <c r="T172" i="8"/>
  <c r="J173" i="8"/>
  <c r="T173" i="8" s="1"/>
  <c r="J174" i="8"/>
  <c r="T174" i="8" s="1"/>
  <c r="J175" i="8"/>
  <c r="T175" i="8" s="1"/>
  <c r="J176" i="8"/>
  <c r="T176" i="8" s="1"/>
  <c r="J177" i="8"/>
  <c r="T177" i="8" s="1"/>
  <c r="J178" i="8"/>
  <c r="T178" i="8"/>
  <c r="J179" i="8"/>
  <c r="T179" i="8"/>
  <c r="J180" i="8"/>
  <c r="T180" i="8"/>
  <c r="J185" i="8"/>
  <c r="T185" i="8" s="1"/>
  <c r="J186" i="8"/>
  <c r="T186" i="8"/>
  <c r="J187" i="8"/>
  <c r="T187" i="8"/>
  <c r="J188" i="8"/>
  <c r="T188" i="8"/>
  <c r="J189" i="8"/>
  <c r="T189" i="8" s="1"/>
  <c r="J169" i="8"/>
  <c r="T169" i="8" s="1"/>
  <c r="S157" i="8"/>
  <c r="S155" i="8"/>
  <c r="S156" i="8"/>
  <c r="S158" i="8"/>
  <c r="S159" i="8"/>
  <c r="S160" i="8"/>
  <c r="S161" i="8"/>
  <c r="S162" i="8"/>
  <c r="S167" i="8" s="1"/>
  <c r="S163" i="8"/>
  <c r="S164" i="8"/>
  <c r="S165" i="8"/>
  <c r="S166" i="8"/>
  <c r="K156" i="8"/>
  <c r="T156" i="8" s="1"/>
  <c r="K157" i="8"/>
  <c r="T157" i="8"/>
  <c r="K158" i="8"/>
  <c r="T158" i="8"/>
  <c r="K165" i="8"/>
  <c r="T165" i="8"/>
  <c r="K166" i="8"/>
  <c r="T166" i="8"/>
  <c r="K155" i="8"/>
  <c r="T155" i="8"/>
  <c r="J142" i="8"/>
  <c r="J143" i="8"/>
  <c r="J144" i="8"/>
  <c r="T144" i="8" s="1"/>
  <c r="J145" i="8"/>
  <c r="T145" i="8" s="1"/>
  <c r="J146" i="8"/>
  <c r="T146" i="8" s="1"/>
  <c r="J147" i="8"/>
  <c r="T147" i="8" s="1"/>
  <c r="J148" i="8"/>
  <c r="T148" i="8" s="1"/>
  <c r="J149" i="8"/>
  <c r="K142" i="8"/>
  <c r="K143" i="8"/>
  <c r="K144" i="8"/>
  <c r="K145" i="8"/>
  <c r="K146" i="8"/>
  <c r="K147" i="8"/>
  <c r="K148" i="8"/>
  <c r="K150" i="8"/>
  <c r="L149" i="8"/>
  <c r="S149" i="8" s="1"/>
  <c r="M149" i="8"/>
  <c r="N149" i="8"/>
  <c r="T142" i="8"/>
  <c r="O149" i="8"/>
  <c r="P149" i="8"/>
  <c r="S150" i="8"/>
  <c r="S151" i="8"/>
  <c r="S152" i="8"/>
  <c r="S143" i="8"/>
  <c r="S144" i="8"/>
  <c r="S145" i="8"/>
  <c r="S142" i="8"/>
  <c r="J131" i="8"/>
  <c r="T131" i="8"/>
  <c r="J132" i="8"/>
  <c r="T132" i="8"/>
  <c r="J133" i="8"/>
  <c r="T133" i="8"/>
  <c r="J134" i="8"/>
  <c r="T134" i="8" s="1"/>
  <c r="J135" i="8"/>
  <c r="T135" i="8" s="1"/>
  <c r="J136" i="8"/>
  <c r="T136" i="8"/>
  <c r="J137" i="8"/>
  <c r="T137" i="8"/>
  <c r="J112" i="8"/>
  <c r="T112" i="8"/>
  <c r="J113" i="8"/>
  <c r="T113" i="8"/>
  <c r="J114" i="8"/>
  <c r="T114" i="8"/>
  <c r="J115" i="8"/>
  <c r="T115" i="8" s="1"/>
  <c r="Q115" i="8"/>
  <c r="Q226" i="8" s="1"/>
  <c r="J119" i="8"/>
  <c r="T119" i="8" s="1"/>
  <c r="J120" i="8"/>
  <c r="T120" i="8"/>
  <c r="J121" i="8"/>
  <c r="T121" i="8"/>
  <c r="J122" i="8"/>
  <c r="T122" i="8"/>
  <c r="J123" i="8"/>
  <c r="T123" i="8" s="1"/>
  <c r="J124" i="8"/>
  <c r="T124" i="8" s="1"/>
  <c r="J111" i="8"/>
  <c r="T111" i="8" s="1"/>
  <c r="S92" i="8"/>
  <c r="S93" i="8"/>
  <c r="J78" i="8"/>
  <c r="T78" i="8"/>
  <c r="J79" i="8"/>
  <c r="T79" i="8"/>
  <c r="J80" i="8"/>
  <c r="T80" i="8"/>
  <c r="J81" i="8"/>
  <c r="T81" i="8" s="1"/>
  <c r="J84" i="8"/>
  <c r="T84" i="8"/>
  <c r="J86" i="8"/>
  <c r="T86" i="8"/>
  <c r="J87" i="8"/>
  <c r="T87" i="8"/>
  <c r="J88" i="8"/>
  <c r="T88" i="8"/>
  <c r="J77" i="8"/>
  <c r="J89" i="8" s="1"/>
  <c r="K74" i="8"/>
  <c r="T74" i="8" s="1"/>
  <c r="T75" i="8" s="1"/>
  <c r="Q74" i="8"/>
  <c r="Q225" i="8" s="1"/>
  <c r="J53" i="8"/>
  <c r="T53" i="8" s="1"/>
  <c r="J54" i="8"/>
  <c r="T54" i="8" s="1"/>
  <c r="J57" i="8"/>
  <c r="T57" i="8"/>
  <c r="J58" i="8"/>
  <c r="T58" i="8"/>
  <c r="J59" i="8"/>
  <c r="T59" i="8" s="1"/>
  <c r="J65" i="8"/>
  <c r="T65" i="8"/>
  <c r="J66" i="8"/>
  <c r="T66" i="8"/>
  <c r="J67" i="8"/>
  <c r="T67" i="8" s="1"/>
  <c r="J45" i="8"/>
  <c r="T45" i="8" s="1"/>
  <c r="Q45" i="8"/>
  <c r="Q228" i="8" s="1"/>
  <c r="J46" i="8"/>
  <c r="T46" i="8" s="1"/>
  <c r="J47" i="8"/>
  <c r="T47" i="8" s="1"/>
  <c r="J48" i="8"/>
  <c r="T48" i="8" s="1"/>
  <c r="J49" i="8"/>
  <c r="T49" i="8"/>
  <c r="J44" i="8"/>
  <c r="T44" i="8"/>
  <c r="J34" i="8"/>
  <c r="T34" i="8" s="1"/>
  <c r="J36" i="8"/>
  <c r="T36" i="8" s="1"/>
  <c r="J37" i="8"/>
  <c r="T37" i="8" s="1"/>
  <c r="J38" i="8"/>
  <c r="T38" i="8" s="1"/>
  <c r="J39" i="8"/>
  <c r="T39" i="8"/>
  <c r="J40" i="8"/>
  <c r="T40" i="8"/>
  <c r="J41" i="8"/>
  <c r="T41" i="8"/>
  <c r="T13" i="8"/>
  <c r="J14" i="8"/>
  <c r="T14" i="8"/>
  <c r="J18" i="8"/>
  <c r="T18" i="8"/>
  <c r="J19" i="8"/>
  <c r="T19" i="8"/>
  <c r="J20" i="8"/>
  <c r="T20" i="8" s="1"/>
  <c r="J21" i="8"/>
  <c r="T21" i="8" s="1"/>
  <c r="J25" i="8"/>
  <c r="T25" i="8"/>
  <c r="J26" i="8"/>
  <c r="T26" i="8"/>
  <c r="J27" i="8"/>
  <c r="T27" i="8"/>
  <c r="J28" i="8"/>
  <c r="T28" i="8" s="1"/>
  <c r="J29" i="8"/>
  <c r="T29" i="8" s="1"/>
  <c r="J12" i="8"/>
  <c r="T12" i="8"/>
  <c r="S47" i="8"/>
  <c r="Q220" i="8"/>
  <c r="Q206" i="8"/>
  <c r="Q109" i="8"/>
  <c r="Q138" i="8"/>
  <c r="Q89" i="8"/>
  <c r="Q75" i="8"/>
  <c r="Q216" i="8"/>
  <c r="Q68" i="8"/>
  <c r="Q70" i="8" s="1"/>
  <c r="Q50" i="8"/>
  <c r="Q42" i="8"/>
  <c r="Q30" i="8"/>
  <c r="S111" i="8"/>
  <c r="S112" i="8"/>
  <c r="S113" i="8"/>
  <c r="S125" i="8" s="1"/>
  <c r="S114" i="8"/>
  <c r="S115" i="8"/>
  <c r="S116" i="8"/>
  <c r="S117" i="8"/>
  <c r="S118" i="8"/>
  <c r="S119" i="8"/>
  <c r="S120" i="8"/>
  <c r="S121" i="8"/>
  <c r="S122" i="8"/>
  <c r="S123" i="8"/>
  <c r="S132" i="8"/>
  <c r="S128" i="8"/>
  <c r="S129" i="8"/>
  <c r="S130" i="8"/>
  <c r="S131" i="8"/>
  <c r="S127" i="8"/>
  <c r="S138" i="8" s="1"/>
  <c r="S133" i="8"/>
  <c r="S134" i="8"/>
  <c r="S135" i="8"/>
  <c r="S136" i="8"/>
  <c r="S77" i="8"/>
  <c r="S78" i="8"/>
  <c r="S79" i="8"/>
  <c r="S81" i="8"/>
  <c r="S82" i="8"/>
  <c r="S83" i="8"/>
  <c r="S84" i="8"/>
  <c r="S85" i="8"/>
  <c r="S86" i="8"/>
  <c r="S87" i="8"/>
  <c r="S74" i="8"/>
  <c r="S75" i="8"/>
  <c r="S44" i="8"/>
  <c r="S50" i="8" s="1"/>
  <c r="S45" i="8"/>
  <c r="S48" i="8"/>
  <c r="S32" i="8"/>
  <c r="S33" i="8"/>
  <c r="S34" i="8"/>
  <c r="S35" i="8"/>
  <c r="S36" i="8"/>
  <c r="S37" i="8"/>
  <c r="S39" i="8"/>
  <c r="S40" i="8"/>
  <c r="S42" i="8"/>
  <c r="S12" i="8"/>
  <c r="S30" i="8" s="1"/>
  <c r="S13" i="8"/>
  <c r="S14" i="8"/>
  <c r="S15" i="8"/>
  <c r="S16" i="8"/>
  <c r="S17" i="8"/>
  <c r="S18" i="8"/>
  <c r="S19" i="8"/>
  <c r="S20" i="8"/>
  <c r="S21" i="8"/>
  <c r="S22" i="8"/>
  <c r="S23" i="8"/>
  <c r="S27" i="8"/>
  <c r="S28" i="8"/>
  <c r="Q229" i="8"/>
  <c r="P224" i="8"/>
  <c r="P231" i="8" s="1"/>
  <c r="P68" i="8"/>
  <c r="P70" i="8" s="1"/>
  <c r="P50" i="8"/>
  <c r="P42" i="8"/>
  <c r="P30" i="8"/>
  <c r="P138" i="8"/>
  <c r="P109" i="8"/>
  <c r="P75" i="8"/>
  <c r="P125" i="8"/>
  <c r="P89" i="8"/>
  <c r="P139" i="8"/>
  <c r="P190" i="8"/>
  <c r="P153" i="8"/>
  <c r="P191" i="8"/>
  <c r="P206" i="8"/>
  <c r="P220" i="8"/>
  <c r="P216" i="8"/>
  <c r="I180" i="9"/>
  <c r="F201" i="9" s="1"/>
  <c r="Q230" i="8"/>
  <c r="P226" i="8"/>
  <c r="P225" i="8"/>
  <c r="Q202" i="8"/>
  <c r="H114" i="10"/>
  <c r="G114" i="10"/>
  <c r="I112" i="10"/>
  <c r="I111" i="10"/>
  <c r="I110" i="10"/>
  <c r="I109" i="10"/>
  <c r="I108" i="10"/>
  <c r="I107" i="10"/>
  <c r="I106" i="10"/>
  <c r="I105" i="10"/>
  <c r="I104" i="10"/>
  <c r="I103" i="10"/>
  <c r="I102" i="10"/>
  <c r="I101" i="10"/>
  <c r="I100" i="10"/>
  <c r="I99" i="10"/>
  <c r="I98" i="10"/>
  <c r="I97" i="10"/>
  <c r="I96" i="10"/>
  <c r="I95" i="10"/>
  <c r="I94" i="10"/>
  <c r="I93" i="10"/>
  <c r="I92" i="10"/>
  <c r="I91" i="10"/>
  <c r="I90" i="10"/>
  <c r="I89" i="10"/>
  <c r="I88" i="10"/>
  <c r="I87" i="10"/>
  <c r="I86" i="10"/>
  <c r="I85" i="10"/>
  <c r="I84" i="10"/>
  <c r="I83" i="10"/>
  <c r="I82" i="10"/>
  <c r="I81" i="10"/>
  <c r="I80" i="10"/>
  <c r="I79" i="10"/>
  <c r="I78" i="10"/>
  <c r="I77" i="10"/>
  <c r="I76" i="10"/>
  <c r="I75" i="10"/>
  <c r="I74" i="10"/>
  <c r="I73" i="10"/>
  <c r="I72" i="10"/>
  <c r="I71" i="10"/>
  <c r="I70" i="10"/>
  <c r="I69" i="10"/>
  <c r="I68" i="10"/>
  <c r="I67" i="10"/>
  <c r="I66" i="10"/>
  <c r="I65" i="10"/>
  <c r="I64" i="10"/>
  <c r="I63" i="10"/>
  <c r="I62" i="10"/>
  <c r="I61" i="10"/>
  <c r="I60" i="10"/>
  <c r="I59" i="10"/>
  <c r="I58" i="10"/>
  <c r="I57" i="10"/>
  <c r="I56" i="10"/>
  <c r="I55" i="10"/>
  <c r="I54" i="10"/>
  <c r="I53" i="10"/>
  <c r="I52" i="10"/>
  <c r="I51" i="10"/>
  <c r="I50" i="10"/>
  <c r="I49" i="10"/>
  <c r="I48" i="10"/>
  <c r="I47" i="10"/>
  <c r="I46" i="10"/>
  <c r="I45" i="10"/>
  <c r="I44" i="10"/>
  <c r="I43" i="10"/>
  <c r="I42" i="10"/>
  <c r="I41" i="10"/>
  <c r="I40" i="10"/>
  <c r="I39" i="10"/>
  <c r="I38" i="10"/>
  <c r="I37" i="10"/>
  <c r="I36" i="10"/>
  <c r="I35" i="10"/>
  <c r="I34" i="10"/>
  <c r="I33" i="10"/>
  <c r="I32" i="10"/>
  <c r="I31" i="10"/>
  <c r="I30" i="10"/>
  <c r="N29" i="10"/>
  <c r="I29" i="10"/>
  <c r="I28" i="10"/>
  <c r="I27" i="10"/>
  <c r="I26" i="10"/>
  <c r="I25" i="10"/>
  <c r="I24" i="10"/>
  <c r="I23" i="10"/>
  <c r="I22" i="10"/>
  <c r="I21" i="10"/>
  <c r="I20" i="10"/>
  <c r="I19" i="10"/>
  <c r="I18" i="10"/>
  <c r="I17" i="10"/>
  <c r="I16" i="10"/>
  <c r="I15" i="10"/>
  <c r="I14" i="10"/>
  <c r="I13" i="10"/>
  <c r="I114" i="10" s="1"/>
  <c r="I12" i="10"/>
  <c r="I11" i="10"/>
  <c r="I10" i="10"/>
  <c r="D203" i="9"/>
  <c r="D198" i="9"/>
  <c r="D185" i="9"/>
  <c r="F180" i="9"/>
  <c r="E180" i="9"/>
  <c r="G178" i="9"/>
  <c r="G177" i="9"/>
  <c r="G176" i="9"/>
  <c r="I172" i="9"/>
  <c r="F172" i="9"/>
  <c r="E172" i="9"/>
  <c r="D172" i="9"/>
  <c r="G171" i="9"/>
  <c r="G172" i="9" s="1"/>
  <c r="G170" i="9"/>
  <c r="G169" i="9"/>
  <c r="G168" i="9"/>
  <c r="G167" i="9"/>
  <c r="G166" i="9"/>
  <c r="G165" i="9"/>
  <c r="H172" i="9" s="1"/>
  <c r="G164" i="9"/>
  <c r="I162" i="9"/>
  <c r="F162" i="9"/>
  <c r="E162" i="9"/>
  <c r="D162" i="9"/>
  <c r="G161" i="9"/>
  <c r="G160" i="9"/>
  <c r="G159" i="9"/>
  <c r="G158" i="9"/>
  <c r="G157" i="9"/>
  <c r="G156" i="9"/>
  <c r="H162" i="9" s="1"/>
  <c r="G155" i="9"/>
  <c r="G154" i="9"/>
  <c r="I152" i="9"/>
  <c r="F152" i="9"/>
  <c r="E152" i="9"/>
  <c r="D152" i="9"/>
  <c r="G151" i="9"/>
  <c r="G150" i="9"/>
  <c r="G149" i="9"/>
  <c r="G148" i="9"/>
  <c r="G147" i="9"/>
  <c r="G146" i="9"/>
  <c r="G145" i="9"/>
  <c r="G144" i="9"/>
  <c r="H152" i="9" s="1"/>
  <c r="I142" i="9"/>
  <c r="F142" i="9"/>
  <c r="E142" i="9"/>
  <c r="D142" i="9"/>
  <c r="G141" i="9"/>
  <c r="G140" i="9"/>
  <c r="G139" i="9"/>
  <c r="G138" i="9"/>
  <c r="G137" i="9"/>
  <c r="G136" i="9"/>
  <c r="G135" i="9"/>
  <c r="G134" i="9"/>
  <c r="I130" i="9"/>
  <c r="F130" i="9"/>
  <c r="E130" i="9"/>
  <c r="D130" i="9"/>
  <c r="G129" i="9"/>
  <c r="G130" i="9" s="1"/>
  <c r="G128" i="9"/>
  <c r="G127" i="9"/>
  <c r="G126" i="9"/>
  <c r="G125" i="9"/>
  <c r="G124" i="9"/>
  <c r="G123" i="9"/>
  <c r="G122" i="9"/>
  <c r="I120" i="9"/>
  <c r="F120" i="9"/>
  <c r="E120" i="9"/>
  <c r="D120" i="9"/>
  <c r="G119" i="9"/>
  <c r="G118" i="9"/>
  <c r="G117" i="9"/>
  <c r="G116" i="9"/>
  <c r="G115" i="9"/>
  <c r="G114" i="9"/>
  <c r="G120" i="9" s="1"/>
  <c r="G113" i="9"/>
  <c r="G112" i="9"/>
  <c r="H120" i="9" s="1"/>
  <c r="I110" i="9"/>
  <c r="F110" i="9"/>
  <c r="E110" i="9"/>
  <c r="D110" i="9"/>
  <c r="G109" i="9"/>
  <c r="G108" i="9"/>
  <c r="G107" i="9"/>
  <c r="G106" i="9"/>
  <c r="G105" i="9"/>
  <c r="G104" i="9"/>
  <c r="G103" i="9"/>
  <c r="G102" i="9"/>
  <c r="H110" i="9" s="1"/>
  <c r="I100" i="9"/>
  <c r="F100" i="9"/>
  <c r="E100" i="9"/>
  <c r="D100" i="9"/>
  <c r="G99" i="9"/>
  <c r="G98" i="9"/>
  <c r="G97" i="9"/>
  <c r="H100" i="9" s="1"/>
  <c r="G96" i="9"/>
  <c r="G95" i="9"/>
  <c r="G94" i="9"/>
  <c r="G93" i="9"/>
  <c r="G92" i="9"/>
  <c r="G100" i="9" s="1"/>
  <c r="I88" i="9"/>
  <c r="F88" i="9"/>
  <c r="E88" i="9"/>
  <c r="D88" i="9"/>
  <c r="G87" i="9"/>
  <c r="G86" i="9"/>
  <c r="G88" i="9" s="1"/>
  <c r="G85" i="9"/>
  <c r="G84" i="9"/>
  <c r="G83" i="9"/>
  <c r="G82" i="9"/>
  <c r="G81" i="9"/>
  <c r="H88" i="9" s="1"/>
  <c r="G80" i="9"/>
  <c r="I78" i="9"/>
  <c r="F78" i="9"/>
  <c r="E78" i="9"/>
  <c r="D78" i="9"/>
  <c r="G77" i="9"/>
  <c r="G76" i="9"/>
  <c r="G75" i="9"/>
  <c r="G74" i="9"/>
  <c r="G73" i="9"/>
  <c r="G72" i="9"/>
  <c r="G78" i="9" s="1"/>
  <c r="G71" i="9"/>
  <c r="H78" i="9" s="1"/>
  <c r="G70" i="9"/>
  <c r="I68" i="9"/>
  <c r="F68" i="9"/>
  <c r="E68" i="9"/>
  <c r="D68" i="9"/>
  <c r="G67" i="9"/>
  <c r="G66" i="9"/>
  <c r="G65" i="9"/>
  <c r="G64" i="9"/>
  <c r="G63" i="9"/>
  <c r="G62" i="9"/>
  <c r="G61" i="9"/>
  <c r="G60" i="9"/>
  <c r="H68" i="9" s="1"/>
  <c r="F58" i="9"/>
  <c r="E58" i="9"/>
  <c r="D58" i="9"/>
  <c r="G57" i="9"/>
  <c r="G56" i="9"/>
  <c r="G55" i="9"/>
  <c r="G54" i="9"/>
  <c r="G53" i="9"/>
  <c r="G52" i="9"/>
  <c r="G51" i="9"/>
  <c r="I58" i="9"/>
  <c r="G50" i="9"/>
  <c r="I46" i="9"/>
  <c r="F46" i="9"/>
  <c r="E46" i="9"/>
  <c r="D46" i="9"/>
  <c r="G45" i="9"/>
  <c r="H46" i="9" s="1"/>
  <c r="G44" i="9"/>
  <c r="G43" i="9"/>
  <c r="G42" i="9"/>
  <c r="G41" i="9"/>
  <c r="G40" i="9"/>
  <c r="G39" i="9"/>
  <c r="G38" i="9"/>
  <c r="I36" i="9"/>
  <c r="F36" i="9"/>
  <c r="E36" i="9"/>
  <c r="D36" i="9"/>
  <c r="G35" i="9"/>
  <c r="G34" i="9"/>
  <c r="G33" i="9"/>
  <c r="G32" i="9"/>
  <c r="G31" i="9"/>
  <c r="G30" i="9"/>
  <c r="G36" i="9" s="1"/>
  <c r="G29" i="9"/>
  <c r="G28" i="9"/>
  <c r="H36" i="9" s="1"/>
  <c r="I26" i="9"/>
  <c r="F26" i="9"/>
  <c r="E26" i="9"/>
  <c r="D26" i="9"/>
  <c r="G25" i="9"/>
  <c r="G24" i="9"/>
  <c r="G23" i="9"/>
  <c r="G22" i="9"/>
  <c r="G21" i="9"/>
  <c r="G20" i="9"/>
  <c r="G19" i="9"/>
  <c r="G18" i="9"/>
  <c r="H26" i="9" s="1"/>
  <c r="I16" i="9"/>
  <c r="J182" i="9" s="1"/>
  <c r="F16" i="9"/>
  <c r="E16" i="9"/>
  <c r="D16" i="9"/>
  <c r="D187" i="9" s="1"/>
  <c r="G15" i="9"/>
  <c r="G14" i="9"/>
  <c r="G13" i="9"/>
  <c r="G12" i="9"/>
  <c r="H16" i="9" s="1"/>
  <c r="G11" i="9"/>
  <c r="G10" i="9"/>
  <c r="G9" i="9"/>
  <c r="G8" i="9"/>
  <c r="G16" i="9" s="1"/>
  <c r="P230" i="8"/>
  <c r="P229" i="8"/>
  <c r="P228" i="8"/>
  <c r="P227" i="8"/>
  <c r="H58" i="9"/>
  <c r="G58" i="9"/>
  <c r="H142" i="9"/>
  <c r="G142" i="9"/>
  <c r="D180" i="9"/>
  <c r="G175" i="9"/>
  <c r="H180" i="9"/>
  <c r="G180" i="9"/>
  <c r="P167" i="8"/>
  <c r="P198" i="8"/>
  <c r="P202" i="8" s="1"/>
  <c r="U208" i="8"/>
  <c r="M206" i="8"/>
  <c r="N206" i="8"/>
  <c r="L206" i="8"/>
  <c r="K170" i="8"/>
  <c r="K174" i="8"/>
  <c r="K176" i="8"/>
  <c r="K177" i="8"/>
  <c r="K179" i="8"/>
  <c r="K182" i="8"/>
  <c r="K184" i="8"/>
  <c r="K186" i="8"/>
  <c r="K187" i="8"/>
  <c r="K188" i="8"/>
  <c r="J157" i="8"/>
  <c r="J166" i="8"/>
  <c r="K130" i="8"/>
  <c r="K132" i="8"/>
  <c r="K112" i="8"/>
  <c r="K125" i="8" s="1"/>
  <c r="K113" i="8"/>
  <c r="K114" i="8"/>
  <c r="K118" i="8"/>
  <c r="K119" i="8"/>
  <c r="K124" i="8"/>
  <c r="K102" i="8"/>
  <c r="K106" i="8"/>
  <c r="K107" i="8"/>
  <c r="O89" i="8"/>
  <c r="M68" i="8"/>
  <c r="O68" i="8"/>
  <c r="L68" i="8"/>
  <c r="L70" i="8" s="1"/>
  <c r="L222" i="8" s="1"/>
  <c r="M30" i="8"/>
  <c r="N216" i="8"/>
  <c r="O216" i="8"/>
  <c r="M216" i="8"/>
  <c r="K46" i="8"/>
  <c r="K34" i="8"/>
  <c r="K38" i="8"/>
  <c r="K39" i="8"/>
  <c r="K40" i="8"/>
  <c r="K12" i="8"/>
  <c r="K25" i="8"/>
  <c r="K26" i="8"/>
  <c r="K27" i="8"/>
  <c r="K28" i="8"/>
  <c r="K29" i="8"/>
  <c r="N75" i="8"/>
  <c r="O75" i="8"/>
  <c r="O50" i="8"/>
  <c r="O70" i="8" s="1"/>
  <c r="O30" i="8"/>
  <c r="O42" i="8"/>
  <c r="L216" i="8"/>
  <c r="T195" i="8"/>
  <c r="T196" i="8"/>
  <c r="T197" i="8"/>
  <c r="O198" i="8"/>
  <c r="O202" i="8" s="1"/>
  <c r="O190" i="8"/>
  <c r="N167" i="8"/>
  <c r="O167" i="8"/>
  <c r="O153" i="8"/>
  <c r="O138" i="8"/>
  <c r="O139" i="8" s="1"/>
  <c r="O125" i="8"/>
  <c r="O109" i="8"/>
  <c r="K37" i="8"/>
  <c r="M198" i="8"/>
  <c r="M202" i="8" s="1"/>
  <c r="M208" i="8" s="1"/>
  <c r="L198" i="8"/>
  <c r="L202" i="8" s="1"/>
  <c r="L208" i="8" s="1"/>
  <c r="O220" i="8"/>
  <c r="M42" i="8"/>
  <c r="M220" i="8"/>
  <c r="K206" i="8"/>
  <c r="N198" i="8"/>
  <c r="N202" i="8"/>
  <c r="N208" i="8" s="1"/>
  <c r="N190" i="8"/>
  <c r="M190" i="8"/>
  <c r="M191" i="8" s="1"/>
  <c r="L190" i="8"/>
  <c r="L191" i="8" s="1"/>
  <c r="K173" i="8"/>
  <c r="M167" i="8"/>
  <c r="L167" i="8"/>
  <c r="N153" i="8"/>
  <c r="M153" i="8"/>
  <c r="L153" i="8"/>
  <c r="N138" i="8"/>
  <c r="M138" i="8"/>
  <c r="L138" i="8"/>
  <c r="K131" i="8"/>
  <c r="N125" i="8"/>
  <c r="M125" i="8"/>
  <c r="M139" i="8" s="1"/>
  <c r="L125" i="8"/>
  <c r="L139" i="8" s="1"/>
  <c r="K123" i="8"/>
  <c r="K116" i="8"/>
  <c r="N109" i="8"/>
  <c r="N139" i="8" s="1"/>
  <c r="M109" i="8"/>
  <c r="L109" i="8"/>
  <c r="N89" i="8"/>
  <c r="M89" i="8"/>
  <c r="L89" i="8"/>
  <c r="M75" i="8"/>
  <c r="L75" i="8"/>
  <c r="K65" i="8"/>
  <c r="N50" i="8"/>
  <c r="M50" i="8"/>
  <c r="M70" i="8" s="1"/>
  <c r="K49" i="8"/>
  <c r="K47" i="8"/>
  <c r="K45" i="8"/>
  <c r="N42" i="8"/>
  <c r="L42" i="8"/>
  <c r="N30" i="8"/>
  <c r="L30" i="8"/>
  <c r="K24" i="8"/>
  <c r="K21" i="8"/>
  <c r="K20" i="8"/>
  <c r="K19" i="8"/>
  <c r="K18" i="8"/>
  <c r="K13" i="8"/>
  <c r="K11" i="8"/>
  <c r="L220" i="8"/>
  <c r="N220" i="8"/>
  <c r="N222" i="8" s="1"/>
  <c r="K54" i="8"/>
  <c r="K117" i="8"/>
  <c r="L50" i="8"/>
  <c r="K15" i="8"/>
  <c r="K77" i="8"/>
  <c r="K97" i="8"/>
  <c r="K99" i="8"/>
  <c r="K136" i="8"/>
  <c r="K87" i="8"/>
  <c r="K92" i="8"/>
  <c r="K98" i="8"/>
  <c r="K100" i="8"/>
  <c r="K135" i="8"/>
  <c r="K137" i="8"/>
  <c r="E6" i="8"/>
  <c r="K121" i="8"/>
  <c r="K41" i="8"/>
  <c r="J206" i="8"/>
  <c r="J155" i="8"/>
  <c r="K175" i="8"/>
  <c r="K171" i="8"/>
  <c r="K103" i="8"/>
  <c r="K88" i="8"/>
  <c r="K95" i="8"/>
  <c r="K133" i="8"/>
  <c r="K178" i="8"/>
  <c r="K52" i="8"/>
  <c r="K120" i="8"/>
  <c r="J158" i="8"/>
  <c r="K101" i="8"/>
  <c r="K14" i="8"/>
  <c r="J156" i="8"/>
  <c r="K66" i="8"/>
  <c r="K185" i="8"/>
  <c r="J159" i="8"/>
  <c r="J165" i="8"/>
  <c r="K169" i="8"/>
  <c r="K53" i="8"/>
  <c r="K48" i="8"/>
  <c r="K86" i="8"/>
  <c r="K36" i="8"/>
  <c r="K79" i="8"/>
  <c r="K16" i="8"/>
  <c r="N70" i="8"/>
  <c r="K82" i="8"/>
  <c r="K78" i="8"/>
  <c r="J195" i="8"/>
  <c r="J74" i="8"/>
  <c r="J75" i="8"/>
  <c r="K122" i="8"/>
  <c r="O191" i="8"/>
  <c r="N191" i="8"/>
  <c r="K61" i="8"/>
  <c r="K62" i="8"/>
  <c r="K44" i="8"/>
  <c r="K50" i="8" s="1"/>
  <c r="K67" i="8"/>
  <c r="K189" i="8"/>
  <c r="K172" i="8"/>
  <c r="K91" i="8"/>
  <c r="K75" i="8"/>
  <c r="J50" i="8"/>
  <c r="O206" i="8"/>
  <c r="T50" i="8" l="1"/>
  <c r="O222" i="8"/>
  <c r="S109" i="8"/>
  <c r="U109" i="8" s="1"/>
  <c r="U222" i="8" s="1"/>
  <c r="S70" i="8"/>
  <c r="J35" i="8"/>
  <c r="T35" i="8" s="1"/>
  <c r="K35" i="8"/>
  <c r="J167" i="8"/>
  <c r="J191" i="8" s="1"/>
  <c r="T159" i="8"/>
  <c r="T167" i="8" s="1"/>
  <c r="S153" i="8"/>
  <c r="S191" i="8" s="1"/>
  <c r="Q231" i="8"/>
  <c r="J125" i="8"/>
  <c r="P222" i="8"/>
  <c r="P232" i="8" s="1"/>
  <c r="P233" i="8" s="1"/>
  <c r="T125" i="8"/>
  <c r="S220" i="8"/>
  <c r="J153" i="8"/>
  <c r="K190" i="8"/>
  <c r="D188" i="9"/>
  <c r="D189" i="9"/>
  <c r="D204" i="9" s="1"/>
  <c r="P208" i="8"/>
  <c r="T194" i="8"/>
  <c r="T198" i="8" s="1"/>
  <c r="T202" i="8" s="1"/>
  <c r="K198" i="8"/>
  <c r="T190" i="8"/>
  <c r="K215" i="8"/>
  <c r="T215" i="8"/>
  <c r="T15" i="8"/>
  <c r="K56" i="8"/>
  <c r="J56" i="8"/>
  <c r="T56" i="8" s="1"/>
  <c r="O208" i="8"/>
  <c r="T149" i="8"/>
  <c r="Q208" i="8"/>
  <c r="K214" i="8"/>
  <c r="T214" i="8"/>
  <c r="K55" i="8"/>
  <c r="K68" i="8" s="1"/>
  <c r="J55" i="8"/>
  <c r="J138" i="8"/>
  <c r="T127" i="8"/>
  <c r="T138" i="8" s="1"/>
  <c r="K213" i="8"/>
  <c r="T213" i="8"/>
  <c r="T216" i="8" s="1"/>
  <c r="I191" i="8"/>
  <c r="T92" i="8"/>
  <c r="T109" i="8" s="1"/>
  <c r="J109" i="8"/>
  <c r="M222" i="8"/>
  <c r="K211" i="8"/>
  <c r="J216" i="8"/>
  <c r="J202" i="8"/>
  <c r="J201" i="8"/>
  <c r="T201" i="8" s="1"/>
  <c r="K33" i="8"/>
  <c r="K42" i="8" s="1"/>
  <c r="K93" i="8"/>
  <c r="K109" i="8" s="1"/>
  <c r="G152" i="9"/>
  <c r="G68" i="9"/>
  <c r="K164" i="8"/>
  <c r="T164" i="8" s="1"/>
  <c r="R206" i="8"/>
  <c r="K83" i="8"/>
  <c r="K89" i="8" s="1"/>
  <c r="J163" i="8"/>
  <c r="K181" i="8"/>
  <c r="K183" i="8"/>
  <c r="J32" i="8"/>
  <c r="T77" i="8"/>
  <c r="T89" i="8" s="1"/>
  <c r="I202" i="8"/>
  <c r="K129" i="8"/>
  <c r="G46" i="9"/>
  <c r="K151" i="8"/>
  <c r="K162" i="8"/>
  <c r="T162" i="8" s="1"/>
  <c r="S95" i="8"/>
  <c r="S205" i="8"/>
  <c r="R50" i="8"/>
  <c r="R70" i="8" s="1"/>
  <c r="K152" i="8"/>
  <c r="R109" i="8"/>
  <c r="H130" i="9"/>
  <c r="D200" i="9" s="1"/>
  <c r="D201" i="9" s="1"/>
  <c r="K161" i="8"/>
  <c r="T161" i="8" s="1"/>
  <c r="K127" i="8"/>
  <c r="G110" i="9"/>
  <c r="G26" i="9"/>
  <c r="Q125" i="8"/>
  <c r="Q139" i="8" s="1"/>
  <c r="Q222" i="8" s="1"/>
  <c r="Q232" i="8" s="1"/>
  <c r="J17" i="8"/>
  <c r="T17" i="8" s="1"/>
  <c r="T143" i="8"/>
  <c r="T153" i="8" s="1"/>
  <c r="K160" i="8"/>
  <c r="T160" i="8" s="1"/>
  <c r="T211" i="8"/>
  <c r="J108" i="8"/>
  <c r="T108" i="8" s="1"/>
  <c r="J94" i="8"/>
  <c r="T94" i="8" s="1"/>
  <c r="I109" i="8"/>
  <c r="K128" i="8"/>
  <c r="K23" i="8"/>
  <c r="R89" i="8"/>
  <c r="I42" i="8"/>
  <c r="I70" i="8" s="1"/>
  <c r="I138" i="8"/>
  <c r="I139" i="8" s="1"/>
  <c r="K22" i="8"/>
  <c r="K30" i="8" s="1"/>
  <c r="K60" i="8"/>
  <c r="S80" i="8"/>
  <c r="S89" i="8" s="1"/>
  <c r="S139" i="8" s="1"/>
  <c r="G162" i="9"/>
  <c r="R231" i="8"/>
  <c r="S216" i="8"/>
  <c r="K216" i="8" l="1"/>
  <c r="Q233" i="8"/>
  <c r="J30" i="8"/>
  <c r="R139" i="8"/>
  <c r="R222" i="8" s="1"/>
  <c r="R232" i="8" s="1"/>
  <c r="R233" i="8" s="1"/>
  <c r="I208" i="8"/>
  <c r="T30" i="8"/>
  <c r="T139" i="8"/>
  <c r="T191" i="8"/>
  <c r="J139" i="8"/>
  <c r="S222" i="8"/>
  <c r="T32" i="8"/>
  <c r="T42" i="8" s="1"/>
  <c r="J42" i="8"/>
  <c r="J68" i="8"/>
  <c r="T55" i="8"/>
  <c r="T68" i="8" s="1"/>
  <c r="K138" i="8"/>
  <c r="K139" i="8" s="1"/>
  <c r="K202" i="8"/>
  <c r="K201" i="8"/>
  <c r="K167" i="8"/>
  <c r="K191" i="8" s="1"/>
  <c r="T205" i="8"/>
  <c r="T206" i="8" s="1"/>
  <c r="S206" i="8"/>
  <c r="S208" i="8" s="1"/>
  <c r="K153" i="8"/>
  <c r="J208" i="8" l="1"/>
  <c r="T222" i="8"/>
  <c r="O43" i="14"/>
  <c r="O47" i="14" s="1"/>
  <c r="I218" i="8"/>
  <c r="J218" i="8"/>
  <c r="T70" i="8"/>
  <c r="T208" i="8" s="1"/>
  <c r="K208" i="8"/>
  <c r="J70" i="8"/>
  <c r="I220" i="8" l="1"/>
  <c r="I221" i="8" s="1"/>
  <c r="K218" i="8"/>
  <c r="K220" i="8" s="1"/>
  <c r="K221" i="8" s="1"/>
  <c r="J220" i="8"/>
  <c r="J221" i="8" s="1"/>
  <c r="T218" i="8"/>
  <c r="T220" i="8" s="1"/>
  <c r="K222" i="8" l="1"/>
  <c r="T221" i="8"/>
</calcChain>
</file>

<file path=xl/sharedStrings.xml><?xml version="1.0" encoding="utf-8"?>
<sst xmlns="http://schemas.openxmlformats.org/spreadsheetml/2006/main" count="6117" uniqueCount="948">
  <si>
    <t>PROPOSAL FOR UNITED NATIONS PEACEBUILDING FUNDS - UNPBF</t>
  </si>
  <si>
    <t>BUDGET PERIOD</t>
  </si>
  <si>
    <t>24 Months</t>
  </si>
  <si>
    <t xml:space="preserve">AMOUNT BUDGETISED </t>
  </si>
  <si>
    <t>ACTIVITIES</t>
  </si>
  <si>
    <t>DESCRIPTION</t>
  </si>
  <si>
    <t>Unit Type</t>
  </si>
  <si>
    <t>No of Units</t>
  </si>
  <si>
    <t>Frequency</t>
  </si>
  <si>
    <t>Unit Cost</t>
  </si>
  <si>
    <t>Total Dollars</t>
  </si>
  <si>
    <t>ICTJ</t>
  </si>
  <si>
    <t>SPENT(Y1Q1) March 2023</t>
  </si>
  <si>
    <t>SPENT(Y1Q2) June 2023</t>
  </si>
  <si>
    <t>SPENT(Y1Q3) September 2023</t>
  </si>
  <si>
    <t>SPENT(Y1Q4) December2023</t>
  </si>
  <si>
    <t>Variance</t>
  </si>
  <si>
    <t>Amount spent on GEWE</t>
  </si>
  <si>
    <t xml:space="preserve">SPECIFIC OBJECTIVE 1 - To strengthen the capacity of young leaders to identify obstacles they face to participate in the country’s social, economic and political life, differentiating by gender and by other factors (region of residence, ethnic or religious identity); and to develop proposals and demands to different instances for addressing those issues </t>
  </si>
  <si>
    <t>Category</t>
  </si>
  <si>
    <t>A1.1</t>
  </si>
  <si>
    <t xml:space="preserve">Strategic planning retreat with partners </t>
  </si>
  <si>
    <t xml:space="preserve">Total </t>
  </si>
  <si>
    <t>2. Supplies, Commodities, Materials</t>
  </si>
  <si>
    <t>1.1</t>
  </si>
  <si>
    <t>Venue hire 3 days</t>
  </si>
  <si>
    <t>Piece</t>
  </si>
  <si>
    <t>Accomodation</t>
  </si>
  <si>
    <t>Meals &amp; refreshments</t>
  </si>
  <si>
    <t>Person</t>
  </si>
  <si>
    <t>5.Travel</t>
  </si>
  <si>
    <t>Transportation refund for 30 participants</t>
  </si>
  <si>
    <t>DSA for 30 participants</t>
  </si>
  <si>
    <t>3. Equipment, Vehicles, and Furniture (including Depreciation)</t>
  </si>
  <si>
    <t xml:space="preserve">Vehicle rent </t>
  </si>
  <si>
    <t>Logistic transport cost</t>
  </si>
  <si>
    <t>Transport cost for resource persons(NYC&amp;MoJ)</t>
  </si>
  <si>
    <t>Resource person fee</t>
  </si>
  <si>
    <t>Visibility(Banner&amp; USB)</t>
  </si>
  <si>
    <t>Fuel for vehicle rental</t>
  </si>
  <si>
    <t>Stationery</t>
  </si>
  <si>
    <t xml:space="preserve">Flight Expert  </t>
  </si>
  <si>
    <t>Expert perdiem</t>
  </si>
  <si>
    <t>Days</t>
  </si>
  <si>
    <t>Air airport transfer fees</t>
  </si>
  <si>
    <t>4. Contractual services</t>
  </si>
  <si>
    <t>Program Assistant</t>
  </si>
  <si>
    <t>Gender Consultant</t>
  </si>
  <si>
    <t xml:space="preserve">Media Consultant </t>
  </si>
  <si>
    <t>x</t>
  </si>
  <si>
    <t>SUB-TOTAL A1.1</t>
  </si>
  <si>
    <t>A1.2</t>
  </si>
  <si>
    <t xml:space="preserve">Series of 3 trainings of youth organization members on transitional justice issues, youth and peacebuilding, and sustainable development </t>
  </si>
  <si>
    <t>1.2</t>
  </si>
  <si>
    <t>Venue hire 2 days</t>
  </si>
  <si>
    <t>Catering for 25 participants (2 coffee breaks &amp; lunch)</t>
  </si>
  <si>
    <t>Printed material and others suplies for participants</t>
  </si>
  <si>
    <t>Transport reimbursement for 25 participants</t>
  </si>
  <si>
    <t>Hire a local consultant</t>
  </si>
  <si>
    <t>DSA for 25 participants</t>
  </si>
  <si>
    <t>Visibility - banners</t>
  </si>
  <si>
    <t>SUB-TOTAL A1.2</t>
  </si>
  <si>
    <t>A1.3</t>
  </si>
  <si>
    <t>Ongoing mentorship and assistance to partners</t>
  </si>
  <si>
    <t>1.3</t>
  </si>
  <si>
    <t>Transport fees</t>
  </si>
  <si>
    <t>Communication fees</t>
  </si>
  <si>
    <t>Internet fees</t>
  </si>
  <si>
    <t>SUB-TOTAL A1.3</t>
  </si>
  <si>
    <t>A1.4</t>
  </si>
  <si>
    <t>Trainings of rural youth by peer trainers on international frameworks and opportunities in domestic policies to advance their rights</t>
  </si>
  <si>
    <t>1.4</t>
  </si>
  <si>
    <t>Meals &amp; refreshments for 50 participants (2 coffee breaks &amp; lunch)</t>
  </si>
  <si>
    <t>Transport reimbursement for 50 participants</t>
  </si>
  <si>
    <t>DSA for 4 participants / region</t>
  </si>
  <si>
    <t>DSA for 10 trainers / region</t>
  </si>
  <si>
    <t>Transport 10 trainers / region</t>
  </si>
  <si>
    <t>Fees trainers</t>
  </si>
  <si>
    <t>Vehicle rent 4X4</t>
  </si>
  <si>
    <t>Logistical support focal point</t>
  </si>
  <si>
    <t>Monitoring and technical assitance (DSA &amp; Transport)</t>
  </si>
  <si>
    <t>6. Transfers and Grants to Counterparts</t>
  </si>
  <si>
    <t>Sub-grant</t>
  </si>
  <si>
    <t>SUB-TOTAL A1.4</t>
  </si>
  <si>
    <t>TOTAL  OUTCOME 1</t>
  </si>
  <si>
    <t>SPECIFIC OBJECTIVE 2 - Youth have increased capacity to engage duty-bearer and voice their demands</t>
  </si>
  <si>
    <t>A2.1</t>
  </si>
  <si>
    <t xml:space="preserve">Develop a user-friendly summary of the White Paper </t>
  </si>
  <si>
    <t>2.1</t>
  </si>
  <si>
    <t>Edtion fees</t>
  </si>
  <si>
    <t>SUB-TOTAL ACT 2.1</t>
  </si>
  <si>
    <t>A2.2</t>
  </si>
  <si>
    <t>Peer to peer discussions on TRRC recommendations and government White paper</t>
  </si>
  <si>
    <t>2.2</t>
  </si>
  <si>
    <t>Meals &amp; refreshments for 25 participants (2 coffee breaks &amp; lunch)</t>
  </si>
  <si>
    <t>DSA for ICTJ staff for one region</t>
  </si>
  <si>
    <t xml:space="preserve">vehicle rent </t>
  </si>
  <si>
    <t>SUB-TOTAL ACT 2.2</t>
  </si>
  <si>
    <t>A2.3</t>
  </si>
  <si>
    <t xml:space="preserve">Country-wide caravan and youth-led intergenerational dialogues with community leaders </t>
  </si>
  <si>
    <t>2.3</t>
  </si>
  <si>
    <t>Venue hire</t>
  </si>
  <si>
    <t>Each</t>
  </si>
  <si>
    <t>Transportation for participants</t>
  </si>
  <si>
    <t>Podium truck hire for the caravan</t>
  </si>
  <si>
    <t>Mini van hire for the caravan participants</t>
  </si>
  <si>
    <t>DSA for 12 participants + 3 ICTJ staff</t>
  </si>
  <si>
    <t>Printed materials and supply</t>
  </si>
  <si>
    <t>Visibility (banner, tee shirt…)</t>
  </si>
  <si>
    <t>Fuel for vehicle hire</t>
  </si>
  <si>
    <t>Rental equipment (sound)</t>
  </si>
  <si>
    <t>Performance (5 artists and 7 kaneleng group)</t>
  </si>
  <si>
    <t>Radio program</t>
  </si>
  <si>
    <t>Regional preparation and adverstisment of the caravan</t>
  </si>
  <si>
    <t>SUB-TOTAL ACT 2.3</t>
  </si>
  <si>
    <t>A2.4</t>
  </si>
  <si>
    <r>
      <t xml:space="preserve">Outreach and sensitization on the TRRC recommendations and White Paper content relevant to addressing SGBV and acknowledging women’s experiences under the dictatorship </t>
    </r>
    <r>
      <rPr>
        <b/>
        <u/>
        <sz val="9"/>
        <color rgb="FFFF0000"/>
        <rFont val="Calibri"/>
        <family val="2"/>
        <scheme val="minor"/>
      </rPr>
      <t>(Mural and Tik tok campaign)</t>
    </r>
  </si>
  <si>
    <t>2.4</t>
  </si>
  <si>
    <t>Commnication &amp; internet fees partners</t>
  </si>
  <si>
    <t xml:space="preserve">Venue hire </t>
  </si>
  <si>
    <t>Meals &amp; refreshments for 20 participants (2 coffee breaks &amp; lunch)</t>
  </si>
  <si>
    <t>DSA for 2 ICTJ + 2 Partners</t>
  </si>
  <si>
    <t>Transport reimbursement for 20 participants</t>
  </si>
  <si>
    <t>,</t>
  </si>
  <si>
    <t>Painter hire</t>
  </si>
  <si>
    <t>Supplies for painter</t>
  </si>
  <si>
    <t>Mural building</t>
  </si>
  <si>
    <t>Ceromony Mural painting</t>
  </si>
  <si>
    <t>SUB-TOTAL ACT 2.4</t>
  </si>
  <si>
    <t>A2.5</t>
  </si>
  <si>
    <t>Roundtables on youth participation and engagement with duty-bearers</t>
  </si>
  <si>
    <t>2.5</t>
  </si>
  <si>
    <t>Venue hire 1 day</t>
  </si>
  <si>
    <t>Meals &amp; refreshments for 30 participants (2 coffee breaks &amp; lunch)</t>
  </si>
  <si>
    <t>Transport reimbursement for 30 participants</t>
  </si>
  <si>
    <t>DSA for 4 persons / region</t>
  </si>
  <si>
    <t>Vehicle hire</t>
  </si>
  <si>
    <t>SUB-TOTAL ACT 2.5</t>
  </si>
  <si>
    <t>TOTAL  OUTCOME 2</t>
  </si>
  <si>
    <t>A3.1</t>
  </si>
  <si>
    <t>Meetings between youth and local authorities to discuss, prepare, and facilitate systematic and ongoing engagement on governance, peacebuilding, development, and social rights</t>
  </si>
  <si>
    <t>3.1</t>
  </si>
  <si>
    <t xml:space="preserve">DSA for ICTJ staff </t>
  </si>
  <si>
    <t>Transfers and Grants to Counterparts</t>
  </si>
  <si>
    <t>Sub-total</t>
  </si>
  <si>
    <t>SUB-TOTAL  A3.1</t>
  </si>
  <si>
    <t>A3.2</t>
  </si>
  <si>
    <t>National conference on opportunities, challenges, and strategies for improving the protection and participation of youth in political processes and peacebuilding</t>
  </si>
  <si>
    <t>3.2</t>
  </si>
  <si>
    <t>Meals &amp; refreshments for 100 participants (2 coffee breaks &amp; lunch)</t>
  </si>
  <si>
    <t>Transport reimbursement region  for participants</t>
  </si>
  <si>
    <t>DSA region  for participants</t>
  </si>
  <si>
    <t>Transport reimbursement for participants</t>
  </si>
  <si>
    <t>International travel HoP</t>
  </si>
  <si>
    <t>Airport transfer fees</t>
  </si>
  <si>
    <t>Conference report</t>
  </si>
  <si>
    <t>SUB-TOTAL ACT 3.2</t>
  </si>
  <si>
    <t>A3.3</t>
  </si>
  <si>
    <t>Regional youth conference on participation in transitional justice processes, peacebuilding and governance</t>
  </si>
  <si>
    <t>3.3</t>
  </si>
  <si>
    <t>Venue hire day 1</t>
  </si>
  <si>
    <t>Meals &amp; refreshments for 100 participants (2 coffee breaks &amp; lunch) day 1</t>
  </si>
  <si>
    <t>Transport reimbursement region  30 for participants day 1</t>
  </si>
  <si>
    <t>DSA region  for 30 participants day 1</t>
  </si>
  <si>
    <t>Transport reimbursement for Banjul participants day 1</t>
  </si>
  <si>
    <t>Airtickets for 4 regional youth</t>
  </si>
  <si>
    <t>Perdiem for 4 regional youth</t>
  </si>
  <si>
    <t>Printed material and others suplies for participants 2 days</t>
  </si>
  <si>
    <t>Translation fees (lumpsum)</t>
  </si>
  <si>
    <t>Venue hire (2nd day)</t>
  </si>
  <si>
    <t>Meals &amp; refreshments for 120 participants (2 coffee breaks &amp; lunch)</t>
  </si>
  <si>
    <t>Transport reimbursement region  30 for participants</t>
  </si>
  <si>
    <t>1 ICTJ Flight Expert  + 2 AU representatives</t>
  </si>
  <si>
    <t>Perdiem 1 ictj Expert  + 2 AU representatives</t>
  </si>
  <si>
    <t>SUB-TOTAL ACT 3.3</t>
  </si>
  <si>
    <t>TOTAL  OUTCOME 3</t>
  </si>
  <si>
    <t>Project support</t>
  </si>
  <si>
    <t>Month</t>
  </si>
  <si>
    <t xml:space="preserve">PARTNERS supporting funds </t>
  </si>
  <si>
    <t>SUB-TOTAL ACT 2,2</t>
  </si>
  <si>
    <t>TOTAL PARTNERS</t>
  </si>
  <si>
    <t>SUB-TOTAL Project support</t>
  </si>
  <si>
    <t>Monitoring and Evaluation / Audit</t>
  </si>
  <si>
    <t>Monitoring and Evaluation</t>
  </si>
  <si>
    <t>SUB-TOTAL Monitoring and Evaluation</t>
  </si>
  <si>
    <t>SUB-TOTAL ACTIVITIES PROJECT COSTS</t>
  </si>
  <si>
    <t>PROJECT STAFF COSTS</t>
  </si>
  <si>
    <t>1.Staff</t>
  </si>
  <si>
    <t>Head of Program</t>
  </si>
  <si>
    <t>Finance Officer</t>
  </si>
  <si>
    <t>Deputy of Program</t>
  </si>
  <si>
    <t xml:space="preserve">Virginie </t>
  </si>
  <si>
    <t>Mateo</t>
  </si>
  <si>
    <t>TOTAL PROJECT STAFF COST</t>
  </si>
  <si>
    <t>INDIRECT COSTS</t>
  </si>
  <si>
    <t>7.ODC</t>
  </si>
  <si>
    <t>Office operating expenses</t>
  </si>
  <si>
    <t>TOTAL INDIRECT COSTS</t>
  </si>
  <si>
    <t>TOTAL FIXED COSTS</t>
  </si>
  <si>
    <t>GRAND TOTAL</t>
  </si>
  <si>
    <t>Total GEWE</t>
  </si>
  <si>
    <t>1. Staff</t>
  </si>
  <si>
    <t>2. Supplies</t>
  </si>
  <si>
    <t>3. Equipment</t>
  </si>
  <si>
    <t>4. Contractual Svces</t>
  </si>
  <si>
    <t>7. ODC</t>
  </si>
  <si>
    <t xml:space="preserve">Annex D - PBF Project Budget </t>
  </si>
  <si>
    <t>CSO Version</t>
  </si>
  <si>
    <t>Table 1 - PBF project budget by outcome, output and activity</t>
  </si>
  <si>
    <t>Recipient Organization</t>
  </si>
  <si>
    <t>Recipient Organization 2 Budget</t>
  </si>
  <si>
    <t>Recipient Organization 3 Budget</t>
  </si>
  <si>
    <t>Total</t>
  </si>
  <si>
    <t xml:space="preserve">OUTCOME 1: </t>
  </si>
  <si>
    <t xml:space="preserve"> Gambian Youth are empowered as agents of change </t>
  </si>
  <si>
    <t>Output 1.1:</t>
  </si>
  <si>
    <t xml:space="preserve">Organizational capacity of the youth-led organizations and their leaders has increased </t>
  </si>
  <si>
    <t>Activity 1.1.1:</t>
  </si>
  <si>
    <t>This activity targets 52% women. Additionally indicators under this activity are focused on empowering young women participants to engage throughout the project  and particiapte in peacebuuidling initiatives.</t>
  </si>
  <si>
    <t>Inclusive of venue hire, meals and refreshments, transportation and DSA for participants, vehicle rent and fuel, air fare and per diem for expert, and consultancy from program assistant, gender consultant, and media consultant</t>
  </si>
  <si>
    <t>Activity 1.1.2:</t>
  </si>
  <si>
    <t>Our subgranting partner who is one of the targets of this activity,  Think Young Women, is women-led and works primarily with young women.   Additionally indicators under this activity are focused on empowering young women participants to engage throughout the project  and particiapte in peacebuuidling initiatives.</t>
  </si>
  <si>
    <t>Inclusive of transport, commnication, and internet fees and and consultancy from program assistant, gender consultant, and media consultant</t>
  </si>
  <si>
    <t>Activity 1.1.3:</t>
  </si>
  <si>
    <t>Activity 1.1.4</t>
  </si>
  <si>
    <t>Activity 1.1.5</t>
  </si>
  <si>
    <t>Activity 1.1.6</t>
  </si>
  <si>
    <t>Activity 1.1.7</t>
  </si>
  <si>
    <t>Activity 1.1.8</t>
  </si>
  <si>
    <t>Output Total</t>
  </si>
  <si>
    <t>Output 1.2:</t>
  </si>
  <si>
    <t>A pool of 10 peer-trainers is established to conduct training on TJ, peacebuilding and SDG</t>
  </si>
  <si>
    <t>Activity 1.2.1</t>
  </si>
  <si>
    <t>This activity targets 60% women. Additionally indicators under this activity are focused on empowering young women participants to engage throughout the project  and particiapte in peacebuuidling initiatives.</t>
  </si>
  <si>
    <t>Inclusive of venue hire, catering, transport reimbursement, and printed materials for participants, visibility, and consultancy from program assistant, gender consultant, and media consultant</t>
  </si>
  <si>
    <t>Activity 1.2.2</t>
  </si>
  <si>
    <t>Activity 1.2.3</t>
  </si>
  <si>
    <t>Activity 1.2.4</t>
  </si>
  <si>
    <t>Activity 1.2.5</t>
  </si>
  <si>
    <t>Activity 1.2.6</t>
  </si>
  <si>
    <t>Activity 1.2.7</t>
  </si>
  <si>
    <t>Activity 1.2.8</t>
  </si>
  <si>
    <t>Output 1.3:</t>
  </si>
  <si>
    <t xml:space="preserve">Knowledge of 250 young people increased on national and international policies protecting their rights, peacebuilding and sustainable development </t>
  </si>
  <si>
    <t>Activity 1.3.1</t>
  </si>
  <si>
    <t>This activity targets 50% women. Additionally indicators under this activity are focused on empowering young women participants to engage throughout the project  and particiapte in peacebuuidling initiatives.</t>
  </si>
  <si>
    <t>Inclusive of venue hire, meals and refreshments and printed materials for participants, transportation and DSA for participants, vehicle rent and fuel, trainer fees, sub granting to implementing partners, consultancy from program assistant, gender consultant, and media consultant</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</si>
  <si>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</si>
  <si>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</si>
  <si>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</si>
  <si>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</si>
  <si>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</si>
  <si>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</si>
  <si>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</si>
  <si>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</si>
  <si>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</si>
  <si>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</si>
  <si>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</si>
  <si>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</si>
  <si>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</si>
  <si>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</si>
  <si>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</si>
  <si>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</si>
  <si>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</si>
  <si>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youth have increased capacity to engage duty-bearers and promote accountability</t>
  </si>
  <si>
    <t>Outcome 2.1</t>
  </si>
  <si>
    <t>User friendly version of the white paper developed</t>
  </si>
  <si>
    <t>Activity 2.1.1</t>
  </si>
  <si>
    <t>Production and Publication Fees</t>
  </si>
  <si>
    <t>Activity 2.1.2</t>
  </si>
  <si>
    <t>Activity 2.1.3</t>
  </si>
  <si>
    <t>Activity 2.1.4</t>
  </si>
  <si>
    <t>Activity 2.1.5</t>
  </si>
  <si>
    <t>Activity 2.1.6</t>
  </si>
  <si>
    <t>Activity 2.1.7</t>
  </si>
  <si>
    <t>Activity 2.1.8</t>
  </si>
  <si>
    <t>Output 2.2</t>
  </si>
  <si>
    <t xml:space="preserve">
Dialogues conducted between local authorities on the TRRC recommendations and white paper </t>
  </si>
  <si>
    <t>Activity 2.2.1</t>
  </si>
  <si>
    <t>This activity targets 50% women</t>
  </si>
  <si>
    <t>Inclusive of venue hire, meals and refreshments and printed materials for participants, transport reimbursement for participants, DSA for ICTJ staff, vehicle rental and fuel, sub granting to implementing partners and consultancy from program assistant, gender consultant, and media consultant</t>
  </si>
  <si>
    <t>Activity 2.2.2</t>
  </si>
  <si>
    <t>Activity 2.2.3</t>
  </si>
  <si>
    <t>Activity 2.2.4</t>
  </si>
  <si>
    <t>Activity 2.2.5</t>
  </si>
  <si>
    <t>Activity 2.2.6</t>
  </si>
  <si>
    <t>Activity 2.2.7</t>
  </si>
  <si>
    <t>Activity 2.2.8</t>
  </si>
  <si>
    <t>Output 2.3</t>
  </si>
  <si>
    <t xml:space="preserve">youth, including rural youth and young women, are more aware of their rights, the contents of the government White paper and TRRC report recommendations especially recommendations on SGBV and women rights </t>
  </si>
  <si>
    <t>Activity 2.3.1</t>
  </si>
  <si>
    <t>This activity targets 50% women. The Caravan will include performances by Kaneleng groups (rejected (non-fertile) women who assume a non-gendered/marginal identity in traditional societies and are traditional communicators, using the power of song, story, and rituals to pass messages)</t>
  </si>
  <si>
    <t>inclusive of podium truck hire for caravan, mini van hire for caravan participants, DSA for participants and ICTJ staff, printed materials and visbility including advertisment of the caravan, sub granting to implementing partners, sound rental equipment, performance fees, radio program, consultancy from program assistant, gender consultant, and media consultant</t>
  </si>
  <si>
    <t>Activity 2.3.2</t>
  </si>
  <si>
    <t xml:space="preserve">Outreach and sensitization on the TRRC recommendations and White Paper content relevant to addressing SGBV and acknowledging women’s experiences under the dictatorship </t>
  </si>
  <si>
    <t xml:space="preserve">This activity is focused on women victims of SGBV, and the production of the murals under this activity will be centered on acknoweldging victims of dictator-era witch hunts to support sensitization and empathy </t>
  </si>
  <si>
    <t>Inclusive of communication and internet fees, venu hire, meals and refreshments for participants, vehicle hire and fuel, transport reimbursement for participants, painter hire and supplies, costs for mural ceremony, consultancy from program assistant, gender consultant, and media consultant</t>
  </si>
  <si>
    <t>Activity 2.3.3</t>
  </si>
  <si>
    <t>Activity 2.3.4</t>
  </si>
  <si>
    <t>Activity 2.3.5</t>
  </si>
  <si>
    <t>Activity 2.3.6</t>
  </si>
  <si>
    <t>Activity 2.3.7</t>
  </si>
  <si>
    <t>Activity 2.3.8</t>
  </si>
  <si>
    <t>Output 2.4</t>
  </si>
  <si>
    <t>Authorities sensitized about role of youth and youth participation</t>
  </si>
  <si>
    <t>Activity 2.4.1</t>
  </si>
  <si>
    <t>Inclusive of venue hire, meals and refreshments and printed materials for participants, transport reimbursement for participants, DSA for ICTJ staff and partners, vehicle rental and fuel, sub granting to implementing partners and consultancy from program assistant, gender consultant and media consultant</t>
  </si>
  <si>
    <t>Activity 2.4.2</t>
  </si>
  <si>
    <t>Activity 2.4.3</t>
  </si>
  <si>
    <t>Activity 2.4.4</t>
  </si>
  <si>
    <t>Activity 2.4.5</t>
  </si>
  <si>
    <t>Activity 2.4.6</t>
  </si>
  <si>
    <t>Activity 2.4.7</t>
  </si>
  <si>
    <t>Activity 2.4.8</t>
  </si>
  <si>
    <t xml:space="preserve">OUTCOME 3: </t>
  </si>
  <si>
    <t xml:space="preserve"> Youth can safely and meaningfully participate in governance issues, reconciliation, and prevention</t>
  </si>
  <si>
    <t>Output 3.1</t>
  </si>
  <si>
    <t>Local authorities systematically engage young people to discuss issues of governance, development and social rights</t>
  </si>
  <si>
    <t>Activity 3.1.1</t>
  </si>
  <si>
    <t>This activity targets 50% women. Discussions during this activity will include issues of women's rights and gender equality</t>
  </si>
  <si>
    <t>Inclusive of venue hire, meals and refreshments for participants, transport reimbursement for participants, DSA for ICTJ staff, vehicle hire and fuel, logisitcal support for the focal point, sub granting to implementing partners, consultancy from program assistant, gender consultant, and media consultant</t>
  </si>
  <si>
    <t>Activity 3.1.2</t>
  </si>
  <si>
    <t>Activity 3.1.3</t>
  </si>
  <si>
    <t>Activity 3.1.4</t>
  </si>
  <si>
    <t>Activity 3.1.5</t>
  </si>
  <si>
    <t>Activity 3.1.6</t>
  </si>
  <si>
    <t>Activity 3.1.7</t>
  </si>
  <si>
    <t>Activity 3.1.8</t>
  </si>
  <si>
    <t>Output 3.2:</t>
  </si>
  <si>
    <t>ICTJ facilitates a space for interaction between young people and duty bearers after the preparation of the young people (done under outcome 1).</t>
  </si>
  <si>
    <t>Activity 3.2.1</t>
  </si>
  <si>
    <t>Inclusive of venue hire, meals and refreshements for participants, transport reimbursement for participants, printed materials, travel for ICTJ exper, consultancy from program assistant, gender consultant, and media consultant</t>
  </si>
  <si>
    <t>Activity 3.2.2</t>
  </si>
  <si>
    <t>Activity 3.2.3</t>
  </si>
  <si>
    <t>Activity 3.2.4</t>
  </si>
  <si>
    <t>Activity 3.2.5</t>
  </si>
  <si>
    <t>Activity 3.2.6</t>
  </si>
  <si>
    <t>Activity 3.2.7</t>
  </si>
  <si>
    <t>Activity 3.2.8</t>
  </si>
  <si>
    <t>Output 3.3</t>
  </si>
  <si>
    <t>Youth activists from Cote d’Ivoire and Gambia are interconnected and able to share their experiences and advance their rights to participation and contribute to TJ processes and peacebuilding in their countries.</t>
  </si>
  <si>
    <t>Activity 3.3.1</t>
  </si>
  <si>
    <t>Inclusive of venue hire, meals and refreshements for participants, transport reimbursement for participants, printed materials, DSA for participants,  travel for regional youth and ICTJ expert, per diem for ICTJ expert, translations fees,  consultancy from program assistant, gender consultant, and media consultant</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</si>
  <si>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</si>
  <si>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</si>
  <si>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</si>
  <si>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</si>
  <si>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</si>
  <si>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</si>
  <si>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</si>
  <si>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</si>
  <si>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</si>
  <si>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</si>
  <si>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</si>
  <si>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</si>
  <si>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</si>
  <si>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</si>
  <si>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</si>
  <si>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</si>
  <si>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</si>
  <si>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</si>
  <si>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</si>
  <si>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</si>
  <si>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</si>
  <si>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</si>
  <si>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</si>
  <si>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</si>
  <si>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</si>
  <si>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</si>
  <si>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</si>
  <si>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</si>
  <si>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</si>
  <si>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</si>
  <si>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</si>
  <si>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</si>
  <si>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</si>
  <si>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</si>
  <si>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</si>
  <si>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</si>
  <si>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</si>
  <si>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</si>
  <si>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</si>
  <si>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</si>
  <si>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</si>
  <si>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</si>
  <si>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</si>
  <si>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</si>
  <si>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</si>
  <si>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</si>
  <si>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</si>
  <si>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</si>
  <si>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</si>
  <si>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</si>
  <si>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</si>
  <si>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</si>
  <si>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</si>
  <si>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</si>
  <si>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</si>
  <si>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</si>
  <si>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</si>
  <si>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Budget for independent audit</t>
  </si>
  <si>
    <t>Total Additional Costs</t>
  </si>
  <si>
    <t>Totals</t>
  </si>
  <si>
    <t>Sub-Total Project Budget</t>
  </si>
  <si>
    <t>Indirect support costs (7%):</t>
  </si>
  <si>
    <t>Performance-Based Tranche Breakdown</t>
  </si>
  <si>
    <t xml:space="preserve">Recipient Organization </t>
  </si>
  <si>
    <t>Tranche %</t>
  </si>
  <si>
    <t>First Tranche:</t>
  </si>
  <si>
    <t>Second Tranche:</t>
  </si>
  <si>
    <t>Third Tranche</t>
  </si>
  <si>
    <t>Total:</t>
  </si>
  <si>
    <t>Total Expenditure</t>
  </si>
  <si>
    <t>% Towards GEWE</t>
  </si>
  <si>
    <t>Delivery Rate:</t>
  </si>
  <si>
    <t>% Towards M&amp;E</t>
  </si>
  <si>
    <t>Name of Funder:</t>
  </si>
  <si>
    <t>UNPBF</t>
  </si>
  <si>
    <t xml:space="preserve">Grant Period: </t>
  </si>
  <si>
    <t>1/01/2024-3/31/2024</t>
  </si>
  <si>
    <t xml:space="preserve">Fund Code: </t>
  </si>
  <si>
    <t xml:space="preserve">Purpose: </t>
  </si>
  <si>
    <t>Reconcliling donor report to GL record</t>
  </si>
  <si>
    <t>GL Code</t>
  </si>
  <si>
    <t>GL Title</t>
  </si>
  <si>
    <t>Doc Number</t>
  </si>
  <si>
    <t>Description</t>
  </si>
  <si>
    <t>Session ID</t>
  </si>
  <si>
    <t>Effective</t>
  </si>
  <si>
    <t>Debit</t>
  </si>
  <si>
    <t>Credit</t>
  </si>
  <si>
    <t>Net</t>
  </si>
  <si>
    <t>Country Code</t>
  </si>
  <si>
    <t>Funder Code</t>
  </si>
  <si>
    <t xml:space="preserve"> </t>
  </si>
  <si>
    <t>Row Labels</t>
  </si>
  <si>
    <t>Sum of Net</t>
  </si>
  <si>
    <t>5005</t>
  </si>
  <si>
    <t>Wages - International - Full Time</t>
  </si>
  <si>
    <t>Gambia-JAN 24</t>
  </si>
  <si>
    <t>Salary January 2024 -Programs Assistant</t>
  </si>
  <si>
    <t>JV-MP021424</t>
  </si>
  <si>
    <t>Gam</t>
  </si>
  <si>
    <t>3007</t>
  </si>
  <si>
    <t>Gambia-FEB 24</t>
  </si>
  <si>
    <t>Salary February 2024 -Finance Officer 48%</t>
  </si>
  <si>
    <t>JV-MP031224</t>
  </si>
  <si>
    <t>Banking / Credit Cards Fee</t>
  </si>
  <si>
    <t>Salary February 2024 -Gender Consultant</t>
  </si>
  <si>
    <t>Consultants</t>
  </si>
  <si>
    <t>Salary February 2024 -Programs Assistant</t>
  </si>
  <si>
    <t>Grants / Subcontracts Awarded</t>
  </si>
  <si>
    <t>Gambia-MAR 24</t>
  </si>
  <si>
    <t>Salary March 2024 -Programs Assistant</t>
  </si>
  <si>
    <t>JV-MP041024</t>
  </si>
  <si>
    <t>Ground (Car/Mileage, Rail, Taxi/Shuttle)</t>
  </si>
  <si>
    <t>Salary March 2024 -Finance Officer</t>
  </si>
  <si>
    <t>Meals &amp; Per Diem</t>
  </si>
  <si>
    <t>Salary March 2024 -Gender Consultant</t>
  </si>
  <si>
    <t>Media Outreach / Publicity</t>
  </si>
  <si>
    <t>5999</t>
  </si>
  <si>
    <t>Salary &amp; Fringes Fund Allocation</t>
  </si>
  <si>
    <t>Jan 2024 sal Alloc</t>
  </si>
  <si>
    <t>Ladisch, Virginie</t>
  </si>
  <si>
    <t>JV-JS013124 Sal Alloc</t>
  </si>
  <si>
    <t>9999</t>
  </si>
  <si>
    <t>Office Supplies / Materials</t>
  </si>
  <si>
    <t>Porciuncula, Mateo</t>
  </si>
  <si>
    <t>Rental Halls / Convention Center</t>
  </si>
  <si>
    <t>Roccatello, Anna Myriam</t>
  </si>
  <si>
    <t>Feb 2024 sal Alloc</t>
  </si>
  <si>
    <t>JV-JS022924 Sal Alloc</t>
  </si>
  <si>
    <t>Subscriptions &amp; Membership Fees</t>
  </si>
  <si>
    <t>Telephone &amp; Internet Access</t>
  </si>
  <si>
    <t>Mar 2024 sal Alloc</t>
  </si>
  <si>
    <t>JV-JS033124 Sal Alloc</t>
  </si>
  <si>
    <t>(blank)</t>
  </si>
  <si>
    <t>Grand Total</t>
  </si>
  <si>
    <t>6001</t>
  </si>
  <si>
    <t>10-FY2024</t>
  </si>
  <si>
    <t>JANUARY 2024 - PROFESSIONAL SERVICE   - HEAD OF PROGRAM - THE GAMBIA  - D GBERY</t>
  </si>
  <si>
    <t>cv012424</t>
  </si>
  <si>
    <t>Grant Amount</t>
  </si>
  <si>
    <t>Gambia-adv 0124</t>
  </si>
  <si>
    <t>Fees for Trainers</t>
  </si>
  <si>
    <t>Cash Received</t>
  </si>
  <si>
    <t>11-FY2024</t>
  </si>
  <si>
    <t>PAYMENT FOR PROFESSIONAL SERVICE - HEAD OF PROGRAM THE GAMBIA /HEALTH (FEBRUARY 2024) - D GBERY</t>
  </si>
  <si>
    <t>cv032524</t>
  </si>
  <si>
    <t>Expenses to date</t>
  </si>
  <si>
    <t>12 -FY2024</t>
  </si>
  <si>
    <t>MARCH 2024 - PROFESSIONAL SERVICE   - HEAD OF PROGRAM - THE GAMBIA  - D GBERY</t>
  </si>
  <si>
    <t>Unspent to date</t>
  </si>
  <si>
    <t>6501</t>
  </si>
  <si>
    <t>Newspaper Subscription Monthly Payment</t>
  </si>
  <si>
    <t>Adjustments:</t>
  </si>
  <si>
    <t>Nido Milk Qty 1</t>
  </si>
  <si>
    <t>Coffee Qty 1</t>
  </si>
  <si>
    <t>Water Refill Qty 4</t>
  </si>
  <si>
    <t>Sugar Cubes Qty 2</t>
  </si>
  <si>
    <t>NAWEC Cash Power December</t>
  </si>
  <si>
    <t>Bleach</t>
  </si>
  <si>
    <t>Shopping Bag</t>
  </si>
  <si>
    <t>Gambia-adv 0224</t>
  </si>
  <si>
    <t>Stapling Manchine</t>
  </si>
  <si>
    <t>Led Bulb 2</t>
  </si>
  <si>
    <t>Toilet Roll Qty 1 bag</t>
  </si>
  <si>
    <t>Mugs and Spoon</t>
  </si>
  <si>
    <t>Short broom and Dustpan</t>
  </si>
  <si>
    <t>A4 Paper Box Qty 2</t>
  </si>
  <si>
    <t>Higlighter Pen</t>
  </si>
  <si>
    <t>Air Freshner for  Office Qty 3</t>
  </si>
  <si>
    <t>Hand Wash</t>
  </si>
  <si>
    <t>Bleach Qty 1</t>
  </si>
  <si>
    <t>Gambia-adv 0324</t>
  </si>
  <si>
    <t>NAWEC Cash Power-March</t>
  </si>
  <si>
    <t>Sugar Cubes</t>
  </si>
  <si>
    <t>Long Broom</t>
  </si>
  <si>
    <t>Madar Liquid Soap Qty 2</t>
  </si>
  <si>
    <t>Air Freshner for  Office Qty 2</t>
  </si>
  <si>
    <t>6506</t>
  </si>
  <si>
    <t>6509</t>
  </si>
  <si>
    <t>Mobile Credit for Calls (Mobilization)</t>
  </si>
  <si>
    <t>Credit Airtime for Head of Programs</t>
  </si>
  <si>
    <t>Credit Airtime for Gender Consultant</t>
  </si>
  <si>
    <t>Credit Airtime for Program Assistant</t>
  </si>
  <si>
    <t>Credit Airtime for Finance Officer</t>
  </si>
  <si>
    <t>Office Line 2 Internet Subscription</t>
  </si>
  <si>
    <t>Monthly Data for Legal Consultant for Jan-24</t>
  </si>
  <si>
    <t>Credit Airtime for Legal Consultant</t>
  </si>
  <si>
    <t>Gambia-MAR 24 B</t>
  </si>
  <si>
    <t>Internet fees for HoP</t>
  </si>
  <si>
    <t>JV-MP041524-1</t>
  </si>
  <si>
    <t>6511</t>
  </si>
  <si>
    <t>RTGS Charges on funds transfer to TYW</t>
  </si>
  <si>
    <t>RTGS Charges on funds transfer to PAG</t>
  </si>
  <si>
    <t>6513</t>
  </si>
  <si>
    <t>T-Shirts &amp; Banner PMT  for P-P Dialogue to Unique Graphics</t>
  </si>
  <si>
    <t>50% pmt for to Yelef for Podcast Production-WP Summary</t>
  </si>
  <si>
    <t>8502</t>
  </si>
  <si>
    <t>Vehicle Hire-UNPBF P-P Dialogue to Afriqcars Motors</t>
  </si>
  <si>
    <t>Taxi Service for Transportation</t>
  </si>
  <si>
    <t>Transport Refund Invited Guest (NGO Affairs)</t>
  </si>
  <si>
    <t>DSA for team</t>
  </si>
  <si>
    <t>Taxi Hire, meals for Monitoting of TWY &amp; ONOV by Program Ass</t>
  </si>
  <si>
    <t>Transport Refund for Participants and Peer trainers</t>
  </si>
  <si>
    <t>Fuel for HOP</t>
  </si>
  <si>
    <t>Transport Refund to Participants</t>
  </si>
  <si>
    <t>Delivery Charges</t>
  </si>
  <si>
    <t>Taxi Services incurred for Office Operations</t>
  </si>
  <si>
    <t>Taxi Services to attend UNDP Workshop</t>
  </si>
  <si>
    <t>Taxi Services for Programs Ass. To attend UNBPF Meeting</t>
  </si>
  <si>
    <t>8504</t>
  </si>
  <si>
    <t>Food and Refreshment for two days</t>
  </si>
  <si>
    <t>DSA for Hop for UNPBF P-P Dialogue in Basse</t>
  </si>
  <si>
    <t>DSA for FO for UNPBF P-P Dialogue in Basse</t>
  </si>
  <si>
    <t>Snacks and Soft Drinks</t>
  </si>
  <si>
    <t>Snacks for Participants</t>
  </si>
  <si>
    <t>8600</t>
  </si>
  <si>
    <t>Venue</t>
  </si>
  <si>
    <t>9300</t>
  </si>
  <si>
    <t>UNPBF Sub-Grant to PAG</t>
  </si>
  <si>
    <t/>
  </si>
  <si>
    <t>UNPBF Sub-Grant to FANTANKA</t>
  </si>
  <si>
    <t>UNPBF Sub-Grant to ONOV</t>
  </si>
  <si>
    <t>UNPBF Sub-Grant to TYW</t>
  </si>
  <si>
    <t>ACTUAL SPENT(Y2Q1) Jan 2024-March 2024</t>
  </si>
  <si>
    <t>Proof</t>
  </si>
  <si>
    <t>Difference</t>
  </si>
  <si>
    <t>Should be remove</t>
  </si>
  <si>
    <t>Activity Code</t>
  </si>
  <si>
    <t>5.2</t>
  </si>
  <si>
    <t>5.3</t>
  </si>
  <si>
    <t>6</t>
  </si>
  <si>
    <t>7502</t>
  </si>
  <si>
    <t>8800</t>
  </si>
  <si>
    <t>9000</t>
  </si>
  <si>
    <t>Air Freshener Qty 2</t>
  </si>
  <si>
    <t>Milk</t>
  </si>
  <si>
    <t>Office Equipment (below $2,000)</t>
  </si>
  <si>
    <t>DSA for Team</t>
  </si>
  <si>
    <t>Event Planning / Organization</t>
  </si>
  <si>
    <t>Mobilization Fees</t>
  </si>
  <si>
    <t>Other Expenses</t>
  </si>
  <si>
    <t>Reversed</t>
  </si>
  <si>
    <t>i9</t>
  </si>
  <si>
    <r>
      <rPr>
        <b/>
        <sz val="8"/>
        <color theme="1"/>
        <rFont val="Calibri"/>
        <family val="2"/>
        <scheme val="minor"/>
      </rPr>
      <t>Outcome/ Output</t>
    </r>
    <r>
      <rPr>
        <sz val="8"/>
        <color theme="1"/>
        <rFont val="Calibri"/>
        <family val="2"/>
        <scheme val="minor"/>
      </rPr>
      <t xml:space="preserve"> number</t>
    </r>
  </si>
  <si>
    <r>
      <rPr>
        <b/>
        <sz val="8"/>
        <color theme="1"/>
        <rFont val="Calibri"/>
        <family val="2"/>
        <scheme val="minor"/>
      </rPr>
      <t>Description</t>
    </r>
    <r>
      <rPr>
        <sz val="8"/>
        <color theme="1"/>
        <rFont val="Calibri"/>
        <family val="2"/>
        <scheme val="minor"/>
      </rPr>
      <t xml:space="preserve"> (Text)</t>
    </r>
  </si>
  <si>
    <r>
      <rPr>
        <b/>
        <sz val="8"/>
        <color theme="1"/>
        <rFont val="Calibri"/>
        <family val="2"/>
        <scheme val="minor"/>
      </rPr>
      <t xml:space="preserve">% of budget </t>
    </r>
    <r>
      <rPr>
        <sz val="8"/>
        <color theme="1"/>
        <rFont val="Calibri"/>
        <family val="2"/>
        <scheme val="minor"/>
      </rPr>
      <t xml:space="preserve">per activity allocated to </t>
    </r>
    <r>
      <rPr>
        <b/>
        <sz val="8"/>
        <color theme="1"/>
        <rFont val="Calibri"/>
        <family val="2"/>
        <scheme val="minor"/>
      </rPr>
      <t xml:space="preserve">Gender Equality and Women's Empowerment (GEWE) </t>
    </r>
    <r>
      <rPr>
        <sz val="8"/>
        <color theme="1"/>
        <rFont val="Calibri"/>
        <family val="2"/>
        <scheme val="minor"/>
      </rPr>
      <t>(if any):</t>
    </r>
  </si>
  <si>
    <r>
      <t xml:space="preserve">Current level of </t>
    </r>
    <r>
      <rPr>
        <b/>
        <sz val="8"/>
        <color theme="1"/>
        <rFont val="Calibri"/>
        <family val="2"/>
        <scheme val="minor"/>
      </rPr>
      <t>expenditure/ commitment</t>
    </r>
    <r>
      <rPr>
        <sz val="8"/>
        <color theme="1"/>
        <rFont val="Calibri"/>
        <family val="2"/>
        <scheme val="minor"/>
      </rPr>
      <t xml:space="preserve"> (to be completed at time of project progress reporting) </t>
    </r>
  </si>
  <si>
    <r>
      <rPr>
        <b/>
        <sz val="8"/>
        <color theme="1"/>
        <rFont val="Calibri"/>
        <family val="2"/>
        <scheme val="minor"/>
      </rPr>
      <t xml:space="preserve">GEWE justification </t>
    </r>
    <r>
      <rPr>
        <sz val="8"/>
        <color theme="1"/>
        <rFont val="Calibri"/>
        <family val="2"/>
        <scheme val="minor"/>
      </rPr>
      <t>(e.g. training includes session on gender equality, specific efforts made to ensure equal representation of women and men etc.)</t>
    </r>
  </si>
  <si>
    <r>
      <t xml:space="preserve">Any other </t>
    </r>
    <r>
      <rPr>
        <b/>
        <sz val="8"/>
        <color theme="1"/>
        <rFont val="Calibri"/>
        <family val="2"/>
        <scheme val="minor"/>
      </rPr>
      <t>remarks</t>
    </r>
    <r>
      <rPr>
        <sz val="8"/>
        <color theme="1"/>
        <rFont val="Calibri"/>
        <family val="2"/>
        <scheme val="minor"/>
      </rPr>
      <t xml:space="preserve"> (e.g. on types of inputs provided or budget justification, esp. for TA or travel costs)</t>
    </r>
  </si>
  <si>
    <r>
      <t xml:space="preserve">$ Towards GEWE </t>
    </r>
    <r>
      <rPr>
        <sz val="8"/>
        <color theme="1"/>
        <rFont val="Calibri"/>
        <family val="2"/>
        <scheme val="minor"/>
      </rPr>
      <t>(includes indirect costs)</t>
    </r>
  </si>
  <si>
    <r>
      <t xml:space="preserve">$ Towards M&amp;E </t>
    </r>
    <r>
      <rPr>
        <sz val="8"/>
        <color theme="1"/>
        <rFont val="Calibri"/>
        <family val="2"/>
        <scheme val="minor"/>
      </rPr>
      <t>(includes indirect costs)</t>
    </r>
  </si>
  <si>
    <r>
      <t xml:space="preserve">Note: PBF does not accept projects with less than </t>
    </r>
    <r>
      <rPr>
        <b/>
        <sz val="8"/>
        <color theme="1"/>
        <rFont val="Calibri"/>
        <family val="2"/>
        <scheme val="minor"/>
      </rPr>
      <t>5%</t>
    </r>
    <r>
      <rPr>
        <sz val="8"/>
        <color theme="1"/>
        <rFont val="Calibri"/>
        <family val="2"/>
        <scheme val="minor"/>
      </rPr>
      <t xml:space="preserve"> towards M&amp;E and less than </t>
    </r>
    <r>
      <rPr>
        <b/>
        <sz val="8"/>
        <color theme="1"/>
        <rFont val="Calibri"/>
        <family val="2"/>
        <scheme val="minor"/>
      </rPr>
      <t xml:space="preserve">15% </t>
    </r>
    <r>
      <rPr>
        <sz val="8"/>
        <color theme="1"/>
        <rFont val="Calibri"/>
        <family val="2"/>
        <scheme val="minor"/>
      </rPr>
      <t xml:space="preserve">towards GEWE. These figures will show as </t>
    </r>
    <r>
      <rPr>
        <sz val="8"/>
        <color rgb="FFFF0000"/>
        <rFont val="Calibri"/>
        <family val="2"/>
        <scheme val="minor"/>
      </rPr>
      <t xml:space="preserve">red </t>
    </r>
    <r>
      <rPr>
        <sz val="8"/>
        <color theme="1"/>
        <rFont val="Calibri"/>
        <family val="2"/>
        <scheme val="minor"/>
      </rPr>
      <t xml:space="preserve">if this minimum threshold is not met.  </t>
    </r>
  </si>
  <si>
    <t>ACTUAL SPENT(Y2Q2) April 2024-June 2024</t>
  </si>
  <si>
    <t>ACTUAL SPENT(Y2Q3) July 2024-September 2024</t>
  </si>
  <si>
    <t>Total Actual- Expenditure Jan-2023 to September 2024</t>
  </si>
  <si>
    <t>6. transfers &amp; Grant counterparts</t>
  </si>
  <si>
    <t>Funder Title</t>
  </si>
  <si>
    <t>UN Peace Building Fund (PBF) - The Gambia 01/2023-12/2025</t>
  </si>
  <si>
    <t>7501</t>
  </si>
  <si>
    <t>Computer Equipment &amp; Software (below $2,000)</t>
  </si>
  <si>
    <t>6005</t>
  </si>
  <si>
    <t>IT Consulting, Services, and Support</t>
  </si>
  <si>
    <t>Snack Packs for Participants</t>
  </si>
  <si>
    <t>The Gambia Comm Support</t>
  </si>
  <si>
    <t>The Gambia IT Support</t>
  </si>
  <si>
    <t>Taxi Services</t>
  </si>
  <si>
    <t>Nescafe Gold Coffee</t>
  </si>
  <si>
    <t>Sugar St Luis</t>
  </si>
  <si>
    <t>Mouse Pad</t>
  </si>
  <si>
    <t>7200</t>
  </si>
  <si>
    <t>Office Maintenance &amp; Repairs</t>
  </si>
  <si>
    <t>Internet Subscription for Office Line 2</t>
  </si>
  <si>
    <t>JULY 2025 - PROF SERVICE - HEAD OF PROG SALARY/HEALTH INS - THE GAMBIA- D GBERY</t>
  </si>
  <si>
    <t>AP-RW070824</t>
  </si>
  <si>
    <t>Pmt to Unique Graphics for the Printing Job for Steering Committee Meeting</t>
  </si>
  <si>
    <t>JV-RW082824</t>
  </si>
  <si>
    <t>Pmt for for the Printing 100 copies of WP for Steering Committee Meeting</t>
  </si>
  <si>
    <t>Meals Participants</t>
  </si>
  <si>
    <t>Transport Refund for Participants</t>
  </si>
  <si>
    <t>Fuel for Vehicle</t>
  </si>
  <si>
    <t>Bridge and Ferry Crossing</t>
  </si>
  <si>
    <t>Transport Refund for Peer Trainers</t>
  </si>
  <si>
    <t>Vehicle Hire for UNPBF P2P &amp; Round table Dialogue</t>
  </si>
  <si>
    <t>Vehicle Hire for UNPBF Nationwide Caravan</t>
  </si>
  <si>
    <t>Transport Refund for Media House</t>
  </si>
  <si>
    <t>Focal Person Fees</t>
  </si>
  <si>
    <t>Sanitary and First Aid Box</t>
  </si>
  <si>
    <t>Water and Refreshment</t>
  </si>
  <si>
    <t>Catering for Participants</t>
  </si>
  <si>
    <t>Final pmt to Unique Graphics for Printing 1200 copies of WP.</t>
  </si>
  <si>
    <t>Final pmt to Binos Creation for the Caravan Printing Job</t>
  </si>
  <si>
    <t>40% pmt to Binos Creation for the Caravan Printing Job</t>
  </si>
  <si>
    <t>50% pmt to Unique Graphics for Printing 1200 copies of WP.</t>
  </si>
  <si>
    <t>Pmt to Aisha Jammeh for Caravan Advert audio production</t>
  </si>
  <si>
    <t>Radio Airtime</t>
  </si>
  <si>
    <t>7700</t>
  </si>
  <si>
    <t>Equipment Leasing</t>
  </si>
  <si>
    <t>Final pmt to Allen Loppy for Sound System &amp; Truck.</t>
  </si>
  <si>
    <t>50% pmt to Allen Loppy for Sound System &amp; Truck.</t>
  </si>
  <si>
    <t>Kanyelang Group Performance</t>
  </si>
  <si>
    <t>Consultant Fees</t>
  </si>
  <si>
    <t>Salary July 2024 -Finance Officer</t>
  </si>
  <si>
    <t>Salary July 2024 -Program Assistant</t>
  </si>
  <si>
    <t>Salary July 2024 -Cleaner, Fatou Kinteh</t>
  </si>
  <si>
    <t>Refund to HoP for the Purchase of Video Project in Ivory Coast</t>
  </si>
  <si>
    <t>Bank Charges on RTGS Trasfer to Afriqcars</t>
  </si>
  <si>
    <t>NAWEC Cash Power</t>
  </si>
  <si>
    <t>Water for dispenser</t>
  </si>
  <si>
    <t>Ovaltine Qty 1</t>
  </si>
  <si>
    <t>Toner 17A Qty 2</t>
  </si>
  <si>
    <t>A4 Paper Box</t>
  </si>
  <si>
    <t>Led Bulb Qty</t>
  </si>
  <si>
    <t>Water Bottle Packs Qty 2</t>
  </si>
  <si>
    <t>Omo 1 bag</t>
  </si>
  <si>
    <t>Tissue 1 Box</t>
  </si>
  <si>
    <t>Toilet Roll</t>
  </si>
  <si>
    <t>Dustbin</t>
  </si>
  <si>
    <t>Arch Files Qty 3</t>
  </si>
  <si>
    <t>Office trnsportation Fuel Refund to HoP</t>
  </si>
  <si>
    <t>JV-JS073124 IT &amp; Comm Alloc</t>
  </si>
  <si>
    <t>JV-JS073124 Sal Alloc</t>
  </si>
  <si>
    <t>AUGUST 2024 - PROF SERVICE - HEAD OF PROG SALARY/HEALTH INS - THE GAMBIA- D GBERY</t>
  </si>
  <si>
    <t>AP-RW080724</t>
  </si>
  <si>
    <t>Transport Refund</t>
  </si>
  <si>
    <t>JV-RW101624-1</t>
  </si>
  <si>
    <t>Taxi Services incurred-permit letter andpriority crossing</t>
  </si>
  <si>
    <t>Pmt for press statement release on UNPBF Caravan to foroyaa</t>
  </si>
  <si>
    <t>Pmt for press statement release on UNPBF Caravan to Standard</t>
  </si>
  <si>
    <t>Salary August 2024 -Program Assistant</t>
  </si>
  <si>
    <t>Salary August 2024 -MediaConsultant</t>
  </si>
  <si>
    <t>5.7</t>
  </si>
  <si>
    <t>Salary August 2024 -Cleaner, Fatou Kinteh</t>
  </si>
  <si>
    <t>6003</t>
  </si>
  <si>
    <t>Immigration / VISA Fees</t>
  </si>
  <si>
    <t>HoP US Visa Fees Payment</t>
  </si>
  <si>
    <t>Dustbin for Finance and Legal Office</t>
  </si>
  <si>
    <t>Water for Bottle Packs</t>
  </si>
  <si>
    <t>Office Internet Subscription- Aug to Oct 2024</t>
  </si>
  <si>
    <t>Bank Charges for Auguts-COT</t>
  </si>
  <si>
    <t>Bank Charges for Auguts-VAT on COT</t>
  </si>
  <si>
    <t>Bank charges on other Bank Transfer</t>
  </si>
  <si>
    <t>Payment for AC's for programs and finance offce</t>
  </si>
  <si>
    <t>Refund- Electrical Maintenance at HoP Residence</t>
  </si>
  <si>
    <t>Refund- Office mainenance (Electrical) &amp; Fan Installation</t>
  </si>
  <si>
    <t>Refund- Grass clearing (Cleaning) at office front</t>
  </si>
  <si>
    <t>7500</t>
  </si>
  <si>
    <t>Furniture &amp; Equipment (below $2000)</t>
  </si>
  <si>
    <t>Executive Chair for HoP Office</t>
  </si>
  <si>
    <t>Final payment for Laptop Purchase for HoP</t>
  </si>
  <si>
    <t>Initial payment for Laptop Purchase for HoP</t>
  </si>
  <si>
    <t>Taxi Services refund to FO for office errands.</t>
  </si>
  <si>
    <t>Taxi Services for office errands paid to Ousman Conteh</t>
  </si>
  <si>
    <t>Fuel refund to HoP for office transportation</t>
  </si>
  <si>
    <t>JV-JS083124 Sal Alloc</t>
  </si>
  <si>
    <t>JV-JS093024 Sal Alloc</t>
  </si>
  <si>
    <t>Transaction Total</t>
  </si>
  <si>
    <t>Report Opening/Current Balance</t>
  </si>
  <si>
    <t>Report Transaction Totals</t>
  </si>
  <si>
    <t>Report Current Balances</t>
  </si>
  <si>
    <t>Report Difference</t>
  </si>
  <si>
    <t>Sum of Debit</t>
  </si>
  <si>
    <t>Didier Gbery</t>
  </si>
  <si>
    <t>Adjustments: September 2024</t>
  </si>
  <si>
    <t>Qtr. 3</t>
  </si>
  <si>
    <t>Opening Balance</t>
  </si>
  <si>
    <t>JV-JS043023 Sal Alloc</t>
  </si>
  <si>
    <t>8000</t>
  </si>
  <si>
    <t>Printing &amp; Publications</t>
  </si>
  <si>
    <t>Payment to Gamjobs -National program assistant recruitment</t>
  </si>
  <si>
    <t>JV-MP061623</t>
  </si>
  <si>
    <t>UNPBF coordination meeting transport cost</t>
  </si>
  <si>
    <t>JV-JS053123 Sal Alloc</t>
  </si>
  <si>
    <t>Salary May 23 - Gender Consultant - Tuti Nyang</t>
  </si>
  <si>
    <t>JV-MP071923</t>
  </si>
  <si>
    <t>5006</t>
  </si>
  <si>
    <t>Wages - International - Part Time</t>
  </si>
  <si>
    <t>Salary May 23 - Finance Officer- Fatoumatta Kanteh</t>
  </si>
  <si>
    <t>Payment for UPS</t>
  </si>
  <si>
    <t>participants' kits (stationery)</t>
  </si>
  <si>
    <t>Recorder</t>
  </si>
  <si>
    <t>7005</t>
  </si>
  <si>
    <t>International Office Rent</t>
  </si>
  <si>
    <t>Payment for office rent  April 23-March 24</t>
  </si>
  <si>
    <t>Transport refund meeting with MoJ</t>
  </si>
  <si>
    <t>Vehicle hire for strategic planning retreat</t>
  </si>
  <si>
    <t>Printing fees for strategic planning retreat</t>
  </si>
  <si>
    <t>Payment for banner and branded USB</t>
  </si>
  <si>
    <t>Participants transport refund</t>
  </si>
  <si>
    <t>Transport refund for participants</t>
  </si>
  <si>
    <t>Resoucre persons's (NYC) transportation</t>
  </si>
  <si>
    <t>Resoucre persons transporation cost(MOJ)</t>
  </si>
  <si>
    <t>Pyment for meals, accomodation and venue hire-UNPBF strategic planning retreat</t>
  </si>
  <si>
    <t>Logistics transportation cost</t>
  </si>
  <si>
    <t>Participants' incidental cost</t>
  </si>
  <si>
    <t>Snacks and refreshments for participants</t>
  </si>
  <si>
    <t>Resource person's fees</t>
  </si>
  <si>
    <t>JUNE 2023 - PROFESSIONAL SERVICE   - HEAD OF PROGRAM - THE GAMBIA  - D GBERY</t>
  </si>
  <si>
    <t>cv060923</t>
  </si>
  <si>
    <t>JV-JS063023 Sal Alloc</t>
  </si>
  <si>
    <t>Salary June 23 - Gender Consultant- Tuti Nyang</t>
  </si>
  <si>
    <t>JV-MP072723-1</t>
  </si>
  <si>
    <t>Salary June 23 - Finance Officer- Fatoumatta Kanteh</t>
  </si>
  <si>
    <t>Snacks for participants</t>
  </si>
  <si>
    <t>Taxi fees for dropping of letters to stakeholders-May 2023</t>
  </si>
  <si>
    <t>Taxi fees for dropping of letters to stakeholders-June 2023</t>
  </si>
  <si>
    <t>Delivery of snacks</t>
  </si>
  <si>
    <t>JULY 2023 - PROFESSIONAL SERVICE   - HEAD OF PROGRAM - THE GAMBIA  - D GBERY</t>
  </si>
  <si>
    <t>cv072423</t>
  </si>
  <si>
    <t>JV-JS073123 Sal Alloc</t>
  </si>
  <si>
    <t>Salary July 23 - Gender Consultant- Tuti Nyang</t>
  </si>
  <si>
    <t>JV-MP100923</t>
  </si>
  <si>
    <t>Kits for Participants</t>
  </si>
  <si>
    <t>6700</t>
  </si>
  <si>
    <t>Professional Development</t>
  </si>
  <si>
    <t>Resource persons fees</t>
  </si>
  <si>
    <t>Pmt to Ousman Conteh for delivery of Invitation Letters</t>
  </si>
  <si>
    <t>Transportion and Logistics</t>
  </si>
  <si>
    <t>Transport refund for participanst from WCR,NBR,CRR,URR &amp; KMC</t>
  </si>
  <si>
    <t>DSA for Participants from Four (4) Regions</t>
  </si>
  <si>
    <t>Abcas  rental of venue for retreat with partners</t>
  </si>
  <si>
    <t>AUGUST 2023 - PAYMENT FOR PROFESSIONAL SERVICE - HEAD OF PROGRAM - THE GAMBIA - D GBERY</t>
  </si>
  <si>
    <t>CV082823</t>
  </si>
  <si>
    <t>JV-JS083123 Sal Alloc</t>
  </si>
  <si>
    <t>July-23 Salary for program Assistant</t>
  </si>
  <si>
    <t>JV-MP101023</t>
  </si>
  <si>
    <t>Salary August 23 - Gender Consultant- Tuti Nyang</t>
  </si>
  <si>
    <t>Salary August 23 - Program Assistant</t>
  </si>
  <si>
    <t>6300</t>
  </si>
  <si>
    <t>Recruitment / Placement</t>
  </si>
  <si>
    <t>Gamjobs - Job Vacancy advert of Legal Adviser Position</t>
  </si>
  <si>
    <t>Venue Hire</t>
  </si>
  <si>
    <t>UNPBF Series 1 training Venue Rental -Senegambia Hotel</t>
  </si>
  <si>
    <t>Breakfast, tea &amp; Coffee</t>
  </si>
  <si>
    <t>lunch, Refreshments and water</t>
  </si>
  <si>
    <t>HoP office transportation fuel for August 2023</t>
  </si>
  <si>
    <t>JV-JS093023 Sal Alloc</t>
  </si>
  <si>
    <t>Salary September 23 - Gender Consultant- Tuti Nyang</t>
  </si>
  <si>
    <t>JV-MP102123-3</t>
  </si>
  <si>
    <t>Salary September 23 - Program Assistant</t>
  </si>
  <si>
    <t>Salary September 23 - Finance Officer</t>
  </si>
  <si>
    <t>Internet Comium Install &amp; Subs fees 9/23 -11/23</t>
  </si>
  <si>
    <t>T-Shirts for Participants</t>
  </si>
  <si>
    <t>PAYMENT FOR PROFESSIONAL SERVICE - (SEPTEMBER 2023) HEAD OF PROGRAM - THE GAMBIA &amp; PER DIEM - ETHIOPIA - 11/23 - D GBERY</t>
  </si>
  <si>
    <t>cv100623</t>
  </si>
  <si>
    <t>OCTOBER 2023 -PYMT FOR PROF SVC/HEALTH SEPT/MED INS REIMB FY23 (4/4) - HEAD OF PROG - THE GAMBIA - B P D GBERY</t>
  </si>
  <si>
    <t>JV-JS103123 Sal Alloc</t>
  </si>
  <si>
    <t>Salary October 23 - Program Assistant</t>
  </si>
  <si>
    <t>JV-MP111623-1</t>
  </si>
  <si>
    <t>Salary October 23 - Finance Officer</t>
  </si>
  <si>
    <t>JV-MP111623</t>
  </si>
  <si>
    <t>Delivery of Snacks &amp; refreshment</t>
  </si>
  <si>
    <t>NOVEMBER 2023 - PAYMENT FOR PROFESSIONAL SERVICE - HEAD OF PROGRAM - THE GAMBIA - D GBERY</t>
  </si>
  <si>
    <t>cv110923</t>
  </si>
  <si>
    <t>Sub-grant to Fantanka for UNPBF Act 1.4 &amp; 2.2 implementation</t>
  </si>
  <si>
    <t>JV-MP121523</t>
  </si>
  <si>
    <t>Sub-grant to ONOV for UNPBF Act 1.4 &amp; 2.2 implementation</t>
  </si>
  <si>
    <t>Subgrant -PA-The Gambia - UNPBF Act 1.4 &amp; 2.2 implementation</t>
  </si>
  <si>
    <t>Sub-grant to TYW for UNPBF Act 1.4 &amp; 2.2 implementation</t>
  </si>
  <si>
    <t>JV-JS113023 Sal Alloc</t>
  </si>
  <si>
    <t>Salary November 2023 -Program Assistant</t>
  </si>
  <si>
    <t>IT Support to set up Legal Consultants Laptop. Paid to Leroy</t>
  </si>
  <si>
    <t>RTGS Charges on funds transfer to PA-The Gambia</t>
  </si>
  <si>
    <t>Purchase of Laptop for Legal Consultant paid to Staples</t>
  </si>
  <si>
    <t>Delivery charges of snack packs</t>
  </si>
  <si>
    <t>Snacks Pack for Participants</t>
  </si>
  <si>
    <t>DECEMBER 2023 - PAYMENT FOR PROFESSIONAL SERVICE - HEAD OF PROG - B P D GBERY</t>
  </si>
  <si>
    <t>cv122023</t>
  </si>
  <si>
    <t>DECEMBER 2023 -REFUND FOR AIR TICKETS FOR 4 MEMBERS OF CONSULTANT FAMILY  - B P D GBERY</t>
  </si>
  <si>
    <t>JV-JS123123 Sal Alloc</t>
  </si>
  <si>
    <t>8501</t>
  </si>
  <si>
    <t>Airline</t>
  </si>
  <si>
    <t>GBERY/BOUA PIERRE DI     TRAVEL AGENCY SERVICE</t>
  </si>
  <si>
    <t>JV-JS231231Amex</t>
  </si>
  <si>
    <t>GBERY/BOUA PIERRE DI     ETHIOPIAN AIRLINES</t>
  </si>
  <si>
    <t>Vehicle Hire Training  Rural Youths By Peer Trainers- UNPBF</t>
  </si>
  <si>
    <t>JV-MP012324-1</t>
  </si>
  <si>
    <t>Taxi Hire to CRR for the M &amp; E on partners</t>
  </si>
  <si>
    <t>roundtrip transprtation</t>
  </si>
  <si>
    <t>Transport refund for Trainers</t>
  </si>
  <si>
    <t>Breakfast, hot beverages</t>
  </si>
  <si>
    <t>Lunch and refreshments</t>
  </si>
  <si>
    <t>Meals and refreshment for Program Assistant</t>
  </si>
  <si>
    <t>venue hire</t>
  </si>
  <si>
    <t>Salary December 2023 -Program Assistant</t>
  </si>
  <si>
    <t>Trainers' fees</t>
  </si>
  <si>
    <t>Staionery</t>
  </si>
  <si>
    <t>Ovaltine</t>
  </si>
  <si>
    <t>APRIL 2024 - PAYMENT FOR PROFESSIONAL SERVICE - HEAD OF PROGRAM THE GAMBIA /HEALTH - D GBERY</t>
  </si>
  <si>
    <t>cv042924</t>
  </si>
  <si>
    <t>Taxi Services for delivery of snacks</t>
  </si>
  <si>
    <t>JV-MP060524-2</t>
  </si>
  <si>
    <t>Transport For Refund to Participants</t>
  </si>
  <si>
    <t>Snack Packs Participants</t>
  </si>
  <si>
    <t>Food and Refreshment for 5 days</t>
  </si>
  <si>
    <t>Transportation Fees (Taxi Service)</t>
  </si>
  <si>
    <t>Transport for preparatory work-Outreach &amp; Sensitization,URR</t>
  </si>
  <si>
    <t>Payment for Printing of 100 copies of User Friendly Version</t>
  </si>
  <si>
    <t>Transport Refund for Day 1 Participants</t>
  </si>
  <si>
    <t>Battery for Mics</t>
  </si>
  <si>
    <t>Purchase for Play System for events in rural Areas</t>
  </si>
  <si>
    <t>Salary April 2024 -Finance Officer</t>
  </si>
  <si>
    <t>Salary April 2024 -Programs Assistant</t>
  </si>
  <si>
    <t>Salary April 2024 -Gender Consultant</t>
  </si>
  <si>
    <t>5.4</t>
  </si>
  <si>
    <t>Salary April 2024 -Cleaner, Fatou Kinteh</t>
  </si>
  <si>
    <t>65% Prepaid Office Rent- for the period Apr-2024 to Ma-2025</t>
  </si>
  <si>
    <t>JV-JS043024 IT &amp; Comm</t>
  </si>
  <si>
    <t>JV-JS043024 Sal Alloc</t>
  </si>
  <si>
    <t>MAY 2025 - PROF SERVICE - HEAD OF PROG SALARY/HEALTH INS - THE GAMBIA- D GBERY</t>
  </si>
  <si>
    <t>cv052024</t>
  </si>
  <si>
    <t>Vehicle Hire-UNPBF Consultation &amp; Outreach</t>
  </si>
  <si>
    <t>JV-MP063024-3</t>
  </si>
  <si>
    <t>Salary May 2024 -Finance Officer</t>
  </si>
  <si>
    <t>Salary May 2024 -Program Assistant</t>
  </si>
  <si>
    <t>Accrued May  Salary 2024 -Gender Consultant</t>
  </si>
  <si>
    <t>Salary May 2024 -Cleaner, Fatou Kinteh</t>
  </si>
  <si>
    <t>NAWEC Cash Power - May 2024</t>
  </si>
  <si>
    <t>Coffee</t>
  </si>
  <si>
    <t>Water</t>
  </si>
  <si>
    <t>Disposable Cups for dispenser 1 BOX</t>
  </si>
  <si>
    <t>Cartridge For Office Printer</t>
  </si>
  <si>
    <t>Bank Charges on Transfer to Afriqcars</t>
  </si>
  <si>
    <t>Bank Charges on Transfer to QTV</t>
  </si>
  <si>
    <t>Commission on Turnover May-24</t>
  </si>
  <si>
    <t>VAT-Commission on Turnover May-24</t>
  </si>
  <si>
    <t>Refund to HoP for Internet Fees in Ivory Coast</t>
  </si>
  <si>
    <t>Annual Newspaper Subscription to Standard Newspaper</t>
  </si>
  <si>
    <t>Office Internet Subscription  Line-Comium  1  May-July</t>
  </si>
  <si>
    <t>Taxi Services of Air Pick Up and Escort for H.Varney</t>
  </si>
  <si>
    <t>Fuel for HoP Office errands for May</t>
  </si>
  <si>
    <t>Second Installment payment to Yelef for Podcast Production</t>
  </si>
  <si>
    <t>Snack for staff meeting (FY25 Chrono review)</t>
  </si>
  <si>
    <t>Refund Airporrt Security Fees to HoP</t>
  </si>
  <si>
    <t>JV-JS053124 IT &amp; Comm Alloc</t>
  </si>
  <si>
    <t>JV-JS053124 Sal Alloc</t>
  </si>
  <si>
    <t>JUNE 2025 - PROF SERVICE - HEAD OF PROG SALARY/HEALTH INS - THE GAMBIA- D GBERY</t>
  </si>
  <si>
    <t>AP-RW061424</t>
  </si>
  <si>
    <t>Sungrant to ONOV - P2P Discussions</t>
  </si>
  <si>
    <t>JV-MP072824</t>
  </si>
  <si>
    <t>Sungrant to PAG- P2P Discussions</t>
  </si>
  <si>
    <t>Sungrant to FANTANKA - P2P Discussions</t>
  </si>
  <si>
    <t>Sungrant to Think Young Women - P2P Discussions</t>
  </si>
  <si>
    <t>50% pmt for Coffee Break- UNPBF steering committee Meeting</t>
  </si>
  <si>
    <t>50% Accrued Coffee Break- UNPBF steering committee Meeting</t>
  </si>
  <si>
    <t>50% Accrued Hall Rental aUNPBF steering committee Meeting</t>
  </si>
  <si>
    <t>50% For Hall Rental aUNPBF steering committee Meeting</t>
  </si>
  <si>
    <t>Transport Refund For Participants</t>
  </si>
  <si>
    <t>Delivery of Snack Packs</t>
  </si>
  <si>
    <t>Snack Packs for Participants.</t>
  </si>
  <si>
    <t>Snack Packs (Biscuits), Water &amp; Soft Drink for Participants</t>
  </si>
  <si>
    <t>Lunch For Participants</t>
  </si>
  <si>
    <t>Delivery of Invitation Letters for Steering Comm Meeting</t>
  </si>
  <si>
    <t>Taxi Hire for Monitoring Fananka</t>
  </si>
  <si>
    <t>Taxi Services for Delivery of Printed Materials</t>
  </si>
  <si>
    <t>DSA for Legal Consultant to Monitor Fantanka</t>
  </si>
  <si>
    <t>Salary June 2024 -Finance Officer</t>
  </si>
  <si>
    <t>Salary June 2024 -Program Assistant</t>
  </si>
  <si>
    <t>Salary June 2024 -Cleaner, Fatou Kinteh</t>
  </si>
  <si>
    <t>Refund for cost incurred in replace HoP Gate Lock</t>
  </si>
  <si>
    <t>Bank Charges on Transfer to QTV Refunded</t>
  </si>
  <si>
    <t>Bank Charges on RTGS Trasfer to TYW</t>
  </si>
  <si>
    <t>Bank Charges on RTGS Trasfer to PAG</t>
  </si>
  <si>
    <t>NAWEC Cash Power - June 2024</t>
  </si>
  <si>
    <t>Olinda Tea</t>
  </si>
  <si>
    <t>Alkaline Btteries AA and AAA</t>
  </si>
  <si>
    <t>JV-JS063024 IT &amp; Comm Alloc</t>
  </si>
  <si>
    <t>JV-JS063024 Sal Alloc</t>
  </si>
  <si>
    <t>Accrue pmt-Re Stocking of office supplies</t>
  </si>
  <si>
    <t>8</t>
  </si>
  <si>
    <t>Accrue pmt- Ex. Chair for Media Consultant</t>
  </si>
  <si>
    <t>UNPBF- Subgrant to TYW</t>
  </si>
  <si>
    <t>JV-RW102324</t>
  </si>
  <si>
    <t>UNPBF- Subgrant to ONV</t>
  </si>
  <si>
    <t>UNPBF- Subgrant to FANTANKA</t>
  </si>
  <si>
    <t>UNPBF- Subgrant to PAG</t>
  </si>
  <si>
    <t>50% Snacks &amp; Refreshment for the Steering Comm. Meeting</t>
  </si>
  <si>
    <t>50% Hall Rental for the Steering Comm. Meeting</t>
  </si>
  <si>
    <t>Vehicle Rental</t>
  </si>
  <si>
    <t>2.6</t>
  </si>
  <si>
    <t>DSA for the Program Assistant to Monitor PAG in LRR</t>
  </si>
  <si>
    <t>Transport Refund for participants</t>
  </si>
  <si>
    <t>4.3</t>
  </si>
  <si>
    <t>Salary September 2024 -Program Assistant</t>
  </si>
  <si>
    <t>Salary September 2024 -MediaConsultant</t>
  </si>
  <si>
    <t>Salary September 2024 -Cleaner, Fatou Kinteh</t>
  </si>
  <si>
    <t>Pmt for Repairs to Legal Consultant Laptop</t>
  </si>
  <si>
    <t>Final Pmt to Yelef for Podcast Production &amp; Publishing</t>
  </si>
  <si>
    <t>Bank charges on RTGS to PAG</t>
  </si>
  <si>
    <t>Bank charges on RTGS to TYW</t>
  </si>
  <si>
    <t>Credit Airtime for Media Consultant</t>
  </si>
  <si>
    <t>Credit Airtime for Program Associate</t>
  </si>
  <si>
    <t>Bank charges on Bank Transfer  to Afriqcars</t>
  </si>
  <si>
    <t>Nescafe Gold x2</t>
  </si>
  <si>
    <t>Nido Milk powder x2</t>
  </si>
  <si>
    <t>Sugar Cubes x2 boxes</t>
  </si>
  <si>
    <t>Pmt. To Ousman for delivery of letters and Airport Trip.</t>
  </si>
  <si>
    <t>50% Accrued Snacks &amp; Refreshment-Steering Comm. Meeting</t>
  </si>
  <si>
    <t>50% Accrued Hall Rental for the Steering Comm. Meeting</t>
  </si>
  <si>
    <t>(Multiple Items)</t>
  </si>
  <si>
    <t>Admin and Office</t>
  </si>
  <si>
    <t>Gambia IT &amp; Comms Support</t>
  </si>
  <si>
    <t>Revised MIP Total July to September 2024</t>
  </si>
  <si>
    <t>Total Expenses from Beginning of Grant to September 30th 2024 Reported</t>
  </si>
  <si>
    <t>Total Expenses from Beginning of Grant to September 30th 2024 in MIP</t>
  </si>
  <si>
    <t>Comment: The difference $2,778 is a result of; 1. Didier's Salary for Sept' $2,000 not still uploaded in MIP. And 2. Monthly IT Support and Comms Support of $389 is missing in MIP for the month of August and 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</si>
</sst>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409]#,##0"/>
    <numFmt numFmtId="166" formatCode="[$$-409]#,##0.00"/>
  </numFmts>
  <fonts count="53">
    <font>
      <sz val="11"/>
      <color theme="1"/>
      <name val="Calibri"/>
      <family val="2"/>
      <scheme val="minor"/>
    </font>
    <font>
      <sz val="11"/>
      <color theme="1"/>
      <name val="Calibri"/>
      <family val="2"/>
      <scheme val="minor"/>
    </font>
    <font>
      <sz val="8"/>
      <color theme="1"/>
      <name val="Calibri"/>
      <family val="2"/>
      <scheme val="minor"/>
    </font>
    <font>
      <sz val="11"/>
      <color rgb="FFFF0000"/>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sz val="9"/>
      <color rgb="FFFF0000"/>
      <name val="Calibri"/>
      <family val="2"/>
      <scheme val="minor"/>
    </font>
    <font>
      <sz val="11"/>
      <color rgb="FF000000"/>
      <name val="Calibri"/>
      <family val="2"/>
      <scheme val="minor"/>
    </font>
    <font>
      <b/>
      <i/>
      <u/>
      <sz val="8"/>
      <color theme="1"/>
      <name val="Calibri"/>
      <family val="2"/>
      <scheme val="minor"/>
    </font>
    <font>
      <b/>
      <i/>
      <sz val="9"/>
      <color theme="1"/>
      <name val="Calibri"/>
      <family val="2"/>
      <scheme val="minor"/>
    </font>
    <font>
      <i/>
      <u/>
      <sz val="9"/>
      <color theme="1"/>
      <name val="Calibri"/>
      <family val="2"/>
      <scheme val="minor"/>
    </font>
    <font>
      <i/>
      <sz val="9"/>
      <color theme="1"/>
      <name val="Calibri"/>
      <family val="2"/>
      <scheme val="minor"/>
    </font>
    <font>
      <b/>
      <i/>
      <sz val="9"/>
      <name val="Calibri"/>
      <family val="2"/>
      <scheme val="minor"/>
    </font>
    <font>
      <b/>
      <i/>
      <sz val="9"/>
      <color rgb="FFFF0000"/>
      <name val="Calibri"/>
      <family val="2"/>
      <scheme val="minor"/>
    </font>
    <font>
      <b/>
      <i/>
      <sz val="9"/>
      <color theme="0"/>
      <name val="Calibri"/>
      <family val="2"/>
      <scheme val="minor"/>
    </font>
    <font>
      <b/>
      <i/>
      <sz val="12"/>
      <color theme="0"/>
      <name val="Calibri"/>
      <family val="2"/>
      <scheme val="minor"/>
    </font>
    <font>
      <b/>
      <i/>
      <sz val="12"/>
      <color rgb="FFFF0000"/>
      <name val="Calibri"/>
      <family val="2"/>
      <scheme val="minor"/>
    </font>
    <font>
      <b/>
      <u/>
      <sz val="9"/>
      <color theme="1"/>
      <name val="Calibri"/>
      <family val="2"/>
      <scheme val="minor"/>
    </font>
    <font>
      <sz val="9"/>
      <name val="Arial  "/>
      <family val="2"/>
    </font>
    <font>
      <sz val="9"/>
      <color rgb="FF7030A0"/>
      <name val="Calibri"/>
      <family val="2"/>
      <scheme val="minor"/>
    </font>
    <font>
      <sz val="9"/>
      <color rgb="FF000000"/>
      <name val="Calibri"/>
      <family val="2"/>
      <scheme val="minor"/>
    </font>
    <font>
      <sz val="9"/>
      <name val="Arial"/>
      <family val="2"/>
    </font>
    <font>
      <b/>
      <u/>
      <sz val="9"/>
      <color rgb="FFFF0000"/>
      <name val="Calibri"/>
      <family val="2"/>
      <scheme val="minor"/>
    </font>
    <font>
      <b/>
      <sz val="9"/>
      <name val="Calibri"/>
      <family val="2"/>
      <scheme val="minor"/>
    </font>
    <font>
      <b/>
      <u/>
      <sz val="9"/>
      <color theme="9" tint="-0.249977111117893"/>
      <name val="Calibri"/>
      <family val="2"/>
      <scheme val="minor"/>
    </font>
    <font>
      <sz val="10"/>
      <color theme="1"/>
      <name val="Calibri"/>
      <family val="2"/>
      <scheme val="minor"/>
    </font>
    <font>
      <b/>
      <sz val="10"/>
      <color theme="1"/>
      <name val="Calibri"/>
      <family val="2"/>
      <scheme val="minor"/>
    </font>
    <font>
      <b/>
      <sz val="10"/>
      <color rgb="FFFF0000"/>
      <name val="Calibri"/>
      <family val="2"/>
      <scheme val="minor"/>
    </font>
    <font>
      <b/>
      <u/>
      <sz val="9"/>
      <name val="Calibri"/>
      <family val="2"/>
      <scheme val="minor"/>
    </font>
    <font>
      <sz val="11"/>
      <name val="Times New Roman"/>
      <family val="1"/>
    </font>
    <font>
      <sz val="11"/>
      <color theme="1"/>
      <name val="Times New Roman"/>
      <family val="1"/>
    </font>
    <font>
      <sz val="8"/>
      <name val="Tahoma"/>
      <family val="2"/>
    </font>
    <font>
      <u val="singleAccounting"/>
      <sz val="8"/>
      <name val="Tahoma"/>
      <family val="2"/>
    </font>
    <font>
      <sz val="8"/>
      <name val="Arial"/>
      <family val="2"/>
    </font>
    <font>
      <b/>
      <sz val="8"/>
      <name val="Tahoma"/>
      <family val="2"/>
    </font>
    <font>
      <u val="doubleAccounting"/>
      <sz val="8"/>
      <name val="Tahoma"/>
      <family val="2"/>
    </font>
    <font>
      <sz val="11"/>
      <color rgb="FFFF0000"/>
      <name val="Times New Roman"/>
      <family val="1"/>
    </font>
    <font>
      <b/>
      <sz val="11"/>
      <color theme="1"/>
      <name val="Times New Roman"/>
      <family val="1"/>
    </font>
    <font>
      <b/>
      <sz val="11"/>
      <color rgb="FFFF0000"/>
      <name val="Times New Roman"/>
      <family val="1"/>
    </font>
    <font>
      <sz val="11"/>
      <color rgb="FF000000"/>
      <name val="Times New Roman"/>
      <family val="1"/>
    </font>
    <font>
      <b/>
      <sz val="11"/>
      <name val="Times New Roman"/>
      <family val="1"/>
    </font>
    <font>
      <b/>
      <sz val="8"/>
      <color rgb="FF00B0F0"/>
      <name val="Calibri"/>
      <family val="2"/>
      <scheme val="minor"/>
    </font>
    <font>
      <b/>
      <sz val="8"/>
      <color theme="1"/>
      <name val="Calibri"/>
      <family val="2"/>
      <scheme val="minor"/>
    </font>
    <font>
      <b/>
      <sz val="8"/>
      <color rgb="FFFF0000"/>
      <name val="Calibri"/>
      <family val="2"/>
      <scheme val="minor"/>
    </font>
    <font>
      <sz val="8"/>
      <color rgb="FFFF0000"/>
      <name val="Calibri"/>
      <family val="2"/>
      <scheme val="minor"/>
    </font>
    <font>
      <sz val="8"/>
      <name val="Tahoma"/>
    </font>
    <font>
      <u val="singleAccounting"/>
      <sz val="8"/>
      <name val="Tahoma"/>
    </font>
    <font>
      <sz val="8"/>
      <name val="Arial"/>
    </font>
    <font>
      <u val="doubleAccounting"/>
      <sz val="8"/>
      <name val="Tahoma"/>
    </font>
    <font>
      <b/>
      <sz val="8"/>
      <name val="Arial"/>
      <family val="2"/>
    </font>
    <font>
      <b/>
      <sz val="14"/>
      <name val="Arial"/>
      <family val="2"/>
    </font>
    <font>
      <b/>
      <sz val="14"/>
      <color theme="1"/>
      <name val="Calibri"/>
      <family val="2"/>
      <scheme val="minor"/>
    </font>
  </fonts>
  <fills count="1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8"/>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7" tint="-0.249977111117893"/>
        <bgColor indexed="64"/>
      </patternFill>
    </fill>
    <fill>
      <patternFill patternType="solid">
        <fgColor rgb="FF00B0F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rgb="FFFF0000"/>
        <bgColor indexed="64"/>
      </patternFill>
    </fill>
  </fills>
  <borders count="6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double">
        <color indexed="64"/>
      </left>
      <right/>
      <top style="thin">
        <color indexed="64"/>
      </top>
      <bottom/>
      <diagonal/>
    </border>
    <border>
      <left style="medium">
        <color indexed="64"/>
      </left>
      <right style="medium">
        <color indexed="64"/>
      </right>
      <top style="medium">
        <color indexed="64"/>
      </top>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style="double">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8"/>
      </left>
      <right style="hair">
        <color indexed="8"/>
      </right>
      <top style="hair">
        <color indexed="8"/>
      </top>
      <bottom style="hair">
        <color indexed="8"/>
      </bottom>
      <diagonal/>
    </border>
    <border>
      <left style="hair">
        <color rgb="FF000000"/>
      </left>
      <right style="hair">
        <color rgb="FF000000"/>
      </right>
      <top style="hair">
        <color rgb="FF000000"/>
      </top>
      <bottom style="hair">
        <color rgb="FF000000"/>
      </bottom>
      <diagonal/>
    </border>
    <border>
      <left style="hair">
        <color indexed="8"/>
      </left>
      <right style="hair">
        <color indexed="8"/>
      </right>
      <top style="hair">
        <color indexed="8"/>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medium">
        <color indexed="64"/>
      </top>
      <bottom style="thin">
        <color indexed="64"/>
      </bottom>
      <diagonal/>
    </border>
    <border>
      <left/>
      <right style="thin">
        <color rgb="FF000000"/>
      </right>
      <top style="medium">
        <color indexed="64"/>
      </top>
      <bottom style="thin">
        <color indexed="64"/>
      </bottom>
      <diagonal/>
    </border>
    <border>
      <left style="thin">
        <color rgb="FF000000"/>
      </left>
      <right style="thin">
        <color indexed="64"/>
      </right>
      <top style="thin">
        <color indexed="64"/>
      </top>
      <bottom/>
      <diagonal/>
    </border>
    <border>
      <left style="thin">
        <color indexed="64"/>
      </left>
      <right style="thin">
        <color rgb="FF000000"/>
      </right>
      <top style="thin">
        <color indexed="64"/>
      </top>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medium">
        <color indexed="64"/>
      </bottom>
      <diagonal/>
    </border>
    <border>
      <left style="thin">
        <color indexed="64"/>
      </left>
      <right style="thin">
        <color rgb="FF000000"/>
      </right>
      <top style="thin">
        <color indexed="64"/>
      </top>
      <bottom style="medium">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medium">
        <color indexed="64"/>
      </bottom>
      <diagonal/>
    </border>
    <border>
      <left/>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10">
    <xf numFmtId="0" fontId="0" fillId="0" borderId="0"/>
    <xf numFmtId="9" fontId="1" fillId="0" borderId="0" applyFont="0" applyFill="0" applyBorder="0" applyAlignment="0" applyProtection="0"/>
    <xf numFmtId="43" fontId="1" fillId="0" borderId="0" applyFont="0" applyFill="0" applyBorder="0" applyAlignment="0" applyProtection="0"/>
    <xf numFmtId="165"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32" fillId="0" borderId="0"/>
    <xf numFmtId="43" fontId="32" fillId="0" borderId="0" applyFont="0" applyFill="0" applyBorder="0" applyAlignment="0" applyProtection="0"/>
    <xf numFmtId="0" fontId="46" fillId="0" borderId="0"/>
  </cellStyleXfs>
  <cellXfs count="382">
    <xf numFmtId="0" fontId="0" fillId="0" borderId="0" xfId="0"/>
    <xf numFmtId="165" fontId="1" fillId="0" borderId="0" xfId="3" applyAlignment="1">
      <alignment horizontal="center"/>
    </xf>
    <xf numFmtId="165" fontId="1" fillId="0" borderId="0" xfId="3"/>
    <xf numFmtId="165" fontId="5" fillId="0" borderId="0" xfId="3" applyFont="1" applyAlignment="1">
      <alignment horizontal="center"/>
    </xf>
    <xf numFmtId="165" fontId="6" fillId="0" borderId="0" xfId="3" applyFont="1"/>
    <xf numFmtId="165" fontId="7" fillId="0" borderId="0" xfId="3" applyFont="1"/>
    <xf numFmtId="0" fontId="8" fillId="0" borderId="0" xfId="0" applyFont="1"/>
    <xf numFmtId="165" fontId="6" fillId="0" borderId="0" xfId="3" applyFont="1" applyAlignment="1">
      <alignment horizontal="center"/>
    </xf>
    <xf numFmtId="165" fontId="9" fillId="0" borderId="0" xfId="3" applyFont="1" applyAlignment="1">
      <alignment horizontal="center"/>
    </xf>
    <xf numFmtId="165" fontId="10" fillId="0" borderId="0" xfId="3" applyFont="1" applyAlignment="1">
      <alignment horizontal="left"/>
    </xf>
    <xf numFmtId="165" fontId="2" fillId="0" borderId="0" xfId="3" applyFont="1"/>
    <xf numFmtId="4" fontId="2" fillId="0" borderId="0" xfId="3" applyNumberFormat="1" applyFont="1" applyAlignment="1">
      <alignment horizontal="left"/>
    </xf>
    <xf numFmtId="165" fontId="10" fillId="2" borderId="0" xfId="3" applyFont="1" applyFill="1" applyAlignment="1">
      <alignment horizontal="left"/>
    </xf>
    <xf numFmtId="165" fontId="11" fillId="0" borderId="0" xfId="3" applyFont="1" applyAlignment="1">
      <alignment horizontal="center"/>
    </xf>
    <xf numFmtId="3" fontId="12" fillId="0" borderId="0" xfId="3" applyNumberFormat="1" applyFont="1" applyAlignment="1">
      <alignment horizontal="left"/>
    </xf>
    <xf numFmtId="165" fontId="13" fillId="4" borderId="3" xfId="3" applyFont="1" applyFill="1" applyBorder="1" applyAlignment="1">
      <alignment horizontal="center"/>
    </xf>
    <xf numFmtId="165" fontId="13" fillId="4" borderId="3" xfId="3" applyFont="1" applyFill="1" applyBorder="1"/>
    <xf numFmtId="165" fontId="13" fillId="4" borderId="4" xfId="3" applyFont="1" applyFill="1" applyBorder="1"/>
    <xf numFmtId="165" fontId="13" fillId="4" borderId="12" xfId="3" applyFont="1" applyFill="1" applyBorder="1" applyAlignment="1">
      <alignment horizontal="center"/>
    </xf>
    <xf numFmtId="165" fontId="15" fillId="4" borderId="8" xfId="3" applyFont="1" applyFill="1" applyBorder="1" applyAlignment="1">
      <alignment horizontal="center"/>
    </xf>
    <xf numFmtId="165" fontId="15" fillId="4" borderId="8" xfId="3" applyFont="1" applyFill="1" applyBorder="1"/>
    <xf numFmtId="165" fontId="15" fillId="4" borderId="6" xfId="3" applyFont="1" applyFill="1" applyBorder="1"/>
    <xf numFmtId="165" fontId="15" fillId="4" borderId="14" xfId="3" applyFont="1" applyFill="1" applyBorder="1"/>
    <xf numFmtId="165" fontId="14" fillId="4" borderId="15" xfId="3" applyFont="1" applyFill="1" applyBorder="1"/>
    <xf numFmtId="165" fontId="15" fillId="4" borderId="15" xfId="3" applyFont="1" applyFill="1" applyBorder="1"/>
    <xf numFmtId="165" fontId="16" fillId="5" borderId="16" xfId="3" applyFont="1" applyFill="1" applyBorder="1" applyAlignment="1">
      <alignment horizontal="center" wrapText="1"/>
    </xf>
    <xf numFmtId="165" fontId="17" fillId="5" borderId="17" xfId="3" applyFont="1" applyFill="1" applyBorder="1" applyAlignment="1">
      <alignment horizontal="center" wrapText="1"/>
    </xf>
    <xf numFmtId="165" fontId="16" fillId="5" borderId="17" xfId="3" applyFont="1" applyFill="1" applyBorder="1" applyAlignment="1">
      <alignment horizontal="center" wrapText="1"/>
    </xf>
    <xf numFmtId="165" fontId="0" fillId="0" borderId="0" xfId="3" applyFont="1"/>
    <xf numFmtId="165" fontId="18" fillId="6" borderId="7" xfId="3" applyFont="1" applyFill="1" applyBorder="1" applyAlignment="1">
      <alignment horizontal="center"/>
    </xf>
    <xf numFmtId="165" fontId="18" fillId="6" borderId="7" xfId="3" applyFont="1" applyFill="1" applyBorder="1"/>
    <xf numFmtId="165" fontId="13" fillId="6" borderId="2" xfId="3" applyFont="1" applyFill="1" applyBorder="1"/>
    <xf numFmtId="165" fontId="13" fillId="6" borderId="1" xfId="3" applyFont="1" applyFill="1" applyBorder="1"/>
    <xf numFmtId="165" fontId="13" fillId="6" borderId="16" xfId="3" applyFont="1" applyFill="1" applyBorder="1"/>
    <xf numFmtId="165" fontId="14" fillId="6" borderId="17" xfId="3" applyFont="1" applyFill="1" applyBorder="1"/>
    <xf numFmtId="165" fontId="13" fillId="6" borderId="17" xfId="3" applyFont="1" applyFill="1" applyBorder="1"/>
    <xf numFmtId="0" fontId="1" fillId="0" borderId="0" xfId="3" applyNumberFormat="1" applyAlignment="1">
      <alignment horizontal="center"/>
    </xf>
    <xf numFmtId="0" fontId="19" fillId="0" borderId="18" xfId="0" applyFont="1" applyBorder="1"/>
    <xf numFmtId="3" fontId="20" fillId="0" borderId="0" xfId="3" applyNumberFormat="1" applyFont="1"/>
    <xf numFmtId="3" fontId="20" fillId="0" borderId="16" xfId="3" applyNumberFormat="1" applyFont="1" applyBorder="1"/>
    <xf numFmtId="3" fontId="7" fillId="0" borderId="17" xfId="3" applyNumberFormat="1" applyFont="1" applyBorder="1"/>
    <xf numFmtId="3" fontId="20" fillId="0" borderId="17" xfId="3" applyNumberFormat="1" applyFont="1" applyBorder="1"/>
    <xf numFmtId="0" fontId="19" fillId="0" borderId="18" xfId="0" applyFont="1" applyBorder="1" applyAlignment="1">
      <alignment wrapText="1"/>
    </xf>
    <xf numFmtId="0" fontId="8" fillId="0" borderId="0" xfId="0" applyFont="1" applyAlignment="1">
      <alignment horizontal="center"/>
    </xf>
    <xf numFmtId="0" fontId="21" fillId="0" borderId="0" xfId="0" applyFont="1" applyAlignment="1">
      <alignment horizontal="center"/>
    </xf>
    <xf numFmtId="0" fontId="22" fillId="0" borderId="19" xfId="0" applyFont="1" applyBorder="1"/>
    <xf numFmtId="0" fontId="20" fillId="0" borderId="0" xfId="0" applyFont="1"/>
    <xf numFmtId="0" fontId="7" fillId="0" borderId="17" xfId="0" applyFont="1" applyBorder="1"/>
    <xf numFmtId="3" fontId="7" fillId="0" borderId="17" xfId="0" applyNumberFormat="1" applyFont="1" applyBorder="1"/>
    <xf numFmtId="0" fontId="19" fillId="0" borderId="0" xfId="0" applyFont="1"/>
    <xf numFmtId="0" fontId="19" fillId="0" borderId="0" xfId="0" quotePrefix="1" applyFont="1"/>
    <xf numFmtId="165" fontId="5" fillId="4" borderId="0" xfId="3" applyFont="1" applyFill="1" applyAlignment="1">
      <alignment horizontal="center"/>
    </xf>
    <xf numFmtId="165" fontId="1" fillId="4" borderId="0" xfId="3" applyFill="1"/>
    <xf numFmtId="165" fontId="6" fillId="4" borderId="0" xfId="3" applyFont="1" applyFill="1"/>
    <xf numFmtId="3" fontId="6" fillId="4" borderId="0" xfId="3" applyNumberFormat="1" applyFont="1" applyFill="1"/>
    <xf numFmtId="165" fontId="18" fillId="4" borderId="0" xfId="3" applyFont="1" applyFill="1"/>
    <xf numFmtId="165" fontId="18" fillId="4" borderId="16" xfId="3" applyFont="1" applyFill="1" applyBorder="1"/>
    <xf numFmtId="165" fontId="23" fillId="4" borderId="17" xfId="3" applyFont="1" applyFill="1" applyBorder="1"/>
    <xf numFmtId="165" fontId="18" fillId="4" borderId="17" xfId="3" applyFont="1" applyFill="1" applyBorder="1"/>
    <xf numFmtId="165" fontId="18" fillId="6" borderId="0" xfId="3" applyFont="1" applyFill="1" applyAlignment="1">
      <alignment horizontal="center"/>
    </xf>
    <xf numFmtId="165" fontId="18" fillId="6" borderId="0" xfId="3" applyFont="1" applyFill="1"/>
    <xf numFmtId="165" fontId="6" fillId="6" borderId="0" xfId="3" applyFont="1" applyFill="1"/>
    <xf numFmtId="165" fontId="6" fillId="6" borderId="16" xfId="3" applyFont="1" applyFill="1" applyBorder="1"/>
    <xf numFmtId="165" fontId="7" fillId="6" borderId="17" xfId="3" applyFont="1" applyFill="1" applyBorder="1"/>
    <xf numFmtId="165" fontId="6" fillId="6" borderId="17" xfId="3" applyFont="1" applyFill="1" applyBorder="1"/>
    <xf numFmtId="0" fontId="19" fillId="0" borderId="20" xfId="0" applyFont="1" applyBorder="1"/>
    <xf numFmtId="165" fontId="0" fillId="0" borderId="21" xfId="3" applyFont="1" applyBorder="1"/>
    <xf numFmtId="165" fontId="5" fillId="4" borderId="21" xfId="3" applyFont="1" applyFill="1" applyBorder="1" applyAlignment="1">
      <alignment horizontal="center"/>
    </xf>
    <xf numFmtId="165" fontId="1" fillId="4" borderId="21" xfId="3" applyFill="1" applyBorder="1"/>
    <xf numFmtId="165" fontId="6" fillId="4" borderId="21" xfId="3" applyFont="1" applyFill="1" applyBorder="1"/>
    <xf numFmtId="3" fontId="6" fillId="4" borderId="21" xfId="3" applyNumberFormat="1" applyFont="1" applyFill="1" applyBorder="1"/>
    <xf numFmtId="165" fontId="18" fillId="4" borderId="21" xfId="3" applyFont="1" applyFill="1" applyBorder="1"/>
    <xf numFmtId="165" fontId="18" fillId="4" borderId="22" xfId="3" applyFont="1" applyFill="1" applyBorder="1"/>
    <xf numFmtId="165" fontId="18" fillId="7" borderId="0" xfId="3" applyFont="1" applyFill="1" applyAlignment="1">
      <alignment horizontal="center"/>
    </xf>
    <xf numFmtId="165" fontId="18" fillId="7" borderId="0" xfId="3" applyFont="1" applyFill="1"/>
    <xf numFmtId="165" fontId="6" fillId="7" borderId="0" xfId="3" applyFont="1" applyFill="1"/>
    <xf numFmtId="165" fontId="6" fillId="7" borderId="16" xfId="3" applyFont="1" applyFill="1" applyBorder="1"/>
    <xf numFmtId="165" fontId="7" fillId="7" borderId="17" xfId="3" applyFont="1" applyFill="1" applyBorder="1"/>
    <xf numFmtId="165" fontId="6" fillId="7" borderId="17" xfId="3" applyFont="1" applyFill="1" applyBorder="1"/>
    <xf numFmtId="165" fontId="0" fillId="3" borderId="0" xfId="3" applyFont="1" applyFill="1"/>
    <xf numFmtId="165" fontId="5" fillId="3" borderId="0" xfId="3" applyFont="1" applyFill="1" applyAlignment="1">
      <alignment horizontal="center"/>
    </xf>
    <xf numFmtId="165" fontId="1" fillId="3" borderId="0" xfId="3" applyFill="1"/>
    <xf numFmtId="165" fontId="6" fillId="3" borderId="0" xfId="3" applyFont="1" applyFill="1"/>
    <xf numFmtId="3" fontId="6" fillId="3" borderId="0" xfId="3" applyNumberFormat="1" applyFont="1" applyFill="1"/>
    <xf numFmtId="3" fontId="24" fillId="3" borderId="0" xfId="3" applyNumberFormat="1" applyFont="1" applyFill="1"/>
    <xf numFmtId="165" fontId="18" fillId="3" borderId="16" xfId="3" applyFont="1" applyFill="1" applyBorder="1"/>
    <xf numFmtId="165" fontId="18" fillId="3" borderId="17" xfId="3" applyFont="1" applyFill="1" applyBorder="1"/>
    <xf numFmtId="165" fontId="5" fillId="2" borderId="0" xfId="3" applyFont="1" applyFill="1" applyAlignment="1">
      <alignment horizontal="center"/>
    </xf>
    <xf numFmtId="165" fontId="1" fillId="2" borderId="0" xfId="3" applyFill="1"/>
    <xf numFmtId="165" fontId="6" fillId="2" borderId="0" xfId="3" applyFont="1" applyFill="1"/>
    <xf numFmtId="3" fontId="6" fillId="2" borderId="0" xfId="3" applyNumberFormat="1" applyFont="1" applyFill="1"/>
    <xf numFmtId="3" fontId="24" fillId="2" borderId="0" xfId="3" applyNumberFormat="1" applyFont="1" applyFill="1"/>
    <xf numFmtId="165" fontId="25" fillId="2" borderId="0" xfId="3" applyFont="1" applyFill="1"/>
    <xf numFmtId="165" fontId="25" fillId="2" borderId="16" xfId="3" applyFont="1" applyFill="1" applyBorder="1"/>
    <xf numFmtId="165" fontId="23" fillId="2" borderId="17" xfId="3" applyFont="1" applyFill="1" applyBorder="1"/>
    <xf numFmtId="165" fontId="25" fillId="2" borderId="17" xfId="3" applyFont="1" applyFill="1" applyBorder="1"/>
    <xf numFmtId="165" fontId="18" fillId="6" borderId="16" xfId="3" applyFont="1" applyFill="1" applyBorder="1" applyAlignment="1">
      <alignment horizontal="left" wrapText="1"/>
    </xf>
    <xf numFmtId="165" fontId="23" fillId="6" borderId="17" xfId="3" applyFont="1" applyFill="1" applyBorder="1" applyAlignment="1">
      <alignment horizontal="left" wrapText="1"/>
    </xf>
    <xf numFmtId="165" fontId="18" fillId="6" borderId="17" xfId="3" applyFont="1" applyFill="1" applyBorder="1" applyAlignment="1">
      <alignment horizontal="left" wrapText="1"/>
    </xf>
    <xf numFmtId="165" fontId="23" fillId="0" borderId="17" xfId="3" applyFont="1" applyBorder="1" applyAlignment="1">
      <alignment horizontal="left" wrapText="1"/>
    </xf>
    <xf numFmtId="165" fontId="1" fillId="3" borderId="0" xfId="3" applyFill="1" applyAlignment="1">
      <alignment horizontal="center"/>
    </xf>
    <xf numFmtId="165" fontId="18" fillId="3" borderId="23" xfId="3" applyFont="1" applyFill="1" applyBorder="1"/>
    <xf numFmtId="165" fontId="3" fillId="0" borderId="24" xfId="3" applyFont="1" applyBorder="1"/>
    <xf numFmtId="165" fontId="1" fillId="0" borderId="24" xfId="3" applyBorder="1"/>
    <xf numFmtId="165" fontId="18" fillId="0" borderId="0" xfId="3" applyFont="1" applyAlignment="1">
      <alignment horizontal="center"/>
    </xf>
    <xf numFmtId="9" fontId="19" fillId="0" borderId="18" xfId="1" applyFont="1" applyBorder="1"/>
    <xf numFmtId="9" fontId="19" fillId="0" borderId="0" xfId="1" applyFont="1" applyBorder="1"/>
    <xf numFmtId="165" fontId="18" fillId="3" borderId="5" xfId="3" applyFont="1" applyFill="1" applyBorder="1" applyAlignment="1">
      <alignment horizontal="center"/>
    </xf>
    <xf numFmtId="165" fontId="6" fillId="3" borderId="5" xfId="3" applyFont="1" applyFill="1" applyBorder="1"/>
    <xf numFmtId="3" fontId="6" fillId="3" borderId="5" xfId="3" applyNumberFormat="1" applyFont="1" applyFill="1" applyBorder="1"/>
    <xf numFmtId="165" fontId="18" fillId="3" borderId="0" xfId="3" applyFont="1" applyFill="1"/>
    <xf numFmtId="165" fontId="23" fillId="3" borderId="17" xfId="3" applyFont="1" applyFill="1" applyBorder="1"/>
    <xf numFmtId="3" fontId="24" fillId="8" borderId="0" xfId="3" applyNumberFormat="1" applyFont="1" applyFill="1"/>
    <xf numFmtId="165" fontId="18" fillId="8" borderId="0" xfId="3" applyFont="1" applyFill="1"/>
    <xf numFmtId="165" fontId="18" fillId="8" borderId="16" xfId="3" applyFont="1" applyFill="1" applyBorder="1"/>
    <xf numFmtId="165" fontId="23" fillId="8" borderId="17" xfId="3" applyFont="1" applyFill="1" applyBorder="1"/>
    <xf numFmtId="165" fontId="18" fillId="8" borderId="17" xfId="3" applyFont="1" applyFill="1" applyBorder="1"/>
    <xf numFmtId="3" fontId="6" fillId="0" borderId="0" xfId="3" applyNumberFormat="1" applyFont="1"/>
    <xf numFmtId="3" fontId="24" fillId="0" borderId="0" xfId="3" applyNumberFormat="1" applyFont="1"/>
    <xf numFmtId="165" fontId="18" fillId="0" borderId="0" xfId="3" applyFont="1"/>
    <xf numFmtId="165" fontId="18" fillId="0" borderId="5" xfId="3" applyFont="1" applyBorder="1"/>
    <xf numFmtId="165" fontId="23" fillId="0" borderId="25" xfId="3" applyFont="1" applyBorder="1"/>
    <xf numFmtId="165" fontId="18" fillId="0" borderId="25" xfId="3" applyFont="1" applyBorder="1"/>
    <xf numFmtId="165" fontId="7" fillId="7" borderId="24" xfId="3" applyFont="1" applyFill="1" applyBorder="1"/>
    <xf numFmtId="165" fontId="6" fillId="7" borderId="24" xfId="3" applyFont="1" applyFill="1" applyBorder="1"/>
    <xf numFmtId="164" fontId="19" fillId="0" borderId="18" xfId="2" applyNumberFormat="1" applyFont="1" applyBorder="1"/>
    <xf numFmtId="3" fontId="7" fillId="0" borderId="24" xfId="3" applyNumberFormat="1" applyFont="1" applyBorder="1"/>
    <xf numFmtId="3" fontId="20" fillId="0" borderId="24" xfId="3" applyNumberFormat="1" applyFont="1" applyBorder="1"/>
    <xf numFmtId="165" fontId="5" fillId="3" borderId="0" xfId="3" applyFont="1" applyFill="1"/>
    <xf numFmtId="165" fontId="18" fillId="3" borderId="24" xfId="3" applyFont="1" applyFill="1" applyBorder="1"/>
    <xf numFmtId="165" fontId="23" fillId="0" borderId="24" xfId="3" applyFont="1" applyBorder="1"/>
    <xf numFmtId="165" fontId="18" fillId="0" borderId="24" xfId="3" applyFont="1" applyBorder="1"/>
    <xf numFmtId="165" fontId="18" fillId="3" borderId="0" xfId="3" applyFont="1" applyFill="1" applyAlignment="1">
      <alignment horizontal="center"/>
    </xf>
    <xf numFmtId="165" fontId="7" fillId="0" borderId="24" xfId="3" applyFont="1" applyBorder="1"/>
    <xf numFmtId="165" fontId="6" fillId="0" borderId="24" xfId="3" applyFont="1" applyBorder="1"/>
    <xf numFmtId="1" fontId="19" fillId="0" borderId="18" xfId="0" applyNumberFormat="1" applyFont="1" applyBorder="1"/>
    <xf numFmtId="165" fontId="26" fillId="7" borderId="0" xfId="3" applyFont="1" applyFill="1"/>
    <xf numFmtId="165" fontId="16" fillId="9" borderId="0" xfId="3" applyFont="1" applyFill="1" applyAlignment="1">
      <alignment horizontal="center"/>
    </xf>
    <xf numFmtId="165" fontId="6" fillId="9" borderId="0" xfId="3" applyFont="1" applyFill="1"/>
    <xf numFmtId="3" fontId="27" fillId="9" borderId="0" xfId="3" applyNumberFormat="1" applyFont="1" applyFill="1"/>
    <xf numFmtId="3" fontId="28" fillId="9" borderId="26" xfId="3" applyNumberFormat="1" applyFont="1" applyFill="1" applyBorder="1"/>
    <xf numFmtId="3" fontId="27" fillId="9" borderId="26" xfId="3" applyNumberFormat="1" applyFont="1" applyFill="1" applyBorder="1"/>
    <xf numFmtId="165" fontId="3" fillId="0" borderId="0" xfId="3" applyFont="1"/>
    <xf numFmtId="165" fontId="4" fillId="0" borderId="0" xfId="3" applyFont="1"/>
    <xf numFmtId="165" fontId="4" fillId="0" borderId="0" xfId="3" applyFont="1" applyAlignment="1">
      <alignment horizontal="right"/>
    </xf>
    <xf numFmtId="166" fontId="4" fillId="0" borderId="0" xfId="3" applyNumberFormat="1" applyFont="1"/>
    <xf numFmtId="3" fontId="20" fillId="0" borderId="9" xfId="3" applyNumberFormat="1" applyFont="1" applyBorder="1"/>
    <xf numFmtId="165" fontId="18" fillId="3" borderId="9" xfId="3" applyFont="1" applyFill="1" applyBorder="1"/>
    <xf numFmtId="165" fontId="18" fillId="4" borderId="9" xfId="3" applyFont="1" applyFill="1" applyBorder="1"/>
    <xf numFmtId="165" fontId="1" fillId="0" borderId="10" xfId="3" applyBorder="1"/>
    <xf numFmtId="165" fontId="15" fillId="4" borderId="28" xfId="3" applyFont="1" applyFill="1" applyBorder="1"/>
    <xf numFmtId="165" fontId="16" fillId="5" borderId="9" xfId="3" applyFont="1" applyFill="1" applyBorder="1" applyAlignment="1">
      <alignment horizontal="center" wrapText="1"/>
    </xf>
    <xf numFmtId="165" fontId="13" fillId="6" borderId="9" xfId="3" applyFont="1" applyFill="1" applyBorder="1"/>
    <xf numFmtId="165" fontId="6" fillId="6" borderId="9" xfId="3" applyFont="1" applyFill="1" applyBorder="1"/>
    <xf numFmtId="165" fontId="6" fillId="7" borderId="9" xfId="3" applyFont="1" applyFill="1" applyBorder="1"/>
    <xf numFmtId="165" fontId="25" fillId="2" borderId="9" xfId="3" applyFont="1" applyFill="1" applyBorder="1"/>
    <xf numFmtId="165" fontId="18" fillId="6" borderId="9" xfId="3" applyFont="1" applyFill="1" applyBorder="1" applyAlignment="1">
      <alignment horizontal="left" wrapText="1"/>
    </xf>
    <xf numFmtId="165" fontId="18" fillId="8" borderId="9" xfId="3" applyFont="1" applyFill="1" applyBorder="1"/>
    <xf numFmtId="165" fontId="18" fillId="0" borderId="29" xfId="3" applyFont="1" applyBorder="1"/>
    <xf numFmtId="165" fontId="6" fillId="7" borderId="10" xfId="3" applyFont="1" applyFill="1" applyBorder="1"/>
    <xf numFmtId="165" fontId="18" fillId="3" borderId="10" xfId="3" applyFont="1" applyFill="1" applyBorder="1"/>
    <xf numFmtId="165" fontId="18" fillId="0" borderId="10" xfId="3" applyFont="1" applyBorder="1"/>
    <xf numFmtId="165" fontId="6" fillId="0" borderId="10" xfId="3" applyFont="1" applyBorder="1"/>
    <xf numFmtId="3" fontId="27" fillId="9" borderId="11" xfId="3" applyNumberFormat="1" applyFont="1" applyFill="1" applyBorder="1"/>
    <xf numFmtId="165" fontId="5" fillId="0" borderId="0" xfId="3" applyFont="1" applyAlignment="1">
      <alignment horizontal="left"/>
    </xf>
    <xf numFmtId="165" fontId="13" fillId="4" borderId="27" xfId="3" applyFont="1" applyFill="1" applyBorder="1" applyAlignment="1">
      <alignment horizontal="center"/>
    </xf>
    <xf numFmtId="165" fontId="23" fillId="4" borderId="9" xfId="3" applyFont="1" applyFill="1" applyBorder="1"/>
    <xf numFmtId="165" fontId="13" fillId="4" borderId="13" xfId="3" applyFont="1" applyFill="1" applyBorder="1" applyAlignment="1">
      <alignment wrapText="1"/>
    </xf>
    <xf numFmtId="0" fontId="8" fillId="0" borderId="17" xfId="0" applyFont="1" applyBorder="1"/>
    <xf numFmtId="166" fontId="18" fillId="4" borderId="17" xfId="3" applyNumberFormat="1" applyFont="1" applyFill="1" applyBorder="1"/>
    <xf numFmtId="165" fontId="18" fillId="4" borderId="25" xfId="3" applyFont="1" applyFill="1" applyBorder="1"/>
    <xf numFmtId="3" fontId="20" fillId="3" borderId="17" xfId="3" applyNumberFormat="1" applyFont="1" applyFill="1" applyBorder="1"/>
    <xf numFmtId="3" fontId="24" fillId="3" borderId="17" xfId="3" applyNumberFormat="1" applyFont="1" applyFill="1" applyBorder="1"/>
    <xf numFmtId="165" fontId="5" fillId="3" borderId="24" xfId="3" applyFont="1" applyFill="1" applyBorder="1"/>
    <xf numFmtId="165" fontId="14" fillId="4" borderId="13" xfId="3" applyFont="1" applyFill="1" applyBorder="1" applyAlignment="1">
      <alignment vertical="center" wrapText="1"/>
    </xf>
    <xf numFmtId="165" fontId="14" fillId="4" borderId="13" xfId="3" applyFont="1" applyFill="1" applyBorder="1" applyAlignment="1">
      <alignment horizontal="left" vertical="center" wrapText="1"/>
    </xf>
    <xf numFmtId="165" fontId="29" fillId="4" borderId="9" xfId="3" applyFont="1" applyFill="1" applyBorder="1"/>
    <xf numFmtId="165" fontId="8" fillId="0" borderId="0" xfId="3" applyFont="1"/>
    <xf numFmtId="0" fontId="30" fillId="3" borderId="0" xfId="6" applyFont="1" applyFill="1"/>
    <xf numFmtId="0" fontId="31" fillId="3" borderId="0" xfId="6" applyFont="1" applyFill="1" applyAlignment="1">
      <alignment horizontal="left"/>
    </xf>
    <xf numFmtId="0" fontId="0" fillId="3" borderId="0" xfId="0" applyFill="1"/>
    <xf numFmtId="0" fontId="32" fillId="0" borderId="0" xfId="0" applyFont="1" applyAlignment="1">
      <alignment horizontal="left" wrapText="1"/>
    </xf>
    <xf numFmtId="0" fontId="33" fillId="0" borderId="0" xfId="0" applyFont="1" applyAlignment="1">
      <alignment horizontal="left" wrapText="1"/>
    </xf>
    <xf numFmtId="0" fontId="34" fillId="0" borderId="0" xfId="0" applyFont="1" applyAlignment="1">
      <alignment horizontal="left" vertical="top"/>
    </xf>
    <xf numFmtId="0" fontId="34" fillId="0" borderId="0" xfId="0" applyFont="1" applyAlignment="1">
      <alignment horizontal="left" vertical="top" wrapText="1"/>
    </xf>
    <xf numFmtId="39" fontId="34" fillId="0" borderId="0" xfId="0" applyNumberFormat="1" applyFont="1" applyAlignment="1">
      <alignment horizontal="right" vertical="top"/>
    </xf>
    <xf numFmtId="14" fontId="34" fillId="0" borderId="0" xfId="0" applyNumberFormat="1" applyFont="1" applyAlignment="1">
      <alignment horizontal="right" vertical="top"/>
    </xf>
    <xf numFmtId="39" fontId="0" fillId="0" borderId="0" xfId="0" applyNumberFormat="1"/>
    <xf numFmtId="0" fontId="0" fillId="0" borderId="0" xfId="0" applyAlignment="1">
      <alignment horizontal="left"/>
    </xf>
    <xf numFmtId="43" fontId="0" fillId="0" borderId="0" xfId="0" applyNumberFormat="1"/>
    <xf numFmtId="0" fontId="35" fillId="0" borderId="27" xfId="0" applyFont="1" applyBorder="1" applyAlignment="1">
      <alignment horizontal="left"/>
    </xf>
    <xf numFmtId="4" fontId="0" fillId="0" borderId="56" xfId="0" applyNumberFormat="1" applyBorder="1"/>
    <xf numFmtId="0" fontId="35" fillId="0" borderId="10" xfId="0" applyFont="1" applyBorder="1" applyAlignment="1">
      <alignment horizontal="left"/>
    </xf>
    <xf numFmtId="43" fontId="0" fillId="0" borderId="57" xfId="2" applyFont="1" applyBorder="1"/>
    <xf numFmtId="0" fontId="35" fillId="0" borderId="11" xfId="0" applyFont="1" applyBorder="1" applyAlignment="1">
      <alignment horizontal="left"/>
    </xf>
    <xf numFmtId="43" fontId="0" fillId="0" borderId="58" xfId="2" applyFont="1" applyBorder="1"/>
    <xf numFmtId="0" fontId="35" fillId="0" borderId="0" xfId="0" applyFont="1" applyAlignment="1">
      <alignment horizontal="left"/>
    </xf>
    <xf numFmtId="0" fontId="36" fillId="0" borderId="0" xfId="0" applyFont="1" applyAlignment="1">
      <alignment horizontal="left" wrapText="1"/>
    </xf>
    <xf numFmtId="0" fontId="0" fillId="0" borderId="0" xfId="0" pivotButton="1"/>
    <xf numFmtId="0" fontId="34" fillId="15" borderId="0" xfId="0" applyFont="1" applyFill="1" applyAlignment="1">
      <alignment horizontal="left" vertical="top"/>
    </xf>
    <xf numFmtId="14" fontId="34" fillId="15" borderId="0" xfId="0" applyNumberFormat="1" applyFont="1" applyFill="1" applyAlignment="1">
      <alignment horizontal="right" vertical="top"/>
    </xf>
    <xf numFmtId="39" fontId="34" fillId="15" borderId="0" xfId="0" applyNumberFormat="1" applyFont="1" applyFill="1" applyAlignment="1">
      <alignment horizontal="right" vertical="top"/>
    </xf>
    <xf numFmtId="0" fontId="0" fillId="15" borderId="0" xfId="0" applyFill="1"/>
    <xf numFmtId="39" fontId="0" fillId="15" borderId="0" xfId="0" applyNumberFormat="1" applyFill="1"/>
    <xf numFmtId="0" fontId="34" fillId="15" borderId="0" xfId="0" applyFont="1" applyFill="1" applyAlignment="1">
      <alignment horizontal="left" vertical="top" wrapText="1"/>
    </xf>
    <xf numFmtId="0" fontId="35" fillId="0" borderId="27" xfId="7" applyFont="1" applyBorder="1" applyAlignment="1">
      <alignment horizontal="left"/>
    </xf>
    <xf numFmtId="0" fontId="35" fillId="0" borderId="10" xfId="7" applyFont="1" applyBorder="1" applyAlignment="1">
      <alignment horizontal="left"/>
    </xf>
    <xf numFmtId="43" fontId="0" fillId="0" borderId="57" xfId="8" applyFont="1" applyBorder="1"/>
    <xf numFmtId="0" fontId="35" fillId="0" borderId="11" xfId="7" applyFont="1" applyBorder="1" applyAlignment="1">
      <alignment horizontal="left"/>
    </xf>
    <xf numFmtId="43" fontId="0" fillId="0" borderId="58" xfId="8" applyFont="1" applyBorder="1"/>
    <xf numFmtId="0" fontId="35" fillId="0" borderId="0" xfId="7" applyFont="1" applyAlignment="1">
      <alignment horizontal="left"/>
    </xf>
    <xf numFmtId="165" fontId="31" fillId="0" borderId="0" xfId="3" applyFont="1"/>
    <xf numFmtId="165" fontId="37" fillId="0" borderId="0" xfId="3" applyFont="1"/>
    <xf numFmtId="166" fontId="31" fillId="0" borderId="0" xfId="3" applyNumberFormat="1" applyFont="1"/>
    <xf numFmtId="9" fontId="38" fillId="0" borderId="0" xfId="1" applyFont="1"/>
    <xf numFmtId="166" fontId="39" fillId="0" borderId="0" xfId="3" applyNumberFormat="1" applyFont="1"/>
    <xf numFmtId="165" fontId="40" fillId="0" borderId="0" xfId="3" applyFont="1"/>
    <xf numFmtId="165" fontId="38" fillId="0" borderId="0" xfId="3" applyFont="1"/>
    <xf numFmtId="165" fontId="39" fillId="0" borderId="0" xfId="3" applyFont="1"/>
    <xf numFmtId="165" fontId="40" fillId="0" borderId="30" xfId="3" applyFont="1" applyBorder="1"/>
    <xf numFmtId="165" fontId="41" fillId="0" borderId="0" xfId="3" applyFont="1"/>
    <xf numFmtId="165" fontId="41" fillId="2" borderId="59" xfId="3" applyFont="1" applyFill="1" applyBorder="1"/>
    <xf numFmtId="0" fontId="2" fillId="0" borderId="0" xfId="0" applyFont="1" applyAlignment="1">
      <alignment wrapText="1"/>
    </xf>
    <xf numFmtId="0" fontId="43" fillId="0" borderId="0" xfId="0" applyFont="1" applyAlignment="1">
      <alignment wrapText="1"/>
    </xf>
    <xf numFmtId="44" fontId="2" fillId="0" borderId="0" xfId="5" applyFont="1" applyBorder="1" applyAlignment="1">
      <alignment wrapText="1"/>
    </xf>
    <xf numFmtId="0" fontId="2" fillId="0" borderId="0" xfId="0" applyFont="1"/>
    <xf numFmtId="0" fontId="42" fillId="0" borderId="0" xfId="0" applyFont="1" applyAlignment="1">
      <alignment wrapText="1"/>
    </xf>
    <xf numFmtId="0" fontId="43" fillId="0" borderId="7" xfId="0" applyFont="1" applyBorder="1" applyAlignment="1">
      <alignment horizontal="left" wrapText="1"/>
    </xf>
    <xf numFmtId="0" fontId="2" fillId="10" borderId="2" xfId="0" applyFont="1" applyFill="1" applyBorder="1" applyAlignment="1">
      <alignment horizontal="center" vertical="center" wrapText="1"/>
    </xf>
    <xf numFmtId="0" fontId="43" fillId="0" borderId="2" xfId="0" applyFont="1" applyBorder="1" applyAlignment="1" applyProtection="1">
      <alignment horizontal="center" vertical="center" wrapText="1"/>
      <protection locked="0"/>
    </xf>
    <xf numFmtId="0" fontId="2" fillId="11" borderId="2" xfId="0" applyFont="1" applyFill="1" applyBorder="1" applyAlignment="1">
      <alignment horizontal="center" vertical="center" wrapText="1"/>
    </xf>
    <xf numFmtId="0" fontId="44" fillId="0" borderId="0" xfId="0" applyFont="1" applyAlignment="1">
      <alignment horizontal="center" vertical="center" wrapText="1"/>
    </xf>
    <xf numFmtId="0" fontId="43" fillId="10" borderId="2" xfId="0" applyFont="1" applyFill="1" applyBorder="1" applyAlignment="1">
      <alignment vertical="center" wrapText="1"/>
    </xf>
    <xf numFmtId="44" fontId="45" fillId="0" borderId="0" xfId="5" applyFont="1" applyFill="1" applyBorder="1" applyAlignment="1" applyProtection="1">
      <alignment vertical="center" wrapText="1"/>
    </xf>
    <xf numFmtId="44" fontId="43" fillId="0" borderId="0" xfId="5" applyFont="1" applyFill="1" applyBorder="1" applyAlignment="1" applyProtection="1">
      <alignment vertical="center" wrapText="1"/>
    </xf>
    <xf numFmtId="0" fontId="2" fillId="10" borderId="2" xfId="0" applyFont="1" applyFill="1" applyBorder="1" applyAlignment="1">
      <alignment vertical="center" wrapText="1"/>
    </xf>
    <xf numFmtId="0" fontId="2" fillId="0" borderId="2" xfId="0" applyFont="1" applyBorder="1" applyAlignment="1" applyProtection="1">
      <alignment horizontal="left" vertical="top" wrapText="1"/>
      <protection locked="0"/>
    </xf>
    <xf numFmtId="44" fontId="2" fillId="0" borderId="2" xfId="5" applyFont="1" applyBorder="1" applyAlignment="1" applyProtection="1">
      <alignment horizontal="center" vertical="center" wrapText="1"/>
      <protection locked="0"/>
    </xf>
    <xf numFmtId="44" fontId="2" fillId="10" borderId="2" xfId="5" applyFont="1" applyFill="1" applyBorder="1" applyAlignment="1" applyProtection="1">
      <alignment horizontal="center" vertical="center" wrapText="1"/>
    </xf>
    <xf numFmtId="9" fontId="2" fillId="0" borderId="2" xfId="1" applyFont="1" applyBorder="1" applyAlignment="1" applyProtection="1">
      <alignment horizontal="center" vertical="center" wrapText="1"/>
      <protection locked="0"/>
    </xf>
    <xf numFmtId="44" fontId="2" fillId="12" borderId="2" xfId="5" applyFont="1" applyFill="1" applyBorder="1" applyAlignment="1" applyProtection="1">
      <alignment horizontal="center" vertical="center" wrapText="1"/>
      <protection locked="0"/>
    </xf>
    <xf numFmtId="49" fontId="2" fillId="0" borderId="2" xfId="5" applyNumberFormat="1" applyFont="1" applyBorder="1" applyAlignment="1" applyProtection="1">
      <alignment horizontal="left" vertical="top" wrapText="1"/>
      <protection locked="0"/>
    </xf>
    <xf numFmtId="44" fontId="2" fillId="0" borderId="0" xfId="5" applyFont="1" applyFill="1" applyBorder="1" applyAlignment="1" applyProtection="1">
      <alignment horizontal="center" vertical="center" wrapText="1"/>
    </xf>
    <xf numFmtId="49" fontId="2" fillId="0" borderId="2" xfId="5" applyNumberFormat="1" applyFont="1" applyBorder="1" applyAlignment="1" applyProtection="1">
      <alignment horizontal="left" wrapText="1"/>
      <protection locked="0"/>
    </xf>
    <xf numFmtId="0" fontId="2" fillId="12" borderId="2" xfId="0" applyFont="1" applyFill="1" applyBorder="1" applyAlignment="1" applyProtection="1">
      <alignment horizontal="left" vertical="top" wrapText="1"/>
      <protection locked="0"/>
    </xf>
    <xf numFmtId="9" fontId="2" fillId="12" borderId="2" xfId="1" applyFont="1" applyFill="1" applyBorder="1" applyAlignment="1" applyProtection="1">
      <alignment horizontal="center" vertical="center" wrapText="1"/>
      <protection locked="0"/>
    </xf>
    <xf numFmtId="49" fontId="2" fillId="12" borderId="2" xfId="5" applyNumberFormat="1" applyFont="1" applyFill="1" applyBorder="1" applyAlignment="1" applyProtection="1">
      <alignment horizontal="left" wrapText="1"/>
      <protection locked="0"/>
    </xf>
    <xf numFmtId="0" fontId="2" fillId="12" borderId="0" xfId="0" applyFont="1" applyFill="1" applyAlignment="1">
      <alignment wrapText="1"/>
    </xf>
    <xf numFmtId="44" fontId="43" fillId="10" borderId="2" xfId="5" applyFont="1" applyFill="1" applyBorder="1" applyAlignment="1" applyProtection="1">
      <alignment horizontal="center" vertical="center" wrapText="1"/>
    </xf>
    <xf numFmtId="44" fontId="43" fillId="12" borderId="2" xfId="5" applyFont="1" applyFill="1" applyBorder="1" applyAlignment="1" applyProtection="1">
      <alignment horizontal="center" vertical="center" wrapText="1"/>
    </xf>
    <xf numFmtId="44" fontId="43" fillId="0" borderId="0" xfId="5" applyFont="1" applyFill="1" applyBorder="1" applyAlignment="1" applyProtection="1">
      <alignment horizontal="center" vertical="center" wrapText="1"/>
    </xf>
    <xf numFmtId="44" fontId="43" fillId="10" borderId="3" xfId="5" applyFont="1" applyFill="1" applyBorder="1" applyAlignment="1" applyProtection="1">
      <alignment horizontal="center" vertical="center" wrapText="1"/>
    </xf>
    <xf numFmtId="0" fontId="2" fillId="12" borderId="0" xfId="0" applyFont="1" applyFill="1" applyAlignment="1" applyProtection="1">
      <alignment vertical="center" wrapText="1"/>
      <protection locked="0"/>
    </xf>
    <xf numFmtId="0" fontId="2" fillId="12" borderId="0" xfId="0" applyFont="1" applyFill="1" applyAlignment="1" applyProtection="1">
      <alignment horizontal="left" vertical="top" wrapText="1"/>
      <protection locked="0"/>
    </xf>
    <xf numFmtId="44" fontId="2" fillId="12" borderId="0" xfId="5" applyFont="1" applyFill="1" applyBorder="1" applyAlignment="1" applyProtection="1">
      <alignment horizontal="center" vertical="center" wrapText="1"/>
      <protection locked="0"/>
    </xf>
    <xf numFmtId="0" fontId="43" fillId="12" borderId="0" xfId="0" applyFont="1" applyFill="1" applyAlignment="1">
      <alignment vertical="center" wrapText="1"/>
    </xf>
    <xf numFmtId="44" fontId="2" fillId="12" borderId="0" xfId="5" applyFont="1" applyFill="1" applyBorder="1" applyAlignment="1" applyProtection="1">
      <alignment vertical="center" wrapText="1"/>
      <protection locked="0"/>
    </xf>
    <xf numFmtId="0" fontId="43" fillId="0" borderId="0" xfId="0" applyFont="1" applyAlignment="1" applyProtection="1">
      <alignment vertical="center" wrapText="1"/>
      <protection locked="0"/>
    </xf>
    <xf numFmtId="0" fontId="2" fillId="12" borderId="31" xfId="0" applyFont="1" applyFill="1" applyBorder="1" applyAlignment="1" applyProtection="1">
      <alignment vertical="center" wrapText="1"/>
      <protection locked="0"/>
    </xf>
    <xf numFmtId="44" fontId="2" fillId="0" borderId="2" xfId="5" applyFont="1" applyBorder="1" applyAlignment="1" applyProtection="1">
      <alignment vertical="center" wrapText="1"/>
      <protection locked="0"/>
    </xf>
    <xf numFmtId="44" fontId="2" fillId="10" borderId="2" xfId="5" applyFont="1" applyFill="1" applyBorder="1" applyAlignment="1" applyProtection="1">
      <alignment vertical="center" wrapText="1"/>
    </xf>
    <xf numFmtId="9" fontId="2" fillId="0" borderId="2" xfId="1" applyFont="1" applyBorder="1" applyAlignment="1" applyProtection="1">
      <alignment vertical="center" wrapText="1"/>
      <protection locked="0"/>
    </xf>
    <xf numFmtId="49" fontId="2" fillId="0" borderId="2" xfId="0" applyNumberFormat="1" applyFont="1" applyBorder="1" applyAlignment="1" applyProtection="1">
      <alignment horizontal="left" wrapText="1"/>
      <protection locked="0"/>
    </xf>
    <xf numFmtId="0" fontId="2" fillId="12" borderId="2" xfId="0" applyFont="1" applyFill="1" applyBorder="1" applyAlignment="1" applyProtection="1">
      <alignment vertical="center" wrapText="1"/>
      <protection locked="0"/>
    </xf>
    <xf numFmtId="0" fontId="2" fillId="12" borderId="32" xfId="0" applyFont="1" applyFill="1" applyBorder="1" applyAlignment="1" applyProtection="1">
      <alignment vertical="center" wrapText="1"/>
      <protection locked="0"/>
    </xf>
    <xf numFmtId="0" fontId="43" fillId="10" borderId="8" xfId="0" applyFont="1" applyFill="1" applyBorder="1" applyAlignment="1">
      <alignment vertical="center" wrapText="1"/>
    </xf>
    <xf numFmtId="0" fontId="43" fillId="13" borderId="2" xfId="0" applyFont="1" applyFill="1" applyBorder="1" applyAlignment="1" applyProtection="1">
      <alignment vertical="center" wrapText="1"/>
      <protection locked="0"/>
    </xf>
    <xf numFmtId="44" fontId="43" fillId="13" borderId="2" xfId="5" applyFont="1" applyFill="1" applyBorder="1" applyAlignment="1" applyProtection="1">
      <alignment vertical="center" wrapText="1"/>
    </xf>
    <xf numFmtId="0" fontId="43" fillId="12" borderId="0" xfId="0" applyFont="1" applyFill="1" applyAlignment="1" applyProtection="1">
      <alignment vertical="center" wrapText="1"/>
      <protection locked="0"/>
    </xf>
    <xf numFmtId="0" fontId="43" fillId="0" borderId="0" xfId="0" applyFont="1" applyAlignment="1">
      <alignment vertical="center" wrapText="1"/>
    </xf>
    <xf numFmtId="44" fontId="43" fillId="12" borderId="0" xfId="5" applyFont="1" applyFill="1" applyBorder="1" applyAlignment="1" applyProtection="1">
      <alignment vertical="center" wrapText="1"/>
      <protection locked="0"/>
    </xf>
    <xf numFmtId="0" fontId="2" fillId="12" borderId="0" xfId="0" applyFont="1" applyFill="1" applyAlignment="1">
      <alignment vertical="center" wrapText="1"/>
    </xf>
    <xf numFmtId="0" fontId="2" fillId="10" borderId="39" xfId="0" applyFont="1" applyFill="1" applyBorder="1" applyAlignment="1">
      <alignment vertical="center" wrapText="1"/>
    </xf>
    <xf numFmtId="44" fontId="2" fillId="10" borderId="40" xfId="0" applyNumberFormat="1" applyFont="1" applyFill="1" applyBorder="1" applyAlignment="1">
      <alignment vertical="center" wrapText="1"/>
    </xf>
    <xf numFmtId="44" fontId="2" fillId="0" borderId="0" xfId="0" applyNumberFormat="1" applyFont="1" applyAlignment="1">
      <alignment vertical="center" wrapText="1"/>
    </xf>
    <xf numFmtId="0" fontId="43" fillId="0" borderId="0" xfId="5" applyNumberFormat="1" applyFont="1" applyFill="1" applyBorder="1" applyAlignment="1" applyProtection="1">
      <alignment vertical="center" wrapText="1"/>
    </xf>
    <xf numFmtId="0" fontId="2" fillId="0" borderId="0" xfId="0" applyFont="1" applyAlignment="1" applyProtection="1">
      <alignment vertical="center" wrapText="1"/>
      <protection locked="0"/>
    </xf>
    <xf numFmtId="0" fontId="43" fillId="10" borderId="41" xfId="0" applyFont="1" applyFill="1" applyBorder="1" applyAlignment="1">
      <alignment vertical="center" wrapText="1"/>
    </xf>
    <xf numFmtId="44" fontId="43" fillId="10" borderId="42" xfId="5" applyFont="1" applyFill="1" applyBorder="1" applyAlignment="1" applyProtection="1">
      <alignment vertical="center" wrapText="1"/>
    </xf>
    <xf numFmtId="0" fontId="2" fillId="0" borderId="0" xfId="0" applyFont="1" applyAlignment="1">
      <alignment vertical="center" wrapText="1"/>
    </xf>
    <xf numFmtId="0" fontId="43" fillId="0" borderId="0" xfId="0" applyFont="1" applyAlignment="1">
      <alignment horizontal="center" vertical="center" wrapText="1"/>
    </xf>
    <xf numFmtId="44" fontId="43" fillId="12" borderId="0" xfId="5" applyFont="1" applyFill="1" applyBorder="1" applyAlignment="1" applyProtection="1">
      <alignment horizontal="center" vertical="center" wrapText="1"/>
    </xf>
    <xf numFmtId="0" fontId="43" fillId="10" borderId="0" xfId="0" applyFont="1" applyFill="1" applyAlignment="1">
      <alignment horizontal="left" vertical="center" indent="13"/>
    </xf>
    <xf numFmtId="0" fontId="43" fillId="10" borderId="0" xfId="0" applyFont="1" applyFill="1" applyAlignment="1">
      <alignment horizontal="center" vertical="center" wrapText="1"/>
    </xf>
    <xf numFmtId="0" fontId="43" fillId="10" borderId="43" xfId="0" applyFont="1" applyFill="1" applyBorder="1" applyAlignment="1">
      <alignment horizontal="center" vertical="center" wrapText="1"/>
    </xf>
    <xf numFmtId="0" fontId="43" fillId="10" borderId="39" xfId="0" applyFont="1" applyFill="1" applyBorder="1" applyAlignment="1">
      <alignment horizontal="center" vertical="center" wrapText="1"/>
    </xf>
    <xf numFmtId="0" fontId="43" fillId="10" borderId="39" xfId="0" applyFont="1" applyFill="1" applyBorder="1" applyAlignment="1">
      <alignment vertical="center" wrapText="1"/>
    </xf>
    <xf numFmtId="44" fontId="43" fillId="10" borderId="2" xfId="5" applyFont="1" applyFill="1" applyBorder="1" applyAlignment="1" applyProtection="1">
      <alignment vertical="center" wrapText="1"/>
    </xf>
    <xf numFmtId="9" fontId="43" fillId="12" borderId="40" xfId="1" applyFont="1" applyFill="1" applyBorder="1" applyAlignment="1" applyProtection="1">
      <alignment vertical="center" wrapText="1"/>
      <protection locked="0"/>
    </xf>
    <xf numFmtId="9" fontId="43" fillId="0" borderId="0" xfId="1" applyFont="1" applyFill="1" applyBorder="1" applyAlignment="1" applyProtection="1">
      <alignment vertical="center" wrapText="1"/>
      <protection locked="0"/>
    </xf>
    <xf numFmtId="0" fontId="43" fillId="10" borderId="35" xfId="0" applyFont="1" applyFill="1" applyBorder="1" applyAlignment="1">
      <alignment vertical="center" wrapText="1"/>
    </xf>
    <xf numFmtId="44" fontId="43" fillId="10" borderId="3" xfId="5" applyFont="1" applyFill="1" applyBorder="1" applyAlignment="1" applyProtection="1">
      <alignment vertical="center" wrapText="1"/>
    </xf>
    <xf numFmtId="9" fontId="43" fillId="12" borderId="36" xfId="1" applyFont="1" applyFill="1" applyBorder="1" applyAlignment="1" applyProtection="1">
      <alignment vertical="center" wrapText="1"/>
      <protection locked="0"/>
    </xf>
    <xf numFmtId="0" fontId="43" fillId="10" borderId="44" xfId="0" applyFont="1" applyFill="1" applyBorder="1" applyAlignment="1">
      <alignment vertical="center" wrapText="1"/>
    </xf>
    <xf numFmtId="44" fontId="43" fillId="10" borderId="45" xfId="5" applyFont="1" applyFill="1" applyBorder="1" applyAlignment="1" applyProtection="1">
      <alignment vertical="center" wrapText="1"/>
    </xf>
    <xf numFmtId="9" fontId="43" fillId="10" borderId="46" xfId="1" applyFont="1" applyFill="1" applyBorder="1" applyAlignment="1" applyProtection="1">
      <alignment vertical="center" wrapText="1"/>
    </xf>
    <xf numFmtId="9" fontId="43" fillId="0" borderId="0" xfId="1" applyFont="1" applyFill="1" applyBorder="1" applyAlignment="1" applyProtection="1">
      <alignment vertical="center" wrapText="1"/>
    </xf>
    <xf numFmtId="44" fontId="43" fillId="12" borderId="0" xfId="5" applyFont="1" applyFill="1" applyBorder="1" applyAlignment="1" applyProtection="1">
      <alignment vertical="center" wrapText="1"/>
    </xf>
    <xf numFmtId="44" fontId="43" fillId="0" borderId="0" xfId="0" applyNumberFormat="1" applyFont="1" applyAlignment="1">
      <alignment vertical="center" wrapText="1"/>
    </xf>
    <xf numFmtId="44" fontId="43" fillId="0" borderId="0" xfId="5" applyFont="1" applyFill="1" applyBorder="1" applyAlignment="1">
      <alignment vertical="center" wrapText="1"/>
    </xf>
    <xf numFmtId="0" fontId="43" fillId="10" borderId="47" xfId="0" applyFont="1" applyFill="1" applyBorder="1" applyAlignment="1">
      <alignment horizontal="left" vertical="center" wrapText="1"/>
    </xf>
    <xf numFmtId="44" fontId="43" fillId="10" borderId="48" xfId="0" applyNumberFormat="1" applyFont="1" applyFill="1" applyBorder="1" applyAlignment="1">
      <alignment vertical="center" wrapText="1"/>
    </xf>
    <xf numFmtId="44" fontId="43" fillId="10" borderId="47" xfId="0" applyNumberFormat="1" applyFont="1" applyFill="1" applyBorder="1" applyAlignment="1">
      <alignment vertical="center" wrapText="1"/>
    </xf>
    <xf numFmtId="44" fontId="2" fillId="10" borderId="48" xfId="5" applyFont="1" applyFill="1" applyBorder="1" applyAlignment="1">
      <alignment vertical="center" wrapText="1"/>
    </xf>
    <xf numFmtId="44" fontId="43" fillId="12" borderId="0" xfId="0" applyNumberFormat="1" applyFont="1" applyFill="1" applyAlignment="1">
      <alignment vertical="center" wrapText="1"/>
    </xf>
    <xf numFmtId="44" fontId="2" fillId="0" borderId="0" xfId="5" applyFont="1" applyFill="1" applyBorder="1" applyAlignment="1">
      <alignment vertical="center" wrapText="1"/>
    </xf>
    <xf numFmtId="0" fontId="43" fillId="10" borderId="49" xfId="0" applyFont="1" applyFill="1" applyBorder="1" applyAlignment="1">
      <alignment horizontal="left" vertical="center" wrapText="1"/>
    </xf>
    <xf numFmtId="10" fontId="43" fillId="10" borderId="50" xfId="1" applyNumberFormat="1" applyFont="1" applyFill="1" applyBorder="1" applyAlignment="1" applyProtection="1">
      <alignment wrapText="1"/>
    </xf>
    <xf numFmtId="0" fontId="43" fillId="10" borderId="51" xfId="0" applyFont="1" applyFill="1" applyBorder="1" applyAlignment="1">
      <alignment wrapText="1"/>
    </xf>
    <xf numFmtId="9" fontId="43" fillId="10" borderId="52" xfId="1" applyFont="1" applyFill="1" applyBorder="1" applyAlignment="1">
      <alignment wrapText="1"/>
    </xf>
    <xf numFmtId="9" fontId="43" fillId="12" borderId="0" xfId="1" applyFont="1" applyFill="1" applyBorder="1" applyAlignment="1">
      <alignment wrapText="1"/>
    </xf>
    <xf numFmtId="9" fontId="43" fillId="0" borderId="0" xfId="1" applyFont="1" applyFill="1" applyBorder="1" applyAlignment="1">
      <alignment wrapText="1"/>
    </xf>
    <xf numFmtId="0" fontId="43" fillId="12" borderId="0" xfId="0" applyFont="1" applyFill="1" applyAlignment="1">
      <alignment horizontal="center" vertical="center" wrapText="1"/>
    </xf>
    <xf numFmtId="44" fontId="43" fillId="10" borderId="50" xfId="1" applyNumberFormat="1" applyFont="1" applyFill="1" applyBorder="1" applyAlignment="1" applyProtection="1">
      <alignment wrapText="1"/>
    </xf>
    <xf numFmtId="44" fontId="43" fillId="12" borderId="0" xfId="1" applyNumberFormat="1" applyFont="1" applyFill="1" applyBorder="1" applyAlignment="1">
      <alignment wrapText="1"/>
    </xf>
    <xf numFmtId="0" fontId="43" fillId="10" borderId="54" xfId="0" applyFont="1" applyFill="1" applyBorder="1" applyAlignment="1">
      <alignment horizontal="left" vertical="center" wrapText="1"/>
    </xf>
    <xf numFmtId="10" fontId="43" fillId="10" borderId="55" xfId="1" applyNumberFormat="1" applyFont="1" applyFill="1" applyBorder="1" applyAlignment="1" applyProtection="1">
      <alignment wrapText="1"/>
    </xf>
    <xf numFmtId="0" fontId="2" fillId="12" borderId="0" xfId="0" applyFont="1" applyFill="1" applyAlignment="1">
      <alignment horizontal="center" vertical="center" wrapText="1"/>
    </xf>
    <xf numFmtId="44" fontId="2" fillId="0" borderId="0" xfId="5" applyFont="1" applyFill="1" applyBorder="1" applyAlignment="1">
      <alignment wrapText="1"/>
    </xf>
    <xf numFmtId="0" fontId="46" fillId="0" borderId="0" xfId="9"/>
    <xf numFmtId="0" fontId="46" fillId="0" borderId="0" xfId="9" applyAlignment="1">
      <alignment horizontal="left" wrapText="1"/>
    </xf>
    <xf numFmtId="0" fontId="47" fillId="0" borderId="0" xfId="9" applyFont="1" applyAlignment="1">
      <alignment horizontal="left" wrapText="1"/>
    </xf>
    <xf numFmtId="0" fontId="48" fillId="0" borderId="0" xfId="9" applyFont="1" applyAlignment="1">
      <alignment horizontal="left" vertical="top"/>
    </xf>
    <xf numFmtId="0" fontId="48" fillId="0" borderId="0" xfId="9" applyFont="1" applyAlignment="1">
      <alignment horizontal="left" vertical="top" wrapText="1"/>
    </xf>
    <xf numFmtId="39" fontId="48" fillId="0" borderId="0" xfId="9" applyNumberFormat="1" applyFont="1" applyAlignment="1">
      <alignment horizontal="right" vertical="top"/>
    </xf>
    <xf numFmtId="14" fontId="48" fillId="0" borderId="0" xfId="9" applyNumberFormat="1" applyFont="1" applyAlignment="1">
      <alignment horizontal="right" vertical="top"/>
    </xf>
    <xf numFmtId="0" fontId="49" fillId="0" borderId="0" xfId="9" applyFont="1" applyAlignment="1">
      <alignment horizontal="left" wrapText="1"/>
    </xf>
    <xf numFmtId="43" fontId="0" fillId="0" borderId="0" xfId="2" applyFont="1"/>
    <xf numFmtId="164" fontId="4" fillId="0" borderId="59" xfId="0" applyNumberFormat="1" applyFont="1" applyBorder="1"/>
    <xf numFmtId="0" fontId="50" fillId="0" borderId="0" xfId="9" applyFont="1" applyAlignment="1">
      <alignment horizontal="left" vertical="top" wrapText="1"/>
    </xf>
    <xf numFmtId="3" fontId="52" fillId="2" borderId="50" xfId="0" applyNumberFormat="1" applyFont="1" applyFill="1" applyBorder="1"/>
    <xf numFmtId="0" fontId="48" fillId="0" borderId="0" xfId="9" applyFont="1" applyAlignment="1">
      <alignment horizontal="left" vertical="center"/>
    </xf>
    <xf numFmtId="14" fontId="48" fillId="0" borderId="0" xfId="9" applyNumberFormat="1" applyFont="1" applyAlignment="1">
      <alignment horizontal="right" vertical="center"/>
    </xf>
    <xf numFmtId="39" fontId="48" fillId="0" borderId="0" xfId="9" applyNumberFormat="1" applyFont="1" applyAlignment="1">
      <alignment horizontal="right" vertical="center"/>
    </xf>
    <xf numFmtId="0" fontId="46" fillId="0" borderId="0" xfId="9" applyAlignment="1">
      <alignment vertical="center"/>
    </xf>
    <xf numFmtId="0" fontId="48" fillId="0" borderId="0" xfId="9" applyFont="1" applyAlignment="1">
      <alignment horizontal="left" vertical="center" wrapText="1"/>
    </xf>
    <xf numFmtId="3" fontId="4" fillId="0" borderId="48" xfId="0" applyNumberFormat="1" applyFont="1" applyBorder="1" applyAlignment="1">
      <alignment vertical="center"/>
    </xf>
    <xf numFmtId="3" fontId="4" fillId="0" borderId="50" xfId="0" applyNumberFormat="1" applyFont="1" applyBorder="1" applyAlignment="1">
      <alignment vertical="center"/>
    </xf>
    <xf numFmtId="165" fontId="18" fillId="6" borderId="0" xfId="3" applyFont="1" applyFill="1" applyAlignment="1">
      <alignment horizontal="left" wrapText="1"/>
    </xf>
    <xf numFmtId="165" fontId="16" fillId="5" borderId="0" xfId="3" applyFont="1" applyFill="1" applyAlignment="1">
      <alignment horizontal="center" wrapText="1"/>
    </xf>
    <xf numFmtId="0" fontId="43" fillId="0" borderId="0" xfId="0" applyFont="1" applyAlignment="1">
      <alignment horizontal="center" vertical="center" wrapText="1"/>
    </xf>
    <xf numFmtId="0" fontId="43" fillId="10" borderId="9" xfId="0" applyFont="1" applyFill="1" applyBorder="1" applyAlignment="1">
      <alignment horizontal="center" vertical="center" wrapText="1"/>
    </xf>
    <xf numFmtId="0" fontId="43" fillId="10" borderId="53" xfId="0" applyFont="1" applyFill="1" applyBorder="1" applyAlignment="1">
      <alignment horizontal="center" vertical="center" wrapText="1"/>
    </xf>
    <xf numFmtId="0" fontId="2" fillId="14" borderId="51" xfId="0" applyFont="1" applyFill="1" applyBorder="1" applyAlignment="1">
      <alignment horizontal="center" vertical="center" wrapText="1"/>
    </xf>
    <xf numFmtId="0" fontId="2" fillId="14" borderId="52" xfId="0" applyFont="1" applyFill="1" applyBorder="1" applyAlignment="1">
      <alignment horizontal="center" vertical="center" wrapText="1"/>
    </xf>
    <xf numFmtId="0" fontId="2" fillId="12" borderId="2" xfId="0" applyFont="1" applyFill="1" applyBorder="1" applyAlignment="1" applyProtection="1">
      <alignment horizontal="left" vertical="top" wrapText="1"/>
      <protection locked="0"/>
    </xf>
    <xf numFmtId="44" fontId="2" fillId="12" borderId="2" xfId="5" applyFont="1" applyFill="1" applyBorder="1" applyAlignment="1" applyProtection="1">
      <alignment horizontal="left" vertical="top" wrapText="1"/>
      <protection locked="0"/>
    </xf>
    <xf numFmtId="0" fontId="43" fillId="13" borderId="33" xfId="0" applyFont="1" applyFill="1" applyBorder="1" applyAlignment="1">
      <alignment horizontal="center" vertical="center" wrapText="1"/>
    </xf>
    <xf numFmtId="0" fontId="43" fillId="13" borderId="34" xfId="0" applyFont="1" applyFill="1" applyBorder="1" applyAlignment="1">
      <alignment horizontal="center" vertical="center" wrapText="1"/>
    </xf>
    <xf numFmtId="0" fontId="2" fillId="10" borderId="35" xfId="0" applyFont="1" applyFill="1" applyBorder="1" applyAlignment="1">
      <alignment horizontal="center" vertical="center" wrapText="1"/>
    </xf>
    <xf numFmtId="0" fontId="2" fillId="10" borderId="37" xfId="0" applyFont="1" applyFill="1" applyBorder="1" applyAlignment="1">
      <alignment horizontal="center" vertical="center" wrapText="1"/>
    </xf>
    <xf numFmtId="44" fontId="43" fillId="10" borderId="36" xfId="5" applyFont="1" applyFill="1" applyBorder="1" applyAlignment="1" applyProtection="1">
      <alignment horizontal="center" vertical="center" wrapText="1"/>
      <protection locked="0"/>
    </xf>
    <xf numFmtId="44" fontId="43" fillId="10" borderId="38" xfId="5" applyFont="1" applyFill="1" applyBorder="1" applyAlignment="1" applyProtection="1">
      <alignment horizontal="center" vertical="center" wrapText="1"/>
      <protection locked="0"/>
    </xf>
    <xf numFmtId="44" fontId="43" fillId="0" borderId="0" xfId="5" applyFont="1" applyFill="1" applyBorder="1" applyAlignment="1" applyProtection="1">
      <alignment horizontal="center" vertical="center" wrapText="1"/>
    </xf>
    <xf numFmtId="0" fontId="43" fillId="10" borderId="3" xfId="0" applyFont="1" applyFill="1" applyBorder="1" applyAlignment="1" applyProtection="1">
      <alignment horizontal="center" vertical="center" wrapText="1"/>
      <protection locked="0"/>
    </xf>
    <xf numFmtId="0" fontId="43" fillId="10" borderId="8" xfId="0" applyFont="1" applyFill="1" applyBorder="1" applyAlignment="1" applyProtection="1">
      <alignment horizontal="center" vertical="center" wrapText="1"/>
      <protection locked="0"/>
    </xf>
    <xf numFmtId="0" fontId="43" fillId="10" borderId="36" xfId="0" applyFont="1" applyFill="1" applyBorder="1" applyAlignment="1">
      <alignment horizontal="center" vertical="center" wrapText="1"/>
    </xf>
    <xf numFmtId="0" fontId="43" fillId="10" borderId="38" xfId="0" applyFont="1" applyFill="1" applyBorder="1" applyAlignment="1">
      <alignment horizontal="center" vertical="center" wrapText="1"/>
    </xf>
    <xf numFmtId="0" fontId="43" fillId="12" borderId="2" xfId="0" applyFont="1" applyFill="1" applyBorder="1" applyAlignment="1" applyProtection="1">
      <alignment horizontal="left" vertical="top" wrapText="1"/>
      <protection locked="0"/>
    </xf>
    <xf numFmtId="44" fontId="43" fillId="12" borderId="2" xfId="5" applyFont="1" applyFill="1" applyBorder="1" applyAlignment="1" applyProtection="1">
      <alignment horizontal="left" vertical="top" wrapText="1"/>
      <protection locked="0"/>
    </xf>
    <xf numFmtId="0" fontId="42" fillId="0" borderId="0" xfId="0" applyFont="1" applyAlignment="1">
      <alignment horizontal="left" vertical="top" wrapText="1"/>
    </xf>
    <xf numFmtId="0" fontId="43" fillId="0" borderId="7" xfId="0" applyFont="1" applyBorder="1" applyAlignment="1">
      <alignment horizontal="left" wrapText="1"/>
    </xf>
    <xf numFmtId="49" fontId="43" fillId="12" borderId="2" xfId="0" applyNumberFormat="1" applyFont="1" applyFill="1" applyBorder="1" applyAlignment="1" applyProtection="1">
      <alignment horizontal="left" vertical="top" wrapText="1"/>
      <protection locked="0"/>
    </xf>
    <xf numFmtId="49" fontId="2" fillId="12" borderId="2" xfId="0" applyNumberFormat="1" applyFont="1" applyFill="1" applyBorder="1" applyAlignment="1" applyProtection="1">
      <alignment horizontal="left" vertical="top" wrapText="1"/>
      <protection locked="0"/>
    </xf>
    <xf numFmtId="0" fontId="50" fillId="0" borderId="47" xfId="9" applyFont="1" applyBorder="1" applyAlignment="1">
      <alignment horizontal="left" vertical="center" wrapText="1"/>
    </xf>
    <xf numFmtId="0" fontId="50" fillId="0" borderId="60" xfId="9" applyFont="1" applyBorder="1" applyAlignment="1">
      <alignment horizontal="left" vertical="center" wrapText="1"/>
    </xf>
    <xf numFmtId="0" fontId="50" fillId="0" borderId="49" xfId="9" applyFont="1" applyBorder="1" applyAlignment="1">
      <alignment horizontal="left" vertical="center" wrapText="1"/>
    </xf>
    <xf numFmtId="0" fontId="50" fillId="0" borderId="2" xfId="9" applyFont="1" applyBorder="1" applyAlignment="1">
      <alignment horizontal="left" vertical="center" wrapText="1"/>
    </xf>
    <xf numFmtId="0" fontId="30" fillId="0" borderId="49" xfId="9" applyFont="1" applyBorder="1" applyAlignment="1">
      <alignment horizontal="left" vertical="top" wrapText="1"/>
    </xf>
    <xf numFmtId="0" fontId="30" fillId="0" borderId="2" xfId="9" applyFont="1" applyBorder="1" applyAlignment="1">
      <alignment horizontal="left" vertical="top" wrapText="1"/>
    </xf>
    <xf numFmtId="0" fontId="30" fillId="0" borderId="50" xfId="9" applyFont="1" applyBorder="1" applyAlignment="1">
      <alignment horizontal="left" vertical="top" wrapText="1"/>
    </xf>
    <xf numFmtId="0" fontId="30" fillId="0" borderId="51" xfId="9" applyFont="1" applyBorder="1" applyAlignment="1">
      <alignment horizontal="left" vertical="top" wrapText="1"/>
    </xf>
    <xf numFmtId="0" fontId="30" fillId="0" borderId="61" xfId="9" applyFont="1" applyBorder="1" applyAlignment="1">
      <alignment horizontal="left" vertical="top" wrapText="1"/>
    </xf>
    <xf numFmtId="0" fontId="30" fillId="0" borderId="52" xfId="9" applyFont="1" applyBorder="1" applyAlignment="1">
      <alignment horizontal="left" vertical="top" wrapText="1"/>
    </xf>
    <xf numFmtId="0" fontId="50" fillId="0" borderId="9" xfId="9" applyFont="1" applyBorder="1" applyAlignment="1">
      <alignment horizontal="center" vertical="top" wrapText="1"/>
    </xf>
    <xf numFmtId="0" fontId="50" fillId="0" borderId="31" xfId="9" applyFont="1" applyBorder="1" applyAlignment="1">
      <alignment horizontal="center" vertical="top" wrapText="1"/>
    </xf>
    <xf numFmtId="0" fontId="50" fillId="0" borderId="53" xfId="9" applyFont="1" applyBorder="1" applyAlignment="1">
      <alignment horizontal="center" vertical="top" wrapText="1"/>
    </xf>
    <xf numFmtId="0" fontId="48" fillId="0" borderId="9" xfId="9" applyFont="1" applyBorder="1" applyAlignment="1">
      <alignment horizontal="center" vertical="top" wrapText="1"/>
    </xf>
    <xf numFmtId="0" fontId="48" fillId="0" borderId="31" xfId="9" applyFont="1" applyBorder="1" applyAlignment="1">
      <alignment horizontal="center" vertical="top" wrapText="1"/>
    </xf>
    <xf numFmtId="0" fontId="48" fillId="0" borderId="53" xfId="9" applyFont="1" applyBorder="1" applyAlignment="1">
      <alignment horizontal="center" vertical="top" wrapText="1"/>
    </xf>
    <xf numFmtId="0" fontId="51" fillId="2" borderId="9" xfId="9" applyFont="1" applyFill="1" applyBorder="1" applyAlignment="1">
      <alignment horizontal="left" vertical="top" wrapText="1"/>
    </xf>
    <xf numFmtId="0" fontId="51" fillId="2" borderId="32" xfId="9" applyFont="1" applyFill="1" applyBorder="1" applyAlignment="1">
      <alignment horizontal="left" vertical="top" wrapText="1"/>
    </xf>
  </cellXfs>
  <cellStyles count="10">
    <cellStyle name="Comma" xfId="2" builtinId="3"/>
    <cellStyle name="Comma 2" xfId="8" xr:uid="{00000000-0005-0000-0000-000001000000}"/>
    <cellStyle name="Currency" xfId="5" builtinId="4"/>
    <cellStyle name="Milliers 2" xfId="4" xr:uid="{00000000-0005-0000-0000-000003000000}"/>
    <cellStyle name="Normal" xfId="0" builtinId="0"/>
    <cellStyle name="Normal 2" xfId="6" xr:uid="{00000000-0005-0000-0000-000005000000}"/>
    <cellStyle name="Normal 3" xfId="7" xr:uid="{00000000-0005-0000-0000-000006000000}"/>
    <cellStyle name="Normal 4" xfId="3" xr:uid="{00000000-0005-0000-0000-000007000000}"/>
    <cellStyle name="Normal 5" xfId="9" xr:uid="{00000000-0005-0000-0000-000008000000}"/>
    <cellStyle name="Percent" xfId="1" builtinId="5"/>
  </cellStyles>
  <dxfs count="3">
    <dxf>
      <font>
        <color rgb="FF9C0006"/>
      </font>
      <fill>
        <patternFill>
          <bgColor rgb="FFFFC7CE"/>
        </patternFill>
      </fill>
    </dxf>
    <dxf>
      <font>
        <color rgb="FF9C0006"/>
      </font>
      <fill>
        <patternFill>
          <bgColor rgb="FFFFC7CE"/>
        </patternFill>
      </fill>
    </dxf>
    <dxf>
      <numFmt numFmtId="35" formatCode="_(* #,##0.00_);_(* \(#,##0.0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customXml" Target="../customXml/item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https://outlook.office.com/Users/User/Downloads/Kevin%20-%202024-04-22T113130.240.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er" refreshedDate="45404.48292858796" createdVersion="8" refreshedVersion="8" minRefreshableVersion="3" recordCount="105" xr:uid="{00000000-000A-0000-FFFF-FFFF00000000}">
  <cacheSource type="worksheet">
    <worksheetSource ref="A1:N106" sheet="MIP Sheet" r:id="rId2"/>
  </cacheSource>
  <cacheFields count="14">
    <cacheField name="GL Code" numFmtId="0">
      <sharedItems containsBlank="1"/>
    </cacheField>
    <cacheField name="GL Title" numFmtId="0">
      <sharedItems containsBlank="1" count="14">
        <s v=" "/>
        <m/>
        <s v="Wages - International - Full Time"/>
        <s v="Salary &amp; Fringes Fund Allocation"/>
        <s v="Consultants"/>
        <s v="Office Supplies / Materials"/>
        <s v="Subscriptions &amp; Membership Fees"/>
        <s v="Telephone &amp; Internet Access"/>
        <s v="Banking / Credit Cards Fee"/>
        <s v="Media Outreach / Publicity"/>
        <s v="Ground (Car/Mileage, Rail, Taxi/Shuttle)"/>
        <s v="Meals &amp; Per Diem"/>
        <s v="Rental Halls / Convention Center"/>
        <s v="Grants / Subcontracts Awarded"/>
      </sharedItems>
    </cacheField>
    <cacheField name="Doc Number" numFmtId="0">
      <sharedItems containsBlank="1"/>
    </cacheField>
    <cacheField name="Description" numFmtId="0">
      <sharedItems containsBlank="1"/>
    </cacheField>
    <cacheField name="Session ID" numFmtId="0">
      <sharedItems containsBlank="1"/>
    </cacheField>
    <cacheField name="Effective" numFmtId="0">
      <sharedItems containsDate="1" containsBlank="1" containsMixedTypes="1" minDate="2024-01-24T00:00:00" maxDate="2024-04-01T00:00:00"/>
    </cacheField>
    <cacheField name="Doc Date" numFmtId="0">
      <sharedItems containsDate="1" containsBlank="1" containsMixedTypes="1" minDate="2024-01-24T00:00:00" maxDate="2024-04-01T00:00:00"/>
    </cacheField>
    <cacheField name="Debit" numFmtId="0">
      <sharedItems containsBlank="1" containsMixedTypes="1" containsNumber="1" minValue="7.0000000000000007E-2" maxValue="12268.82"/>
    </cacheField>
    <cacheField name="Credit" numFmtId="0">
      <sharedItems containsBlank="1"/>
    </cacheField>
    <cacheField name="Net" numFmtId="0">
      <sharedItems containsBlank="1" containsMixedTypes="1" containsNumber="1" minValue="7.0000000000000007E-2" maxValue="12268.82" count="77">
        <s v=" "/>
        <m/>
        <n v="497.69"/>
        <n v="564.84"/>
        <n v="1113.32"/>
        <n v="497.02"/>
        <n v="500.26"/>
        <n v="1200.6300000000001"/>
        <n v="1120.5899999999999"/>
        <n v="563.29"/>
        <n v="436.8"/>
        <n v="720"/>
        <n v="500"/>
        <n v="149.68"/>
        <n v="2500"/>
        <n v="3000"/>
        <n v="9.58"/>
        <n v="10.4"/>
        <n v="7.86"/>
        <n v="0.9"/>
        <n v="3.89"/>
        <n v="74.84"/>
        <n v="3.59"/>
        <n v="7.0000000000000007E-2"/>
        <n v="12.98"/>
        <n v="10.25"/>
        <n v="7.74"/>
        <n v="3.54"/>
        <n v="73.75"/>
        <n v="4.43"/>
        <n v="2.95"/>
        <n v="10.33"/>
        <n v="17.04"/>
        <n v="1.48"/>
        <n v="35.4"/>
        <n v="2.21"/>
        <n v="10.62"/>
        <n v="6.05"/>
        <n v="7"/>
        <n v="73.73"/>
        <n v="3.98"/>
        <n v="3.47"/>
        <n v="7.08"/>
        <n v="11.8"/>
        <n v="7.48"/>
        <n v="50.87"/>
        <n v="39.9"/>
        <n v="40.9"/>
        <n v="28.44"/>
        <n v="50.25"/>
        <n v="39.409999999999997"/>
        <n v="40.4"/>
        <n v="51.01"/>
        <n v="40.01"/>
        <n v="41.01"/>
        <n v="41.18"/>
        <n v="3.39"/>
        <n v="666.09"/>
        <n v="425.27"/>
        <n v="633.9"/>
        <n v="598.73"/>
        <n v="296.37"/>
        <n v="763.38"/>
        <n v="59"/>
        <n v="36.880000000000003"/>
        <n v="8.85"/>
        <n v="46.82"/>
        <n v="17.7"/>
        <n v="7.37"/>
        <n v="889.11"/>
        <n v="44.25"/>
        <n v="47.94"/>
        <n v="89.81"/>
        <n v="11543.31"/>
        <n v="12136.84"/>
        <n v="12268.82"/>
        <n v="12121.36"/>
      </sharedItems>
    </cacheField>
    <cacheField name="Activity Code" numFmtId="0">
      <sharedItems containsBlank="1"/>
    </cacheField>
    <cacheField name="Country Code" numFmtId="0">
      <sharedItems containsBlank="1"/>
    </cacheField>
    <cacheField name="Tran Src" numFmtId="0">
      <sharedItems containsBlank="1"/>
    </cacheField>
    <cacheField name="Funder Code"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sumana Cham" refreshedDate="45590.658480439815" createdVersion="4" refreshedVersion="4" minRefreshableVersion="3" recordCount="533" xr:uid="{00000000-000A-0000-FFFF-FFFF06000000}">
  <cacheSource type="worksheet">
    <worksheetSource ref="A1:K534" sheet="MIP Run w-adjustments"/>
  </cacheSource>
  <cacheFields count="11">
    <cacheField name="GL Code" numFmtId="0">
      <sharedItems count="28">
        <s v=" "/>
        <s v="5999"/>
        <s v="8000"/>
        <s v="8502"/>
        <s v="5005"/>
        <s v="5006"/>
        <s v="6501"/>
        <s v="7005"/>
        <s v="8504"/>
        <s v="9000"/>
        <s v="6001"/>
        <s v="6700"/>
        <s v="8600"/>
        <s v="6300"/>
        <s v="6509"/>
        <s v="8800"/>
        <s v="9300"/>
        <s v="6005"/>
        <s v="6511"/>
        <s v="7501"/>
        <s v="8501"/>
        <s v="6513"/>
        <s v="6506"/>
        <s v="7502"/>
        <s v="7200"/>
        <s v="7700"/>
        <s v="6003"/>
        <s v="7500"/>
      </sharedItems>
    </cacheField>
    <cacheField name="GL Title" numFmtId="0">
      <sharedItems/>
    </cacheField>
    <cacheField name="Description" numFmtId="0">
      <sharedItems containsBlank="1"/>
    </cacheField>
    <cacheField name="Session ID" numFmtId="0">
      <sharedItems/>
    </cacheField>
    <cacheField name="Effective" numFmtId="0">
      <sharedItems containsDate="1" containsBlank="1" containsMixedTypes="1" minDate="2023-04-30T00:00:00" maxDate="2024-10-01T00:00:00" count="33">
        <s v=" "/>
        <m/>
        <d v="2023-04-30T00:00:00"/>
        <d v="2023-05-31T00:00:00"/>
        <d v="2023-06-09T00:00:00"/>
        <d v="2023-06-30T00:00:00"/>
        <d v="2023-07-24T00:00:00"/>
        <d v="2023-07-31T00:00:00"/>
        <d v="2023-08-28T00:00:00"/>
        <d v="2023-08-31T00:00:00"/>
        <d v="2023-09-30T00:00:00"/>
        <d v="2023-10-06T00:00:00"/>
        <d v="2023-10-31T00:00:00"/>
        <d v="2023-11-09T00:00:00"/>
        <d v="2023-11-30T00:00:00"/>
        <d v="2023-12-30T00:00:00"/>
        <d v="2023-12-31T00:00:00"/>
        <d v="2024-01-24T00:00:00"/>
        <d v="2024-01-31T00:00:00"/>
        <d v="2024-02-29T00:00:00"/>
        <d v="2024-03-25T00:00:00"/>
        <d v="2024-03-31T00:00:00"/>
        <d v="2024-04-29T00:00:00"/>
        <d v="2024-04-30T00:00:00"/>
        <d v="2024-05-20T00:00:00"/>
        <d v="2024-05-31T00:00:00"/>
        <d v="2024-06-14T00:00:00"/>
        <d v="2024-06-30T00:00:00"/>
        <d v="2024-07-08T00:00:00"/>
        <d v="2024-07-31T00:00:00"/>
        <d v="2024-08-07T00:00:00"/>
        <d v="2024-08-31T00:00:00"/>
        <d v="2024-09-30T00:00:00"/>
      </sharedItems>
    </cacheField>
    <cacheField name="Debit" numFmtId="0">
      <sharedItems containsBlank="1" containsMixedTypes="1" containsNumber="1" minValue="0" maxValue="15271.44" count="364">
        <s v=" "/>
        <n v="0"/>
        <n v="563.28"/>
        <n v="436.8"/>
        <n v="720"/>
        <n v="65.790000000000006"/>
        <n v="41.12"/>
        <n v="837.89"/>
        <n v="498.74"/>
        <n v="125.99"/>
        <n v="113.31"/>
        <n v="75.599999999999994"/>
        <n v="999.46"/>
        <n v="33.6"/>
        <n v="604.77"/>
        <n v="281.39"/>
        <n v="748.4"/>
        <n v="436.78"/>
        <n v="67.2"/>
        <n v="4125.2"/>
        <n v="43.68"/>
        <n v="1310.33"/>
        <n v="56.45"/>
        <n v="100.79"/>
        <n v="4000"/>
        <n v="839.01"/>
        <n v="499.41"/>
        <n v="18.309999999999999"/>
        <n v="25.32"/>
        <n v="6.75"/>
        <n v="42.2"/>
        <n v="563.29"/>
        <n v="839.67"/>
        <n v="63.09"/>
        <n v="100.94"/>
        <n v="25.24"/>
        <n v="8.41"/>
        <n v="436.41"/>
        <n v="6.73"/>
        <n v="50.47"/>
        <n v="3.36"/>
        <n v="126.18"/>
        <n v="1211.31"/>
        <n v="45.42"/>
        <n v="2278.6"/>
        <n v="16.82"/>
        <n v="1000"/>
        <n v="490.19"/>
        <n v="837.49"/>
        <n v="498.51"/>
        <n v="65.97"/>
        <n v="49.48"/>
        <n v="164.93"/>
        <n v="2307.44"/>
        <n v="1055.58"/>
        <n v="204.52"/>
        <n v="715.82"/>
        <n v="387.93"/>
        <n v="802.26"/>
        <n v="477.53"/>
        <n v="764.05"/>
        <n v="598.91"/>
        <n v="357.48"/>
        <n v="1026.71"/>
        <n v="192.9"/>
        <n v="675.14"/>
        <n v="155.56"/>
        <n v="93.34"/>
        <n v="116.67"/>
        <n v="2000"/>
        <n v="2500"/>
        <n v="501.9"/>
        <n v="445.69"/>
        <n v="84.94"/>
        <n v="60.57"/>
        <n v="4.47"/>
        <n v="14160.24"/>
        <n v="14890.03"/>
        <n v="13811.75"/>
        <n v="15271.44"/>
        <n v="498.84"/>
        <n v="15.02"/>
        <n v="3.45"/>
        <n v="600.65"/>
        <n v="60.06"/>
        <n v="4.5"/>
        <n v="2844.12"/>
        <n v="35"/>
        <n v="831"/>
        <n v="629.85"/>
        <n v="15"/>
        <n v="149.96"/>
        <n v="239.94"/>
        <n v="749.82"/>
        <n v="7.5"/>
        <n v="29.99"/>
        <n v="467.89"/>
        <n v="779.81"/>
        <n v="18"/>
        <n v="25.49"/>
        <n v="89.98"/>
        <n v="500.8"/>
        <n v="34.49"/>
        <n v="3.6"/>
        <n v="4.3499999999999996"/>
        <n v="7.0000000000000007E-2"/>
        <n v="50.94"/>
        <n v="500"/>
        <n v="497.69"/>
        <n v="149.68"/>
        <n v="39.9"/>
        <n v="50.87"/>
        <n v="40.9"/>
        <n v="28.44"/>
        <n v="7.48"/>
        <n v="9.58"/>
        <n v="10.4"/>
        <n v="7.86"/>
        <n v="0.9"/>
        <n v="3.89"/>
        <n v="74.84"/>
        <n v="3.59"/>
        <n v="666.09"/>
        <n v="89.81"/>
        <n v="889.11"/>
        <n v="763.38"/>
        <n v="598.73"/>
        <n v="633.9"/>
        <n v="296.37"/>
        <n v="564.84"/>
        <n v="1113.32"/>
        <n v="497.02"/>
        <n v="10.25"/>
        <n v="7.74"/>
        <n v="3.54"/>
        <n v="73.75"/>
        <n v="4.43"/>
        <n v="2.95"/>
        <n v="10.33"/>
        <n v="17.04"/>
        <n v="1.48"/>
        <n v="35.4"/>
        <n v="2.21"/>
        <n v="10.62"/>
        <n v="6.05"/>
        <n v="12.98"/>
        <n v="50.25"/>
        <n v="39.409999999999997"/>
        <n v="40.4"/>
        <n v="36.880000000000003"/>
        <n v="11.8"/>
        <n v="59"/>
        <n v="44.25"/>
        <n v="47.94"/>
        <n v="11543.31"/>
        <n v="12136.84"/>
        <n v="12268.82"/>
        <n v="12121.36"/>
        <n v="500.26"/>
        <n v="1200.6300000000001"/>
        <n v="1120.5899999999999"/>
        <n v="7"/>
        <n v="73.73"/>
        <n v="3.98"/>
        <n v="3.47"/>
        <n v="7.08"/>
        <n v="3.39"/>
        <n v="425.27"/>
        <n v="51.01"/>
        <n v="40.01"/>
        <n v="41.01"/>
        <n v="41.18"/>
        <n v="8.85"/>
        <n v="46.82"/>
        <n v="17.7"/>
        <n v="7.37"/>
        <n v="53.1"/>
        <n v="1032.5899999999999"/>
        <n v="1567.33"/>
        <n v="162.26"/>
        <n v="147.51"/>
        <n v="1.03"/>
        <n v="22.13"/>
        <n v="295.02999999999997"/>
        <n v="221.27"/>
        <n v="1200.08"/>
        <n v="500.04"/>
        <n v="1120.07"/>
        <n v="59.01"/>
        <n v="73.760000000000005"/>
        <n v="7.82"/>
        <n v="1.84"/>
        <n v="1678.04"/>
        <n v="50.99"/>
        <n v="39.99"/>
        <n v="40.99"/>
        <n v="16.23"/>
        <n v="32.450000000000003"/>
        <n v="7.38"/>
        <n v="164"/>
        <n v="225"/>
        <n v="955.07"/>
        <n v="1199.49"/>
        <n v="499.79"/>
        <n v="1119.52"/>
        <n v="59.23"/>
        <n v="11.25"/>
        <n v="74.040000000000006"/>
        <n v="7.11"/>
        <n v="7.03"/>
        <n v="10.29"/>
        <n v="2.67"/>
        <n v="11.11"/>
        <n v="22.21"/>
        <n v="3.55"/>
        <n v="2.96"/>
        <n v="0.4"/>
        <n v="40.86"/>
        <n v="51.08"/>
        <n v="40.06"/>
        <n v="41.06"/>
        <n v="65.819999999999993"/>
        <n v="355.37"/>
        <n v="39.979999999999997"/>
        <n v="53.31"/>
        <n v="25.17"/>
        <n v="7.4"/>
        <n v="213.52"/>
        <n v="17.77"/>
        <n v="14.81"/>
        <n v="4442.54"/>
        <n v="4509.18"/>
        <n v="4472.16"/>
        <n v="4138.97"/>
        <n v="114.95"/>
        <n v="55.53"/>
        <n v="44.43"/>
        <n v="4.4400000000000004"/>
        <n v="40.72"/>
        <n v="42.8"/>
        <n v="49.61"/>
        <n v="29.62"/>
        <n v="192.51"/>
        <n v="8.89"/>
        <n v="177.7"/>
        <n v="1200.1099999999999"/>
        <n v="500.05"/>
        <n v="25.91"/>
        <m/>
        <n v="51"/>
        <n v="40"/>
        <n v="41"/>
        <n v="40.799999999999997"/>
        <n v="3.33"/>
        <n v="2.0699999999999998"/>
        <n v="4"/>
        <n v="5.92"/>
        <n v="12.44"/>
        <n v="44.35"/>
        <n v="177.39"/>
        <n v="642.34"/>
        <n v="248.34"/>
        <n v="22.17"/>
        <n v="66.52"/>
        <n v="64.3"/>
        <n v="451.67"/>
        <n v="67.48"/>
        <n v="88.69"/>
        <n v="724.33"/>
        <n v="2660.8"/>
        <n v="1219.53"/>
        <n v="65.040000000000006"/>
        <n v="7243.28"/>
        <n v="214.42"/>
        <n v="2635.82"/>
        <n v="975.63"/>
        <n v="4251.95"/>
        <n v="581.09"/>
        <n v="2834.64"/>
        <n v="221.73"/>
        <n v="229.12"/>
        <n v="886.93"/>
        <n v="147.82"/>
        <n v="191.43"/>
        <n v="321.17"/>
        <n v="266.08"/>
        <n v="1199.03"/>
        <n v="499.6"/>
        <n v="59.13"/>
        <n v="40.96"/>
        <n v="11.23"/>
        <n v="73.91"/>
        <n v="7.1"/>
        <n v="7.02"/>
        <n v="10.27"/>
        <n v="3.99"/>
        <n v="5.91"/>
        <n v="8.8699999999999992"/>
        <n v="38.43"/>
        <n v="17.739999999999998"/>
        <n v="29.56"/>
        <n v="20.7"/>
        <n v="5.17"/>
        <n v="407.51"/>
        <n v="10.35"/>
        <n v="14.78"/>
        <n v="47.54"/>
        <n v="50.42"/>
        <n v="97.96"/>
        <n v="43.22"/>
        <n v="46.1"/>
        <n v="491.25"/>
        <n v="562.71"/>
        <n v="57.63"/>
        <n v="178.57"/>
        <n v="12.68"/>
        <n v="2.88"/>
        <n v="15.85"/>
        <n v="52.08"/>
        <n v="24.49"/>
        <n v="122.45"/>
        <n v="489.81"/>
        <n v="288.13"/>
        <n v="792.35"/>
        <n v="345.75"/>
        <n v="50.64"/>
        <n v="40.71"/>
        <n v="39.69"/>
        <n v="2.16"/>
        <n v="0.32"/>
        <n v="72.03"/>
        <n v="10.08"/>
        <n v="5.04"/>
        <n v="31.69"/>
        <n v="34.58"/>
        <n v="36.020000000000003"/>
        <n v="48.98"/>
        <n v="8.64"/>
        <n v="73.180000000000007"/>
        <n v="187.28"/>
        <n v="12245.47"/>
        <n v="12163.44"/>
        <n v="12252.93"/>
        <n v="12226.65"/>
        <n v="100.68"/>
        <n v="59.66"/>
        <n v="290.85000000000002"/>
        <n v="111.86"/>
        <n v="164.07"/>
        <n v="507.59"/>
        <n v="852.76"/>
        <n v="74.58"/>
        <n v="64.14"/>
        <n v="215.08"/>
        <n v="2.98"/>
        <n v="52.58"/>
        <n v="42.23"/>
        <n v="28.34"/>
        <n v="12.53"/>
        <n v="14.17"/>
        <n v="20.73"/>
        <n v="4.03"/>
        <n v="38.78"/>
        <n v="11.93"/>
      </sharedItems>
    </cacheField>
    <cacheField name="Credit" numFmtId="0">
      <sharedItems containsBlank="1" containsMixedTypes="1" containsNumber="1" minValue="7.0000000000000007E-2" maxValue="7.0000000000000007E-2"/>
    </cacheField>
    <cacheField name="Activity Code" numFmtId="0">
      <sharedItems/>
    </cacheField>
    <cacheField name="Country Code" numFmtId="0">
      <sharedItems/>
    </cacheField>
    <cacheField name="Funder Code" numFmtId="0">
      <sharedItems/>
    </cacheField>
    <cacheField name="Funder Titl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5">
  <r>
    <s v=" "/>
    <x v="0"/>
    <s v=" "/>
    <s v=" "/>
    <s v=" "/>
    <s v=" "/>
    <s v=" "/>
    <s v=" "/>
    <s v=" "/>
    <x v="0"/>
    <s v=" "/>
    <s v=" "/>
    <s v=" "/>
    <s v=" "/>
  </r>
  <r>
    <m/>
    <x v="1"/>
    <m/>
    <m/>
    <m/>
    <m/>
    <m/>
    <m/>
    <m/>
    <x v="1"/>
    <m/>
    <m/>
    <m/>
    <m/>
  </r>
  <r>
    <s v="5005"/>
    <x v="2"/>
    <s v="Gambia-JAN 24"/>
    <s v="Salary January 2024 -Programs Assistant"/>
    <s v="JV-MP021424"/>
    <d v="2024-01-31T00:00:00"/>
    <d v="2024-01-31T00:00:00"/>
    <n v="497.69"/>
    <m/>
    <x v="2"/>
    <s v="9999"/>
    <s v="Gam"/>
    <s v="JV"/>
    <s v="3007"/>
  </r>
  <r>
    <s v="5005"/>
    <x v="2"/>
    <s v="Gambia-FEB 24"/>
    <s v="Salary February 2024 -Finance Officer 48%"/>
    <s v="JV-MP031224"/>
    <d v="2024-02-29T00:00:00"/>
    <d v="2024-02-29T00:00:00"/>
    <n v="564.84"/>
    <m/>
    <x v="3"/>
    <s v="9999"/>
    <s v="Gam"/>
    <s v="JV"/>
    <s v="3007"/>
  </r>
  <r>
    <s v="5005"/>
    <x v="2"/>
    <s v="Gambia-FEB 24"/>
    <s v="Salary February 2024 -Gender Consultant"/>
    <s v="JV-MP031224"/>
    <d v="2024-02-29T00:00:00"/>
    <d v="2024-02-29T00:00:00"/>
    <n v="1113.32"/>
    <m/>
    <x v="4"/>
    <s v="9999"/>
    <s v="Gam"/>
    <s v="JV"/>
    <s v="3007"/>
  </r>
  <r>
    <s v="5005"/>
    <x v="2"/>
    <s v="Gambia-FEB 24"/>
    <s v="Salary February 2024 -Programs Assistant"/>
    <s v="JV-MP031224"/>
    <d v="2024-02-29T00:00:00"/>
    <d v="2024-02-29T00:00:00"/>
    <n v="497.02"/>
    <m/>
    <x v="5"/>
    <s v="9999"/>
    <s v="Gam"/>
    <s v="JV"/>
    <s v="3007"/>
  </r>
  <r>
    <s v="5005"/>
    <x v="2"/>
    <s v="Gambia-MAR 24"/>
    <s v="Salary March 2024 -Programs Assistant"/>
    <s v="JV-MP041024"/>
    <d v="2024-03-31T00:00:00"/>
    <d v="2024-03-31T00:00:00"/>
    <n v="500.26"/>
    <m/>
    <x v="6"/>
    <s v="9999"/>
    <s v="Gam"/>
    <s v="JV"/>
    <s v="3007"/>
  </r>
  <r>
    <s v="5005"/>
    <x v="2"/>
    <s v="Gambia-MAR 24"/>
    <s v="Salary March 2024 -Finance Officer"/>
    <s v="JV-MP041024"/>
    <d v="2024-03-31T00:00:00"/>
    <d v="2024-03-31T00:00:00"/>
    <n v="1200.6300000000001"/>
    <m/>
    <x v="7"/>
    <s v="9999"/>
    <s v="Gam"/>
    <s v="JV"/>
    <s v="3007"/>
  </r>
  <r>
    <s v="5005"/>
    <x v="2"/>
    <s v="Gambia-MAR 24"/>
    <s v="Salary March 2024 -Gender Consultant"/>
    <s v="JV-MP041024"/>
    <d v="2024-03-31T00:00:00"/>
    <d v="2024-03-31T00:00:00"/>
    <n v="1120.5899999999999"/>
    <m/>
    <x v="8"/>
    <s v="9999"/>
    <s v="Gam"/>
    <s v="JV"/>
    <s v="3007"/>
  </r>
  <r>
    <s v="5999"/>
    <x v="3"/>
    <s v="Jan 2024 sal Alloc"/>
    <s v="Ladisch, Virginie"/>
    <s v="JV-JS013124 Sal Alloc"/>
    <d v="2024-01-31T00:00:00"/>
    <d v="2024-01-31T00:00:00"/>
    <n v="563.29"/>
    <m/>
    <x v="9"/>
    <s v="9999"/>
    <s v="9999"/>
    <s v="JV"/>
    <s v="3007"/>
  </r>
  <r>
    <s v="5999"/>
    <x v="3"/>
    <s v="Jan 2024 sal Alloc"/>
    <s v="Porciuncula, Mateo"/>
    <s v="JV-JS013124 Sal Alloc"/>
    <d v="2024-01-31T00:00:00"/>
    <d v="2024-01-31T00:00:00"/>
    <n v="436.8"/>
    <m/>
    <x v="10"/>
    <s v="9999"/>
    <s v="9999"/>
    <s v="JV"/>
    <s v="3007"/>
  </r>
  <r>
    <s v="5999"/>
    <x v="3"/>
    <s v="Jan 2024 sal Alloc"/>
    <s v="Roccatello, Anna Myriam"/>
    <s v="JV-JS013124 Sal Alloc"/>
    <d v="2024-01-31T00:00:00"/>
    <d v="2024-01-31T00:00:00"/>
    <n v="720"/>
    <m/>
    <x v="11"/>
    <s v="9999"/>
    <s v="9999"/>
    <s v="JV"/>
    <s v="3007"/>
  </r>
  <r>
    <s v="5999"/>
    <x v="3"/>
    <s v="Feb 2024 sal Alloc"/>
    <s v="Ladisch, Virginie"/>
    <s v="JV-JS022924 Sal Alloc"/>
    <d v="2024-02-29T00:00:00"/>
    <d v="2024-02-29T00:00:00"/>
    <n v="563.29"/>
    <m/>
    <x v="9"/>
    <s v="9999"/>
    <s v="9999"/>
    <s v="JV"/>
    <s v="3007"/>
  </r>
  <r>
    <s v="5999"/>
    <x v="3"/>
    <s v="Feb 2024 sal Alloc"/>
    <s v="Porciuncula, Mateo"/>
    <s v="JV-JS022924 Sal Alloc"/>
    <d v="2024-02-29T00:00:00"/>
    <d v="2024-02-29T00:00:00"/>
    <n v="436.8"/>
    <m/>
    <x v="10"/>
    <s v="9999"/>
    <s v="9999"/>
    <s v="JV"/>
    <s v="3007"/>
  </r>
  <r>
    <s v="5999"/>
    <x v="3"/>
    <s v="Feb 2024 sal Alloc"/>
    <s v="Roccatello, Anna Myriam"/>
    <s v="JV-JS022924 Sal Alloc"/>
    <d v="2024-02-29T00:00:00"/>
    <d v="2024-02-29T00:00:00"/>
    <n v="720"/>
    <m/>
    <x v="11"/>
    <s v="9999"/>
    <s v="9999"/>
    <s v="JV"/>
    <s v="3007"/>
  </r>
  <r>
    <s v="5999"/>
    <x v="3"/>
    <s v="Mar 2024 sal Alloc"/>
    <s v="Ladisch, Virginie"/>
    <s v="JV-JS033124 Sal Alloc"/>
    <d v="2024-03-31T00:00:00"/>
    <d v="2024-03-31T00:00:00"/>
    <n v="563.29"/>
    <m/>
    <x v="9"/>
    <s v="9999"/>
    <s v="9999"/>
    <s v="JV"/>
    <s v="3007"/>
  </r>
  <r>
    <s v="5999"/>
    <x v="3"/>
    <s v="Mar 2024 sal Alloc"/>
    <s v="Porciuncula, Mateo"/>
    <s v="JV-JS033124 Sal Alloc"/>
    <d v="2024-03-31T00:00:00"/>
    <d v="2024-03-31T00:00:00"/>
    <n v="436.8"/>
    <m/>
    <x v="10"/>
    <s v="9999"/>
    <s v="9999"/>
    <s v="JV"/>
    <s v="3007"/>
  </r>
  <r>
    <s v="5999"/>
    <x v="3"/>
    <s v="Mar 2024 sal Alloc"/>
    <s v="Roccatello, Anna Myriam"/>
    <s v="JV-JS033124 Sal Alloc"/>
    <d v="2024-03-31T00:00:00"/>
    <d v="2024-03-31T00:00:00"/>
    <n v="720"/>
    <m/>
    <x v="11"/>
    <s v="9999"/>
    <s v="9999"/>
    <s v="JV"/>
    <s v="3007"/>
  </r>
  <r>
    <s v="6001"/>
    <x v="4"/>
    <s v="10-FY2024"/>
    <s v="JANUARY 2024 - PROFESSIONAL SERVICE   - HEAD OF PROGRAM - THE GAMBIA  - D GBERY"/>
    <s v="cv012424"/>
    <d v="2024-01-24T00:00:00"/>
    <d v="2024-01-24T00:00:00"/>
    <n v="500"/>
    <m/>
    <x v="12"/>
    <s v="9999"/>
    <s v="Gam"/>
    <s v="API"/>
    <s v="3007"/>
  </r>
  <r>
    <s v="6001"/>
    <x v="4"/>
    <s v="Gambia-adv 0124"/>
    <s v="Fees for Trainers"/>
    <s v="JV-MP021424"/>
    <d v="2024-01-31T00:00:00"/>
    <d v="2024-01-31T00:00:00"/>
    <n v="149.68"/>
    <m/>
    <x v="13"/>
    <s v="9999"/>
    <s v="Gam"/>
    <s v="JV"/>
    <s v="3007"/>
  </r>
  <r>
    <s v="6001"/>
    <x v="4"/>
    <s v="11-FY2024"/>
    <s v="PAYMENT FOR PROFESSIONAL SERVICE - HEAD OF PROGRAM THE GAMBIA /HEALTH (FEBRUARY 2024) - D GBERY"/>
    <s v="cv032524"/>
    <d v="2024-03-25T00:00:00"/>
    <d v="2024-03-25T00:00:00"/>
    <n v="2500"/>
    <m/>
    <x v="14"/>
    <s v="9999"/>
    <s v="9999"/>
    <s v="API"/>
    <s v="3007"/>
  </r>
  <r>
    <s v="6001"/>
    <x v="4"/>
    <s v="12 -FY2024"/>
    <s v="MARCH 2024 - PROFESSIONAL SERVICE   - HEAD OF PROGRAM - THE GAMBIA  - D GBERY"/>
    <s v="cv032524"/>
    <d v="2024-03-25T00:00:00"/>
    <d v="2024-03-25T00:00:00"/>
    <n v="3000"/>
    <m/>
    <x v="15"/>
    <s v="9999"/>
    <s v="Gam"/>
    <s v="API"/>
    <s v="3007"/>
  </r>
  <r>
    <s v="6501"/>
    <x v="5"/>
    <s v="Gambia-adv 0124"/>
    <s v="Newspaper Subscription Monthly Payment"/>
    <s v="JV-MP021424"/>
    <d v="2024-01-31T00:00:00"/>
    <d v="2024-01-31T00:00:00"/>
    <n v="9.58"/>
    <m/>
    <x v="16"/>
    <s v="9999"/>
    <s v="Gam"/>
    <s v="JV"/>
    <s v="3007"/>
  </r>
  <r>
    <s v="6501"/>
    <x v="5"/>
    <s v="Gambia-adv 0124"/>
    <s v="Nido Milk Qty 1"/>
    <s v="JV-MP021424"/>
    <d v="2024-01-31T00:00:00"/>
    <d v="2024-01-31T00:00:00"/>
    <n v="10.4"/>
    <m/>
    <x v="17"/>
    <s v="9999"/>
    <s v="Gam"/>
    <s v="JV"/>
    <s v="3007"/>
  </r>
  <r>
    <s v="6501"/>
    <x v="5"/>
    <s v="Gambia-adv 0124"/>
    <s v="Coffee Qty 1"/>
    <s v="JV-MP021424"/>
    <d v="2024-01-31T00:00:00"/>
    <d v="2024-01-31T00:00:00"/>
    <n v="7.86"/>
    <m/>
    <x v="18"/>
    <s v="9999"/>
    <s v="Gam"/>
    <s v="JV"/>
    <s v="3007"/>
  </r>
  <r>
    <s v="6501"/>
    <x v="5"/>
    <s v="Gambia-adv 0124"/>
    <s v="Water Refill Qty 4"/>
    <s v="JV-MP021424"/>
    <d v="2024-01-31T00:00:00"/>
    <d v="2024-01-31T00:00:00"/>
    <n v="0.9"/>
    <m/>
    <x v="19"/>
    <s v="9999"/>
    <s v="Gam"/>
    <s v="JV"/>
    <s v="3007"/>
  </r>
  <r>
    <s v="6501"/>
    <x v="5"/>
    <s v="Gambia-adv 0124"/>
    <s v="Sugar Cubes Qty 2"/>
    <s v="JV-MP021424"/>
    <d v="2024-01-31T00:00:00"/>
    <d v="2024-01-31T00:00:00"/>
    <n v="3.89"/>
    <m/>
    <x v="20"/>
    <s v="9999"/>
    <s v="Gam"/>
    <s v="JV"/>
    <s v="3007"/>
  </r>
  <r>
    <s v="6501"/>
    <x v="5"/>
    <s v="Gambia-adv 0124"/>
    <s v="NAWEC Cash Power December"/>
    <s v="JV-MP021424"/>
    <d v="2024-01-31T00:00:00"/>
    <d v="2024-01-31T00:00:00"/>
    <n v="74.84"/>
    <m/>
    <x v="21"/>
    <s v="9999"/>
    <s v="Gam"/>
    <s v="JV"/>
    <s v="3007"/>
  </r>
  <r>
    <s v="6501"/>
    <x v="5"/>
    <s v="Gambia-adv 0124"/>
    <s v="Bleach"/>
    <s v="JV-MP021424"/>
    <d v="2024-01-31T00:00:00"/>
    <d v="2024-01-31T00:00:00"/>
    <n v="3.59"/>
    <m/>
    <x v="22"/>
    <s v="9999"/>
    <s v="Gam"/>
    <s v="JV"/>
    <s v="3007"/>
  </r>
  <r>
    <s v="6501"/>
    <x v="5"/>
    <s v="Gambia-adv 0124"/>
    <s v="Shopping Bag"/>
    <s v="JV-MP021424"/>
    <d v="2024-01-31T00:00:00"/>
    <d v="2024-01-31T00:00:00"/>
    <n v="7.0000000000000007E-2"/>
    <m/>
    <x v="23"/>
    <s v="9999"/>
    <s v="Gam"/>
    <s v="JV"/>
    <s v="3007"/>
  </r>
  <r>
    <s v="6501"/>
    <x v="5"/>
    <s v="Gambia-adv 0224"/>
    <s v="Newspaper Subscription Monthly Payment"/>
    <s v="JV-MP031224"/>
    <d v="2024-02-29T00:00:00"/>
    <d v="2024-02-29T00:00:00"/>
    <n v="12.98"/>
    <m/>
    <x v="24"/>
    <s v="9999"/>
    <s v="Gam"/>
    <s v="JV"/>
    <s v="3007"/>
  </r>
  <r>
    <s v="6501"/>
    <x v="5"/>
    <s v="Gambia-adv 0224"/>
    <s v="Nido Milk Qty 1"/>
    <s v="JV-MP031224"/>
    <d v="2024-02-29T00:00:00"/>
    <d v="2024-02-29T00:00:00"/>
    <n v="10.25"/>
    <m/>
    <x v="25"/>
    <s v="9999"/>
    <s v="Gam"/>
    <s v="JV"/>
    <s v="3007"/>
  </r>
  <r>
    <s v="6501"/>
    <x v="5"/>
    <s v="Gambia-adv 0224"/>
    <s v="Coffee Qty 1"/>
    <s v="JV-MP031224"/>
    <d v="2024-02-29T00:00:00"/>
    <d v="2024-02-29T00:00:00"/>
    <n v="7.74"/>
    <m/>
    <x v="26"/>
    <s v="9999"/>
    <s v="Gam"/>
    <s v="JV"/>
    <s v="3007"/>
  </r>
  <r>
    <s v="6501"/>
    <x v="5"/>
    <s v="Gambia-adv 0224"/>
    <s v="Water Refill Qty 4"/>
    <s v="JV-MP031224"/>
    <d v="2024-02-29T00:00:00"/>
    <d v="2024-02-29T00:00:00"/>
    <n v="3.54"/>
    <m/>
    <x v="27"/>
    <s v="9999"/>
    <s v="Gam"/>
    <s v="JV"/>
    <s v="3007"/>
  </r>
  <r>
    <s v="6501"/>
    <x v="5"/>
    <s v="Gambia-adv 0224"/>
    <s v="NAWEC Cash Power December"/>
    <s v="JV-MP031224"/>
    <d v="2024-02-29T00:00:00"/>
    <d v="2024-02-29T00:00:00"/>
    <n v="73.75"/>
    <m/>
    <x v="28"/>
    <s v="9999"/>
    <s v="Gam"/>
    <s v="JV"/>
    <s v="3007"/>
  </r>
  <r>
    <s v="6501"/>
    <x v="5"/>
    <s v="Gambia-adv 0224"/>
    <s v="Shopping Bag"/>
    <s v="JV-MP031224"/>
    <d v="2024-02-29T00:00:00"/>
    <d v="2024-02-29T00:00:00"/>
    <n v="7.0000000000000007E-2"/>
    <m/>
    <x v="23"/>
    <s v="9999"/>
    <s v="Gam"/>
    <s v="JV"/>
    <s v="3007"/>
  </r>
  <r>
    <s v="6501"/>
    <x v="5"/>
    <s v="Gambia-adv 0224"/>
    <s v="Stapling Manchine"/>
    <s v="JV-MP031224"/>
    <d v="2024-02-29T00:00:00"/>
    <d v="2024-02-29T00:00:00"/>
    <n v="4.43"/>
    <m/>
    <x v="29"/>
    <s v="9999"/>
    <s v="Gam"/>
    <s v="JV"/>
    <s v="3007"/>
  </r>
  <r>
    <s v="6501"/>
    <x v="5"/>
    <s v="Gambia-adv 0224"/>
    <s v="Led Bulb 2"/>
    <s v="JV-MP031224"/>
    <d v="2024-02-29T00:00:00"/>
    <d v="2024-02-29T00:00:00"/>
    <n v="2.95"/>
    <m/>
    <x v="30"/>
    <s v="9999"/>
    <s v="Gam"/>
    <s v="JV"/>
    <s v="3007"/>
  </r>
  <r>
    <s v="6501"/>
    <x v="5"/>
    <s v="Gambia-adv 0224"/>
    <s v="Toilet Roll Qty 1 bag"/>
    <s v="JV-MP031224"/>
    <d v="2024-02-29T00:00:00"/>
    <d v="2024-02-29T00:00:00"/>
    <n v="10.33"/>
    <m/>
    <x v="31"/>
    <s v="9999"/>
    <s v="Gam"/>
    <s v="JV"/>
    <s v="3007"/>
  </r>
  <r>
    <s v="6501"/>
    <x v="5"/>
    <s v="Gambia-adv 0224"/>
    <s v="Mugs and Spoon"/>
    <s v="JV-MP031224"/>
    <d v="2024-02-29T00:00:00"/>
    <d v="2024-02-29T00:00:00"/>
    <n v="17.04"/>
    <m/>
    <x v="32"/>
    <s v="9999"/>
    <s v="Gam"/>
    <s v="JV"/>
    <s v="3007"/>
  </r>
  <r>
    <s v="6501"/>
    <x v="5"/>
    <s v="Gambia-adv 0224"/>
    <s v="Short broom and Dustpan"/>
    <s v="JV-MP031224"/>
    <d v="2024-02-29T00:00:00"/>
    <d v="2024-02-29T00:00:00"/>
    <n v="1.48"/>
    <m/>
    <x v="33"/>
    <s v="9999"/>
    <s v="Gam"/>
    <s v="JV"/>
    <s v="3007"/>
  </r>
  <r>
    <s v="6501"/>
    <x v="5"/>
    <s v="Gambia-adv 0224"/>
    <s v="A4 Paper Box Qty 2"/>
    <s v="JV-MP031224"/>
    <d v="2024-02-29T00:00:00"/>
    <d v="2024-02-29T00:00:00"/>
    <n v="35.4"/>
    <m/>
    <x v="34"/>
    <s v="9999"/>
    <s v="Gam"/>
    <s v="JV"/>
    <s v="3007"/>
  </r>
  <r>
    <s v="6501"/>
    <x v="5"/>
    <s v="Gambia-adv 0224"/>
    <s v="Higlighter Pen"/>
    <s v="JV-MP031224"/>
    <d v="2024-02-29T00:00:00"/>
    <d v="2024-02-29T00:00:00"/>
    <n v="2.21"/>
    <m/>
    <x v="35"/>
    <s v="9999"/>
    <s v="Gam"/>
    <s v="JV"/>
    <s v="3007"/>
  </r>
  <r>
    <s v="6501"/>
    <x v="5"/>
    <s v="Gambia-adv 0224"/>
    <s v="Air Freshner for  Office Qty 3"/>
    <s v="JV-MP031224"/>
    <d v="2024-02-29T00:00:00"/>
    <d v="2024-02-29T00:00:00"/>
    <n v="10.62"/>
    <m/>
    <x v="36"/>
    <s v="9999"/>
    <s v="Gam"/>
    <s v="JV"/>
    <s v="3007"/>
  </r>
  <r>
    <s v="6501"/>
    <x v="5"/>
    <s v="Gambia-adv 0224"/>
    <s v="Hand Wash"/>
    <s v="JV-MP031224"/>
    <d v="2024-02-29T00:00:00"/>
    <d v="2024-02-29T00:00:00"/>
    <n v="6.05"/>
    <m/>
    <x v="37"/>
    <s v="9999"/>
    <s v="Gam"/>
    <s v="JV"/>
    <s v="3007"/>
  </r>
  <r>
    <s v="6501"/>
    <x v="5"/>
    <s v="Gambia-adv 0224"/>
    <s v="Bleach Qty 1"/>
    <s v="JV-MP031224"/>
    <d v="2024-02-29T00:00:00"/>
    <d v="2024-02-29T00:00:00"/>
    <n v="3.54"/>
    <m/>
    <x v="27"/>
    <s v="9999"/>
    <s v="Gam"/>
    <s v="JV"/>
    <s v="3007"/>
  </r>
  <r>
    <s v="6501"/>
    <x v="5"/>
    <s v="Gambia-adv 0324"/>
    <s v="Nido Milk Qty 1"/>
    <s v="JV-MP041024"/>
    <d v="2024-03-31T00:00:00"/>
    <d v="2024-03-31T00:00:00"/>
    <n v="10.25"/>
    <m/>
    <x v="25"/>
    <s v="9999"/>
    <s v="Gam"/>
    <s v="JV"/>
    <s v="3007"/>
  </r>
  <r>
    <s v="6501"/>
    <x v="5"/>
    <s v="Gambia-adv 0324"/>
    <s v="Coffee Qty 1"/>
    <s v="JV-MP041024"/>
    <d v="2024-03-31T00:00:00"/>
    <d v="2024-03-31T00:00:00"/>
    <n v="7"/>
    <m/>
    <x v="38"/>
    <s v="9999"/>
    <s v="Gam"/>
    <s v="JV"/>
    <s v="3007"/>
  </r>
  <r>
    <s v="6501"/>
    <x v="5"/>
    <s v="Gambia-adv 0324"/>
    <s v="Water Refill Qty 4"/>
    <s v="JV-MP041024"/>
    <d v="2024-03-31T00:00:00"/>
    <d v="2024-03-31T00:00:00"/>
    <n v="3.54"/>
    <m/>
    <x v="27"/>
    <s v="9999"/>
    <s v="Gam"/>
    <s v="JV"/>
    <s v="3007"/>
  </r>
  <r>
    <s v="6501"/>
    <x v="5"/>
    <s v="Gambia-adv 0324"/>
    <s v="NAWEC Cash Power-March"/>
    <s v="JV-MP041024"/>
    <d v="2024-03-31T00:00:00"/>
    <d v="2024-03-31T00:00:00"/>
    <n v="73.73"/>
    <m/>
    <x v="39"/>
    <s v="9999"/>
    <s v="Gam"/>
    <s v="JV"/>
    <s v="3007"/>
  </r>
  <r>
    <s v="6501"/>
    <x v="5"/>
    <s v="Gambia-adv 0324"/>
    <s v="Shopping Bag"/>
    <s v="JV-MP041024"/>
    <d v="2024-03-31T00:00:00"/>
    <d v="2024-03-31T00:00:00"/>
    <n v="7.0000000000000007E-2"/>
    <m/>
    <x v="23"/>
    <s v="9999"/>
    <s v="Gam"/>
    <s v="JV"/>
    <s v="3007"/>
  </r>
  <r>
    <s v="6501"/>
    <x v="5"/>
    <s v="Gambia-adv 0324"/>
    <s v="Sugar Cubes"/>
    <s v="JV-MP041024"/>
    <d v="2024-03-31T00:00:00"/>
    <d v="2024-03-31T00:00:00"/>
    <n v="3.98"/>
    <m/>
    <x v="40"/>
    <s v="9999"/>
    <s v="Gam"/>
    <s v="JV"/>
    <s v="3007"/>
  </r>
  <r>
    <s v="6501"/>
    <x v="5"/>
    <s v="Gambia-adv 0324"/>
    <s v="Long Broom"/>
    <s v="JV-MP041024"/>
    <d v="2024-03-31T00:00:00"/>
    <d v="2024-03-31T00:00:00"/>
    <n v="2.21"/>
    <m/>
    <x v="35"/>
    <s v="9999"/>
    <s v="Gam"/>
    <s v="JV"/>
    <s v="3007"/>
  </r>
  <r>
    <s v="6501"/>
    <x v="5"/>
    <s v="Gambia-adv 0324"/>
    <s v="Madar Liquid Soap Qty 2"/>
    <s v="JV-MP041024"/>
    <d v="2024-03-31T00:00:00"/>
    <d v="2024-03-31T00:00:00"/>
    <n v="3.47"/>
    <m/>
    <x v="41"/>
    <s v="9999"/>
    <s v="Gam"/>
    <s v="JV"/>
    <s v="3007"/>
  </r>
  <r>
    <s v="6501"/>
    <x v="5"/>
    <s v="Gambia-adv 0324"/>
    <s v="Air Freshner for  Office Qty 2"/>
    <s v="JV-MP041024"/>
    <d v="2024-03-31T00:00:00"/>
    <d v="2024-03-31T00:00:00"/>
    <n v="7.08"/>
    <m/>
    <x v="42"/>
    <s v="9999"/>
    <s v="Gam"/>
    <s v="JV"/>
    <s v="3007"/>
  </r>
  <r>
    <s v="6501"/>
    <x v="5"/>
    <s v="Gambia-adv 0324"/>
    <s v="Bleach Qty 1"/>
    <s v="JV-MP041024"/>
    <d v="2024-03-31T00:00:00"/>
    <d v="2024-03-31T00:00:00"/>
    <n v="3.54"/>
    <m/>
    <x v="27"/>
    <s v="9999"/>
    <s v="Gam"/>
    <s v="JV"/>
    <s v="3007"/>
  </r>
  <r>
    <s v="6506"/>
    <x v="6"/>
    <s v="Gambia-adv 0324"/>
    <s v="Newspaper Subscription Monthly Payment"/>
    <s v="JV-MP041024"/>
    <d v="2024-03-31T00:00:00"/>
    <d v="2024-03-31T00:00:00"/>
    <n v="11.8"/>
    <m/>
    <x v="43"/>
    <s v="9999"/>
    <s v="Gam"/>
    <s v="JV"/>
    <s v="3007"/>
  </r>
  <r>
    <s v="6509"/>
    <x v="7"/>
    <s v="Gambia-adv 0124"/>
    <s v="Mobile Credit for Calls (Mobilization)"/>
    <s v="JV-MP021424"/>
    <d v="2024-01-31T00:00:00"/>
    <d v="2024-01-31T00:00:00"/>
    <n v="7.48"/>
    <m/>
    <x v="44"/>
    <s v="9999"/>
    <s v="Gam"/>
    <s v="JV"/>
    <s v="3007"/>
  </r>
  <r>
    <s v="6509"/>
    <x v="7"/>
    <s v="Gambia-adv 0124"/>
    <s v="Credit Airtime for Head of Programs"/>
    <s v="JV-MP021424"/>
    <d v="2024-01-31T00:00:00"/>
    <d v="2024-01-31T00:00:00"/>
    <n v="50.87"/>
    <m/>
    <x v="45"/>
    <s v="9999"/>
    <s v="Gam"/>
    <s v="JV"/>
    <s v="3007"/>
  </r>
  <r>
    <s v="6509"/>
    <x v="7"/>
    <s v="Gambia-adv 0124"/>
    <s v="Credit Airtime for Gender Consultant"/>
    <s v="JV-MP021424"/>
    <d v="2024-01-31T00:00:00"/>
    <d v="2024-01-31T00:00:00"/>
    <n v="39.9"/>
    <m/>
    <x v="46"/>
    <s v="9999"/>
    <s v="Gam"/>
    <s v="JV"/>
    <s v="3007"/>
  </r>
  <r>
    <s v="6509"/>
    <x v="7"/>
    <s v="Gambia-adv 0124"/>
    <s v="Credit Airtime for Program Assistant"/>
    <s v="JV-MP021424"/>
    <d v="2024-01-31T00:00:00"/>
    <d v="2024-01-31T00:00:00"/>
    <n v="40.9"/>
    <m/>
    <x v="47"/>
    <s v="9999"/>
    <s v="Gam"/>
    <s v="JV"/>
    <s v="3007"/>
  </r>
  <r>
    <s v="6509"/>
    <x v="7"/>
    <s v="Gambia-adv 0124"/>
    <s v="Credit Airtime for Finance Officer"/>
    <s v="JV-MP021424"/>
    <d v="2024-01-31T00:00:00"/>
    <d v="2024-01-31T00:00:00"/>
    <n v="40.9"/>
    <m/>
    <x v="47"/>
    <s v="9999"/>
    <s v="Gam"/>
    <s v="JV"/>
    <s v="3007"/>
  </r>
  <r>
    <s v="6509"/>
    <x v="7"/>
    <s v="Gambia-adv 0124"/>
    <s v="Office Line 2 Internet Subscription"/>
    <s v="JV-MP021424"/>
    <d v="2024-01-31T00:00:00"/>
    <d v="2024-01-31T00:00:00"/>
    <n v="28.44"/>
    <m/>
    <x v="48"/>
    <s v="9999"/>
    <s v="Gam"/>
    <s v="JV"/>
    <s v="3007"/>
  </r>
  <r>
    <s v="6509"/>
    <x v="7"/>
    <s v="Gambia-JAN 24"/>
    <s v="Monthly Data for Legal Consultant for Jan-24"/>
    <s v="JV-MP021424"/>
    <d v="2024-01-31T00:00:00"/>
    <d v="2024-01-31T00:00:00"/>
    <n v="39.9"/>
    <m/>
    <x v="46"/>
    <s v="9999"/>
    <s v="Gam"/>
    <s v="JV"/>
    <s v="3007"/>
  </r>
  <r>
    <s v="6509"/>
    <x v="7"/>
    <s v="Gambia-adv 0224"/>
    <s v="Credit Airtime for Head of Programs"/>
    <s v="JV-MP031224"/>
    <d v="2024-02-29T00:00:00"/>
    <d v="2024-02-29T00:00:00"/>
    <n v="50.25"/>
    <m/>
    <x v="49"/>
    <s v="9999"/>
    <s v="Gam"/>
    <s v="JV"/>
    <s v="3007"/>
  </r>
  <r>
    <s v="6509"/>
    <x v="7"/>
    <s v="Gambia-adv 0224"/>
    <s v="Credit Airtime for Gender Consultant"/>
    <s v="JV-MP031224"/>
    <d v="2024-02-29T00:00:00"/>
    <d v="2024-02-29T00:00:00"/>
    <n v="39.409999999999997"/>
    <m/>
    <x v="50"/>
    <s v="9999"/>
    <s v="Gam"/>
    <s v="JV"/>
    <s v="3007"/>
  </r>
  <r>
    <s v="6509"/>
    <x v="7"/>
    <s v="Gambia-adv 0224"/>
    <s v="Credit Airtime for Legal Consultant"/>
    <s v="JV-MP031224"/>
    <d v="2024-02-29T00:00:00"/>
    <d v="2024-02-29T00:00:00"/>
    <n v="39.409999999999997"/>
    <m/>
    <x v="50"/>
    <s v="9999"/>
    <s v="Gam"/>
    <s v="JV"/>
    <s v="3007"/>
  </r>
  <r>
    <s v="6509"/>
    <x v="7"/>
    <s v="Gambia-adv 0224"/>
    <s v="Credit Airtime for Program Assistant"/>
    <s v="JV-MP031224"/>
    <d v="2024-02-29T00:00:00"/>
    <d v="2024-02-29T00:00:00"/>
    <n v="40.4"/>
    <m/>
    <x v="51"/>
    <s v="9999"/>
    <s v="Gam"/>
    <s v="JV"/>
    <s v="3007"/>
  </r>
  <r>
    <s v="6509"/>
    <x v="7"/>
    <s v="Gambia-adv 0224"/>
    <s v="Credit Airtime for Finance Officer"/>
    <s v="JV-MP031224"/>
    <d v="2024-02-29T00:00:00"/>
    <d v="2024-02-29T00:00:00"/>
    <n v="40.4"/>
    <m/>
    <x v="51"/>
    <s v="9999"/>
    <s v="Gam"/>
    <s v="JV"/>
    <s v="3007"/>
  </r>
  <r>
    <s v="6509"/>
    <x v="7"/>
    <s v="Gambia-adv 0324"/>
    <s v="Credit Airtime for Head of Programs"/>
    <s v="JV-MP041024"/>
    <d v="2024-03-31T00:00:00"/>
    <d v="2024-03-31T00:00:00"/>
    <n v="51.01"/>
    <m/>
    <x v="52"/>
    <s v="9999"/>
    <s v="Gam"/>
    <s v="JV"/>
    <s v="3007"/>
  </r>
  <r>
    <s v="6509"/>
    <x v="7"/>
    <s v="Gambia-adv 0324"/>
    <s v="Credit Airtime for Gender Consultant"/>
    <s v="JV-MP041024"/>
    <d v="2024-03-31T00:00:00"/>
    <d v="2024-03-31T00:00:00"/>
    <n v="40.01"/>
    <m/>
    <x v="53"/>
    <s v="9999"/>
    <s v="Gam"/>
    <s v="JV"/>
    <s v="3007"/>
  </r>
  <r>
    <s v="6509"/>
    <x v="7"/>
    <s v="Gambia-adv 0324"/>
    <s v="Credit Airtime for Legal Consultant"/>
    <s v="JV-MP041024"/>
    <d v="2024-03-31T00:00:00"/>
    <d v="2024-03-31T00:00:00"/>
    <n v="40.01"/>
    <m/>
    <x v="53"/>
    <s v="9999"/>
    <s v="Gam"/>
    <s v="JV"/>
    <s v="3007"/>
  </r>
  <r>
    <s v="6509"/>
    <x v="7"/>
    <s v="Gambia-adv 0324"/>
    <s v="Credit Airtime for Program Assistant"/>
    <s v="JV-MP041024"/>
    <d v="2024-03-31T00:00:00"/>
    <d v="2024-03-31T00:00:00"/>
    <n v="41.01"/>
    <m/>
    <x v="54"/>
    <s v="9999"/>
    <s v="Gam"/>
    <s v="JV"/>
    <s v="3007"/>
  </r>
  <r>
    <s v="6509"/>
    <x v="7"/>
    <s v="Gambia-adv 0324"/>
    <s v="Credit Airtime for Finance Officer"/>
    <s v="JV-MP041024"/>
    <d v="2024-03-31T00:00:00"/>
    <d v="2024-03-31T00:00:00"/>
    <n v="41.01"/>
    <m/>
    <x v="54"/>
    <s v="9999"/>
    <s v="Gam"/>
    <s v="JV"/>
    <s v="3007"/>
  </r>
  <r>
    <s v="6509"/>
    <x v="7"/>
    <s v="Gambia-MAR 24 B"/>
    <s v="Internet fees for HoP"/>
    <s v="JV-MP041524-1"/>
    <d v="2024-03-31T00:00:00"/>
    <d v="2024-03-31T00:00:00"/>
    <n v="41.18"/>
    <m/>
    <x v="55"/>
    <s v="9999"/>
    <s v="Gam"/>
    <s v="JV"/>
    <s v="3007"/>
  </r>
  <r>
    <s v="6511"/>
    <x v="8"/>
    <s v="Gambia-MAR 24"/>
    <s v="RTGS Charges on funds transfer to TYW"/>
    <s v="JV-MP041024"/>
    <d v="2024-03-31T00:00:00"/>
    <d v="2024-03-31T00:00:00"/>
    <n v="3.39"/>
    <m/>
    <x v="56"/>
    <s v="9999"/>
    <s v="Gam"/>
    <s v="JV"/>
    <s v="3007"/>
  </r>
  <r>
    <s v="6511"/>
    <x v="8"/>
    <s v="Gambia-MAR 24"/>
    <s v="RTGS Charges on funds transfer to PAG"/>
    <s v="JV-MP041024"/>
    <d v="2024-03-31T00:00:00"/>
    <d v="2024-03-31T00:00:00"/>
    <n v="3.39"/>
    <m/>
    <x v="56"/>
    <s v="9999"/>
    <s v="Gam"/>
    <s v="JV"/>
    <s v="3007"/>
  </r>
  <r>
    <s v="6513"/>
    <x v="9"/>
    <s v="Gambia-JAN 24"/>
    <s v="T-Shirts &amp; Banner PMT  for P-P Dialogue to Unique Graphics"/>
    <s v="JV-MP021424"/>
    <d v="2024-01-31T00:00:00"/>
    <d v="2024-01-31T00:00:00"/>
    <n v="666.09"/>
    <m/>
    <x v="57"/>
    <s v="9999"/>
    <s v="Gam"/>
    <s v="JV"/>
    <s v="3007"/>
  </r>
  <r>
    <s v="6513"/>
    <x v="9"/>
    <s v="Gambia-MAR 24"/>
    <s v="50% pmt for to Yelef for Podcast Production-WP Summary"/>
    <s v="JV-MP041024"/>
    <d v="2024-03-31T00:00:00"/>
    <d v="2024-03-31T00:00:00"/>
    <n v="425.27"/>
    <m/>
    <x v="58"/>
    <s v="9999"/>
    <s v="Gam"/>
    <s v="JV"/>
    <s v="3007"/>
  </r>
  <r>
    <s v="8502"/>
    <x v="10"/>
    <s v="Gambia-JAN 24"/>
    <s v="Vehicle Hire-UNPBF P-P Dialogue to Afriqcars Motors"/>
    <s v="JV-MP021424"/>
    <d v="2024-01-31T00:00:00"/>
    <d v="2024-01-31T00:00:00"/>
    <n v="633.9"/>
    <m/>
    <x v="59"/>
    <s v="9999"/>
    <s v="Gam"/>
    <s v="JV"/>
    <s v="3007"/>
  </r>
  <r>
    <s v="8502"/>
    <x v="10"/>
    <s v="Gambia-adv 0124"/>
    <s v="Taxi Service for Transportation"/>
    <s v="JV-MP021424"/>
    <d v="2024-01-31T00:00:00"/>
    <d v="2024-01-31T00:00:00"/>
    <n v="7.48"/>
    <m/>
    <x v="44"/>
    <s v="9999"/>
    <s v="Gam"/>
    <s v="JV"/>
    <s v="3007"/>
  </r>
  <r>
    <s v="8502"/>
    <x v="10"/>
    <s v="Gambia-adv 0124"/>
    <s v="Transport Refund Invited Guest (NGO Affairs)"/>
    <s v="JV-MP021424"/>
    <d v="2024-01-31T00:00:00"/>
    <d v="2024-01-31T00:00:00"/>
    <n v="7.48"/>
    <m/>
    <x v="44"/>
    <s v="9999"/>
    <s v="Gam"/>
    <s v="JV"/>
    <s v="3007"/>
  </r>
  <r>
    <s v="8502"/>
    <x v="10"/>
    <s v="Gambia-adv 0124"/>
    <s v="DSA for team"/>
    <s v="JV-MP021424"/>
    <d v="2024-01-31T00:00:00"/>
    <d v="2024-01-31T00:00:00"/>
    <n v="598.73"/>
    <m/>
    <x v="60"/>
    <s v="9999"/>
    <s v="Gam"/>
    <s v="JV"/>
    <s v="3007"/>
  </r>
  <r>
    <s v="8502"/>
    <x v="10"/>
    <s v="Gambia-JAN 24"/>
    <s v="Taxi Hire, meals for Monitoting of TWY &amp; ONOV by Program Ass"/>
    <s v="JV-MP021424"/>
    <d v="2024-01-31T00:00:00"/>
    <d v="2024-01-31T00:00:00"/>
    <n v="296.37"/>
    <m/>
    <x v="61"/>
    <s v="9999"/>
    <s v="Gam"/>
    <s v="JV"/>
    <s v="3007"/>
  </r>
  <r>
    <s v="8502"/>
    <x v="10"/>
    <s v="Gambia-adv 0124"/>
    <s v="Transport Refund for Participants and Peer trainers"/>
    <s v="JV-MP021424"/>
    <d v="2024-01-31T00:00:00"/>
    <d v="2024-01-31T00:00:00"/>
    <n v="763.38"/>
    <m/>
    <x v="62"/>
    <s v="9999"/>
    <s v="Gam"/>
    <s v="JV"/>
    <s v="3007"/>
  </r>
  <r>
    <s v="8502"/>
    <x v="10"/>
    <s v="Gambia-adv 0124"/>
    <s v="Fuel for HOP"/>
    <s v="JV-MP021424"/>
    <d v="2024-01-31T00:00:00"/>
    <d v="2024-01-31T00:00:00"/>
    <n v="74.84"/>
    <m/>
    <x v="21"/>
    <s v="9999"/>
    <s v="Gam"/>
    <s v="JV"/>
    <s v="3007"/>
  </r>
  <r>
    <s v="8502"/>
    <x v="10"/>
    <s v="Gambia-adv 0224"/>
    <s v="Transport Refund to Participants"/>
    <s v="JV-MP031224"/>
    <d v="2024-02-29T00:00:00"/>
    <d v="2024-02-29T00:00:00"/>
    <n v="59"/>
    <m/>
    <x v="63"/>
    <s v="9999"/>
    <s v="Gam"/>
    <s v="JV"/>
    <s v="3007"/>
  </r>
  <r>
    <s v="8502"/>
    <x v="10"/>
    <s v="Gambia-adv 0224"/>
    <s v="Delivery Charges"/>
    <s v="JV-MP031224"/>
    <d v="2024-02-29T00:00:00"/>
    <d v="2024-02-29T00:00:00"/>
    <n v="4.43"/>
    <m/>
    <x v="29"/>
    <s v="9999"/>
    <s v="Gam"/>
    <s v="JV"/>
    <s v="3007"/>
  </r>
  <r>
    <s v="8502"/>
    <x v="10"/>
    <s v="Gambia-adv 0224"/>
    <s v="Transport Refund to Participants"/>
    <s v="JV-MP031224"/>
    <d v="2024-02-29T00:00:00"/>
    <d v="2024-02-29T00:00:00"/>
    <n v="36.880000000000003"/>
    <m/>
    <x v="64"/>
    <s v="9999"/>
    <s v="Gam"/>
    <s v="JV"/>
    <s v="3007"/>
  </r>
  <r>
    <s v="8502"/>
    <x v="10"/>
    <s v="Gambia-adv 0224"/>
    <s v="Delivery Charges"/>
    <s v="JV-MP031224"/>
    <d v="2024-02-29T00:00:00"/>
    <d v="2024-02-29T00:00:00"/>
    <n v="4.43"/>
    <m/>
    <x v="29"/>
    <s v="9999"/>
    <s v="Gam"/>
    <s v="JV"/>
    <s v="3007"/>
  </r>
  <r>
    <s v="8502"/>
    <x v="10"/>
    <s v="Gambia-adv 0224"/>
    <s v="Taxi Service for Transportation"/>
    <s v="JV-MP031224"/>
    <d v="2024-02-29T00:00:00"/>
    <d v="2024-02-29T00:00:00"/>
    <n v="11.8"/>
    <m/>
    <x v="43"/>
    <s v="9999"/>
    <s v="Gam"/>
    <s v="JV"/>
    <s v="3007"/>
  </r>
  <r>
    <s v="8502"/>
    <x v="10"/>
    <s v="Gambia-adv 0324"/>
    <s v="Taxi Service for Transportation"/>
    <s v="JV-MP041024"/>
    <d v="2024-03-31T00:00:00"/>
    <d v="2024-03-31T00:00:00"/>
    <n v="8.85"/>
    <m/>
    <x v="65"/>
    <s v="9999"/>
    <s v="Gam"/>
    <s v="JV"/>
    <s v="3007"/>
  </r>
  <r>
    <s v="8502"/>
    <x v="10"/>
    <s v="Gambia-MAR 24"/>
    <s v="Taxi Services incurred for Office Operations"/>
    <s v="JV-MP041024"/>
    <d v="2024-03-31T00:00:00"/>
    <d v="2024-03-31T00:00:00"/>
    <n v="46.82"/>
    <m/>
    <x v="66"/>
    <s v="9999"/>
    <s v="Gam"/>
    <s v="JV"/>
    <s v="3007"/>
  </r>
  <r>
    <s v="8502"/>
    <x v="10"/>
    <s v="Gambia-MAR 24"/>
    <s v="Taxi Services to attend UNDP Workshop"/>
    <s v="JV-MP041024"/>
    <d v="2024-03-31T00:00:00"/>
    <d v="2024-03-31T00:00:00"/>
    <n v="17.7"/>
    <m/>
    <x v="67"/>
    <s v="9999"/>
    <s v="Gam"/>
    <s v="JV"/>
    <s v="3007"/>
  </r>
  <r>
    <s v="8502"/>
    <x v="10"/>
    <s v="Gambia-MAR 24"/>
    <s v="Taxi Services for Programs Ass. To attend UNBPF Meeting"/>
    <s v="JV-MP041024"/>
    <d v="2024-03-31T00:00:00"/>
    <d v="2024-03-31T00:00:00"/>
    <n v="7.37"/>
    <m/>
    <x v="68"/>
    <s v="9999"/>
    <s v="Gam"/>
    <s v="JV"/>
    <s v="3007"/>
  </r>
  <r>
    <s v="8504"/>
    <x v="11"/>
    <s v="Gambia-adv 0124"/>
    <s v="Food and Refreshment for two days"/>
    <s v="JV-MP021424"/>
    <d v="2024-01-31T00:00:00"/>
    <d v="2024-01-31T00:00:00"/>
    <n v="889.11"/>
    <m/>
    <x v="69"/>
    <s v="9999"/>
    <s v="Gam"/>
    <s v="JV"/>
    <s v="3007"/>
  </r>
  <r>
    <s v="8504"/>
    <x v="11"/>
    <s v="Gambia-JAN 24"/>
    <s v="DSA for Hop for UNPBF P-P Dialogue in Basse"/>
    <s v="JV-MP021424"/>
    <d v="2024-01-31T00:00:00"/>
    <d v="2024-01-31T00:00:00"/>
    <n v="74.84"/>
    <m/>
    <x v="21"/>
    <s v="9999"/>
    <s v="Gam"/>
    <s v="JV"/>
    <s v="3007"/>
  </r>
  <r>
    <s v="8504"/>
    <x v="11"/>
    <s v="Gambia-JAN 24"/>
    <s v="DSA for FO for UNPBF P-P Dialogue in Basse"/>
    <s v="JV-MP021424"/>
    <d v="2024-01-31T00:00:00"/>
    <d v="2024-01-31T00:00:00"/>
    <n v="74.84"/>
    <m/>
    <x v="21"/>
    <s v="9999"/>
    <s v="Gam"/>
    <s v="JV"/>
    <s v="3007"/>
  </r>
  <r>
    <s v="8504"/>
    <x v="11"/>
    <s v="Gambia-adv 0224"/>
    <s v="Snacks and Soft Drinks"/>
    <s v="JV-MP031224"/>
    <d v="2024-02-29T00:00:00"/>
    <d v="2024-02-29T00:00:00"/>
    <n v="44.25"/>
    <m/>
    <x v="70"/>
    <s v="9999"/>
    <s v="Gam"/>
    <s v="JV"/>
    <s v="3007"/>
  </r>
  <r>
    <s v="8504"/>
    <x v="11"/>
    <s v="Gambia-adv 0224"/>
    <s v="Snacks for Participants"/>
    <s v="JV-MP031224"/>
    <d v="2024-02-29T00:00:00"/>
    <d v="2024-02-29T00:00:00"/>
    <n v="47.94"/>
    <m/>
    <x v="71"/>
    <s v="9999"/>
    <s v="Gam"/>
    <s v="JV"/>
    <s v="3007"/>
  </r>
  <r>
    <s v="8600"/>
    <x v="12"/>
    <s v="Gambia-adv 0124"/>
    <s v="Venue"/>
    <s v="JV-MP021424"/>
    <d v="2024-01-31T00:00:00"/>
    <d v="2024-01-31T00:00:00"/>
    <n v="89.81"/>
    <m/>
    <x v="72"/>
    <s v="9999"/>
    <s v="Gam"/>
    <s v="JV"/>
    <s v="3007"/>
  </r>
  <r>
    <s v="9300"/>
    <x v="13"/>
    <s v="Gambia-MAR 24"/>
    <s v="UNPBF Sub-Grant to PAG"/>
    <s v="JV-MP041024"/>
    <d v="2024-03-31T00:00:00"/>
    <d v="2024-03-31T00:00:00"/>
    <n v="11543.31"/>
    <m/>
    <x v="73"/>
    <s v=""/>
    <s v=""/>
    <s v="JV"/>
    <s v="3007"/>
  </r>
  <r>
    <s v="9300"/>
    <x v="13"/>
    <s v="Gambia-MAR 24"/>
    <s v="UNPBF Sub-Grant to FANTANKA"/>
    <s v="JV-MP041024"/>
    <d v="2024-03-31T00:00:00"/>
    <d v="2024-03-31T00:00:00"/>
    <n v="12136.84"/>
    <m/>
    <x v="74"/>
    <s v=""/>
    <s v=""/>
    <s v="JV"/>
    <s v="3007"/>
  </r>
  <r>
    <s v="9300"/>
    <x v="13"/>
    <s v="Gambia-MAR 24"/>
    <s v="UNPBF Sub-Grant to ONOV"/>
    <s v="JV-MP041024"/>
    <d v="2024-03-31T00:00:00"/>
    <d v="2024-03-31T00:00:00"/>
    <n v="12268.82"/>
    <m/>
    <x v="75"/>
    <s v=""/>
    <s v=""/>
    <s v="JV"/>
    <s v="3007"/>
  </r>
  <r>
    <s v="9300"/>
    <x v="13"/>
    <s v="Gambia-MAR 24"/>
    <s v="UNPBF Sub-Grant to TYW"/>
    <s v="JV-MP041024"/>
    <d v="2024-03-31T00:00:00"/>
    <d v="2024-03-31T00:00:00"/>
    <n v="12121.36"/>
    <m/>
    <x v="76"/>
    <s v=""/>
    <s v=""/>
    <s v="JV"/>
    <s v="3007"/>
  </r>
</pivotCacheRecords>
</file>

<file path=xl/pivotCache/pivotCacheRecords2.xml><?xml version="1.0" encoding="utf-8"?>
<pivotCacheRecords xmlns="http://schemas.openxmlformats.org/spreadsheetml/2006/main" xmlns:r="http://schemas.openxmlformats.org/officeDocument/2006/relationships" count="533">
  <r>
    <x v="0"/>
    <s v=" "/>
    <s v=" "/>
    <s v=" "/>
    <x v="0"/>
    <x v="0"/>
    <s v=" "/>
    <s v=" "/>
    <s v=" "/>
    <s v=" "/>
    <s v=" "/>
  </r>
  <r>
    <x v="1"/>
    <s v="Salary &amp; Fringes Fund Allocation"/>
    <m/>
    <s v="Opening Balance"/>
    <x v="1"/>
    <x v="1"/>
    <m/>
    <s v="9999"/>
    <s v="9999"/>
    <s v="3007"/>
    <s v="UN Peace Building Fund (PBF) - The Gambia 01/2023-12/2025"/>
  </r>
  <r>
    <x v="1"/>
    <s v="Salary &amp; Fringes Fund Allocation"/>
    <s v="Ladisch, Virginie"/>
    <s v="JV-JS043023 Sal Alloc"/>
    <x v="2"/>
    <x v="2"/>
    <m/>
    <s v="9999"/>
    <s v="9999"/>
    <s v="3007"/>
    <s v="UN Peace Building Fund (PBF) - The Gambia 01/2023-12/2025"/>
  </r>
  <r>
    <x v="1"/>
    <s v="Salary &amp; Fringes Fund Allocation"/>
    <s v="Porciuncula, Mateo"/>
    <s v="JV-JS043023 Sal Alloc"/>
    <x v="2"/>
    <x v="3"/>
    <m/>
    <s v="9999"/>
    <s v="9999"/>
    <s v="3007"/>
    <s v="UN Peace Building Fund (PBF) - The Gambia 01/2023-12/2025"/>
  </r>
  <r>
    <x v="1"/>
    <s v="Salary &amp; Fringes Fund Allocation"/>
    <s v="Roccatello, Anna Myriam"/>
    <s v="JV-JS043023 Sal Alloc"/>
    <x v="2"/>
    <x v="4"/>
    <m/>
    <s v="9999"/>
    <s v="9999"/>
    <s v="3007"/>
    <s v="UN Peace Building Fund (PBF) - The Gambia 01/2023-12/2025"/>
  </r>
  <r>
    <x v="2"/>
    <s v="Printing &amp; Publications"/>
    <s v="Payment to Gamjobs -National program assistant recruitment"/>
    <s v="JV-MP061623"/>
    <x v="2"/>
    <x v="5"/>
    <m/>
    <s v="9999"/>
    <s v="Gam"/>
    <s v="3007"/>
    <s v="UN Peace Building Fund (PBF) - The Gambia 01/2023-12/2025"/>
  </r>
  <r>
    <x v="3"/>
    <s v="Ground (Car/Mileage, Rail, Taxi/Shuttle)"/>
    <s v="UNPBF coordination meeting transport cost"/>
    <s v="JV-MP061623"/>
    <x v="2"/>
    <x v="6"/>
    <m/>
    <s v="9999"/>
    <s v="Gam"/>
    <s v="3007"/>
    <s v="UN Peace Building Fund (PBF) - The Gambia 01/2023-12/2025"/>
  </r>
  <r>
    <x v="1"/>
    <s v="Salary &amp; Fringes Fund Allocation"/>
    <s v="Ladisch, Virginie"/>
    <s v="JV-JS053123 Sal Alloc"/>
    <x v="3"/>
    <x v="2"/>
    <m/>
    <s v="9999"/>
    <s v="9999"/>
    <s v="3007"/>
    <s v="UN Peace Building Fund (PBF) - The Gambia 01/2023-12/2025"/>
  </r>
  <r>
    <x v="1"/>
    <s v="Salary &amp; Fringes Fund Allocation"/>
    <s v="Porciuncula, Mateo"/>
    <s v="JV-JS053123 Sal Alloc"/>
    <x v="3"/>
    <x v="3"/>
    <m/>
    <s v="9999"/>
    <s v="9999"/>
    <s v="3007"/>
    <s v="UN Peace Building Fund (PBF) - The Gambia 01/2023-12/2025"/>
  </r>
  <r>
    <x v="1"/>
    <s v="Salary &amp; Fringes Fund Allocation"/>
    <s v="Roccatello, Anna Myriam"/>
    <s v="JV-JS053123 Sal Alloc"/>
    <x v="3"/>
    <x v="4"/>
    <m/>
    <s v="9999"/>
    <s v="9999"/>
    <s v="3007"/>
    <s v="UN Peace Building Fund (PBF) - The Gambia 01/2023-12/2025"/>
  </r>
  <r>
    <x v="4"/>
    <s v="Wages - International - Full Time"/>
    <s v="Salary May 23 - Gender Consultant - Tuti Nyang"/>
    <s v="JV-MP071923"/>
    <x v="3"/>
    <x v="7"/>
    <m/>
    <s v="9999"/>
    <s v="Gam"/>
    <s v="3007"/>
    <s v="UN Peace Building Fund (PBF) - The Gambia 01/2023-12/2025"/>
  </r>
  <r>
    <x v="5"/>
    <s v="Wages - International - Part Time"/>
    <s v="Salary May 23 - Finance Officer- Fatoumatta Kanteh"/>
    <s v="JV-MP071923"/>
    <x v="3"/>
    <x v="8"/>
    <m/>
    <s v="9999"/>
    <s v="Gam"/>
    <s v="3007"/>
    <s v="UN Peace Building Fund (PBF) - The Gambia 01/2023-12/2025"/>
  </r>
  <r>
    <x v="6"/>
    <s v="Office Supplies / Materials"/>
    <s v="Payment for UPS"/>
    <s v="JV-MP071923"/>
    <x v="3"/>
    <x v="9"/>
    <m/>
    <s v="9999"/>
    <s v="Gam"/>
    <s v="3007"/>
    <s v="UN Peace Building Fund (PBF) - The Gambia 01/2023-12/2025"/>
  </r>
  <r>
    <x v="6"/>
    <s v="Office Supplies / Materials"/>
    <s v="participants' kits (stationery)"/>
    <s v="JV-MP071923"/>
    <x v="3"/>
    <x v="10"/>
    <m/>
    <s v="9999"/>
    <s v="Gam"/>
    <s v="3007"/>
    <s v="UN Peace Building Fund (PBF) - The Gambia 01/2023-12/2025"/>
  </r>
  <r>
    <x v="6"/>
    <s v="Office Supplies / Materials"/>
    <s v="Recorder"/>
    <s v="JV-MP071923"/>
    <x v="3"/>
    <x v="11"/>
    <m/>
    <s v="9999"/>
    <s v="Gam"/>
    <s v="3007"/>
    <s v="UN Peace Building Fund (PBF) - The Gambia 01/2023-12/2025"/>
  </r>
  <r>
    <x v="7"/>
    <s v="International Office Rent"/>
    <s v="Payment for office rent  April 23-March 24"/>
    <s v="JV-MP071923"/>
    <x v="3"/>
    <x v="12"/>
    <m/>
    <s v="9999"/>
    <s v="Gam"/>
    <s v="3007"/>
    <s v="UN Peace Building Fund (PBF) - The Gambia 01/2023-12/2025"/>
  </r>
  <r>
    <x v="3"/>
    <s v="Ground (Car/Mileage, Rail, Taxi/Shuttle)"/>
    <s v="Transport refund meeting with MoJ"/>
    <s v="JV-MP071923"/>
    <x v="3"/>
    <x v="13"/>
    <m/>
    <s v="9999"/>
    <s v="Gam"/>
    <s v="3007"/>
    <s v="UN Peace Building Fund (PBF) - The Gambia 01/2023-12/2025"/>
  </r>
  <r>
    <x v="3"/>
    <s v="Ground (Car/Mileage, Rail, Taxi/Shuttle)"/>
    <s v="Vehicle hire for strategic planning retreat"/>
    <s v="JV-MP071923"/>
    <x v="3"/>
    <x v="14"/>
    <m/>
    <s v="9999"/>
    <s v="Gam"/>
    <s v="3007"/>
    <s v="UN Peace Building Fund (PBF) - The Gambia 01/2023-12/2025"/>
  </r>
  <r>
    <x v="2"/>
    <s v="Printing &amp; Publications"/>
    <s v="Printing fees for strategic planning retreat"/>
    <s v="JV-MP071923"/>
    <x v="3"/>
    <x v="15"/>
    <m/>
    <s v="9999"/>
    <s v="Gam"/>
    <s v="3007"/>
    <s v="UN Peace Building Fund (PBF) - The Gambia 01/2023-12/2025"/>
  </r>
  <r>
    <x v="2"/>
    <s v="Printing &amp; Publications"/>
    <s v="Payment for banner and branded USB"/>
    <s v="JV-MP071923"/>
    <x v="3"/>
    <x v="16"/>
    <m/>
    <s v="9999"/>
    <s v="Gam"/>
    <s v="3007"/>
    <s v="UN Peace Building Fund (PBF) - The Gambia 01/2023-12/2025"/>
  </r>
  <r>
    <x v="3"/>
    <s v="Ground (Car/Mileage, Rail, Taxi/Shuttle)"/>
    <s v="Participants transport refund"/>
    <s v="JV-MP071923"/>
    <x v="3"/>
    <x v="13"/>
    <m/>
    <s v="9999"/>
    <s v="Gam"/>
    <s v="3007"/>
    <s v="UN Peace Building Fund (PBF) - The Gambia 01/2023-12/2025"/>
  </r>
  <r>
    <x v="3"/>
    <s v="Ground (Car/Mileage, Rail, Taxi/Shuttle)"/>
    <s v="Transport refund for participants"/>
    <s v="JV-MP071923"/>
    <x v="3"/>
    <x v="17"/>
    <m/>
    <s v="9999"/>
    <s v="Gam"/>
    <s v="3007"/>
    <s v="UN Peace Building Fund (PBF) - The Gambia 01/2023-12/2025"/>
  </r>
  <r>
    <x v="3"/>
    <s v="Ground (Car/Mileage, Rail, Taxi/Shuttle)"/>
    <s v="Resoucre persons's (NYC) transportation"/>
    <s v="JV-MP071923"/>
    <x v="3"/>
    <x v="13"/>
    <m/>
    <s v="9999"/>
    <s v="Gam"/>
    <s v="3007"/>
    <s v="UN Peace Building Fund (PBF) - The Gambia 01/2023-12/2025"/>
  </r>
  <r>
    <x v="3"/>
    <s v="Ground (Car/Mileage, Rail, Taxi/Shuttle)"/>
    <s v="Resoucre persons transporation cost(MOJ)"/>
    <s v="JV-MP071923"/>
    <x v="3"/>
    <x v="18"/>
    <m/>
    <s v="9999"/>
    <s v="Gam"/>
    <s v="3007"/>
    <s v="UN Peace Building Fund (PBF) - The Gambia 01/2023-12/2025"/>
  </r>
  <r>
    <x v="8"/>
    <s v="Meals &amp; Per Diem"/>
    <s v="Pyment for meals, accomodation and venue hire-UNPBF strategic planning retreat"/>
    <s v="JV-MP071923"/>
    <x v="3"/>
    <x v="19"/>
    <m/>
    <s v="9999"/>
    <s v="Gam"/>
    <s v="3007"/>
    <s v="UN Peace Building Fund (PBF) - The Gambia 01/2023-12/2025"/>
  </r>
  <r>
    <x v="8"/>
    <s v="Meals &amp; Per Diem"/>
    <s v="Logistics transportation cost"/>
    <s v="JV-MP071923"/>
    <x v="3"/>
    <x v="20"/>
    <m/>
    <s v="9999"/>
    <s v="Gam"/>
    <s v="3007"/>
    <s v="UN Peace Building Fund (PBF) - The Gambia 01/2023-12/2025"/>
  </r>
  <r>
    <x v="8"/>
    <s v="Meals &amp; Per Diem"/>
    <s v="Participants' incidental cost"/>
    <s v="JV-MP071923"/>
    <x v="3"/>
    <x v="21"/>
    <m/>
    <s v="9999"/>
    <s v="Gam"/>
    <s v="3007"/>
    <s v="UN Peace Building Fund (PBF) - The Gambia 01/2023-12/2025"/>
  </r>
  <r>
    <x v="8"/>
    <s v="Meals &amp; Per Diem"/>
    <s v="Snacks and refreshments for participants"/>
    <s v="JV-MP071923"/>
    <x v="3"/>
    <x v="22"/>
    <m/>
    <s v="9999"/>
    <s v="Gam"/>
    <s v="3007"/>
    <s v="UN Peace Building Fund (PBF) - The Gambia 01/2023-12/2025"/>
  </r>
  <r>
    <x v="9"/>
    <s v="Other Expenses"/>
    <s v="Resource person's fees"/>
    <s v="JV-MP071923"/>
    <x v="3"/>
    <x v="23"/>
    <m/>
    <s v="9999"/>
    <s v="Gam"/>
    <s v="3007"/>
    <s v="UN Peace Building Fund (PBF) - The Gambia 01/2023-12/2025"/>
  </r>
  <r>
    <x v="10"/>
    <s v="Consultants"/>
    <s v="JUNE 2023 - PROFESSIONAL SERVICE   - HEAD OF PROGRAM - THE GAMBIA  - D GBERY"/>
    <s v="cv060923"/>
    <x v="4"/>
    <x v="24"/>
    <m/>
    <s v="9999"/>
    <s v="Gam"/>
    <s v="3007"/>
    <s v="UN Peace Building Fund (PBF) - The Gambia 01/2023-12/2025"/>
  </r>
  <r>
    <x v="1"/>
    <s v="Salary &amp; Fringes Fund Allocation"/>
    <s v="Ladisch, Virginie"/>
    <s v="JV-JS063023 Sal Alloc"/>
    <x v="5"/>
    <x v="2"/>
    <m/>
    <s v="9999"/>
    <s v="9999"/>
    <s v="3007"/>
    <s v="UN Peace Building Fund (PBF) - The Gambia 01/2023-12/2025"/>
  </r>
  <r>
    <x v="1"/>
    <s v="Salary &amp; Fringes Fund Allocation"/>
    <s v="Porciuncula, Mateo"/>
    <s v="JV-JS063023 Sal Alloc"/>
    <x v="5"/>
    <x v="3"/>
    <m/>
    <s v="9999"/>
    <s v="9999"/>
    <s v="3007"/>
    <s v="UN Peace Building Fund (PBF) - The Gambia 01/2023-12/2025"/>
  </r>
  <r>
    <x v="1"/>
    <s v="Salary &amp; Fringes Fund Allocation"/>
    <s v="Roccatello, Anna Myriam"/>
    <s v="JV-JS063023 Sal Alloc"/>
    <x v="5"/>
    <x v="4"/>
    <m/>
    <s v="9999"/>
    <s v="9999"/>
    <s v="3007"/>
    <s v="UN Peace Building Fund (PBF) - The Gambia 01/2023-12/2025"/>
  </r>
  <r>
    <x v="4"/>
    <s v="Wages - International - Full Time"/>
    <s v="Salary June 23 - Gender Consultant- Tuti Nyang"/>
    <s v="JV-MP072723-1"/>
    <x v="5"/>
    <x v="25"/>
    <m/>
    <s v="9999"/>
    <s v="Gam"/>
    <s v="3007"/>
    <s v="UN Peace Building Fund (PBF) - The Gambia 01/2023-12/2025"/>
  </r>
  <r>
    <x v="5"/>
    <s v="Wages - International - Part Time"/>
    <s v="Salary June 23 - Finance Officer- Fatoumatta Kanteh"/>
    <s v="JV-MP072723-1"/>
    <x v="5"/>
    <x v="26"/>
    <m/>
    <s v="9999"/>
    <s v="Gam"/>
    <s v="3007"/>
    <s v="UN Peace Building Fund (PBF) - The Gambia 01/2023-12/2025"/>
  </r>
  <r>
    <x v="8"/>
    <s v="Meals &amp; Per Diem"/>
    <s v="Snacks for participants"/>
    <s v="JV-MP072723-1"/>
    <x v="5"/>
    <x v="27"/>
    <m/>
    <s v="9999"/>
    <s v="Gam"/>
    <s v="3007"/>
    <s v="UN Peace Building Fund (PBF) - The Gambia 01/2023-12/2025"/>
  </r>
  <r>
    <x v="3"/>
    <s v="Ground (Car/Mileage, Rail, Taxi/Shuttle)"/>
    <s v="Taxi fees for dropping of letters to stakeholders-May 2023"/>
    <s v="JV-MP072723-1"/>
    <x v="5"/>
    <x v="28"/>
    <m/>
    <s v="9999"/>
    <s v="Gam"/>
    <s v="3007"/>
    <s v="UN Peace Building Fund (PBF) - The Gambia 01/2023-12/2025"/>
  </r>
  <r>
    <x v="3"/>
    <s v="Ground (Car/Mileage, Rail, Taxi/Shuttle)"/>
    <s v="Taxi fees for dropping of letters to stakeholders-June 2023"/>
    <s v="JV-MP072723-1"/>
    <x v="5"/>
    <x v="28"/>
    <m/>
    <s v="9999"/>
    <s v="Gam"/>
    <s v="3007"/>
    <s v="UN Peace Building Fund (PBF) - The Gambia 01/2023-12/2025"/>
  </r>
  <r>
    <x v="3"/>
    <s v="Ground (Car/Mileage, Rail, Taxi/Shuttle)"/>
    <s v="Delivery of snacks"/>
    <s v="JV-MP072723-1"/>
    <x v="5"/>
    <x v="29"/>
    <m/>
    <s v="9999"/>
    <s v="Gam"/>
    <s v="3007"/>
    <s v="UN Peace Building Fund (PBF) - The Gambia 01/2023-12/2025"/>
  </r>
  <r>
    <x v="3"/>
    <s v="Ground (Car/Mileage, Rail, Taxi/Shuttle)"/>
    <s v="Transport refund for participants"/>
    <s v="JV-MP072723-1"/>
    <x v="5"/>
    <x v="30"/>
    <m/>
    <s v="9999"/>
    <s v="Gam"/>
    <s v="3007"/>
    <s v="UN Peace Building Fund (PBF) - The Gambia 01/2023-12/2025"/>
  </r>
  <r>
    <x v="3"/>
    <s v="Ground (Car/Mileage, Rail, Taxi/Shuttle)"/>
    <s v="Transport refund for participants"/>
    <s v="JV-MP072723-1"/>
    <x v="5"/>
    <x v="28"/>
    <m/>
    <s v="9999"/>
    <s v="Gam"/>
    <s v="3007"/>
    <s v="UN Peace Building Fund (PBF) - The Gambia 01/2023-12/2025"/>
  </r>
  <r>
    <x v="10"/>
    <s v="Consultants"/>
    <s v="JULY 2023 - PROFESSIONAL SERVICE   - HEAD OF PROGRAM - THE GAMBIA  - D GBERY"/>
    <s v="cv072423"/>
    <x v="6"/>
    <x v="24"/>
    <m/>
    <s v="9999"/>
    <s v="Gam"/>
    <s v="3007"/>
    <s v="UN Peace Building Fund (PBF) - The Gambia 01/2023-12/2025"/>
  </r>
  <r>
    <x v="1"/>
    <s v="Salary &amp; Fringes Fund Allocation"/>
    <s v="Ladisch, Virginie"/>
    <s v="JV-JS073123 Sal Alloc"/>
    <x v="7"/>
    <x v="31"/>
    <m/>
    <s v="9999"/>
    <s v="9999"/>
    <s v="3007"/>
    <s v="UN Peace Building Fund (PBF) - The Gambia 01/2023-12/2025"/>
  </r>
  <r>
    <x v="1"/>
    <s v="Salary &amp; Fringes Fund Allocation"/>
    <s v="Porciuncula, Mateo"/>
    <s v="JV-JS073123 Sal Alloc"/>
    <x v="7"/>
    <x v="3"/>
    <m/>
    <s v="9999"/>
    <s v="9999"/>
    <s v="3007"/>
    <s v="UN Peace Building Fund (PBF) - The Gambia 01/2023-12/2025"/>
  </r>
  <r>
    <x v="1"/>
    <s v="Salary &amp; Fringes Fund Allocation"/>
    <s v="Roccatello, Anna Myriam"/>
    <s v="JV-JS073123 Sal Alloc"/>
    <x v="7"/>
    <x v="4"/>
    <m/>
    <s v="9999"/>
    <s v="9999"/>
    <s v="3007"/>
    <s v="UN Peace Building Fund (PBF) - The Gambia 01/2023-12/2025"/>
  </r>
  <r>
    <x v="4"/>
    <s v="Wages - International - Full Time"/>
    <s v="Salary July 23 - Gender Consultant- Tuti Nyang"/>
    <s v="JV-MP100923"/>
    <x v="7"/>
    <x v="32"/>
    <m/>
    <s v="9999"/>
    <s v="Gam"/>
    <s v="3007"/>
    <s v="UN Peace Building Fund (PBF) - The Gambia 01/2023-12/2025"/>
  </r>
  <r>
    <x v="6"/>
    <s v="Office Supplies / Materials"/>
    <s v="Kits for Participants"/>
    <s v="JV-MP100923"/>
    <x v="7"/>
    <x v="33"/>
    <m/>
    <s v="9999"/>
    <s v="Gam"/>
    <s v="3007"/>
    <s v="UN Peace Building Fund (PBF) - The Gambia 01/2023-12/2025"/>
  </r>
  <r>
    <x v="11"/>
    <s v="Professional Development"/>
    <s v="Resource persons fees"/>
    <s v="JV-MP100923"/>
    <x v="7"/>
    <x v="34"/>
    <m/>
    <s v="9999"/>
    <s v="Gam"/>
    <s v="3007"/>
    <s v="UN Peace Building Fund (PBF) - The Gambia 01/2023-12/2025"/>
  </r>
  <r>
    <x v="3"/>
    <s v="Ground (Car/Mileage, Rail, Taxi/Shuttle)"/>
    <s v="Pmt to Ousman Conteh for delivery of Invitation Letters"/>
    <s v="JV-MP100923"/>
    <x v="7"/>
    <x v="35"/>
    <m/>
    <s v="9999"/>
    <s v="Gam"/>
    <s v="3007"/>
    <s v="UN Peace Building Fund (PBF) - The Gambia 01/2023-12/2025"/>
  </r>
  <r>
    <x v="3"/>
    <s v="Ground (Car/Mileage, Rail, Taxi/Shuttle)"/>
    <s v="Transportion and Logistics"/>
    <s v="JV-MP100923"/>
    <x v="7"/>
    <x v="36"/>
    <m/>
    <s v="9999"/>
    <s v="Gam"/>
    <s v="3007"/>
    <s v="UN Peace Building Fund (PBF) - The Gambia 01/2023-12/2025"/>
  </r>
  <r>
    <x v="3"/>
    <s v="Ground (Car/Mileage, Rail, Taxi/Shuttle)"/>
    <s v="Transport refund for participanst from WCR,NBR,CRR,URR &amp; KMC"/>
    <s v="JV-MP100923"/>
    <x v="7"/>
    <x v="37"/>
    <m/>
    <s v="9999"/>
    <s v="Gam"/>
    <s v="3007"/>
    <s v="UN Peace Building Fund (PBF) - The Gambia 01/2023-12/2025"/>
  </r>
  <r>
    <x v="3"/>
    <s v="Ground (Car/Mileage, Rail, Taxi/Shuttle)"/>
    <s v="Delivery of snacks"/>
    <s v="JV-MP100923"/>
    <x v="7"/>
    <x v="38"/>
    <m/>
    <s v="9999"/>
    <s v="Gam"/>
    <s v="3007"/>
    <s v="UN Peace Building Fund (PBF) - The Gambia 01/2023-12/2025"/>
  </r>
  <r>
    <x v="3"/>
    <s v="Ground (Car/Mileage, Rail, Taxi/Shuttle)"/>
    <s v="Transport refund for participants"/>
    <s v="JV-MP100923"/>
    <x v="7"/>
    <x v="39"/>
    <m/>
    <s v="9999"/>
    <s v="Gam"/>
    <s v="3007"/>
    <s v="UN Peace Building Fund (PBF) - The Gambia 01/2023-12/2025"/>
  </r>
  <r>
    <x v="3"/>
    <s v="Ground (Car/Mileage, Rail, Taxi/Shuttle)"/>
    <s v="Delivery of snacks"/>
    <s v="JV-MP100923"/>
    <x v="7"/>
    <x v="40"/>
    <m/>
    <s v="9999"/>
    <s v="Gam"/>
    <s v="3007"/>
    <s v="UN Peace Building Fund (PBF) - The Gambia 01/2023-12/2025"/>
  </r>
  <r>
    <x v="3"/>
    <s v="Ground (Car/Mileage, Rail, Taxi/Shuttle)"/>
    <s v="Transport refund for participants"/>
    <s v="JV-MP100923"/>
    <x v="7"/>
    <x v="41"/>
    <m/>
    <s v="9999"/>
    <s v="Gam"/>
    <s v="3007"/>
    <s v="UN Peace Building Fund (PBF) - The Gambia 01/2023-12/2025"/>
  </r>
  <r>
    <x v="8"/>
    <s v="Meals &amp; Per Diem"/>
    <s v="DSA for Participants from Four (4) Regions"/>
    <s v="JV-MP100923"/>
    <x v="7"/>
    <x v="42"/>
    <m/>
    <s v="9999"/>
    <s v="Gam"/>
    <s v="3007"/>
    <s v="UN Peace Building Fund (PBF) - The Gambia 01/2023-12/2025"/>
  </r>
  <r>
    <x v="8"/>
    <s v="Meals &amp; Per Diem"/>
    <s v="Snacks for participants"/>
    <s v="JV-MP100923"/>
    <x v="7"/>
    <x v="43"/>
    <m/>
    <s v="9999"/>
    <s v="Gam"/>
    <s v="3007"/>
    <s v="UN Peace Building Fund (PBF) - The Gambia 01/2023-12/2025"/>
  </r>
  <r>
    <x v="12"/>
    <s v="Rental Halls / Convention Center"/>
    <s v="Abcas  rental of venue for retreat with partners"/>
    <s v="JV-MP100923"/>
    <x v="7"/>
    <x v="44"/>
    <m/>
    <s v="9999"/>
    <s v="Gam"/>
    <s v="3007"/>
    <s v="UN Peace Building Fund (PBF) - The Gambia 01/2023-12/2025"/>
  </r>
  <r>
    <x v="8"/>
    <s v="Meals &amp; Per Diem"/>
    <s v="Snacks for participants"/>
    <s v="JV-MP100923"/>
    <x v="7"/>
    <x v="45"/>
    <m/>
    <s v="9999"/>
    <s v="Gam"/>
    <s v="3007"/>
    <s v="UN Peace Building Fund (PBF) - The Gambia 01/2023-12/2025"/>
  </r>
  <r>
    <x v="10"/>
    <s v="Consultants"/>
    <s v="AUGUST 2023 - PAYMENT FOR PROFESSIONAL SERVICE - HEAD OF PROGRAM - THE GAMBIA - D GBERY"/>
    <s v="CV082823"/>
    <x v="8"/>
    <x v="46"/>
    <m/>
    <s v="9999"/>
    <s v="Gam"/>
    <s v="3007"/>
    <s v="UN Peace Building Fund (PBF) - The Gambia 01/2023-12/2025"/>
  </r>
  <r>
    <x v="1"/>
    <s v="Salary &amp; Fringes Fund Allocation"/>
    <s v="Ladisch, Virginie"/>
    <s v="JV-JS083123 Sal Alloc"/>
    <x v="9"/>
    <x v="31"/>
    <m/>
    <s v="9999"/>
    <s v="9999"/>
    <s v="3007"/>
    <s v="UN Peace Building Fund (PBF) - The Gambia 01/2023-12/2025"/>
  </r>
  <r>
    <x v="1"/>
    <s v="Salary &amp; Fringes Fund Allocation"/>
    <s v="Porciuncula, Mateo"/>
    <s v="JV-JS083123 Sal Alloc"/>
    <x v="9"/>
    <x v="3"/>
    <m/>
    <s v="9999"/>
    <s v="9999"/>
    <s v="3007"/>
    <s v="UN Peace Building Fund (PBF) - The Gambia 01/2023-12/2025"/>
  </r>
  <r>
    <x v="1"/>
    <s v="Salary &amp; Fringes Fund Allocation"/>
    <s v="Roccatello, Anna Myriam"/>
    <s v="JV-JS083123 Sal Alloc"/>
    <x v="9"/>
    <x v="4"/>
    <m/>
    <s v="9999"/>
    <s v="9999"/>
    <s v="3007"/>
    <s v="UN Peace Building Fund (PBF) - The Gambia 01/2023-12/2025"/>
  </r>
  <r>
    <x v="4"/>
    <s v="Wages - International - Full Time"/>
    <s v="July-23 Salary for program Assistant"/>
    <s v="JV-MP101023"/>
    <x v="9"/>
    <x v="47"/>
    <m/>
    <s v="9999"/>
    <s v="Gam"/>
    <s v="3007"/>
    <s v="UN Peace Building Fund (PBF) - The Gambia 01/2023-12/2025"/>
  </r>
  <r>
    <x v="4"/>
    <s v="Wages - International - Full Time"/>
    <s v="Salary August 23 - Gender Consultant- Tuti Nyang"/>
    <s v="JV-MP101023"/>
    <x v="9"/>
    <x v="48"/>
    <m/>
    <s v="9999"/>
    <s v="Gam"/>
    <s v="3007"/>
    <s v="UN Peace Building Fund (PBF) - The Gambia 01/2023-12/2025"/>
  </r>
  <r>
    <x v="4"/>
    <s v="Wages - International - Full Time"/>
    <s v="Salary August 23 - Program Assistant"/>
    <s v="JV-MP101023"/>
    <x v="9"/>
    <x v="49"/>
    <m/>
    <s v="9999"/>
    <s v="Gam"/>
    <s v="3007"/>
    <s v="UN Peace Building Fund (PBF) - The Gambia 01/2023-12/2025"/>
  </r>
  <r>
    <x v="13"/>
    <s v="Recruitment / Placement"/>
    <s v="Gamjobs - Job Vacancy advert of Legal Adviser Position"/>
    <s v="JV-MP101023"/>
    <x v="9"/>
    <x v="50"/>
    <m/>
    <s v="9999"/>
    <s v="Gam"/>
    <s v="3007"/>
    <s v="UN Peace Building Fund (PBF) - The Gambia 01/2023-12/2025"/>
  </r>
  <r>
    <x v="11"/>
    <s v="Professional Development"/>
    <s v="Resource persons fees"/>
    <s v="JV-MP101023"/>
    <x v="9"/>
    <x v="51"/>
    <m/>
    <s v="9999"/>
    <s v="Gam"/>
    <s v="3007"/>
    <s v="UN Peace Building Fund (PBF) - The Gambia 01/2023-12/2025"/>
  </r>
  <r>
    <x v="12"/>
    <s v="Rental Halls / Convention Center"/>
    <s v="Venue Hire"/>
    <s v="JV-MP101023"/>
    <x v="9"/>
    <x v="52"/>
    <m/>
    <s v="9999"/>
    <s v="Gam"/>
    <s v="3007"/>
    <s v="UN Peace Building Fund (PBF) - The Gambia 01/2023-12/2025"/>
  </r>
  <r>
    <x v="12"/>
    <s v="Rental Halls / Convention Center"/>
    <s v="UNPBF Series 1 training Venue Rental -Senegambia Hotel"/>
    <s v="JV-MP101023"/>
    <x v="9"/>
    <x v="53"/>
    <m/>
    <s v="9999"/>
    <s v="Gam"/>
    <s v="3007"/>
    <s v="UN Peace Building Fund (PBF) - The Gambia 01/2023-12/2025"/>
  </r>
  <r>
    <x v="8"/>
    <s v="Meals &amp; Per Diem"/>
    <s v="DSA for Participants from Four (4) Regions"/>
    <s v="JV-MP101023"/>
    <x v="9"/>
    <x v="54"/>
    <m/>
    <s v="9999"/>
    <s v="Gam"/>
    <s v="3007"/>
    <s v="UN Peace Building Fund (PBF) - The Gambia 01/2023-12/2025"/>
  </r>
  <r>
    <x v="8"/>
    <s v="Meals &amp; Per Diem"/>
    <s v="Breakfast, tea &amp; Coffee"/>
    <s v="JV-MP101023"/>
    <x v="9"/>
    <x v="55"/>
    <m/>
    <s v="9999"/>
    <s v="Gam"/>
    <s v="3007"/>
    <s v="UN Peace Building Fund (PBF) - The Gambia 01/2023-12/2025"/>
  </r>
  <r>
    <x v="8"/>
    <s v="Meals &amp; Per Diem"/>
    <s v="lunch, Refreshments and water"/>
    <s v="JV-MP101023"/>
    <x v="9"/>
    <x v="56"/>
    <m/>
    <s v="9999"/>
    <s v="Gam"/>
    <s v="3007"/>
    <s v="UN Peace Building Fund (PBF) - The Gambia 01/2023-12/2025"/>
  </r>
  <r>
    <x v="3"/>
    <s v="Ground (Car/Mileage, Rail, Taxi/Shuttle)"/>
    <s v="Transport refund for participanst from WCR,NBR,CRR,URR &amp; KMC"/>
    <s v="JV-MP101023"/>
    <x v="9"/>
    <x v="57"/>
    <m/>
    <s v="9999"/>
    <s v="Gam"/>
    <s v="3007"/>
    <s v="UN Peace Building Fund (PBF) - The Gambia 01/2023-12/2025"/>
  </r>
  <r>
    <x v="3"/>
    <s v="Ground (Car/Mileage, Rail, Taxi/Shuttle)"/>
    <s v="HoP office transportation fuel for August 2023"/>
    <s v="JV-MP101023"/>
    <x v="9"/>
    <x v="51"/>
    <m/>
    <s v="9999"/>
    <s v="Gam"/>
    <s v="3007"/>
    <s v="UN Peace Building Fund (PBF) - The Gambia 01/2023-12/2025"/>
  </r>
  <r>
    <x v="1"/>
    <s v="Salary &amp; Fringes Fund Allocation"/>
    <s v="Ladisch, Virginie"/>
    <s v="JV-JS093023 Sal Alloc"/>
    <x v="10"/>
    <x v="31"/>
    <m/>
    <s v="9999"/>
    <s v="9999"/>
    <s v="3007"/>
    <s v="UN Peace Building Fund (PBF) - The Gambia 01/2023-12/2025"/>
  </r>
  <r>
    <x v="1"/>
    <s v="Salary &amp; Fringes Fund Allocation"/>
    <s v="Porciuncula, Mateo"/>
    <s v="JV-JS093023 Sal Alloc"/>
    <x v="10"/>
    <x v="3"/>
    <m/>
    <s v="9999"/>
    <s v="9999"/>
    <s v="3007"/>
    <s v="UN Peace Building Fund (PBF) - The Gambia 01/2023-12/2025"/>
  </r>
  <r>
    <x v="1"/>
    <s v="Salary &amp; Fringes Fund Allocation"/>
    <s v="Roccatello, Anna Myriam"/>
    <s v="JV-JS093023 Sal Alloc"/>
    <x v="10"/>
    <x v="4"/>
    <m/>
    <s v="9999"/>
    <s v="9999"/>
    <s v="3007"/>
    <s v="UN Peace Building Fund (PBF) - The Gambia 01/2023-12/2025"/>
  </r>
  <r>
    <x v="4"/>
    <s v="Wages - International - Full Time"/>
    <s v="Salary September 23 - Gender Consultant- Tuti Nyang"/>
    <s v="JV-MP102123-3"/>
    <x v="10"/>
    <x v="58"/>
    <m/>
    <s v="9999"/>
    <s v="Gam"/>
    <s v="3007"/>
    <s v="UN Peace Building Fund (PBF) - The Gambia 01/2023-12/2025"/>
  </r>
  <r>
    <x v="4"/>
    <s v="Wages - International - Full Time"/>
    <s v="Salary September 23 - Program Assistant"/>
    <s v="JV-MP102123-3"/>
    <x v="10"/>
    <x v="59"/>
    <m/>
    <s v="9999"/>
    <s v="Gam"/>
    <s v="3007"/>
    <s v="UN Peace Building Fund (PBF) - The Gambia 01/2023-12/2025"/>
  </r>
  <r>
    <x v="4"/>
    <s v="Wages - International - Full Time"/>
    <s v="Salary September 23 - Finance Officer"/>
    <s v="JV-MP102123-3"/>
    <x v="10"/>
    <x v="60"/>
    <m/>
    <s v="9999"/>
    <s v="Gam"/>
    <s v="3007"/>
    <s v="UN Peace Building Fund (PBF) - The Gambia 01/2023-12/2025"/>
  </r>
  <r>
    <x v="14"/>
    <s v="Telephone &amp; Internet Access"/>
    <s v="Internet Comium Install &amp; Subs fees 9/23 -11/23"/>
    <s v="JV-MP102123-3"/>
    <x v="10"/>
    <x v="61"/>
    <m/>
    <s v="9999"/>
    <s v="Gam"/>
    <s v="3007"/>
    <s v="UN Peace Building Fund (PBF) - The Gambia 01/2023-12/2025"/>
  </r>
  <r>
    <x v="3"/>
    <s v="Ground (Car/Mileage, Rail, Taxi/Shuttle)"/>
    <s v="Transport refund for participanst from WCR,NBR,CRR,URR &amp; KMC"/>
    <s v="JV-MP102123-3"/>
    <x v="10"/>
    <x v="62"/>
    <m/>
    <s v="9999"/>
    <s v="Gam"/>
    <s v="3007"/>
    <s v="UN Peace Building Fund (PBF) - The Gambia 01/2023-12/2025"/>
  </r>
  <r>
    <x v="8"/>
    <s v="Meals &amp; Per Diem"/>
    <s v="DSA for Participants from Four (4) Regions"/>
    <s v="JV-MP102123-3"/>
    <x v="10"/>
    <x v="63"/>
    <m/>
    <s v="9999"/>
    <s v="Gam"/>
    <s v="3007"/>
    <s v="UN Peace Building Fund (PBF) - The Gambia 01/2023-12/2025"/>
  </r>
  <r>
    <x v="8"/>
    <s v="Meals &amp; Per Diem"/>
    <s v="Breakfast, tea &amp; Coffee"/>
    <s v="JV-MP102123-3"/>
    <x v="10"/>
    <x v="64"/>
    <m/>
    <s v="9999"/>
    <s v="Gam"/>
    <s v="3007"/>
    <s v="UN Peace Building Fund (PBF) - The Gambia 01/2023-12/2025"/>
  </r>
  <r>
    <x v="8"/>
    <s v="Meals &amp; Per Diem"/>
    <s v="lunch, Refreshments and water"/>
    <s v="JV-MP102123-3"/>
    <x v="10"/>
    <x v="65"/>
    <m/>
    <s v="9999"/>
    <s v="Gam"/>
    <s v="3007"/>
    <s v="UN Peace Building Fund (PBF) - The Gambia 01/2023-12/2025"/>
  </r>
  <r>
    <x v="12"/>
    <s v="Rental Halls / Convention Center"/>
    <s v="Venue Hire"/>
    <s v="JV-MP102123-3"/>
    <x v="10"/>
    <x v="66"/>
    <m/>
    <s v="9999"/>
    <s v="Gam"/>
    <s v="3007"/>
    <s v="UN Peace Building Fund (PBF) - The Gambia 01/2023-12/2025"/>
  </r>
  <r>
    <x v="15"/>
    <s v="Event Planning / Organization"/>
    <s v="Resource persons fees"/>
    <s v="JV-MP102123-3"/>
    <x v="10"/>
    <x v="67"/>
    <m/>
    <s v="9999"/>
    <s v="Gam"/>
    <s v="3007"/>
    <s v="UN Peace Building Fund (PBF) - The Gambia 01/2023-12/2025"/>
  </r>
  <r>
    <x v="15"/>
    <s v="Event Planning / Organization"/>
    <s v="T-Shirts for Participants"/>
    <s v="JV-MP102123-3"/>
    <x v="10"/>
    <x v="68"/>
    <m/>
    <s v="9999"/>
    <s v="Gam"/>
    <s v="3007"/>
    <s v="UN Peace Building Fund (PBF) - The Gambia 01/2023-12/2025"/>
  </r>
  <r>
    <x v="10"/>
    <s v="Consultants"/>
    <s v="PAYMENT FOR PROFESSIONAL SERVICE - (SEPTEMBER 2023) HEAD OF PROGRAM - THE GAMBIA &amp; PER DIEM - ETHIOPIA - 11/23 - D GBERY"/>
    <s v="cv100623"/>
    <x v="11"/>
    <x v="69"/>
    <m/>
    <s v="9999"/>
    <s v="Gam"/>
    <s v="3007"/>
    <s v="UN Peace Building Fund (PBF) - The Gambia 01/2023-12/2025"/>
  </r>
  <r>
    <x v="10"/>
    <s v="Consultants"/>
    <s v="OCTOBER 2023 -PYMT FOR PROF SVC/HEALTH SEPT/MED INS REIMB FY23 (4/4) - HEAD OF PROG - THE GAMBIA - B P D GBERY"/>
    <s v="cv100623"/>
    <x v="11"/>
    <x v="70"/>
    <m/>
    <s v="9999"/>
    <s v="Gam"/>
    <s v="3007"/>
    <s v="UN Peace Building Fund (PBF) - The Gambia 01/2023-12/2025"/>
  </r>
  <r>
    <x v="1"/>
    <s v="Salary &amp; Fringes Fund Allocation"/>
    <s v="Ladisch, Virginie"/>
    <s v="JV-JS103123 Sal Alloc"/>
    <x v="12"/>
    <x v="31"/>
    <m/>
    <s v="9999"/>
    <s v="9999"/>
    <s v="3007"/>
    <s v="UN Peace Building Fund (PBF) - The Gambia 01/2023-12/2025"/>
  </r>
  <r>
    <x v="1"/>
    <s v="Salary &amp; Fringes Fund Allocation"/>
    <s v="Porciuncula, Mateo"/>
    <s v="JV-JS103123 Sal Alloc"/>
    <x v="12"/>
    <x v="3"/>
    <m/>
    <s v="9999"/>
    <s v="9999"/>
    <s v="3007"/>
    <s v="UN Peace Building Fund (PBF) - The Gambia 01/2023-12/2025"/>
  </r>
  <r>
    <x v="1"/>
    <s v="Salary &amp; Fringes Fund Allocation"/>
    <s v="Roccatello, Anna Myriam"/>
    <s v="JV-JS103123 Sal Alloc"/>
    <x v="12"/>
    <x v="4"/>
    <m/>
    <s v="9999"/>
    <s v="9999"/>
    <s v="3007"/>
    <s v="UN Peace Building Fund (PBF) - The Gambia 01/2023-12/2025"/>
  </r>
  <r>
    <x v="4"/>
    <s v="Wages - International - Full Time"/>
    <s v="Salary October 23 - Program Assistant"/>
    <s v="JV-MP111623-1"/>
    <x v="12"/>
    <x v="71"/>
    <m/>
    <s v="9999"/>
    <s v="Gam"/>
    <s v="3007"/>
    <s v="UN Peace Building Fund (PBF) - The Gambia 01/2023-12/2025"/>
  </r>
  <r>
    <x v="4"/>
    <s v="Wages - International - Full Time"/>
    <s v="Salary October 23 - Finance Officer"/>
    <s v="JV-MP111623-1"/>
    <x v="12"/>
    <x v="72"/>
    <m/>
    <s v="9999"/>
    <s v="Gam"/>
    <s v="3007"/>
    <s v="UN Peace Building Fund (PBF) - The Gambia 01/2023-12/2025"/>
  </r>
  <r>
    <x v="8"/>
    <s v="Meals &amp; Per Diem"/>
    <s v="Snacks for Participants"/>
    <s v="JV-MP111623"/>
    <x v="12"/>
    <x v="73"/>
    <m/>
    <s v="9999"/>
    <s v="Gam"/>
    <s v="3007"/>
    <s v="UN Peace Building Fund (PBF) - The Gambia 01/2023-12/2025"/>
  </r>
  <r>
    <x v="3"/>
    <s v="Ground (Car/Mileage, Rail, Taxi/Shuttle)"/>
    <s v="Transport refund for participants"/>
    <s v="JV-MP111623"/>
    <x v="12"/>
    <x v="74"/>
    <m/>
    <s v="9999"/>
    <s v="Gam"/>
    <s v="3007"/>
    <s v="UN Peace Building Fund (PBF) - The Gambia 01/2023-12/2025"/>
  </r>
  <r>
    <x v="3"/>
    <s v="Ground (Car/Mileage, Rail, Taxi/Shuttle)"/>
    <s v="Delivery of Snacks &amp; refreshment"/>
    <s v="JV-MP111623"/>
    <x v="12"/>
    <x v="75"/>
    <m/>
    <s v="9999"/>
    <s v="Gam"/>
    <s v="3007"/>
    <s v="UN Peace Building Fund (PBF) - The Gambia 01/2023-12/2025"/>
  </r>
  <r>
    <x v="10"/>
    <s v="Consultants"/>
    <s v="NOVEMBER 2023 - PAYMENT FOR PROFESSIONAL SERVICE - HEAD OF PROGRAM - THE GAMBIA - D GBERY"/>
    <s v="cv110923"/>
    <x v="13"/>
    <x v="70"/>
    <m/>
    <s v="9999"/>
    <s v="9999"/>
    <s v="3007"/>
    <s v="UN Peace Building Fund (PBF) - The Gambia 01/2023-12/2025"/>
  </r>
  <r>
    <x v="16"/>
    <s v="Grants / Subcontracts Awarded"/>
    <s v="Sub-grant to Fantanka for UNPBF Act 1.4 &amp; 2.2 implementation"/>
    <s v="JV-MP121523"/>
    <x v="14"/>
    <x v="76"/>
    <m/>
    <s v=""/>
    <s v=""/>
    <s v="3007"/>
    <s v="UN Peace Building Fund (PBF) - The Gambia 01/2023-12/2025"/>
  </r>
  <r>
    <x v="16"/>
    <s v="Grants / Subcontracts Awarded"/>
    <s v="Sub-grant to ONOV for UNPBF Act 1.4 &amp; 2.2 implementation"/>
    <s v="JV-MP121523"/>
    <x v="14"/>
    <x v="77"/>
    <m/>
    <s v=""/>
    <s v=""/>
    <s v="3007"/>
    <s v="UN Peace Building Fund (PBF) - The Gambia 01/2023-12/2025"/>
  </r>
  <r>
    <x v="16"/>
    <s v="Grants / Subcontracts Awarded"/>
    <s v="Subgrant -PA-The Gambia - UNPBF Act 1.4 &amp; 2.2 implementation"/>
    <s v="JV-MP121523"/>
    <x v="14"/>
    <x v="78"/>
    <m/>
    <s v=""/>
    <s v=""/>
    <s v="3007"/>
    <s v="UN Peace Building Fund (PBF) - The Gambia 01/2023-12/2025"/>
  </r>
  <r>
    <x v="16"/>
    <s v="Grants / Subcontracts Awarded"/>
    <s v="Sub-grant to TYW for UNPBF Act 1.4 &amp; 2.2 implementation"/>
    <s v="JV-MP121523"/>
    <x v="14"/>
    <x v="79"/>
    <m/>
    <s v=""/>
    <s v=""/>
    <s v="3007"/>
    <s v="UN Peace Building Fund (PBF) - The Gambia 01/2023-12/2025"/>
  </r>
  <r>
    <x v="1"/>
    <s v="Salary &amp; Fringes Fund Allocation"/>
    <s v="Ladisch, Virginie"/>
    <s v="JV-JS113023 Sal Alloc"/>
    <x v="14"/>
    <x v="31"/>
    <m/>
    <s v="9999"/>
    <s v="9999"/>
    <s v="3007"/>
    <s v="UN Peace Building Fund (PBF) - The Gambia 01/2023-12/2025"/>
  </r>
  <r>
    <x v="1"/>
    <s v="Salary &amp; Fringes Fund Allocation"/>
    <s v="Porciuncula, Mateo"/>
    <s v="JV-JS113023 Sal Alloc"/>
    <x v="14"/>
    <x v="3"/>
    <m/>
    <s v="9999"/>
    <s v="9999"/>
    <s v="3007"/>
    <s v="UN Peace Building Fund (PBF) - The Gambia 01/2023-12/2025"/>
  </r>
  <r>
    <x v="1"/>
    <s v="Salary &amp; Fringes Fund Allocation"/>
    <s v="Roccatello, Anna Myriam"/>
    <s v="JV-JS113023 Sal Alloc"/>
    <x v="14"/>
    <x v="4"/>
    <m/>
    <s v="9999"/>
    <s v="9999"/>
    <s v="3007"/>
    <s v="UN Peace Building Fund (PBF) - The Gambia 01/2023-12/2025"/>
  </r>
  <r>
    <x v="4"/>
    <s v="Wages - International - Full Time"/>
    <s v="Salary November 2023 -Program Assistant"/>
    <s v="JV-MP121523"/>
    <x v="14"/>
    <x v="80"/>
    <m/>
    <s v="9999"/>
    <s v="Gam"/>
    <s v="3007"/>
    <s v="UN Peace Building Fund (PBF) - The Gambia 01/2023-12/2025"/>
  </r>
  <r>
    <x v="17"/>
    <s v="IT Consulting, Services, and Support"/>
    <s v="IT Support to set up Legal Consultants Laptop. Paid to Leroy"/>
    <s v="JV-MP121523"/>
    <x v="14"/>
    <x v="81"/>
    <m/>
    <s v="9999"/>
    <s v="Gam"/>
    <s v="3007"/>
    <s v="UN Peace Building Fund (PBF) - The Gambia 01/2023-12/2025"/>
  </r>
  <r>
    <x v="18"/>
    <s v="Banking / Credit Cards Fee"/>
    <s v="RTGS Charges on funds transfer to PA-The Gambia"/>
    <s v="JV-MP121523"/>
    <x v="14"/>
    <x v="82"/>
    <m/>
    <s v="9999"/>
    <s v="Gam"/>
    <s v="3007"/>
    <s v="UN Peace Building Fund (PBF) - The Gambia 01/2023-12/2025"/>
  </r>
  <r>
    <x v="18"/>
    <s v="Banking / Credit Cards Fee"/>
    <s v="RTGS Charges on funds transfer to TYW"/>
    <s v="JV-MP121523"/>
    <x v="14"/>
    <x v="82"/>
    <m/>
    <s v="9999"/>
    <s v="Gam"/>
    <s v="3007"/>
    <s v="UN Peace Building Fund (PBF) - The Gambia 01/2023-12/2025"/>
  </r>
  <r>
    <x v="19"/>
    <s v="Computer Equipment &amp; Software (below $2,000)"/>
    <s v="Purchase of Laptop for Legal Consultant paid to Staples"/>
    <s v="JV-MP121523"/>
    <x v="14"/>
    <x v="83"/>
    <m/>
    <s v="9999"/>
    <s v="Gam"/>
    <s v="3007"/>
    <s v="UN Peace Building Fund (PBF) - The Gambia 01/2023-12/2025"/>
  </r>
  <r>
    <x v="3"/>
    <s v="Ground (Car/Mileage, Rail, Taxi/Shuttle)"/>
    <s v="Transport Refund to Participants"/>
    <s v="JV-MP121523"/>
    <x v="14"/>
    <x v="84"/>
    <m/>
    <s v="9999"/>
    <s v="Gam"/>
    <s v="3007"/>
    <s v="UN Peace Building Fund (PBF) - The Gambia 01/2023-12/2025"/>
  </r>
  <r>
    <x v="3"/>
    <s v="Ground (Car/Mileage, Rail, Taxi/Shuttle)"/>
    <s v="Delivery charges of snack packs"/>
    <s v="JV-MP121523"/>
    <x v="14"/>
    <x v="85"/>
    <m/>
    <s v="9999"/>
    <s v="Gam"/>
    <s v="3007"/>
    <s v="UN Peace Building Fund (PBF) - The Gambia 01/2023-12/2025"/>
  </r>
  <r>
    <x v="8"/>
    <s v="Meals &amp; Per Diem"/>
    <s v="Snacks Pack for Participants"/>
    <s v="JV-MP121523"/>
    <x v="14"/>
    <x v="84"/>
    <m/>
    <s v="9999"/>
    <s v="Gam"/>
    <s v="3007"/>
    <s v="UN Peace Building Fund (PBF) - The Gambia 01/2023-12/2025"/>
  </r>
  <r>
    <x v="10"/>
    <s v="Consultants"/>
    <s v="DECEMBER 2023 - PAYMENT FOR PROFESSIONAL SERVICE - HEAD OF PROG - B P D GBERY"/>
    <s v="cv122023"/>
    <x v="15"/>
    <x v="46"/>
    <m/>
    <s v="9999"/>
    <s v="Gam"/>
    <s v="3007"/>
    <s v="UN Peace Building Fund (PBF) - The Gambia 01/2023-12/2025"/>
  </r>
  <r>
    <x v="10"/>
    <s v="Consultants"/>
    <s v="DECEMBER 2023 -REFUND FOR AIR TICKETS FOR 4 MEMBERS OF CONSULTANT FAMILY  - B P D GBERY"/>
    <s v="cv122023"/>
    <x v="15"/>
    <x v="86"/>
    <m/>
    <s v="9999"/>
    <s v="Gam"/>
    <s v="3007"/>
    <s v="UN Peace Building Fund (PBF) - The Gambia 01/2023-12/2025"/>
  </r>
  <r>
    <x v="1"/>
    <s v="Salary &amp; Fringes Fund Allocation"/>
    <s v="Ladisch, Virginie"/>
    <s v="JV-JS123123 Sal Alloc"/>
    <x v="16"/>
    <x v="31"/>
    <m/>
    <s v="9999"/>
    <s v="9999"/>
    <s v="3007"/>
    <s v="UN Peace Building Fund (PBF) - The Gambia 01/2023-12/2025"/>
  </r>
  <r>
    <x v="1"/>
    <s v="Salary &amp; Fringes Fund Allocation"/>
    <s v="Porciuncula, Mateo"/>
    <s v="JV-JS123123 Sal Alloc"/>
    <x v="16"/>
    <x v="3"/>
    <m/>
    <s v="9999"/>
    <s v="9999"/>
    <s v="3007"/>
    <s v="UN Peace Building Fund (PBF) - The Gambia 01/2023-12/2025"/>
  </r>
  <r>
    <x v="1"/>
    <s v="Salary &amp; Fringes Fund Allocation"/>
    <s v="Roccatello, Anna Myriam"/>
    <s v="JV-JS123123 Sal Alloc"/>
    <x v="16"/>
    <x v="4"/>
    <m/>
    <s v="9999"/>
    <s v="9999"/>
    <s v="3007"/>
    <s v="UN Peace Building Fund (PBF) - The Gambia 01/2023-12/2025"/>
  </r>
  <r>
    <x v="20"/>
    <s v="Airline"/>
    <s v="GBERY/BOUA PIERRE DI     TRAVEL AGENCY SERVICE"/>
    <s v="JV-JS231231Amex"/>
    <x v="16"/>
    <x v="87"/>
    <m/>
    <s v="9999"/>
    <s v="9999"/>
    <s v="3007"/>
    <s v="UN Peace Building Fund (PBF) - The Gambia 01/2023-12/2025"/>
  </r>
  <r>
    <x v="20"/>
    <s v="Airline"/>
    <s v="GBERY/BOUA PIERRE DI     ETHIOPIAN AIRLINES"/>
    <s v="JV-JS231231Amex"/>
    <x v="16"/>
    <x v="88"/>
    <m/>
    <s v="9999"/>
    <s v="9999"/>
    <s v="3007"/>
    <s v="UN Peace Building Fund (PBF) - The Gambia 01/2023-12/2025"/>
  </r>
  <r>
    <x v="3"/>
    <s v="Ground (Car/Mileage, Rail, Taxi/Shuttle)"/>
    <s v="Vehicle Hire Training  Rural Youths By Peer Trainers- UNPBF"/>
    <s v="JV-MP012324-1"/>
    <x v="16"/>
    <x v="89"/>
    <m/>
    <s v="9999"/>
    <s v="Gam"/>
    <s v="3007"/>
    <s v="UN Peace Building Fund (PBF) - The Gambia 01/2023-12/2025"/>
  </r>
  <r>
    <x v="3"/>
    <s v="Ground (Car/Mileage, Rail, Taxi/Shuttle)"/>
    <s v="Transport Refund to Participants"/>
    <s v="JV-MP012324-1"/>
    <x v="16"/>
    <x v="90"/>
    <m/>
    <s v="9999"/>
    <s v="Gam"/>
    <s v="3007"/>
    <s v="UN Peace Building Fund (PBF) - The Gambia 01/2023-12/2025"/>
  </r>
  <r>
    <x v="3"/>
    <s v="Ground (Car/Mileage, Rail, Taxi/Shuttle)"/>
    <s v="Taxi Hire to CRR for the M &amp; E on partners"/>
    <s v="JV-MP012324-1"/>
    <x v="16"/>
    <x v="91"/>
    <m/>
    <s v="9999"/>
    <s v="Gam"/>
    <s v="3007"/>
    <s v="UN Peace Building Fund (PBF) - The Gambia 01/2023-12/2025"/>
  </r>
  <r>
    <x v="3"/>
    <s v="Ground (Car/Mileage, Rail, Taxi/Shuttle)"/>
    <s v="DSA for team"/>
    <s v="JV-MP012324-1"/>
    <x v="16"/>
    <x v="92"/>
    <m/>
    <s v="9999"/>
    <s v="Gam"/>
    <s v="3007"/>
    <s v="UN Peace Building Fund (PBF) - The Gambia 01/2023-12/2025"/>
  </r>
  <r>
    <x v="3"/>
    <s v="Ground (Car/Mileage, Rail, Taxi/Shuttle)"/>
    <s v="Transport refund for participants"/>
    <s v="JV-MP012324-1"/>
    <x v="16"/>
    <x v="93"/>
    <m/>
    <s v="9999"/>
    <s v="Gam"/>
    <s v="3007"/>
    <s v="UN Peace Building Fund (PBF) - The Gambia 01/2023-12/2025"/>
  </r>
  <r>
    <x v="3"/>
    <s v="Ground (Car/Mileage, Rail, Taxi/Shuttle)"/>
    <s v="roundtrip transprtation"/>
    <s v="JV-MP012324-1"/>
    <x v="16"/>
    <x v="94"/>
    <m/>
    <s v="9999"/>
    <s v="Gam"/>
    <s v="3007"/>
    <s v="UN Peace Building Fund (PBF) - The Gambia 01/2023-12/2025"/>
  </r>
  <r>
    <x v="3"/>
    <s v="Ground (Car/Mileage, Rail, Taxi/Shuttle)"/>
    <s v="Transport refund for Trainers"/>
    <s v="JV-MP012324-1"/>
    <x v="16"/>
    <x v="95"/>
    <m/>
    <s v="9999"/>
    <s v="Gam"/>
    <s v="3007"/>
    <s v="UN Peace Building Fund (PBF) - The Gambia 01/2023-12/2025"/>
  </r>
  <r>
    <x v="8"/>
    <s v="Meals &amp; Per Diem"/>
    <s v="Breakfast, hot beverages"/>
    <s v="JV-MP012324-1"/>
    <x v="16"/>
    <x v="96"/>
    <m/>
    <s v="9999"/>
    <s v="Gam"/>
    <s v="3007"/>
    <s v="UN Peace Building Fund (PBF) - The Gambia 01/2023-12/2025"/>
  </r>
  <r>
    <x v="8"/>
    <s v="Meals &amp; Per Diem"/>
    <s v="Lunch and refreshments"/>
    <s v="JV-MP012324-1"/>
    <x v="16"/>
    <x v="97"/>
    <m/>
    <s v="9999"/>
    <s v="Gam"/>
    <s v="3007"/>
    <s v="UN Peace Building Fund (PBF) - The Gambia 01/2023-12/2025"/>
  </r>
  <r>
    <x v="8"/>
    <s v="Meals &amp; Per Diem"/>
    <s v="Meals and refreshment for Program Assistant"/>
    <s v="JV-MP012324-1"/>
    <x v="16"/>
    <x v="98"/>
    <m/>
    <s v="9999"/>
    <s v="Gam"/>
    <s v="3007"/>
    <s v="UN Peace Building Fund (PBF) - The Gambia 01/2023-12/2025"/>
  </r>
  <r>
    <x v="8"/>
    <s v="Meals &amp; Per Diem"/>
    <s v="Snack Packs for Participants"/>
    <s v="JV-MP012324-1"/>
    <x v="16"/>
    <x v="99"/>
    <m/>
    <s v="9999"/>
    <s v="Gam"/>
    <s v="3007"/>
    <s v="UN Peace Building Fund (PBF) - The Gambia 01/2023-12/2025"/>
  </r>
  <r>
    <x v="12"/>
    <s v="Rental Halls / Convention Center"/>
    <s v="venue hire"/>
    <s v="JV-MP012324-1"/>
    <x v="16"/>
    <x v="100"/>
    <m/>
    <s v="9999"/>
    <s v="Gam"/>
    <s v="3007"/>
    <s v="UN Peace Building Fund (PBF) - The Gambia 01/2023-12/2025"/>
  </r>
  <r>
    <x v="4"/>
    <s v="Wages - International - Full Time"/>
    <s v="Salary December 2023 -Program Assistant"/>
    <s v="JV-MP012324-1"/>
    <x v="16"/>
    <x v="101"/>
    <m/>
    <s v="9999"/>
    <s v="Gam"/>
    <s v="3007"/>
    <s v="UN Peace Building Fund (PBF) - The Gambia 01/2023-12/2025"/>
  </r>
  <r>
    <x v="10"/>
    <s v="Consultants"/>
    <s v="Trainers' fees"/>
    <s v="JV-MP012324-1"/>
    <x v="16"/>
    <x v="91"/>
    <m/>
    <s v="9999"/>
    <s v="Gam"/>
    <s v="3007"/>
    <s v="UN Peace Building Fund (PBF) - The Gambia 01/2023-12/2025"/>
  </r>
  <r>
    <x v="6"/>
    <s v="Office Supplies / Materials"/>
    <s v="Staionery"/>
    <s v="JV-MP012324-1"/>
    <x v="16"/>
    <x v="102"/>
    <m/>
    <s v="9999"/>
    <s v="Gam"/>
    <s v="3007"/>
    <s v="UN Peace Building Fund (PBF) - The Gambia 01/2023-12/2025"/>
  </r>
  <r>
    <x v="6"/>
    <s v="Office Supplies / Materials"/>
    <s v="Water Refill Qty 4"/>
    <s v="JV-MP012324-1"/>
    <x v="16"/>
    <x v="103"/>
    <m/>
    <s v="9999"/>
    <s v="Gam"/>
    <s v="3007"/>
    <s v="UN Peace Building Fund (PBF) - The Gambia 01/2023-12/2025"/>
  </r>
  <r>
    <x v="6"/>
    <s v="Office Supplies / Materials"/>
    <s v="Ovaltine"/>
    <s v="JV-MP012324-1"/>
    <x v="16"/>
    <x v="104"/>
    <m/>
    <s v="9999"/>
    <s v="Gam"/>
    <s v="3007"/>
    <s v="UN Peace Building Fund (PBF) - The Gambia 01/2023-12/2025"/>
  </r>
  <r>
    <x v="6"/>
    <s v="Office Supplies / Materials"/>
    <s v="Shopping Bag"/>
    <s v="JV-MP012324-1"/>
    <x v="16"/>
    <x v="105"/>
    <m/>
    <s v="9999"/>
    <s v="Gam"/>
    <s v="3007"/>
    <s v="UN Peace Building Fund (PBF) - The Gambia 01/2023-12/2025"/>
  </r>
  <r>
    <x v="14"/>
    <s v="Telephone &amp; Internet Access"/>
    <s v="Credit Airtime for Head of Programs"/>
    <s v="JV-MP012324-1"/>
    <x v="16"/>
    <x v="106"/>
    <m/>
    <s v="9999"/>
    <s v="Gam"/>
    <s v="3007"/>
    <s v="UN Peace Building Fund (PBF) - The Gambia 01/2023-12/2025"/>
  </r>
  <r>
    <x v="10"/>
    <s v="Consultants"/>
    <s v="JANUARY 2024 - PROFESSIONAL SERVICE   - HEAD OF PROGRAM - THE GAMBIA  - D GBERY"/>
    <s v="cv012424"/>
    <x v="17"/>
    <x v="107"/>
    <m/>
    <s v="9999"/>
    <s v="Gam"/>
    <s v="3007"/>
    <s v="UN Peace Building Fund (PBF) - The Gambia 01/2023-12/2025"/>
  </r>
  <r>
    <x v="1"/>
    <s v="Salary &amp; Fringes Fund Allocation"/>
    <s v="Ladisch, Virginie"/>
    <s v="JV-JS013124 Sal Alloc"/>
    <x v="18"/>
    <x v="31"/>
    <m/>
    <s v="9999"/>
    <s v="9999"/>
    <s v="3007"/>
    <s v="UN Peace Building Fund (PBF) - The Gambia 01/2023-12/2025"/>
  </r>
  <r>
    <x v="1"/>
    <s v="Salary &amp; Fringes Fund Allocation"/>
    <s v="Porciuncula, Mateo"/>
    <s v="JV-JS013124 Sal Alloc"/>
    <x v="18"/>
    <x v="3"/>
    <m/>
    <s v="9999"/>
    <s v="9999"/>
    <s v="3007"/>
    <s v="UN Peace Building Fund (PBF) - The Gambia 01/2023-12/2025"/>
  </r>
  <r>
    <x v="1"/>
    <s v="Salary &amp; Fringes Fund Allocation"/>
    <s v="Roccatello, Anna Myriam"/>
    <s v="JV-JS013124 Sal Alloc"/>
    <x v="18"/>
    <x v="4"/>
    <m/>
    <s v="9999"/>
    <s v="9999"/>
    <s v="3007"/>
    <s v="UN Peace Building Fund (PBF) - The Gambia 01/2023-12/2025"/>
  </r>
  <r>
    <x v="4"/>
    <s v="Wages - International - Full Time"/>
    <s v="Salary January 2024 -Programs Assistant"/>
    <s v="JV-MP021424"/>
    <x v="18"/>
    <x v="108"/>
    <m/>
    <s v="9999"/>
    <s v="Gam"/>
    <s v="3007"/>
    <s v="UN Peace Building Fund (PBF) - The Gambia 01/2023-12/2025"/>
  </r>
  <r>
    <x v="10"/>
    <s v="Consultants"/>
    <s v="Fees for Trainers"/>
    <s v="JV-MP021424"/>
    <x v="18"/>
    <x v="109"/>
    <m/>
    <s v="9999"/>
    <s v="Gam"/>
    <s v="3007"/>
    <s v="UN Peace Building Fund (PBF) - The Gambia 01/2023-12/2025"/>
  </r>
  <r>
    <x v="14"/>
    <s v="Telephone &amp; Internet Access"/>
    <s v="Monthly Data for Legal Consultant for Jan-24"/>
    <s v="JV-MP021424"/>
    <x v="18"/>
    <x v="110"/>
    <m/>
    <s v="9999"/>
    <s v="Gam"/>
    <s v="3007"/>
    <s v="UN Peace Building Fund (PBF) - The Gambia 01/2023-12/2025"/>
  </r>
  <r>
    <x v="14"/>
    <s v="Telephone &amp; Internet Access"/>
    <s v="Credit Airtime for Head of Programs"/>
    <s v="JV-MP021424"/>
    <x v="18"/>
    <x v="111"/>
    <m/>
    <s v="9999"/>
    <s v="Gam"/>
    <s v="3007"/>
    <s v="UN Peace Building Fund (PBF) - The Gambia 01/2023-12/2025"/>
  </r>
  <r>
    <x v="14"/>
    <s v="Telephone &amp; Internet Access"/>
    <s v="Credit Airtime for Gender Consultant"/>
    <s v="JV-MP021424"/>
    <x v="18"/>
    <x v="110"/>
    <m/>
    <s v="9999"/>
    <s v="Gam"/>
    <s v="3007"/>
    <s v="UN Peace Building Fund (PBF) - The Gambia 01/2023-12/2025"/>
  </r>
  <r>
    <x v="14"/>
    <s v="Telephone &amp; Internet Access"/>
    <s v="Credit Airtime for Program Assistant"/>
    <s v="JV-MP021424"/>
    <x v="18"/>
    <x v="112"/>
    <m/>
    <s v="9999"/>
    <s v="Gam"/>
    <s v="3007"/>
    <s v="UN Peace Building Fund (PBF) - The Gambia 01/2023-12/2025"/>
  </r>
  <r>
    <x v="14"/>
    <s v="Telephone &amp; Internet Access"/>
    <s v="Credit Airtime for Finance Officer"/>
    <s v="JV-MP021424"/>
    <x v="18"/>
    <x v="112"/>
    <m/>
    <s v="9999"/>
    <s v="Gam"/>
    <s v="3007"/>
    <s v="UN Peace Building Fund (PBF) - The Gambia 01/2023-12/2025"/>
  </r>
  <r>
    <x v="14"/>
    <s v="Telephone &amp; Internet Access"/>
    <s v="Office Line 2 Internet Subscription"/>
    <s v="JV-MP021424"/>
    <x v="18"/>
    <x v="113"/>
    <m/>
    <s v="9999"/>
    <s v="Gam"/>
    <s v="3007"/>
    <s v="UN Peace Building Fund (PBF) - The Gambia 01/2023-12/2025"/>
  </r>
  <r>
    <x v="14"/>
    <s v="Telephone &amp; Internet Access"/>
    <s v="Mobile Credit for Calls (Mobilization)"/>
    <s v="JV-MP021424"/>
    <x v="18"/>
    <x v="114"/>
    <m/>
    <s v="9999"/>
    <s v="Gam"/>
    <s v="3007"/>
    <s v="UN Peace Building Fund (PBF) - The Gambia 01/2023-12/2025"/>
  </r>
  <r>
    <x v="6"/>
    <s v="Office Supplies / Materials"/>
    <s v="Newspaper Subscription Monthly Payment"/>
    <s v="JV-MP021424"/>
    <x v="18"/>
    <x v="115"/>
    <m/>
    <s v="9999"/>
    <s v="Gam"/>
    <s v="3007"/>
    <s v="UN Peace Building Fund (PBF) - The Gambia 01/2023-12/2025"/>
  </r>
  <r>
    <x v="6"/>
    <s v="Office Supplies / Materials"/>
    <s v="Nido Milk Qty 1"/>
    <s v="JV-MP021424"/>
    <x v="18"/>
    <x v="116"/>
    <m/>
    <s v="9999"/>
    <s v="Gam"/>
    <s v="3007"/>
    <s v="UN Peace Building Fund (PBF) - The Gambia 01/2023-12/2025"/>
  </r>
  <r>
    <x v="6"/>
    <s v="Office Supplies / Materials"/>
    <s v="Coffee Qty 1"/>
    <s v="JV-MP021424"/>
    <x v="18"/>
    <x v="117"/>
    <m/>
    <s v="9999"/>
    <s v="Gam"/>
    <s v="3007"/>
    <s v="UN Peace Building Fund (PBF) - The Gambia 01/2023-12/2025"/>
  </r>
  <r>
    <x v="6"/>
    <s v="Office Supplies / Materials"/>
    <s v="Water Refill Qty 4"/>
    <s v="JV-MP021424"/>
    <x v="18"/>
    <x v="118"/>
    <m/>
    <s v="9999"/>
    <s v="Gam"/>
    <s v="3007"/>
    <s v="UN Peace Building Fund (PBF) - The Gambia 01/2023-12/2025"/>
  </r>
  <r>
    <x v="6"/>
    <s v="Office Supplies / Materials"/>
    <s v="Sugar Cubes Qty 2"/>
    <s v="JV-MP021424"/>
    <x v="18"/>
    <x v="119"/>
    <m/>
    <s v="9999"/>
    <s v="Gam"/>
    <s v="3007"/>
    <s v="UN Peace Building Fund (PBF) - The Gambia 01/2023-12/2025"/>
  </r>
  <r>
    <x v="6"/>
    <s v="Office Supplies / Materials"/>
    <s v="NAWEC Cash Power December"/>
    <s v="JV-MP021424"/>
    <x v="18"/>
    <x v="120"/>
    <m/>
    <s v="9999"/>
    <s v="Gam"/>
    <s v="3007"/>
    <s v="UN Peace Building Fund (PBF) - The Gambia 01/2023-12/2025"/>
  </r>
  <r>
    <x v="6"/>
    <s v="Office Supplies / Materials"/>
    <s v="Bleach"/>
    <s v="JV-MP021424"/>
    <x v="18"/>
    <x v="121"/>
    <m/>
    <s v="9999"/>
    <s v="Gam"/>
    <s v="3007"/>
    <s v="UN Peace Building Fund (PBF) - The Gambia 01/2023-12/2025"/>
  </r>
  <r>
    <x v="6"/>
    <s v="Office Supplies / Materials"/>
    <s v="Shopping Bag"/>
    <s v="JV-MP021424"/>
    <x v="18"/>
    <x v="105"/>
    <m/>
    <s v="9999"/>
    <s v="Gam"/>
    <s v="3007"/>
    <s v="UN Peace Building Fund (PBF) - The Gambia 01/2023-12/2025"/>
  </r>
  <r>
    <x v="21"/>
    <s v="Media Outreach / Publicity"/>
    <s v="T-Shirts &amp; Banner PMT  for P-P Dialogue to Unique Graphics"/>
    <s v="JV-MP021424"/>
    <x v="18"/>
    <x v="122"/>
    <m/>
    <s v="9999"/>
    <s v="Gam"/>
    <s v="3007"/>
    <s v="UN Peace Building Fund (PBF) - The Gambia 01/2023-12/2025"/>
  </r>
  <r>
    <x v="12"/>
    <s v="Rental Halls / Convention Center"/>
    <s v="Venue"/>
    <s v="JV-MP021424"/>
    <x v="18"/>
    <x v="123"/>
    <m/>
    <s v="9999"/>
    <s v="Gam"/>
    <s v="3007"/>
    <s v="UN Peace Building Fund (PBF) - The Gambia 01/2023-12/2025"/>
  </r>
  <r>
    <x v="8"/>
    <s v="Meals &amp; Per Diem"/>
    <s v="Food and Refreshment for two days"/>
    <s v="JV-MP021424"/>
    <x v="18"/>
    <x v="124"/>
    <m/>
    <s v="9999"/>
    <s v="Gam"/>
    <s v="3007"/>
    <s v="UN Peace Building Fund (PBF) - The Gambia 01/2023-12/2025"/>
  </r>
  <r>
    <x v="8"/>
    <s v="Meals &amp; Per Diem"/>
    <s v="DSA for Hop for UNPBF P-P Dialogue in Basse"/>
    <s v="JV-MP021424"/>
    <x v="18"/>
    <x v="120"/>
    <m/>
    <s v="9999"/>
    <s v="Gam"/>
    <s v="3007"/>
    <s v="UN Peace Building Fund (PBF) - The Gambia 01/2023-12/2025"/>
  </r>
  <r>
    <x v="8"/>
    <s v="Meals &amp; Per Diem"/>
    <s v="DSA for FO for UNPBF P-P Dialogue in Basse"/>
    <s v="JV-MP021424"/>
    <x v="18"/>
    <x v="120"/>
    <m/>
    <s v="9999"/>
    <s v="Gam"/>
    <s v="3007"/>
    <s v="UN Peace Building Fund (PBF) - The Gambia 01/2023-12/2025"/>
  </r>
  <r>
    <x v="3"/>
    <s v="Ground (Car/Mileage, Rail, Taxi/Shuttle)"/>
    <s v="Transport Refund Invited Guest (NGO Affairs)"/>
    <s v="JV-MP021424"/>
    <x v="18"/>
    <x v="114"/>
    <m/>
    <s v="9999"/>
    <s v="Gam"/>
    <s v="3007"/>
    <s v="UN Peace Building Fund (PBF) - The Gambia 01/2023-12/2025"/>
  </r>
  <r>
    <x v="3"/>
    <s v="Ground (Car/Mileage, Rail, Taxi/Shuttle)"/>
    <s v="Taxi Service for Transportation"/>
    <s v="JV-MP021424"/>
    <x v="18"/>
    <x v="114"/>
    <m/>
    <s v="9999"/>
    <s v="Gam"/>
    <s v="3007"/>
    <s v="UN Peace Building Fund (PBF) - The Gambia 01/2023-12/2025"/>
  </r>
  <r>
    <x v="3"/>
    <s v="Ground (Car/Mileage, Rail, Taxi/Shuttle)"/>
    <s v="Transport Refund for Participants and Peer trainers"/>
    <s v="JV-MP021424"/>
    <x v="18"/>
    <x v="125"/>
    <m/>
    <s v="9999"/>
    <s v="Gam"/>
    <s v="3007"/>
    <s v="UN Peace Building Fund (PBF) - The Gambia 01/2023-12/2025"/>
  </r>
  <r>
    <x v="3"/>
    <s v="Ground (Car/Mileage, Rail, Taxi/Shuttle)"/>
    <s v="Fuel for HOP"/>
    <s v="JV-MP021424"/>
    <x v="18"/>
    <x v="120"/>
    <m/>
    <s v="9999"/>
    <s v="Gam"/>
    <s v="3007"/>
    <s v="UN Peace Building Fund (PBF) - The Gambia 01/2023-12/2025"/>
  </r>
  <r>
    <x v="3"/>
    <s v="Ground (Car/Mileage, Rail, Taxi/Shuttle)"/>
    <s v="DSA for team"/>
    <s v="JV-MP021424"/>
    <x v="18"/>
    <x v="126"/>
    <m/>
    <s v="9999"/>
    <s v="Gam"/>
    <s v="3007"/>
    <s v="UN Peace Building Fund (PBF) - The Gambia 01/2023-12/2025"/>
  </r>
  <r>
    <x v="3"/>
    <s v="Ground (Car/Mileage, Rail, Taxi/Shuttle)"/>
    <s v="Vehicle Hire-UNPBF P-P Dialogue to Afriqcars Motors"/>
    <s v="JV-MP021424"/>
    <x v="18"/>
    <x v="127"/>
    <m/>
    <s v="9999"/>
    <s v="Gam"/>
    <s v="3007"/>
    <s v="UN Peace Building Fund (PBF) - The Gambia 01/2023-12/2025"/>
  </r>
  <r>
    <x v="3"/>
    <s v="Ground (Car/Mileage, Rail, Taxi/Shuttle)"/>
    <s v="Taxi Hire, meals for Monitoting of TWY &amp; ONOV by Program Ass"/>
    <s v="JV-MP021424"/>
    <x v="18"/>
    <x v="128"/>
    <m/>
    <s v="9999"/>
    <s v="Gam"/>
    <s v="3007"/>
    <s v="UN Peace Building Fund (PBF) - The Gambia 01/2023-12/2025"/>
  </r>
  <r>
    <x v="1"/>
    <s v="Salary &amp; Fringes Fund Allocation"/>
    <s v="Ladisch, Virginie"/>
    <s v="JV-JS022924 Sal Alloc"/>
    <x v="19"/>
    <x v="31"/>
    <m/>
    <s v="9999"/>
    <s v="9999"/>
    <s v="3007"/>
    <s v="UN Peace Building Fund (PBF) - The Gambia 01/2023-12/2025"/>
  </r>
  <r>
    <x v="1"/>
    <s v="Salary &amp; Fringes Fund Allocation"/>
    <s v="Porciuncula, Mateo"/>
    <s v="JV-JS022924 Sal Alloc"/>
    <x v="19"/>
    <x v="3"/>
    <m/>
    <s v="9999"/>
    <s v="9999"/>
    <s v="3007"/>
    <s v="UN Peace Building Fund (PBF) - The Gambia 01/2023-12/2025"/>
  </r>
  <r>
    <x v="1"/>
    <s v="Salary &amp; Fringes Fund Allocation"/>
    <s v="Roccatello, Anna Myriam"/>
    <s v="JV-JS022924 Sal Alloc"/>
    <x v="19"/>
    <x v="4"/>
    <m/>
    <s v="9999"/>
    <s v="9999"/>
    <s v="3007"/>
    <s v="UN Peace Building Fund (PBF) - The Gambia 01/2023-12/2025"/>
  </r>
  <r>
    <x v="4"/>
    <s v="Wages - International - Full Time"/>
    <s v="Salary February 2024 -Finance Officer 48%"/>
    <s v="JV-MP031224"/>
    <x v="19"/>
    <x v="129"/>
    <m/>
    <s v="9999"/>
    <s v="Gam"/>
    <s v="3007"/>
    <s v="UN Peace Building Fund (PBF) - The Gambia 01/2023-12/2025"/>
  </r>
  <r>
    <x v="4"/>
    <s v="Wages - International - Full Time"/>
    <s v="Salary February 2024 -Gender Consultant"/>
    <s v="JV-MP031224"/>
    <x v="19"/>
    <x v="130"/>
    <m/>
    <s v="9999"/>
    <s v="Gam"/>
    <s v="3007"/>
    <s v="UN Peace Building Fund (PBF) - The Gambia 01/2023-12/2025"/>
  </r>
  <r>
    <x v="4"/>
    <s v="Wages - International - Full Time"/>
    <s v="Salary February 2024 -Programs Assistant"/>
    <s v="JV-MP031224"/>
    <x v="19"/>
    <x v="131"/>
    <m/>
    <s v="9999"/>
    <s v="Gam"/>
    <s v="3007"/>
    <s v="UN Peace Building Fund (PBF) - The Gambia 01/2023-12/2025"/>
  </r>
  <r>
    <x v="6"/>
    <s v="Office Supplies / Materials"/>
    <s v="Nido Milk Qty 1"/>
    <s v="JV-MP031224"/>
    <x v="19"/>
    <x v="132"/>
    <m/>
    <s v="9999"/>
    <s v="Gam"/>
    <s v="3007"/>
    <s v="UN Peace Building Fund (PBF) - The Gambia 01/2023-12/2025"/>
  </r>
  <r>
    <x v="6"/>
    <s v="Office Supplies / Materials"/>
    <s v="Coffee Qty 1"/>
    <s v="JV-MP031224"/>
    <x v="19"/>
    <x v="133"/>
    <m/>
    <s v="9999"/>
    <s v="Gam"/>
    <s v="3007"/>
    <s v="UN Peace Building Fund (PBF) - The Gambia 01/2023-12/2025"/>
  </r>
  <r>
    <x v="6"/>
    <s v="Office Supplies / Materials"/>
    <s v="Water Refill Qty 4"/>
    <s v="JV-MP031224"/>
    <x v="19"/>
    <x v="134"/>
    <m/>
    <s v="9999"/>
    <s v="Gam"/>
    <s v="3007"/>
    <s v="UN Peace Building Fund (PBF) - The Gambia 01/2023-12/2025"/>
  </r>
  <r>
    <x v="6"/>
    <s v="Office Supplies / Materials"/>
    <s v="NAWEC Cash Power December"/>
    <s v="JV-MP031224"/>
    <x v="19"/>
    <x v="135"/>
    <m/>
    <s v="9999"/>
    <s v="Gam"/>
    <s v="3007"/>
    <s v="UN Peace Building Fund (PBF) - The Gambia 01/2023-12/2025"/>
  </r>
  <r>
    <x v="6"/>
    <s v="Office Supplies / Materials"/>
    <s v="Shopping Bag"/>
    <s v="JV-MP031224"/>
    <x v="19"/>
    <x v="105"/>
    <m/>
    <s v="9999"/>
    <s v="Gam"/>
    <s v="3007"/>
    <s v="UN Peace Building Fund (PBF) - The Gambia 01/2023-12/2025"/>
  </r>
  <r>
    <x v="6"/>
    <s v="Office Supplies / Materials"/>
    <s v="Stapling Manchine"/>
    <s v="JV-MP031224"/>
    <x v="19"/>
    <x v="136"/>
    <m/>
    <s v="9999"/>
    <s v="Gam"/>
    <s v="3007"/>
    <s v="UN Peace Building Fund (PBF) - The Gambia 01/2023-12/2025"/>
  </r>
  <r>
    <x v="6"/>
    <s v="Office Supplies / Materials"/>
    <s v="Led Bulb 2"/>
    <s v="JV-MP031224"/>
    <x v="19"/>
    <x v="137"/>
    <m/>
    <s v="9999"/>
    <s v="Gam"/>
    <s v="3007"/>
    <s v="UN Peace Building Fund (PBF) - The Gambia 01/2023-12/2025"/>
  </r>
  <r>
    <x v="6"/>
    <s v="Office Supplies / Materials"/>
    <s v="Toilet Roll Qty 1 bag"/>
    <s v="JV-MP031224"/>
    <x v="19"/>
    <x v="138"/>
    <m/>
    <s v="9999"/>
    <s v="Gam"/>
    <s v="3007"/>
    <s v="UN Peace Building Fund (PBF) - The Gambia 01/2023-12/2025"/>
  </r>
  <r>
    <x v="6"/>
    <s v="Office Supplies / Materials"/>
    <s v="Mugs and Spoon"/>
    <s v="JV-MP031224"/>
    <x v="19"/>
    <x v="139"/>
    <m/>
    <s v="9999"/>
    <s v="Gam"/>
    <s v="3007"/>
    <s v="UN Peace Building Fund (PBF) - The Gambia 01/2023-12/2025"/>
  </r>
  <r>
    <x v="6"/>
    <s v="Office Supplies / Materials"/>
    <s v="Short broom and Dustpan"/>
    <s v="JV-MP031224"/>
    <x v="19"/>
    <x v="140"/>
    <m/>
    <s v="9999"/>
    <s v="Gam"/>
    <s v="3007"/>
    <s v="UN Peace Building Fund (PBF) - The Gambia 01/2023-12/2025"/>
  </r>
  <r>
    <x v="6"/>
    <s v="Office Supplies / Materials"/>
    <s v="A4 Paper Box Qty 2"/>
    <s v="JV-MP031224"/>
    <x v="19"/>
    <x v="141"/>
    <m/>
    <s v="9999"/>
    <s v="Gam"/>
    <s v="3007"/>
    <s v="UN Peace Building Fund (PBF) - The Gambia 01/2023-12/2025"/>
  </r>
  <r>
    <x v="6"/>
    <s v="Office Supplies / Materials"/>
    <s v="Higlighter Pen"/>
    <s v="JV-MP031224"/>
    <x v="19"/>
    <x v="142"/>
    <m/>
    <s v="9999"/>
    <s v="Gam"/>
    <s v="3007"/>
    <s v="UN Peace Building Fund (PBF) - The Gambia 01/2023-12/2025"/>
  </r>
  <r>
    <x v="6"/>
    <s v="Office Supplies / Materials"/>
    <s v="Air Freshner for  Office Qty 3"/>
    <s v="JV-MP031224"/>
    <x v="19"/>
    <x v="143"/>
    <m/>
    <s v="9999"/>
    <s v="Gam"/>
    <s v="3007"/>
    <s v="UN Peace Building Fund (PBF) - The Gambia 01/2023-12/2025"/>
  </r>
  <r>
    <x v="6"/>
    <s v="Office Supplies / Materials"/>
    <s v="Hand Wash"/>
    <s v="JV-MP031224"/>
    <x v="19"/>
    <x v="144"/>
    <m/>
    <s v="9999"/>
    <s v="Gam"/>
    <s v="3007"/>
    <s v="UN Peace Building Fund (PBF) - The Gambia 01/2023-12/2025"/>
  </r>
  <r>
    <x v="6"/>
    <s v="Office Supplies / Materials"/>
    <s v="Bleach Qty 1"/>
    <s v="JV-MP031224"/>
    <x v="19"/>
    <x v="134"/>
    <m/>
    <s v="9999"/>
    <s v="Gam"/>
    <s v="3007"/>
    <s v="UN Peace Building Fund (PBF) - The Gambia 01/2023-12/2025"/>
  </r>
  <r>
    <x v="6"/>
    <s v="Office Supplies / Materials"/>
    <s v="Newspaper Subscription Monthly Payment"/>
    <s v="JV-MP031224"/>
    <x v="19"/>
    <x v="145"/>
    <m/>
    <s v="9999"/>
    <s v="Gam"/>
    <s v="3007"/>
    <s v="UN Peace Building Fund (PBF) - The Gambia 01/2023-12/2025"/>
  </r>
  <r>
    <x v="14"/>
    <s v="Telephone &amp; Internet Access"/>
    <s v="Credit Airtime for Head of Programs"/>
    <s v="JV-MP031224"/>
    <x v="19"/>
    <x v="146"/>
    <m/>
    <s v="9999"/>
    <s v="Gam"/>
    <s v="3007"/>
    <s v="UN Peace Building Fund (PBF) - The Gambia 01/2023-12/2025"/>
  </r>
  <r>
    <x v="14"/>
    <s v="Telephone &amp; Internet Access"/>
    <s v="Credit Airtime for Gender Consultant"/>
    <s v="JV-MP031224"/>
    <x v="19"/>
    <x v="147"/>
    <m/>
    <s v="9999"/>
    <s v="Gam"/>
    <s v="3007"/>
    <s v="UN Peace Building Fund (PBF) - The Gambia 01/2023-12/2025"/>
  </r>
  <r>
    <x v="14"/>
    <s v="Telephone &amp; Internet Access"/>
    <s v="Credit Airtime for Legal Consultant"/>
    <s v="JV-MP031224"/>
    <x v="19"/>
    <x v="147"/>
    <m/>
    <s v="9999"/>
    <s v="Gam"/>
    <s v="3007"/>
    <s v="UN Peace Building Fund (PBF) - The Gambia 01/2023-12/2025"/>
  </r>
  <r>
    <x v="14"/>
    <s v="Telephone &amp; Internet Access"/>
    <s v="Credit Airtime for Program Assistant"/>
    <s v="JV-MP031224"/>
    <x v="19"/>
    <x v="148"/>
    <m/>
    <s v="9999"/>
    <s v="Gam"/>
    <s v="3007"/>
    <s v="UN Peace Building Fund (PBF) - The Gambia 01/2023-12/2025"/>
  </r>
  <r>
    <x v="14"/>
    <s v="Telephone &amp; Internet Access"/>
    <s v="Credit Airtime for Finance Officer"/>
    <s v="JV-MP031224"/>
    <x v="19"/>
    <x v="148"/>
    <m/>
    <s v="9999"/>
    <s v="Gam"/>
    <s v="3007"/>
    <s v="UN Peace Building Fund (PBF) - The Gambia 01/2023-12/2025"/>
  </r>
  <r>
    <x v="3"/>
    <s v="Ground (Car/Mileage, Rail, Taxi/Shuttle)"/>
    <s v="Transport Refund to Participants"/>
    <s v="JV-MP031224"/>
    <x v="19"/>
    <x v="149"/>
    <m/>
    <s v="9999"/>
    <s v="Gam"/>
    <s v="3007"/>
    <s v="UN Peace Building Fund (PBF) - The Gambia 01/2023-12/2025"/>
  </r>
  <r>
    <x v="3"/>
    <s v="Ground (Car/Mileage, Rail, Taxi/Shuttle)"/>
    <s v="Delivery Charges"/>
    <s v="JV-MP031224"/>
    <x v="19"/>
    <x v="136"/>
    <m/>
    <s v="9999"/>
    <s v="Gam"/>
    <s v="3007"/>
    <s v="UN Peace Building Fund (PBF) - The Gambia 01/2023-12/2025"/>
  </r>
  <r>
    <x v="3"/>
    <s v="Ground (Car/Mileage, Rail, Taxi/Shuttle)"/>
    <s v="Taxi Service for Transportation"/>
    <s v="JV-MP031224"/>
    <x v="19"/>
    <x v="150"/>
    <m/>
    <s v="9999"/>
    <s v="Gam"/>
    <s v="3007"/>
    <s v="UN Peace Building Fund (PBF) - The Gambia 01/2023-12/2025"/>
  </r>
  <r>
    <x v="3"/>
    <s v="Ground (Car/Mileage, Rail, Taxi/Shuttle)"/>
    <s v="Transport Refund to Participants"/>
    <s v="JV-MP031224"/>
    <x v="19"/>
    <x v="151"/>
    <m/>
    <s v="9999"/>
    <s v="Gam"/>
    <s v="3007"/>
    <s v="UN Peace Building Fund (PBF) - The Gambia 01/2023-12/2025"/>
  </r>
  <r>
    <x v="3"/>
    <s v="Ground (Car/Mileage, Rail, Taxi/Shuttle)"/>
    <s v="Delivery Charges"/>
    <s v="JV-MP031224"/>
    <x v="19"/>
    <x v="136"/>
    <m/>
    <s v="9999"/>
    <s v="Gam"/>
    <s v="3007"/>
    <s v="UN Peace Building Fund (PBF) - The Gambia 01/2023-12/2025"/>
  </r>
  <r>
    <x v="8"/>
    <s v="Meals &amp; Per Diem"/>
    <s v="Snacks and Soft Drinks"/>
    <s v="JV-MP031224"/>
    <x v="19"/>
    <x v="152"/>
    <m/>
    <s v="9999"/>
    <s v="Gam"/>
    <s v="3007"/>
    <s v="UN Peace Building Fund (PBF) - The Gambia 01/2023-12/2025"/>
  </r>
  <r>
    <x v="8"/>
    <s v="Meals &amp; Per Diem"/>
    <s v="Snacks for Participants"/>
    <s v="JV-MP031224"/>
    <x v="19"/>
    <x v="153"/>
    <m/>
    <s v="9999"/>
    <s v="Gam"/>
    <s v="3007"/>
    <s v="UN Peace Building Fund (PBF) - The Gambia 01/2023-12/2025"/>
  </r>
  <r>
    <x v="10"/>
    <s v="Consultants"/>
    <s v="PAYMENT FOR PROFESSIONAL SERVICE - HEAD OF PROGRAM THE GAMBIA /HEALTH (FEBRUARY 2024) - D GBERY"/>
    <s v="cv032524"/>
    <x v="20"/>
    <x v="70"/>
    <m/>
    <s v="9999"/>
    <s v="Gam"/>
    <s v="3007"/>
    <s v="UN Peace Building Fund (PBF) - The Gambia 01/2023-12/2025"/>
  </r>
  <r>
    <x v="16"/>
    <s v="Grants / Subcontracts Awarded"/>
    <s v="UNPBF Sub-Grant to PAG"/>
    <s v="JV-MP041024"/>
    <x v="21"/>
    <x v="154"/>
    <m/>
    <s v=""/>
    <s v=""/>
    <s v="3007"/>
    <s v="UN Peace Building Fund (PBF) - The Gambia 01/2023-12/2025"/>
  </r>
  <r>
    <x v="16"/>
    <s v="Grants / Subcontracts Awarded"/>
    <s v="UNPBF Sub-Grant to FANTANKA"/>
    <s v="JV-MP041024"/>
    <x v="21"/>
    <x v="155"/>
    <m/>
    <s v=""/>
    <s v=""/>
    <s v="3007"/>
    <s v="UN Peace Building Fund (PBF) - The Gambia 01/2023-12/2025"/>
  </r>
  <r>
    <x v="16"/>
    <s v="Grants / Subcontracts Awarded"/>
    <s v="UNPBF Sub-Grant to ONOV"/>
    <s v="JV-MP041024"/>
    <x v="21"/>
    <x v="156"/>
    <m/>
    <s v=""/>
    <s v=""/>
    <s v="3007"/>
    <s v="UN Peace Building Fund (PBF) - The Gambia 01/2023-12/2025"/>
  </r>
  <r>
    <x v="16"/>
    <s v="Grants / Subcontracts Awarded"/>
    <s v="UNPBF Sub-Grant to TYW"/>
    <s v="JV-MP041024"/>
    <x v="21"/>
    <x v="157"/>
    <m/>
    <s v=""/>
    <s v=""/>
    <s v="3007"/>
    <s v="UN Peace Building Fund (PBF) - The Gambia 01/2023-12/2025"/>
  </r>
  <r>
    <x v="1"/>
    <s v="Salary &amp; Fringes Fund Allocation"/>
    <s v="Ladisch, Virginie"/>
    <s v="JV-JS033124 Sal Alloc"/>
    <x v="21"/>
    <x v="31"/>
    <m/>
    <s v="9999"/>
    <s v="9999"/>
    <s v="3007"/>
    <s v="UN Peace Building Fund (PBF) - The Gambia 01/2023-12/2025"/>
  </r>
  <r>
    <x v="1"/>
    <s v="Salary &amp; Fringes Fund Allocation"/>
    <s v="Porciuncula, Mateo"/>
    <s v="JV-JS033124 Sal Alloc"/>
    <x v="21"/>
    <x v="3"/>
    <m/>
    <s v="9999"/>
    <s v="9999"/>
    <s v="3007"/>
    <s v="UN Peace Building Fund (PBF) - The Gambia 01/2023-12/2025"/>
  </r>
  <r>
    <x v="1"/>
    <s v="Salary &amp; Fringes Fund Allocation"/>
    <s v="Roccatello, Anna Myriam"/>
    <s v="JV-JS033124 Sal Alloc"/>
    <x v="21"/>
    <x v="4"/>
    <m/>
    <s v="9999"/>
    <s v="9999"/>
    <s v="3007"/>
    <s v="UN Peace Building Fund (PBF) - The Gambia 01/2023-12/2025"/>
  </r>
  <r>
    <x v="4"/>
    <s v="Wages - International - Full Time"/>
    <s v="Salary March 2024 -Programs Assistant"/>
    <s v="JV-MP041024"/>
    <x v="21"/>
    <x v="158"/>
    <m/>
    <s v="9999"/>
    <s v="Gam"/>
    <s v="3007"/>
    <s v="UN Peace Building Fund (PBF) - The Gambia 01/2023-12/2025"/>
  </r>
  <r>
    <x v="4"/>
    <s v="Wages - International - Full Time"/>
    <s v="Salary March 2024 -Finance Officer"/>
    <s v="JV-MP041024"/>
    <x v="21"/>
    <x v="159"/>
    <m/>
    <s v="9999"/>
    <s v="Gam"/>
    <s v="3007"/>
    <s v="UN Peace Building Fund (PBF) - The Gambia 01/2023-12/2025"/>
  </r>
  <r>
    <x v="4"/>
    <s v="Wages - International - Full Time"/>
    <s v="Salary March 2024 -Gender Consultant"/>
    <s v="JV-MP041024"/>
    <x v="21"/>
    <x v="160"/>
    <m/>
    <s v="9999"/>
    <s v="Gam"/>
    <s v="3007"/>
    <s v="UN Peace Building Fund (PBF) - The Gambia 01/2023-12/2025"/>
  </r>
  <r>
    <x v="6"/>
    <s v="Office Supplies / Materials"/>
    <s v="Nido Milk Qty 1"/>
    <s v="JV-MP041024"/>
    <x v="21"/>
    <x v="132"/>
    <m/>
    <s v="9999"/>
    <s v="Gam"/>
    <s v="3007"/>
    <s v="UN Peace Building Fund (PBF) - The Gambia 01/2023-12/2025"/>
  </r>
  <r>
    <x v="6"/>
    <s v="Office Supplies / Materials"/>
    <s v="Coffee Qty 1"/>
    <s v="JV-MP041024"/>
    <x v="21"/>
    <x v="161"/>
    <m/>
    <s v="9999"/>
    <s v="Gam"/>
    <s v="3007"/>
    <s v="UN Peace Building Fund (PBF) - The Gambia 01/2023-12/2025"/>
  </r>
  <r>
    <x v="6"/>
    <s v="Office Supplies / Materials"/>
    <s v="Water Refill Qty 4"/>
    <s v="JV-MP041024"/>
    <x v="21"/>
    <x v="134"/>
    <m/>
    <s v="9999"/>
    <s v="Gam"/>
    <s v="3007"/>
    <s v="UN Peace Building Fund (PBF) - The Gambia 01/2023-12/2025"/>
  </r>
  <r>
    <x v="6"/>
    <s v="Office Supplies / Materials"/>
    <s v="NAWEC Cash Power-March"/>
    <s v="JV-MP041024"/>
    <x v="21"/>
    <x v="162"/>
    <m/>
    <s v="9999"/>
    <s v="Gam"/>
    <s v="3007"/>
    <s v="UN Peace Building Fund (PBF) - The Gambia 01/2023-12/2025"/>
  </r>
  <r>
    <x v="6"/>
    <s v="Office Supplies / Materials"/>
    <s v="Shopping Bag"/>
    <s v="JV-MP041024"/>
    <x v="21"/>
    <x v="105"/>
    <m/>
    <s v="9999"/>
    <s v="Gam"/>
    <s v="3007"/>
    <s v="UN Peace Building Fund (PBF) - The Gambia 01/2023-12/2025"/>
  </r>
  <r>
    <x v="6"/>
    <s v="Office Supplies / Materials"/>
    <s v="Sugar Cubes"/>
    <s v="JV-MP041024"/>
    <x v="21"/>
    <x v="163"/>
    <m/>
    <s v="9999"/>
    <s v="Gam"/>
    <s v="3007"/>
    <s v="UN Peace Building Fund (PBF) - The Gambia 01/2023-12/2025"/>
  </r>
  <r>
    <x v="6"/>
    <s v="Office Supplies / Materials"/>
    <s v="Long Broom"/>
    <s v="JV-MP041024"/>
    <x v="21"/>
    <x v="142"/>
    <m/>
    <s v="9999"/>
    <s v="Gam"/>
    <s v="3007"/>
    <s v="UN Peace Building Fund (PBF) - The Gambia 01/2023-12/2025"/>
  </r>
  <r>
    <x v="6"/>
    <s v="Office Supplies / Materials"/>
    <s v="Madar Liquid Soap Qty 2"/>
    <s v="JV-MP041024"/>
    <x v="21"/>
    <x v="164"/>
    <m/>
    <s v="9999"/>
    <s v="Gam"/>
    <s v="3007"/>
    <s v="UN Peace Building Fund (PBF) - The Gambia 01/2023-12/2025"/>
  </r>
  <r>
    <x v="6"/>
    <s v="Office Supplies / Materials"/>
    <s v="Air Freshner for  Office Qty 2"/>
    <s v="JV-MP041024"/>
    <x v="21"/>
    <x v="165"/>
    <m/>
    <s v="9999"/>
    <s v="Gam"/>
    <s v="3007"/>
    <s v="UN Peace Building Fund (PBF) - The Gambia 01/2023-12/2025"/>
  </r>
  <r>
    <x v="6"/>
    <s v="Office Supplies / Materials"/>
    <s v="Bleach Qty 1"/>
    <s v="JV-MP041024"/>
    <x v="21"/>
    <x v="134"/>
    <m/>
    <s v="9999"/>
    <s v="Gam"/>
    <s v="3007"/>
    <s v="UN Peace Building Fund (PBF) - The Gambia 01/2023-12/2025"/>
  </r>
  <r>
    <x v="18"/>
    <s v="Banking / Credit Cards Fee"/>
    <s v="RTGS Charges on funds transfer to PAG"/>
    <s v="JV-MP041024"/>
    <x v="21"/>
    <x v="166"/>
    <m/>
    <s v="9999"/>
    <s v="Gam"/>
    <s v="3007"/>
    <s v="UN Peace Building Fund (PBF) - The Gambia 01/2023-12/2025"/>
  </r>
  <r>
    <x v="18"/>
    <s v="Banking / Credit Cards Fee"/>
    <s v="RTGS Charges on funds transfer to TYW"/>
    <s v="JV-MP041024"/>
    <x v="21"/>
    <x v="166"/>
    <m/>
    <s v="9999"/>
    <s v="Gam"/>
    <s v="3007"/>
    <s v="UN Peace Building Fund (PBF) - The Gambia 01/2023-12/2025"/>
  </r>
  <r>
    <x v="21"/>
    <s v="Media Outreach / Publicity"/>
    <s v="50% pmt for to Yelef for Podcast Production-WP Summary"/>
    <s v="JV-MP041024"/>
    <x v="21"/>
    <x v="167"/>
    <m/>
    <s v="9999"/>
    <s v="Gam"/>
    <s v="3007"/>
    <s v="UN Peace Building Fund (PBF) - The Gambia 01/2023-12/2025"/>
  </r>
  <r>
    <x v="22"/>
    <s v="Subscriptions &amp; Membership Fees"/>
    <s v="Newspaper Subscription Monthly Payment"/>
    <s v="JV-MP041024"/>
    <x v="21"/>
    <x v="150"/>
    <m/>
    <s v="9999"/>
    <s v="Gam"/>
    <s v="3007"/>
    <s v="UN Peace Building Fund (PBF) - The Gambia 01/2023-12/2025"/>
  </r>
  <r>
    <x v="14"/>
    <s v="Telephone &amp; Internet Access"/>
    <s v="Credit Airtime for Head of Programs"/>
    <s v="JV-MP041024"/>
    <x v="21"/>
    <x v="168"/>
    <m/>
    <s v="9999"/>
    <s v="Gam"/>
    <s v="3007"/>
    <s v="UN Peace Building Fund (PBF) - The Gambia 01/2023-12/2025"/>
  </r>
  <r>
    <x v="14"/>
    <s v="Telephone &amp; Internet Access"/>
    <s v="Credit Airtime for Gender Consultant"/>
    <s v="JV-MP041024"/>
    <x v="21"/>
    <x v="169"/>
    <m/>
    <s v="9999"/>
    <s v="Gam"/>
    <s v="3007"/>
    <s v="UN Peace Building Fund (PBF) - The Gambia 01/2023-12/2025"/>
  </r>
  <r>
    <x v="14"/>
    <s v="Telephone &amp; Internet Access"/>
    <s v="Credit Airtime for Legal Consultant"/>
    <s v="JV-MP041024"/>
    <x v="21"/>
    <x v="169"/>
    <m/>
    <s v="9999"/>
    <s v="Gam"/>
    <s v="3007"/>
    <s v="UN Peace Building Fund (PBF) - The Gambia 01/2023-12/2025"/>
  </r>
  <r>
    <x v="14"/>
    <s v="Telephone &amp; Internet Access"/>
    <s v="Credit Airtime for Program Assistant"/>
    <s v="JV-MP041024"/>
    <x v="21"/>
    <x v="170"/>
    <m/>
    <s v="9999"/>
    <s v="Gam"/>
    <s v="3007"/>
    <s v="UN Peace Building Fund (PBF) - The Gambia 01/2023-12/2025"/>
  </r>
  <r>
    <x v="14"/>
    <s v="Telephone &amp; Internet Access"/>
    <s v="Credit Airtime for Finance Officer"/>
    <s v="JV-MP041024"/>
    <x v="21"/>
    <x v="170"/>
    <m/>
    <s v="9999"/>
    <s v="Gam"/>
    <s v="3007"/>
    <s v="UN Peace Building Fund (PBF) - The Gambia 01/2023-12/2025"/>
  </r>
  <r>
    <x v="14"/>
    <s v="Telephone &amp; Internet Access"/>
    <s v="Internet fees for HoP"/>
    <s v="JV-MP041524-1"/>
    <x v="21"/>
    <x v="171"/>
    <m/>
    <s v="9999"/>
    <s v="Gam"/>
    <s v="3007"/>
    <s v="UN Peace Building Fund (PBF) - The Gambia 01/2023-12/2025"/>
  </r>
  <r>
    <x v="3"/>
    <s v="Ground (Car/Mileage, Rail, Taxi/Shuttle)"/>
    <s v="Taxi Service for Transportation"/>
    <s v="JV-MP041024"/>
    <x v="21"/>
    <x v="172"/>
    <m/>
    <s v="9999"/>
    <s v="Gam"/>
    <s v="3007"/>
    <s v="UN Peace Building Fund (PBF) - The Gambia 01/2023-12/2025"/>
  </r>
  <r>
    <x v="3"/>
    <s v="Ground (Car/Mileage, Rail, Taxi/Shuttle)"/>
    <s v="Taxi Services incurred for Office Operations"/>
    <s v="JV-MP041024"/>
    <x v="21"/>
    <x v="173"/>
    <m/>
    <s v="9999"/>
    <s v="Gam"/>
    <s v="3007"/>
    <s v="UN Peace Building Fund (PBF) - The Gambia 01/2023-12/2025"/>
  </r>
  <r>
    <x v="3"/>
    <s v="Ground (Car/Mileage, Rail, Taxi/Shuttle)"/>
    <s v="Taxi Services to attend UNDP Workshop"/>
    <s v="JV-MP041024"/>
    <x v="21"/>
    <x v="174"/>
    <m/>
    <s v="9999"/>
    <s v="Gam"/>
    <s v="3007"/>
    <s v="UN Peace Building Fund (PBF) - The Gambia 01/2023-12/2025"/>
  </r>
  <r>
    <x v="3"/>
    <s v="Ground (Car/Mileage, Rail, Taxi/Shuttle)"/>
    <s v="Taxi Services for Programs Ass. To attend UNBPF Meeting"/>
    <s v="JV-MP041024"/>
    <x v="21"/>
    <x v="175"/>
    <m/>
    <s v="9999"/>
    <s v="Gam"/>
    <s v="3007"/>
    <s v="UN Peace Building Fund (PBF) - The Gambia 01/2023-12/2025"/>
  </r>
  <r>
    <x v="10"/>
    <s v="Consultants"/>
    <s v="APRIL 2024 - PAYMENT FOR PROFESSIONAL SERVICE - HEAD OF PROGRAM THE GAMBIA /HEALTH - D GBERY"/>
    <s v="cv042924"/>
    <x v="22"/>
    <x v="69"/>
    <m/>
    <s v="9999"/>
    <s v="Gam"/>
    <s v="3007"/>
    <s v="UN Peace Building Fund (PBF) - The Gambia 01/2023-12/2025"/>
  </r>
  <r>
    <x v="3"/>
    <s v="Ground (Car/Mileage, Rail, Taxi/Shuttle)"/>
    <s v="Taxi Services for delivery of snacks"/>
    <s v="JV-MP060524-2"/>
    <x v="23"/>
    <x v="136"/>
    <m/>
    <s v="2.1"/>
    <s v="Gam"/>
    <s v="3007"/>
    <s v="UN Peace Building Fund (PBF) - The Gambia 01/2023-12/2025"/>
  </r>
  <r>
    <x v="3"/>
    <s v="Ground (Car/Mileage, Rail, Taxi/Shuttle)"/>
    <s v="Transport For Refund to Participants"/>
    <s v="JV-MP060524-2"/>
    <x v="23"/>
    <x v="152"/>
    <m/>
    <s v="2.1"/>
    <s v="Gam"/>
    <s v="3007"/>
    <s v="UN Peace Building Fund (PBF) - The Gambia 01/2023-12/2025"/>
  </r>
  <r>
    <x v="8"/>
    <s v="Meals &amp; Per Diem"/>
    <s v="Snack Packs Participants"/>
    <s v="JV-MP060524-2"/>
    <x v="23"/>
    <x v="176"/>
    <m/>
    <s v="2.1"/>
    <s v="Gam"/>
    <s v="3007"/>
    <s v="UN Peace Building Fund (PBF) - The Gambia 01/2023-12/2025"/>
  </r>
  <r>
    <x v="8"/>
    <s v="Meals &amp; Per Diem"/>
    <s v="DSA for Team"/>
    <s v="JV-MP060524-2"/>
    <x v="23"/>
    <x v="177"/>
    <m/>
    <s v="2.4"/>
    <s v="Gam"/>
    <s v="3007"/>
    <s v="UN Peace Building Fund (PBF) - The Gambia 01/2023-12/2025"/>
  </r>
  <r>
    <x v="8"/>
    <s v="Meals &amp; Per Diem"/>
    <s v="Food and Refreshment for 5 days"/>
    <s v="JV-MP060524-2"/>
    <x v="23"/>
    <x v="178"/>
    <m/>
    <s v="2.4"/>
    <s v="Gam"/>
    <s v="3007"/>
    <s v="UN Peace Building Fund (PBF) - The Gambia 01/2023-12/2025"/>
  </r>
  <r>
    <x v="12"/>
    <s v="Rental Halls / Convention Center"/>
    <s v="Venue"/>
    <s v="JV-MP060524-2"/>
    <x v="23"/>
    <x v="149"/>
    <m/>
    <s v="2.4"/>
    <s v="Gam"/>
    <s v="3007"/>
    <s v="UN Peace Building Fund (PBF) - The Gambia 01/2023-12/2025"/>
  </r>
  <r>
    <x v="3"/>
    <s v="Ground (Car/Mileage, Rail, Taxi/Shuttle)"/>
    <s v="Transportation Fees (Taxi Service)"/>
    <s v="JV-MP060524-2"/>
    <x v="23"/>
    <x v="150"/>
    <m/>
    <s v="2.4"/>
    <s v="Gam"/>
    <s v="3007"/>
    <s v="UN Peace Building Fund (PBF) - The Gambia 01/2023-12/2025"/>
  </r>
  <r>
    <x v="3"/>
    <s v="Ground (Car/Mileage, Rail, Taxi/Shuttle)"/>
    <s v="Transport for preparatory work-Outreach &amp; Sensitization,URR"/>
    <s v="JV-MP060524-2"/>
    <x v="23"/>
    <x v="152"/>
    <m/>
    <s v="2.4"/>
    <s v="Gam"/>
    <s v="3007"/>
    <s v="UN Peace Building Fund (PBF) - The Gambia 01/2023-12/2025"/>
  </r>
  <r>
    <x v="2"/>
    <s v="Printing &amp; Publications"/>
    <s v="Payment for Printing of 100 copies of User Friendly Version"/>
    <s v="JV-MP060524-2"/>
    <x v="23"/>
    <x v="179"/>
    <m/>
    <s v="2.4"/>
    <s v="Gam"/>
    <s v="3007"/>
    <s v="UN Peace Building Fund (PBF) - The Gambia 01/2023-12/2025"/>
  </r>
  <r>
    <x v="3"/>
    <s v="Ground (Car/Mileage, Rail, Taxi/Shuttle)"/>
    <s v="Transport Refund for Day 1 Participants"/>
    <s v="JV-MP060524-2"/>
    <x v="23"/>
    <x v="180"/>
    <m/>
    <s v="2.4"/>
    <s v="Gam"/>
    <s v="3007"/>
    <s v="UN Peace Building Fund (PBF) - The Gambia 01/2023-12/2025"/>
  </r>
  <r>
    <x v="15"/>
    <s v="Event Planning / Organization"/>
    <s v="Battery for Mics"/>
    <s v="JV-MP060524-2"/>
    <x v="23"/>
    <x v="181"/>
    <m/>
    <s v="2.4"/>
    <s v="Gam"/>
    <s v="3007"/>
    <s v="UN Peace Building Fund (PBF) - The Gambia 01/2023-12/2025"/>
  </r>
  <r>
    <x v="15"/>
    <s v="Event Planning / Organization"/>
    <s v="Mobilization Fees"/>
    <s v="JV-MP060524-2"/>
    <x v="23"/>
    <x v="182"/>
    <m/>
    <s v="2.4"/>
    <s v="Gam"/>
    <s v="3007"/>
    <s v="UN Peace Building Fund (PBF) - The Gambia 01/2023-12/2025"/>
  </r>
  <r>
    <x v="10"/>
    <s v="Consultants"/>
    <s v="Fees for Trainers"/>
    <s v="JV-MP060524-2"/>
    <x v="23"/>
    <x v="183"/>
    <m/>
    <s v="2.4"/>
    <s v="Gam"/>
    <s v="3007"/>
    <s v="UN Peace Building Fund (PBF) - The Gambia 01/2023-12/2025"/>
  </r>
  <r>
    <x v="23"/>
    <s v="Office Equipment (below $2,000)"/>
    <s v="Purchase for Play System for events in rural Areas"/>
    <s v="JV-MP060524-2"/>
    <x v="23"/>
    <x v="184"/>
    <m/>
    <s v="2.4"/>
    <s v="Gam"/>
    <s v="3007"/>
    <s v="UN Peace Building Fund (PBF) - The Gambia 01/2023-12/2025"/>
  </r>
  <r>
    <x v="4"/>
    <s v="Wages - International - Full Time"/>
    <s v="Salary April 2024 -Finance Officer"/>
    <s v="JV-MP060524-2"/>
    <x v="23"/>
    <x v="185"/>
    <m/>
    <s v="5.2"/>
    <s v="Gam"/>
    <s v="3007"/>
    <s v="UN Peace Building Fund (PBF) - The Gambia 01/2023-12/2025"/>
  </r>
  <r>
    <x v="4"/>
    <s v="Wages - International - Full Time"/>
    <s v="Salary April 2024 -Programs Assistant"/>
    <s v="JV-MP060524-2"/>
    <x v="23"/>
    <x v="186"/>
    <m/>
    <s v="5.3"/>
    <s v="Gam"/>
    <s v="3007"/>
    <s v="UN Peace Building Fund (PBF) - The Gambia 01/2023-12/2025"/>
  </r>
  <r>
    <x v="4"/>
    <s v="Wages - International - Full Time"/>
    <s v="Salary April 2024 -Gender Consultant"/>
    <s v="JV-MP060524-2"/>
    <x v="23"/>
    <x v="187"/>
    <m/>
    <s v="5.4"/>
    <s v="Gam"/>
    <s v="3007"/>
    <s v="UN Peace Building Fund (PBF) - The Gambia 01/2023-12/2025"/>
  </r>
  <r>
    <x v="4"/>
    <s v="Wages - International - Full Time"/>
    <s v="Salary April 2024 -Cleaner, Fatou Kinteh"/>
    <s v="JV-MP060524-2"/>
    <x v="23"/>
    <x v="188"/>
    <m/>
    <s v="6"/>
    <s v="Gam"/>
    <s v="3007"/>
    <s v="UN Peace Building Fund (PBF) - The Gambia 01/2023-12/2025"/>
  </r>
  <r>
    <x v="6"/>
    <s v="Office Supplies / Materials"/>
    <s v="Nido Milk Qty 1"/>
    <s v="JV-MP060524-2"/>
    <x v="23"/>
    <x v="189"/>
    <m/>
    <s v="6"/>
    <s v="Gam"/>
    <s v="3007"/>
    <s v="UN Peace Building Fund (PBF) - The Gambia 01/2023-12/2025"/>
  </r>
  <r>
    <x v="6"/>
    <s v="Office Supplies / Materials"/>
    <s v="Coffee Qty 1"/>
    <s v="JV-MP060524-2"/>
    <x v="23"/>
    <x v="105"/>
    <m/>
    <s v="6"/>
    <s v="Gam"/>
    <s v="3007"/>
    <s v="UN Peace Building Fund (PBF) - The Gambia 01/2023-12/2025"/>
  </r>
  <r>
    <x v="6"/>
    <s v="Office Supplies / Materials"/>
    <s v="Water Refill Qty 4"/>
    <s v="JV-MP060524-2"/>
    <x v="23"/>
    <x v="190"/>
    <m/>
    <s v="6"/>
    <s v="Gam"/>
    <s v="3007"/>
    <s v="UN Peace Building Fund (PBF) - The Gambia 01/2023-12/2025"/>
  </r>
  <r>
    <x v="6"/>
    <s v="Office Supplies / Materials"/>
    <s v="NAWEC Cash Power-March"/>
    <s v="JV-MP060524-2"/>
    <x v="23"/>
    <x v="191"/>
    <m/>
    <s v="6"/>
    <s v="Gam"/>
    <s v="3007"/>
    <s v="UN Peace Building Fund (PBF) - The Gambia 01/2023-12/2025"/>
  </r>
  <r>
    <x v="6"/>
    <s v="Office Supplies / Materials"/>
    <s v="Shopping Bag"/>
    <s v="JV-MP060524-2"/>
    <x v="23"/>
    <x v="134"/>
    <m/>
    <s v="6"/>
    <s v="Gam"/>
    <s v="3007"/>
    <s v="UN Peace Building Fund (PBF) - The Gambia 01/2023-12/2025"/>
  </r>
  <r>
    <x v="7"/>
    <s v="International Office Rent"/>
    <s v="65% Prepaid Office Rent- for the period Apr-2024 to Ma-2025"/>
    <s v="JV-MP060524-2"/>
    <x v="23"/>
    <x v="192"/>
    <m/>
    <s v="6"/>
    <s v="Gam"/>
    <s v="3007"/>
    <s v="UN Peace Building Fund (PBF) - The Gambia 01/2023-12/2025"/>
  </r>
  <r>
    <x v="22"/>
    <s v="Subscriptions &amp; Membership Fees"/>
    <s v="Newspaper Subscription Monthly Payment"/>
    <s v="JV-MP060524-2"/>
    <x v="23"/>
    <x v="150"/>
    <m/>
    <s v="6"/>
    <s v="Gam"/>
    <s v="3007"/>
    <s v="UN Peace Building Fund (PBF) - The Gambia 01/2023-12/2025"/>
  </r>
  <r>
    <x v="14"/>
    <s v="Telephone &amp; Internet Access"/>
    <s v="Credit Airtime for Head of Programs"/>
    <s v="JV-MP060524-2"/>
    <x v="23"/>
    <x v="193"/>
    <m/>
    <s v="6"/>
    <s v="Gam"/>
    <s v="3007"/>
    <s v="UN Peace Building Fund (PBF) - The Gambia 01/2023-12/2025"/>
  </r>
  <r>
    <x v="14"/>
    <s v="Telephone &amp; Internet Access"/>
    <s v="Credit Airtime for Gender Consultant"/>
    <s v="JV-MP060524-2"/>
    <x v="23"/>
    <x v="194"/>
    <m/>
    <s v="6"/>
    <s v="Gam"/>
    <s v="3007"/>
    <s v="UN Peace Building Fund (PBF) - The Gambia 01/2023-12/2025"/>
  </r>
  <r>
    <x v="14"/>
    <s v="Telephone &amp; Internet Access"/>
    <s v="Credit Airtime for Legal Consultant"/>
    <s v="JV-MP060524-2"/>
    <x v="23"/>
    <x v="194"/>
    <m/>
    <s v="6"/>
    <s v="Gam"/>
    <s v="3007"/>
    <s v="UN Peace Building Fund (PBF) - The Gambia 01/2023-12/2025"/>
  </r>
  <r>
    <x v="14"/>
    <s v="Telephone &amp; Internet Access"/>
    <s v="Credit Airtime for Program Assistant"/>
    <s v="JV-MP060524-2"/>
    <x v="23"/>
    <x v="195"/>
    <m/>
    <s v="6"/>
    <s v="Gam"/>
    <s v="3007"/>
    <s v="UN Peace Building Fund (PBF) - The Gambia 01/2023-12/2025"/>
  </r>
  <r>
    <x v="14"/>
    <s v="Telephone &amp; Internet Access"/>
    <s v="Credit Airtime for Finance Officer"/>
    <s v="JV-MP060524-2"/>
    <x v="23"/>
    <x v="195"/>
    <m/>
    <s v="6"/>
    <s v="Gam"/>
    <s v="3007"/>
    <s v="UN Peace Building Fund (PBF) - The Gambia 01/2023-12/2025"/>
  </r>
  <r>
    <x v="3"/>
    <s v="Ground (Car/Mileage, Rail, Taxi/Shuttle)"/>
    <s v="Taxi Services incurred for Office Operations"/>
    <s v="JV-MP060524-2"/>
    <x v="23"/>
    <x v="196"/>
    <m/>
    <s v="6"/>
    <s v="Gam"/>
    <s v="3007"/>
    <s v="UN Peace Building Fund (PBF) - The Gambia 01/2023-12/2025"/>
  </r>
  <r>
    <x v="3"/>
    <s v="Ground (Car/Mileage, Rail, Taxi/Shuttle)"/>
    <s v="Taxi Services incurred for Office Operations"/>
    <s v="JV-MP060524-2"/>
    <x v="23"/>
    <x v="197"/>
    <m/>
    <s v="6"/>
    <s v="Gam"/>
    <s v="3007"/>
    <s v="UN Peace Building Fund (PBF) - The Gambia 01/2023-12/2025"/>
  </r>
  <r>
    <x v="3"/>
    <s v="Ground (Car/Mileage, Rail, Taxi/Shuttle)"/>
    <s v="Taxi Service for Transportation"/>
    <s v="JV-MP060524-2"/>
    <x v="23"/>
    <x v="198"/>
    <m/>
    <s v="6"/>
    <s v="Gam"/>
    <s v="3007"/>
    <s v="UN Peace Building Fund (PBF) - The Gambia 01/2023-12/2025"/>
  </r>
  <r>
    <x v="21"/>
    <s v="Media Outreach / Publicity"/>
    <s v="The Gambia Comm Support"/>
    <s v="JV-JS043024 IT &amp; Comm"/>
    <x v="23"/>
    <x v="199"/>
    <m/>
    <s v="9999"/>
    <s v="9999"/>
    <s v="3007"/>
    <s v="UN Peace Building Fund (PBF) - The Gambia 01/2023-12/2025"/>
  </r>
  <r>
    <x v="17"/>
    <s v="IT Consulting, Services, and Support"/>
    <s v="The Gambia IT Support"/>
    <s v="JV-JS043024 IT &amp; Comm"/>
    <x v="23"/>
    <x v="200"/>
    <m/>
    <s v="9999"/>
    <s v="9999"/>
    <s v="3007"/>
    <s v="UN Peace Building Fund (PBF) - The Gambia 01/2023-12/2025"/>
  </r>
  <r>
    <x v="1"/>
    <s v="Salary &amp; Fringes Fund Allocation"/>
    <s v="Ladisch, Virginie"/>
    <s v="JV-JS043024 Sal Alloc"/>
    <x v="23"/>
    <x v="2"/>
    <m/>
    <s v="9999"/>
    <s v="9999"/>
    <s v="3007"/>
    <s v="UN Peace Building Fund (PBF) - The Gambia 01/2023-12/2025"/>
  </r>
  <r>
    <x v="1"/>
    <s v="Salary &amp; Fringes Fund Allocation"/>
    <s v="Porciuncula, Mateo"/>
    <s v="JV-JS043024 Sal Alloc"/>
    <x v="23"/>
    <x v="3"/>
    <m/>
    <s v="9999"/>
    <s v="9999"/>
    <s v="3007"/>
    <s v="UN Peace Building Fund (PBF) - The Gambia 01/2023-12/2025"/>
  </r>
  <r>
    <x v="1"/>
    <s v="Salary &amp; Fringes Fund Allocation"/>
    <s v="Roccatello, Anna Myriam"/>
    <s v="JV-JS043024 Sal Alloc"/>
    <x v="23"/>
    <x v="4"/>
    <m/>
    <s v="9999"/>
    <s v="9999"/>
    <s v="3007"/>
    <s v="UN Peace Building Fund (PBF) - The Gambia 01/2023-12/2025"/>
  </r>
  <r>
    <x v="10"/>
    <s v="Consultants"/>
    <s v="MAY 2025 - PROF SERVICE - HEAD OF PROG SALARY/HEALTH INS - THE GAMBIA- D GBERY"/>
    <s v="cv052024"/>
    <x v="24"/>
    <x v="107"/>
    <m/>
    <s v="9999"/>
    <s v="Gam"/>
    <s v="3007"/>
    <s v="UN Peace Building Fund (PBF) - The Gambia 01/2023-12/2025"/>
  </r>
  <r>
    <x v="3"/>
    <s v="Ground (Car/Mileage, Rail, Taxi/Shuttle)"/>
    <s v="Vehicle Hire-UNPBF Consultation &amp; Outreach"/>
    <s v="JV-MP063024-3"/>
    <x v="25"/>
    <x v="201"/>
    <m/>
    <s v="2.4"/>
    <s v="Gam"/>
    <s v="3007"/>
    <s v="UN Peace Building Fund (PBF) - The Gambia 01/2023-12/2025"/>
  </r>
  <r>
    <x v="4"/>
    <s v="Wages - International - Full Time"/>
    <s v="Salary May 2024 -Finance Officer"/>
    <s v="JV-MP063024-3"/>
    <x v="25"/>
    <x v="202"/>
    <m/>
    <s v="5.2"/>
    <s v="Gam"/>
    <s v="3007"/>
    <s v="UN Peace Building Fund (PBF) - The Gambia 01/2023-12/2025"/>
  </r>
  <r>
    <x v="4"/>
    <s v="Wages - International - Full Time"/>
    <s v="Salary May 2024 -Program Assistant"/>
    <s v="JV-MP063024-3"/>
    <x v="25"/>
    <x v="203"/>
    <m/>
    <s v="5.3"/>
    <s v="Gam"/>
    <s v="3007"/>
    <s v="UN Peace Building Fund (PBF) - The Gambia 01/2023-12/2025"/>
  </r>
  <r>
    <x v="4"/>
    <s v="Wages - International - Full Time"/>
    <s v="Accrued May  Salary 2024 -Gender Consultant"/>
    <s v="JV-MP063024-3"/>
    <x v="25"/>
    <x v="204"/>
    <m/>
    <s v="5.4"/>
    <s v="Gam"/>
    <s v="3007"/>
    <s v="UN Peace Building Fund (PBF) - The Gambia 01/2023-12/2025"/>
  </r>
  <r>
    <x v="4"/>
    <s v="Wages - International - Full Time"/>
    <s v="Salary May 2024 -Cleaner, Fatou Kinteh"/>
    <s v="JV-MP063024-3"/>
    <x v="25"/>
    <x v="205"/>
    <m/>
    <s v="6"/>
    <s v="Gam"/>
    <s v="3007"/>
    <s v="UN Peace Building Fund (PBF) - The Gambia 01/2023-12/2025"/>
  </r>
  <r>
    <x v="6"/>
    <s v="Office Supplies / Materials"/>
    <s v="Newspaper Subscription Monthly Payment"/>
    <s v="JV-MP063024-3"/>
    <x v="25"/>
    <x v="206"/>
    <m/>
    <s v="6"/>
    <s v="Gam"/>
    <s v="3007"/>
    <s v="UN Peace Building Fund (PBF) - The Gambia 01/2023-12/2025"/>
  </r>
  <r>
    <x v="6"/>
    <s v="Office Supplies / Materials"/>
    <s v="NAWEC Cash Power - May 2024"/>
    <s v="JV-MP063024-3"/>
    <x v="25"/>
    <x v="207"/>
    <m/>
    <s v="6"/>
    <s v="Gam"/>
    <s v="3007"/>
    <s v="UN Peace Building Fund (PBF) - The Gambia 01/2023-12/2025"/>
  </r>
  <r>
    <x v="6"/>
    <s v="Office Supplies / Materials"/>
    <s v="Shopping Bag"/>
    <s v="JV-MP063024-3"/>
    <x v="25"/>
    <x v="105"/>
    <m/>
    <s v="6"/>
    <s v="Gam"/>
    <s v="3007"/>
    <s v="UN Peace Building Fund (PBF) - The Gambia 01/2023-12/2025"/>
  </r>
  <r>
    <x v="6"/>
    <s v="Office Supplies / Materials"/>
    <s v="Air Freshener Qty 2"/>
    <s v="JV-MP063024-3"/>
    <x v="25"/>
    <x v="208"/>
    <m/>
    <s v="6"/>
    <s v="Gam"/>
    <s v="3007"/>
    <s v="UN Peace Building Fund (PBF) - The Gambia 01/2023-12/2025"/>
  </r>
  <r>
    <x v="6"/>
    <s v="Office Supplies / Materials"/>
    <s v="Coffee"/>
    <s v="JV-MP063024-3"/>
    <x v="25"/>
    <x v="209"/>
    <m/>
    <s v="6"/>
    <s v="Gam"/>
    <s v="3007"/>
    <s v="UN Peace Building Fund (PBF) - The Gambia 01/2023-12/2025"/>
  </r>
  <r>
    <x v="6"/>
    <s v="Office Supplies / Materials"/>
    <s v="Milk"/>
    <s v="JV-MP063024-3"/>
    <x v="25"/>
    <x v="210"/>
    <m/>
    <s v="6"/>
    <s v="Gam"/>
    <s v="3007"/>
    <s v="UN Peace Building Fund (PBF) - The Gambia 01/2023-12/2025"/>
  </r>
  <r>
    <x v="6"/>
    <s v="Office Supplies / Materials"/>
    <s v="Water"/>
    <s v="JV-MP063024-3"/>
    <x v="25"/>
    <x v="211"/>
    <m/>
    <s v="6"/>
    <s v="Gam"/>
    <s v="3007"/>
    <s v="UN Peace Building Fund (PBF) - The Gambia 01/2023-12/2025"/>
  </r>
  <r>
    <x v="6"/>
    <s v="Office Supplies / Materials"/>
    <s v="Disposable Cups for dispenser 1 BOX"/>
    <s v="JV-MP063024-3"/>
    <x v="25"/>
    <x v="212"/>
    <m/>
    <s v="6"/>
    <s v="Gam"/>
    <s v="3007"/>
    <s v="UN Peace Building Fund (PBF) - The Gambia 01/2023-12/2025"/>
  </r>
  <r>
    <x v="6"/>
    <s v="Office Supplies / Materials"/>
    <s v="Cartridge For Office Printer"/>
    <s v="JV-MP063024-3"/>
    <x v="25"/>
    <x v="213"/>
    <m/>
    <s v="6"/>
    <s v="Gam"/>
    <s v="3007"/>
    <s v="UN Peace Building Fund (PBF) - The Gambia 01/2023-12/2025"/>
  </r>
  <r>
    <x v="6"/>
    <s v="Office Supplies / Materials"/>
    <s v="Bleach Qty 1"/>
    <s v="JV-MP063024-3"/>
    <x v="25"/>
    <x v="214"/>
    <m/>
    <s v="6"/>
    <s v="Gam"/>
    <s v="3007"/>
    <s v="UN Peace Building Fund (PBF) - The Gambia 01/2023-12/2025"/>
  </r>
  <r>
    <x v="18"/>
    <s v="Banking / Credit Cards Fee"/>
    <s v="Bank Charges on Transfer to Afriqcars"/>
    <s v="JV-MP063024-3"/>
    <x v="25"/>
    <x v="215"/>
    <m/>
    <s v="6"/>
    <s v="Gam"/>
    <s v="3007"/>
    <s v="UN Peace Building Fund (PBF) - The Gambia 01/2023-12/2025"/>
  </r>
  <r>
    <x v="18"/>
    <s v="Banking / Credit Cards Fee"/>
    <s v="Bank Charges on Transfer to QTV"/>
    <s v="JV-MP063024-3"/>
    <x v="25"/>
    <x v="105"/>
    <m/>
    <s v="6"/>
    <s v="Gam"/>
    <s v="3007"/>
    <s v="UN Peace Building Fund (PBF) - The Gambia 01/2023-12/2025"/>
  </r>
  <r>
    <x v="18"/>
    <s v="Banking / Credit Cards Fee"/>
    <s v="Commission on Turnover May-24"/>
    <s v="JV-MP063024-3"/>
    <x v="25"/>
    <x v="211"/>
    <m/>
    <s v="6"/>
    <s v="Gam"/>
    <s v="3007"/>
    <s v="UN Peace Building Fund (PBF) - The Gambia 01/2023-12/2025"/>
  </r>
  <r>
    <x v="18"/>
    <s v="Banking / Credit Cards Fee"/>
    <s v="VAT-Commission on Turnover May-24"/>
    <s v="JV-MP063024-3"/>
    <x v="25"/>
    <x v="216"/>
    <m/>
    <s v="6"/>
    <s v="Gam"/>
    <s v="3007"/>
    <s v="UN Peace Building Fund (PBF) - The Gambia 01/2023-12/2025"/>
  </r>
  <r>
    <x v="14"/>
    <s v="Telephone &amp; Internet Access"/>
    <s v="Refund to HoP for Internet Fees in Ivory Coast"/>
    <s v="JV-MP063024-3"/>
    <x v="25"/>
    <x v="217"/>
    <m/>
    <s v="6"/>
    <s v="Gam"/>
    <s v="3007"/>
    <s v="UN Peace Building Fund (PBF) - The Gambia 01/2023-12/2025"/>
  </r>
  <r>
    <x v="14"/>
    <s v="Telephone &amp; Internet Access"/>
    <s v="Credit Airtime for Head of Programs"/>
    <s v="JV-MP063024-3"/>
    <x v="25"/>
    <x v="218"/>
    <m/>
    <s v="6"/>
    <s v="Gam"/>
    <s v="3007"/>
    <s v="UN Peace Building Fund (PBF) - The Gambia 01/2023-12/2025"/>
  </r>
  <r>
    <x v="14"/>
    <s v="Telephone &amp; Internet Access"/>
    <s v="Credit Airtime for Gender Consultant"/>
    <s v="JV-MP063024-3"/>
    <x v="25"/>
    <x v="219"/>
    <m/>
    <s v="6"/>
    <s v="Gam"/>
    <s v="3007"/>
    <s v="UN Peace Building Fund (PBF) - The Gambia 01/2023-12/2025"/>
  </r>
  <r>
    <x v="14"/>
    <s v="Telephone &amp; Internet Access"/>
    <s v="Credit Airtime for Legal Consultant"/>
    <s v="JV-MP063024-3"/>
    <x v="25"/>
    <x v="219"/>
    <m/>
    <s v="6"/>
    <s v="Gam"/>
    <s v="3007"/>
    <s v="UN Peace Building Fund (PBF) - The Gambia 01/2023-12/2025"/>
  </r>
  <r>
    <x v="14"/>
    <s v="Telephone &amp; Internet Access"/>
    <s v="Credit Airtime for Program Assistant"/>
    <s v="JV-MP063024-3"/>
    <x v="25"/>
    <x v="220"/>
    <m/>
    <s v="6"/>
    <s v="Gam"/>
    <s v="3007"/>
    <s v="UN Peace Building Fund (PBF) - The Gambia 01/2023-12/2025"/>
  </r>
  <r>
    <x v="14"/>
    <s v="Telephone &amp; Internet Access"/>
    <s v="Credit Airtime for Finance Officer"/>
    <s v="JV-MP063024-3"/>
    <x v="25"/>
    <x v="220"/>
    <m/>
    <s v="6"/>
    <s v="Gam"/>
    <s v="3007"/>
    <s v="UN Peace Building Fund (PBF) - The Gambia 01/2023-12/2025"/>
  </r>
  <r>
    <x v="22"/>
    <s v="Subscriptions &amp; Membership Fees"/>
    <s v="Annual Newspaper Subscription to Standard Newspaper"/>
    <s v="JV-MP063024-3"/>
    <x v="25"/>
    <x v="221"/>
    <m/>
    <s v="6"/>
    <s v="Gam"/>
    <s v="3007"/>
    <s v="UN Peace Building Fund (PBF) - The Gambia 01/2023-12/2025"/>
  </r>
  <r>
    <x v="14"/>
    <s v="Telephone &amp; Internet Access"/>
    <s v="Office Internet Subscription  Line-Comium  1  May-July"/>
    <s v="JV-MP063024-3"/>
    <x v="25"/>
    <x v="222"/>
    <m/>
    <s v="6"/>
    <s v="Gam"/>
    <s v="3007"/>
    <s v="UN Peace Building Fund (PBF) - The Gambia 01/2023-12/2025"/>
  </r>
  <r>
    <x v="3"/>
    <s v="Ground (Car/Mileage, Rail, Taxi/Shuttle)"/>
    <s v="Taxi Services of Air Pick Up and Escort for H.Varney"/>
    <s v="JV-MP063024-3"/>
    <x v="25"/>
    <x v="223"/>
    <m/>
    <s v="6"/>
    <s v="Gam"/>
    <s v="3007"/>
    <s v="UN Peace Building Fund (PBF) - The Gambia 01/2023-12/2025"/>
  </r>
  <r>
    <x v="3"/>
    <s v="Ground (Car/Mileage, Rail, Taxi/Shuttle)"/>
    <s v="Taxi Services incurred for Office Operations"/>
    <s v="JV-MP063024-3"/>
    <x v="25"/>
    <x v="224"/>
    <m/>
    <s v="6"/>
    <s v="Gam"/>
    <s v="3007"/>
    <s v="UN Peace Building Fund (PBF) - The Gambia 01/2023-12/2025"/>
  </r>
  <r>
    <x v="3"/>
    <s v="Ground (Car/Mileage, Rail, Taxi/Shuttle)"/>
    <s v="Fuel for HoP Office errands for May"/>
    <s v="JV-MP063024-3"/>
    <x v="25"/>
    <x v="225"/>
    <m/>
    <s v="6"/>
    <s v="Gam"/>
    <s v="3007"/>
    <s v="UN Peace Building Fund (PBF) - The Gambia 01/2023-12/2025"/>
  </r>
  <r>
    <x v="3"/>
    <s v="Ground (Car/Mileage, Rail, Taxi/Shuttle)"/>
    <s v="Taxi Service for Transportation"/>
    <s v="JV-MP063024-3"/>
    <x v="25"/>
    <x v="226"/>
    <m/>
    <s v="6"/>
    <s v="Gam"/>
    <s v="3007"/>
    <s v="UN Peace Building Fund (PBF) - The Gambia 01/2023-12/2025"/>
  </r>
  <r>
    <x v="2"/>
    <s v="Printing &amp; Publications"/>
    <s v="Second Installment payment to Yelef for Podcast Production"/>
    <s v="JV-MP063024-3"/>
    <x v="25"/>
    <x v="227"/>
    <m/>
    <s v="6"/>
    <s v="Gam"/>
    <s v="3007"/>
    <s v="UN Peace Building Fund (PBF) - The Gambia 01/2023-12/2025"/>
  </r>
  <r>
    <x v="3"/>
    <s v="Ground (Car/Mileage, Rail, Taxi/Shuttle)"/>
    <s v="Taxi Services incurred for Office Operations"/>
    <s v="JV-MP063024-3"/>
    <x v="25"/>
    <x v="228"/>
    <m/>
    <s v="6"/>
    <s v="Gam"/>
    <s v="3007"/>
    <s v="UN Peace Building Fund (PBF) - The Gambia 01/2023-12/2025"/>
  </r>
  <r>
    <x v="8"/>
    <s v="Meals &amp; Per Diem"/>
    <s v="Snack for staff meeting (FY25 Chrono review)"/>
    <s v="JV-MP063024-3"/>
    <x v="25"/>
    <x v="225"/>
    <m/>
    <s v="6"/>
    <s v="Gam"/>
    <s v="3007"/>
    <s v="UN Peace Building Fund (PBF) - The Gambia 01/2023-12/2025"/>
  </r>
  <r>
    <x v="9"/>
    <s v="Other Expenses"/>
    <s v="Refund Airporrt Security Fees to HoP"/>
    <s v="JV-MP063024-3"/>
    <x v="25"/>
    <x v="229"/>
    <m/>
    <s v="6"/>
    <s v="Gam"/>
    <s v="3007"/>
    <s v="UN Peace Building Fund (PBF) - The Gambia 01/2023-12/2025"/>
  </r>
  <r>
    <x v="21"/>
    <s v="Media Outreach / Publicity"/>
    <s v="The Gambia Comm Support"/>
    <s v="JV-JS053124 IT &amp; Comm Alloc"/>
    <x v="25"/>
    <x v="199"/>
    <m/>
    <s v="9999"/>
    <s v="9999"/>
    <s v="3007"/>
    <s v="UN Peace Building Fund (PBF) - The Gambia 01/2023-12/2025"/>
  </r>
  <r>
    <x v="1"/>
    <s v="Salary &amp; Fringes Fund Allocation"/>
    <s v="Ladisch, Virginie"/>
    <s v="JV-JS053124 Sal Alloc"/>
    <x v="25"/>
    <x v="2"/>
    <m/>
    <s v="9999"/>
    <s v="9999"/>
    <s v="3007"/>
    <s v="UN Peace Building Fund (PBF) - The Gambia 01/2023-12/2025"/>
  </r>
  <r>
    <x v="1"/>
    <s v="Salary &amp; Fringes Fund Allocation"/>
    <s v="Porciuncula, Mateo"/>
    <s v="JV-JS053124 Sal Alloc"/>
    <x v="25"/>
    <x v="3"/>
    <m/>
    <s v="9999"/>
    <s v="9999"/>
    <s v="3007"/>
    <s v="UN Peace Building Fund (PBF) - The Gambia 01/2023-12/2025"/>
  </r>
  <r>
    <x v="1"/>
    <s v="Salary &amp; Fringes Fund Allocation"/>
    <s v="Roccatello, Anna Myriam"/>
    <s v="JV-JS053124 Sal Alloc"/>
    <x v="25"/>
    <x v="4"/>
    <m/>
    <s v="9999"/>
    <s v="9999"/>
    <s v="3007"/>
    <s v="UN Peace Building Fund (PBF) - The Gambia 01/2023-12/2025"/>
  </r>
  <r>
    <x v="17"/>
    <s v="IT Consulting, Services, and Support"/>
    <s v="The Gambia IT Support"/>
    <s v="JV-JS053124 IT &amp; Comm Alloc"/>
    <x v="25"/>
    <x v="200"/>
    <m/>
    <s v="9999"/>
    <s v="9999"/>
    <s v="3007"/>
    <s v="UN Peace Building Fund (PBF) - The Gambia 01/2023-12/2025"/>
  </r>
  <r>
    <x v="10"/>
    <s v="Consultants"/>
    <s v="JUNE 2025 - PROF SERVICE - HEAD OF PROG SALARY/HEALTH INS - THE GAMBIA- D GBERY"/>
    <s v="AP-RW061424"/>
    <x v="26"/>
    <x v="46"/>
    <m/>
    <s v="9999"/>
    <s v="Gam"/>
    <s v="3007"/>
    <s v="UN Peace Building Fund (PBF) - The Gambia 01/2023-12/2025"/>
  </r>
  <r>
    <x v="16"/>
    <s v="Grants / Subcontracts Awarded"/>
    <s v="Sungrant to ONOV - P2P Discussions"/>
    <s v="JV-MP072824"/>
    <x v="27"/>
    <x v="230"/>
    <m/>
    <s v=""/>
    <s v=""/>
    <s v="3007"/>
    <s v="UN Peace Building Fund (PBF) - The Gambia 01/2023-12/2025"/>
  </r>
  <r>
    <x v="16"/>
    <s v="Grants / Subcontracts Awarded"/>
    <s v="Sungrant to PAG- P2P Discussions"/>
    <s v="JV-MP072824"/>
    <x v="27"/>
    <x v="231"/>
    <m/>
    <s v=""/>
    <s v=""/>
    <s v="3007"/>
    <s v="UN Peace Building Fund (PBF) - The Gambia 01/2023-12/2025"/>
  </r>
  <r>
    <x v="16"/>
    <s v="Grants / Subcontracts Awarded"/>
    <s v="Sungrant to FANTANKA - P2P Discussions"/>
    <s v="JV-MP072824"/>
    <x v="27"/>
    <x v="232"/>
    <m/>
    <s v=""/>
    <s v=""/>
    <s v="3007"/>
    <s v="UN Peace Building Fund (PBF) - The Gambia 01/2023-12/2025"/>
  </r>
  <r>
    <x v="16"/>
    <s v="Grants / Subcontracts Awarded"/>
    <s v="Sungrant to Think Young Women - P2P Discussions"/>
    <s v="JV-MP072824"/>
    <x v="27"/>
    <x v="233"/>
    <m/>
    <s v=""/>
    <s v=""/>
    <s v="3007"/>
    <s v="UN Peace Building Fund (PBF) - The Gambia 01/2023-12/2025"/>
  </r>
  <r>
    <x v="8"/>
    <s v="Meals &amp; Per Diem"/>
    <s v="50% pmt for Coffee Break- UNPBF steering committee Meeting"/>
    <s v="JV-MP072824"/>
    <x v="27"/>
    <x v="234"/>
    <m/>
    <s v="2.1"/>
    <s v="Gam"/>
    <s v="3007"/>
    <s v="UN Peace Building Fund (PBF) - The Gambia 01/2023-12/2025"/>
  </r>
  <r>
    <x v="8"/>
    <s v="Meals &amp; Per Diem"/>
    <s v="50% Accrued Coffee Break- UNPBF steering committee Meeting"/>
    <s v="JV-MP072824"/>
    <x v="27"/>
    <x v="234"/>
    <m/>
    <s v="2.1"/>
    <s v="Gam"/>
    <s v="3007"/>
    <s v="UN Peace Building Fund (PBF) - The Gambia 01/2023-12/2025"/>
  </r>
  <r>
    <x v="12"/>
    <s v="Rental Halls / Convention Center"/>
    <s v="50% Accrued Hall Rental aUNPBF steering committee Meeting"/>
    <s v="JV-MP072824"/>
    <x v="27"/>
    <x v="235"/>
    <m/>
    <s v="2.1"/>
    <s v="Gam"/>
    <s v="3007"/>
    <s v="UN Peace Building Fund (PBF) - The Gambia 01/2023-12/2025"/>
  </r>
  <r>
    <x v="12"/>
    <s v="Rental Halls / Convention Center"/>
    <s v="50% For Hall Rental aUNPBF steering committee Meeting"/>
    <s v="JV-MP072824"/>
    <x v="27"/>
    <x v="235"/>
    <m/>
    <s v="2.1"/>
    <s v="Gam"/>
    <s v="3007"/>
    <s v="UN Peace Building Fund (PBF) - The Gambia 01/2023-12/2025"/>
  </r>
  <r>
    <x v="3"/>
    <s v="Ground (Car/Mileage, Rail, Taxi/Shuttle)"/>
    <s v="Transport Refund For Participants"/>
    <s v="JV-MP072824"/>
    <x v="27"/>
    <x v="236"/>
    <m/>
    <s v="2.1"/>
    <s v="Gam"/>
    <s v="3007"/>
    <s v="UN Peace Building Fund (PBF) - The Gambia 01/2023-12/2025"/>
  </r>
  <r>
    <x v="3"/>
    <s v="Ground (Car/Mileage, Rail, Taxi/Shuttle)"/>
    <s v="Transport Refund For Participants"/>
    <s v="JV-MP072824"/>
    <x v="27"/>
    <x v="205"/>
    <m/>
    <s v="2.1"/>
    <s v="Gam"/>
    <s v="3007"/>
    <s v="UN Peace Building Fund (PBF) - The Gambia 01/2023-12/2025"/>
  </r>
  <r>
    <x v="3"/>
    <s v="Ground (Car/Mileage, Rail, Taxi/Shuttle)"/>
    <s v="Delivery of Snack Packs"/>
    <s v="JV-MP072824"/>
    <x v="27"/>
    <x v="237"/>
    <m/>
    <s v="2.1"/>
    <s v="Gam"/>
    <s v="3007"/>
    <s v="UN Peace Building Fund (PBF) - The Gambia 01/2023-12/2025"/>
  </r>
  <r>
    <x v="3"/>
    <s v="Ground (Car/Mileage, Rail, Taxi/Shuttle)"/>
    <s v="Transport Refund For Participants"/>
    <s v="JV-MP072824"/>
    <x v="27"/>
    <x v="205"/>
    <m/>
    <s v="2.1"/>
    <s v="Gam"/>
    <s v="3007"/>
    <s v="UN Peace Building Fund (PBF) - The Gambia 01/2023-12/2025"/>
  </r>
  <r>
    <x v="8"/>
    <s v="Meals &amp; Per Diem"/>
    <s v="Snack Packs for Participants."/>
    <s v="JV-MP072824"/>
    <x v="27"/>
    <x v="236"/>
    <m/>
    <s v="2.1"/>
    <s v="Gam"/>
    <s v="3007"/>
    <s v="UN Peace Building Fund (PBF) - The Gambia 01/2023-12/2025"/>
  </r>
  <r>
    <x v="8"/>
    <s v="Meals &amp; Per Diem"/>
    <s v="Snack Packs for Participants"/>
    <s v="JV-MP072824"/>
    <x v="27"/>
    <x v="238"/>
    <m/>
    <s v="2.1"/>
    <s v="Gam"/>
    <s v="3007"/>
    <s v="UN Peace Building Fund (PBF) - The Gambia 01/2023-12/2025"/>
  </r>
  <r>
    <x v="8"/>
    <s v="Meals &amp; Per Diem"/>
    <s v="Taxi Services"/>
    <s v="JV-MP072824"/>
    <x v="27"/>
    <x v="237"/>
    <m/>
    <s v="2.1"/>
    <s v="Gam"/>
    <s v="3007"/>
    <s v="UN Peace Building Fund (PBF) - The Gambia 01/2023-12/2025"/>
  </r>
  <r>
    <x v="8"/>
    <s v="Meals &amp; Per Diem"/>
    <s v="Snack Packs (Biscuits), Water &amp; Soft Drink for Participants"/>
    <s v="JV-MP072824"/>
    <x v="27"/>
    <x v="239"/>
    <m/>
    <s v="2.1"/>
    <s v="Gam"/>
    <s v="3007"/>
    <s v="UN Peace Building Fund (PBF) - The Gambia 01/2023-12/2025"/>
  </r>
  <r>
    <x v="8"/>
    <s v="Meals &amp; Per Diem"/>
    <s v="Lunch For Participants"/>
    <s v="JV-MP072824"/>
    <x v="27"/>
    <x v="240"/>
    <m/>
    <s v="2.1"/>
    <s v="Gam"/>
    <s v="3007"/>
    <s v="UN Peace Building Fund (PBF) - The Gambia 01/2023-12/2025"/>
  </r>
  <r>
    <x v="3"/>
    <s v="Ground (Car/Mileage, Rail, Taxi/Shuttle)"/>
    <s v="Delivery of Invitation Letters for Steering Comm Meeting"/>
    <s v="JV-MP072824"/>
    <x v="27"/>
    <x v="241"/>
    <m/>
    <s v="2.1"/>
    <s v="Gam"/>
    <s v="3007"/>
    <s v="UN Peace Building Fund (PBF) - The Gambia 01/2023-12/2025"/>
  </r>
  <r>
    <x v="8"/>
    <s v="Meals &amp; Per Diem"/>
    <s v="Taxi Hire for Monitoring Fananka"/>
    <s v="JV-MP072824"/>
    <x v="27"/>
    <x v="242"/>
    <m/>
    <s v="2.2"/>
    <s v="Gam"/>
    <s v="3007"/>
    <s v="UN Peace Building Fund (PBF) - The Gambia 01/2023-12/2025"/>
  </r>
  <r>
    <x v="8"/>
    <s v="Meals &amp; Per Diem"/>
    <s v="Taxi Services for Delivery of Printed Materials"/>
    <s v="JV-MP072824"/>
    <x v="27"/>
    <x v="243"/>
    <m/>
    <s v="2.2"/>
    <s v="Gam"/>
    <s v="3007"/>
    <s v="UN Peace Building Fund (PBF) - The Gambia 01/2023-12/2025"/>
  </r>
  <r>
    <x v="3"/>
    <s v="Ground (Car/Mileage, Rail, Taxi/Shuttle)"/>
    <s v="DSA for Legal Consultant to Monitor Fantanka"/>
    <s v="JV-MP072824"/>
    <x v="27"/>
    <x v="207"/>
    <m/>
    <s v="2.2"/>
    <s v="Gam"/>
    <s v="3007"/>
    <s v="UN Peace Building Fund (PBF) - The Gambia 01/2023-12/2025"/>
  </r>
  <r>
    <x v="3"/>
    <s v="Ground (Car/Mileage, Rail, Taxi/Shuttle)"/>
    <s v="Transport Refund to Participants"/>
    <s v="JV-MP072824"/>
    <x v="27"/>
    <x v="244"/>
    <m/>
    <s v="2.2"/>
    <s v="Gam"/>
    <s v="3007"/>
    <s v="UN Peace Building Fund (PBF) - The Gambia 01/2023-12/2025"/>
  </r>
  <r>
    <x v="4"/>
    <s v="Wages - International - Full Time"/>
    <s v="Salary June 2024 -Finance Officer"/>
    <s v="JV-MP072824"/>
    <x v="27"/>
    <x v="245"/>
    <m/>
    <s v="5.2"/>
    <s v="Gam"/>
    <s v="3007"/>
    <s v="UN Peace Building Fund (PBF) - The Gambia 01/2023-12/2025"/>
  </r>
  <r>
    <x v="4"/>
    <s v="Wages - International - Full Time"/>
    <s v="Salary June 2024 -Program Assistant"/>
    <s v="JV-MP072824"/>
    <x v="27"/>
    <x v="246"/>
    <m/>
    <s v="5.3"/>
    <s v="Gam"/>
    <s v="3007"/>
    <s v="UN Peace Building Fund (PBF) - The Gambia 01/2023-12/2025"/>
  </r>
  <r>
    <x v="4"/>
    <s v="Wages - International - Full Time"/>
    <s v="Salary June 2024 -Cleaner, Fatou Kinteh"/>
    <s v="JV-MP072824"/>
    <x v="27"/>
    <x v="205"/>
    <m/>
    <s v="6"/>
    <s v="Gam"/>
    <s v="3007"/>
    <s v="UN Peace Building Fund (PBF) - The Gambia 01/2023-12/2025"/>
  </r>
  <r>
    <x v="24"/>
    <s v="Office Maintenance &amp; Repairs"/>
    <s v="Refund for cost incurred in replace HoP Gate Lock"/>
    <s v="JV-MP072824"/>
    <x v="27"/>
    <x v="247"/>
    <m/>
    <s v="6"/>
    <s v="Gam"/>
    <s v="3007"/>
    <s v="UN Peace Building Fund (PBF) - The Gambia 01/2023-12/2025"/>
  </r>
  <r>
    <x v="18"/>
    <s v="Banking / Credit Cards Fee"/>
    <s v="Bank Charges on Transfer to QTV Refunded"/>
    <s v="JV-MP072824"/>
    <x v="27"/>
    <x v="248"/>
    <n v="7.0000000000000007E-2"/>
    <s v="6"/>
    <s v="Gam"/>
    <s v="3007"/>
    <s v="UN Peace Building Fund (PBF) - The Gambia 01/2023-12/2025"/>
  </r>
  <r>
    <x v="18"/>
    <s v="Banking / Credit Cards Fee"/>
    <s v="Bank Charges on RTGS Trasfer to TYW"/>
    <s v="JV-MP072824"/>
    <x v="27"/>
    <x v="215"/>
    <m/>
    <s v="6"/>
    <s v="Gam"/>
    <s v="3007"/>
    <s v="UN Peace Building Fund (PBF) - The Gambia 01/2023-12/2025"/>
  </r>
  <r>
    <x v="18"/>
    <s v="Banking / Credit Cards Fee"/>
    <s v="Bank Charges on RTGS Trasfer to PAG"/>
    <s v="JV-MP072824"/>
    <x v="27"/>
    <x v="215"/>
    <m/>
    <s v="6"/>
    <s v="Gam"/>
    <s v="3007"/>
    <s v="UN Peace Building Fund (PBF) - The Gambia 01/2023-12/2025"/>
  </r>
  <r>
    <x v="18"/>
    <s v="Banking / Credit Cards Fee"/>
    <s v="Bank Charges on RTGS Trasfer to TYW"/>
    <s v="JV-MP072824"/>
    <x v="27"/>
    <x v="215"/>
    <m/>
    <s v="6"/>
    <s v="Gam"/>
    <s v="3007"/>
    <s v="UN Peace Building Fund (PBF) - The Gambia 01/2023-12/2025"/>
  </r>
  <r>
    <x v="14"/>
    <s v="Telephone &amp; Internet Access"/>
    <s v="Credit Airtime for Head of Programs"/>
    <s v="JV-MP072824"/>
    <x v="27"/>
    <x v="249"/>
    <m/>
    <s v="6"/>
    <s v="Gam"/>
    <s v="3007"/>
    <s v="UN Peace Building Fund (PBF) - The Gambia 01/2023-12/2025"/>
  </r>
  <r>
    <x v="14"/>
    <s v="Telephone &amp; Internet Access"/>
    <s v="Credit Airtime for Legal Consultant"/>
    <s v="JV-MP072824"/>
    <x v="27"/>
    <x v="250"/>
    <m/>
    <s v="6"/>
    <s v="Gam"/>
    <s v="3007"/>
    <s v="UN Peace Building Fund (PBF) - The Gambia 01/2023-12/2025"/>
  </r>
  <r>
    <x v="14"/>
    <s v="Telephone &amp; Internet Access"/>
    <s v="Credit Airtime for Program Assistant"/>
    <s v="JV-MP072824"/>
    <x v="27"/>
    <x v="251"/>
    <m/>
    <s v="6"/>
    <s v="Gam"/>
    <s v="3007"/>
    <s v="UN Peace Building Fund (PBF) - The Gambia 01/2023-12/2025"/>
  </r>
  <r>
    <x v="14"/>
    <s v="Telephone &amp; Internet Access"/>
    <s v="Credit Airtime for Finance Officer"/>
    <s v="JV-MP072824"/>
    <x v="27"/>
    <x v="251"/>
    <m/>
    <s v="6"/>
    <s v="Gam"/>
    <s v="3007"/>
    <s v="UN Peace Building Fund (PBF) - The Gambia 01/2023-12/2025"/>
  </r>
  <r>
    <x v="14"/>
    <s v="Telephone &amp; Internet Access"/>
    <s v="Internet Subscription for Office Line 2"/>
    <s v="JV-MP072824"/>
    <x v="27"/>
    <x v="252"/>
    <m/>
    <s v="6"/>
    <s v="Gam"/>
    <s v="3007"/>
    <s v="UN Peace Building Fund (PBF) - The Gambia 01/2023-12/2025"/>
  </r>
  <r>
    <x v="6"/>
    <s v="Office Supplies / Materials"/>
    <s v="NAWEC Cash Power - June 2024"/>
    <s v="JV-MP072824"/>
    <x v="27"/>
    <x v="207"/>
    <m/>
    <s v="6"/>
    <s v="Gam"/>
    <s v="3007"/>
    <s v="UN Peace Building Fund (PBF) - The Gambia 01/2023-12/2025"/>
  </r>
  <r>
    <x v="6"/>
    <s v="Office Supplies / Materials"/>
    <s v="Shopping Bag"/>
    <s v="JV-MP072824"/>
    <x v="27"/>
    <x v="105"/>
    <m/>
    <s v="6"/>
    <s v="Gam"/>
    <s v="3007"/>
    <s v="UN Peace Building Fund (PBF) - The Gambia 01/2023-12/2025"/>
  </r>
  <r>
    <x v="6"/>
    <s v="Office Supplies / Materials"/>
    <s v="Air Freshener Qty 2"/>
    <s v="JV-MP072824"/>
    <x v="27"/>
    <x v="208"/>
    <m/>
    <s v="6"/>
    <s v="Gam"/>
    <s v="3007"/>
    <s v="UN Peace Building Fund (PBF) - The Gambia 01/2023-12/2025"/>
  </r>
  <r>
    <x v="6"/>
    <s v="Office Supplies / Materials"/>
    <s v="Nescafe Gold Coffee"/>
    <s v="JV-MP072824"/>
    <x v="27"/>
    <x v="209"/>
    <m/>
    <s v="6"/>
    <s v="Gam"/>
    <s v="3007"/>
    <s v="UN Peace Building Fund (PBF) - The Gambia 01/2023-12/2025"/>
  </r>
  <r>
    <x v="6"/>
    <s v="Office Supplies / Materials"/>
    <s v="Milk"/>
    <s v="JV-MP072824"/>
    <x v="27"/>
    <x v="210"/>
    <m/>
    <s v="6"/>
    <s v="Gam"/>
    <s v="3007"/>
    <s v="UN Peace Building Fund (PBF) - The Gambia 01/2023-12/2025"/>
  </r>
  <r>
    <x v="6"/>
    <s v="Office Supplies / Materials"/>
    <s v="Water"/>
    <s v="JV-MP072824"/>
    <x v="27"/>
    <x v="253"/>
    <m/>
    <s v="6"/>
    <s v="Gam"/>
    <s v="3007"/>
    <s v="UN Peace Building Fund (PBF) - The Gambia 01/2023-12/2025"/>
  </r>
  <r>
    <x v="6"/>
    <s v="Office Supplies / Materials"/>
    <s v="Olinda Tea"/>
    <s v="JV-MP072824"/>
    <x v="27"/>
    <x v="254"/>
    <m/>
    <s v="6"/>
    <s v="Gam"/>
    <s v="3007"/>
    <s v="UN Peace Building Fund (PBF) - The Gambia 01/2023-12/2025"/>
  </r>
  <r>
    <x v="6"/>
    <s v="Office Supplies / Materials"/>
    <s v="Sugar St Luis"/>
    <s v="JV-MP072824"/>
    <x v="27"/>
    <x v="255"/>
    <m/>
    <s v="6"/>
    <s v="Gam"/>
    <s v="3007"/>
    <s v="UN Peace Building Fund (PBF) - The Gambia 01/2023-12/2025"/>
  </r>
  <r>
    <x v="6"/>
    <s v="Office Supplies / Materials"/>
    <s v="Alkaline Btteries AA and AAA"/>
    <s v="JV-MP072824"/>
    <x v="27"/>
    <x v="256"/>
    <m/>
    <s v="6"/>
    <s v="Gam"/>
    <s v="3007"/>
    <s v="UN Peace Building Fund (PBF) - The Gambia 01/2023-12/2025"/>
  </r>
  <r>
    <x v="6"/>
    <s v="Office Supplies / Materials"/>
    <s v="Mouse Pad"/>
    <s v="JV-MP072824"/>
    <x v="27"/>
    <x v="215"/>
    <m/>
    <s v="6"/>
    <s v="Gam"/>
    <s v="3007"/>
    <s v="UN Peace Building Fund (PBF) - The Gambia 01/2023-12/2025"/>
  </r>
  <r>
    <x v="6"/>
    <s v="Office Supplies / Materials"/>
    <s v="Bleach Qty 1"/>
    <s v="JV-MP072824"/>
    <x v="27"/>
    <x v="215"/>
    <m/>
    <s v="6"/>
    <s v="Gam"/>
    <s v="3007"/>
    <s v="UN Peace Building Fund (PBF) - The Gambia 01/2023-12/2025"/>
  </r>
  <r>
    <x v="6"/>
    <s v="Office Supplies / Materials"/>
    <s v="Newspaper Subscription Monthly Payment"/>
    <s v="JV-MP072824"/>
    <x v="27"/>
    <x v="257"/>
    <m/>
    <s v="6"/>
    <s v="Gam"/>
    <s v="3007"/>
    <s v="UN Peace Building Fund (PBF) - The Gambia 01/2023-12/2025"/>
  </r>
  <r>
    <x v="3"/>
    <s v="Ground (Car/Mileage, Rail, Taxi/Shuttle)"/>
    <s v="Taxi Service for Transportation"/>
    <s v="JV-MP072824"/>
    <x v="27"/>
    <x v="243"/>
    <m/>
    <s v="6"/>
    <s v="Gam"/>
    <s v="3007"/>
    <s v="UN Peace Building Fund (PBF) - The Gambia 01/2023-12/2025"/>
  </r>
  <r>
    <x v="21"/>
    <s v="Media Outreach / Publicity"/>
    <s v="The Gambia Comm Support"/>
    <s v="JV-JS063024 IT &amp; Comm Alloc"/>
    <x v="27"/>
    <x v="199"/>
    <m/>
    <s v="9999"/>
    <s v="9999"/>
    <s v="3007"/>
    <s v="UN Peace Building Fund (PBF) - The Gambia 01/2023-12/2025"/>
  </r>
  <r>
    <x v="1"/>
    <s v="Salary &amp; Fringes Fund Allocation"/>
    <s v="Ladisch, Virginie"/>
    <s v="JV-JS063024 Sal Alloc"/>
    <x v="27"/>
    <x v="2"/>
    <m/>
    <s v="9999"/>
    <s v="9999"/>
    <s v="3007"/>
    <s v="UN Peace Building Fund (PBF) - The Gambia 01/2023-12/2025"/>
  </r>
  <r>
    <x v="1"/>
    <s v="Salary &amp; Fringes Fund Allocation"/>
    <s v="Porciuncula, Mateo"/>
    <s v="JV-JS063024 Sal Alloc"/>
    <x v="27"/>
    <x v="3"/>
    <m/>
    <s v="9999"/>
    <s v="9999"/>
    <s v="3007"/>
    <s v="UN Peace Building Fund (PBF) - The Gambia 01/2023-12/2025"/>
  </r>
  <r>
    <x v="1"/>
    <s v="Salary &amp; Fringes Fund Allocation"/>
    <s v="Roccatello, Anna Myriam"/>
    <s v="JV-JS063024 Sal Alloc"/>
    <x v="27"/>
    <x v="4"/>
    <m/>
    <s v="9999"/>
    <s v="9999"/>
    <s v="3007"/>
    <s v="UN Peace Building Fund (PBF) - The Gambia 01/2023-12/2025"/>
  </r>
  <r>
    <x v="17"/>
    <s v="IT Consulting, Services, and Support"/>
    <s v="The Gambia IT Support"/>
    <s v="JV-JS063024 IT &amp; Comm Alloc"/>
    <x v="27"/>
    <x v="200"/>
    <m/>
    <s v="9999"/>
    <s v="9999"/>
    <s v="3007"/>
    <s v="UN Peace Building Fund (PBF) - The Gambia 01/2023-12/2025"/>
  </r>
  <r>
    <x v="10"/>
    <s v="Consultants"/>
    <s v="JULY 2025 - PROF SERVICE - HEAD OF PROG SALARY/HEALTH INS - THE GAMBIA- D GBERY"/>
    <s v="AP-RW070824"/>
    <x v="28"/>
    <x v="69"/>
    <m/>
    <s v="9999"/>
    <s v="Gam"/>
    <s v="3007"/>
    <s v="UN Peace Building Fund (PBF) - The Gambia 01/2023-12/2025"/>
  </r>
  <r>
    <x v="21"/>
    <s v="Media Outreach / Publicity"/>
    <s v="Pmt to Unique Graphics for the Printing Job for Steering Committee Meeting"/>
    <s v="JV-RW082824"/>
    <x v="29"/>
    <x v="258"/>
    <m/>
    <s v="2.1"/>
    <s v="Gam"/>
    <s v="3007"/>
    <s v="UN Peace Building Fund (PBF) - The Gambia 01/2023-12/2025"/>
  </r>
  <r>
    <x v="21"/>
    <s v="Media Outreach / Publicity"/>
    <s v="Pmt for for the Printing 100 copies of WP for Steering Committee Meeting"/>
    <s v="JV-RW082824"/>
    <x v="29"/>
    <x v="259"/>
    <m/>
    <s v="2.1"/>
    <s v="Gam"/>
    <s v="3007"/>
    <s v="UN Peace Building Fund (PBF) - The Gambia 01/2023-12/2025"/>
  </r>
  <r>
    <x v="8"/>
    <s v="Meals &amp; Per Diem"/>
    <s v="Meals Participants"/>
    <s v="JV-RW082824"/>
    <x v="29"/>
    <x v="260"/>
    <m/>
    <s v="2.2"/>
    <s v="Gam"/>
    <s v="3007"/>
    <s v="UN Peace Building Fund (PBF) - The Gambia 01/2023-12/2025"/>
  </r>
  <r>
    <x v="3"/>
    <s v="Ground (Car/Mileage, Rail, Taxi/Shuttle)"/>
    <s v="Transport Refund for Participants"/>
    <s v="JV-RW082824"/>
    <x v="29"/>
    <x v="261"/>
    <m/>
    <s v="2.2"/>
    <s v="Gam"/>
    <s v="3007"/>
    <s v="UN Peace Building Fund (PBF) - The Gambia 01/2023-12/2025"/>
  </r>
  <r>
    <x v="15"/>
    <s v="Event Planning / Organization"/>
    <s v="Mobilization Fees"/>
    <s v="JV-RW082824"/>
    <x v="29"/>
    <x v="262"/>
    <m/>
    <s v="2.2"/>
    <s v="Gam"/>
    <s v="3007"/>
    <s v="UN Peace Building Fund (PBF) - The Gambia 01/2023-12/2025"/>
  </r>
  <r>
    <x v="15"/>
    <s v="Event Planning / Organization"/>
    <s v="Focal Person Fees"/>
    <s v="JV-RW082824"/>
    <x v="29"/>
    <x v="263"/>
    <m/>
    <s v="2.3"/>
    <s v="Gam"/>
    <s v="3007"/>
    <s v="UN Peace Building Fund (PBF) - The Gambia 01/2023-12/2025"/>
  </r>
  <r>
    <x v="9"/>
    <s v="Other Expenses"/>
    <s v="Sanitary and First Aid Box"/>
    <s v="JV-RW082824"/>
    <x v="29"/>
    <x v="264"/>
    <m/>
    <s v="2.3"/>
    <s v="Gam"/>
    <s v="3007"/>
    <s v="UN Peace Building Fund (PBF) - The Gambia 01/2023-12/2025"/>
  </r>
  <r>
    <x v="3"/>
    <s v="Ground (Car/Mileage, Rail, Taxi/Shuttle)"/>
    <s v="Fuel for Vehicle"/>
    <s v="JV-RW082824"/>
    <x v="29"/>
    <x v="265"/>
    <m/>
    <s v="2.3"/>
    <s v="Gam"/>
    <s v="3007"/>
    <s v="UN Peace Building Fund (PBF) - The Gambia 01/2023-12/2025"/>
  </r>
  <r>
    <x v="3"/>
    <s v="Ground (Car/Mileage, Rail, Taxi/Shuttle)"/>
    <s v="Bridge and Ferry Crossing"/>
    <s v="JV-RW082824"/>
    <x v="29"/>
    <x v="266"/>
    <m/>
    <s v="2.3"/>
    <s v="Gam"/>
    <s v="3007"/>
    <s v="UN Peace Building Fund (PBF) - The Gambia 01/2023-12/2025"/>
  </r>
  <r>
    <x v="3"/>
    <s v="Ground (Car/Mileage, Rail, Taxi/Shuttle)"/>
    <s v="Transport Refund for Peer Trainers"/>
    <s v="JV-RW082824"/>
    <x v="29"/>
    <x v="267"/>
    <m/>
    <s v="2.3"/>
    <s v="Gam"/>
    <s v="3007"/>
    <s v="UN Peace Building Fund (PBF) - The Gambia 01/2023-12/2025"/>
  </r>
  <r>
    <x v="3"/>
    <s v="Ground (Car/Mileage, Rail, Taxi/Shuttle)"/>
    <s v="Vehicle Hire for UNPBF P2P &amp; Round table Dialogue"/>
    <s v="JV-RW082824"/>
    <x v="29"/>
    <x v="268"/>
    <m/>
    <s v="2.3"/>
    <s v="Gam"/>
    <s v="3007"/>
    <s v="UN Peace Building Fund (PBF) - The Gambia 01/2023-12/2025"/>
  </r>
  <r>
    <x v="3"/>
    <s v="Ground (Car/Mileage, Rail, Taxi/Shuttle)"/>
    <s v="Vehicle Hire for UNPBF Nationwide Caravan"/>
    <s v="JV-RW082824"/>
    <x v="29"/>
    <x v="269"/>
    <m/>
    <s v="2.3"/>
    <s v="Gam"/>
    <s v="3007"/>
    <s v="UN Peace Building Fund (PBF) - The Gambia 01/2023-12/2025"/>
  </r>
  <r>
    <x v="25"/>
    <s v="Equipment Leasing"/>
    <s v="Final pmt to Allen Loppy for Sound System &amp; Truck."/>
    <s v="JV-RW082824"/>
    <x v="29"/>
    <x v="270"/>
    <m/>
    <s v="2.3"/>
    <s v="Gam"/>
    <s v="3007"/>
    <s v="UN Peace Building Fund (PBF) - The Gambia 01/2023-12/2025"/>
  </r>
  <r>
    <x v="25"/>
    <s v="Equipment Leasing"/>
    <s v="50% pmt to Allen Loppy for Sound System &amp; Truck."/>
    <s v="JV-RW082824"/>
    <x v="29"/>
    <x v="270"/>
    <m/>
    <s v="2.3"/>
    <s v="Gam"/>
    <s v="3007"/>
    <s v="UN Peace Building Fund (PBF) - The Gambia 01/2023-12/2025"/>
  </r>
  <r>
    <x v="3"/>
    <s v="Ground (Car/Mileage, Rail, Taxi/Shuttle)"/>
    <s v="Taxi Services"/>
    <s v="JV-RW082824"/>
    <x v="29"/>
    <x v="271"/>
    <m/>
    <s v="2.3"/>
    <s v="Gam"/>
    <s v="3007"/>
    <s v="UN Peace Building Fund (PBF) - The Gambia 01/2023-12/2025"/>
  </r>
  <r>
    <x v="3"/>
    <s v="Ground (Car/Mileage, Rail, Taxi/Shuttle)"/>
    <s v="Transport Refund for Media House"/>
    <s v="JV-RW082824"/>
    <x v="29"/>
    <x v="267"/>
    <m/>
    <s v="2.3"/>
    <s v="Gam"/>
    <s v="3007"/>
    <s v="UN Peace Building Fund (PBF) - The Gambia 01/2023-12/2025"/>
  </r>
  <r>
    <x v="8"/>
    <s v="Meals &amp; Per Diem"/>
    <s v="DSA for Team"/>
    <s v="JV-RW082824"/>
    <x v="29"/>
    <x v="272"/>
    <m/>
    <s v="2.3"/>
    <s v="Gam"/>
    <s v="3007"/>
    <s v="UN Peace Building Fund (PBF) - The Gambia 01/2023-12/2025"/>
  </r>
  <r>
    <x v="8"/>
    <s v="Meals &amp; Per Diem"/>
    <s v="Water and Refreshment"/>
    <s v="JV-RW082824"/>
    <x v="29"/>
    <x v="273"/>
    <m/>
    <s v="2.3"/>
    <s v="Gam"/>
    <s v="3007"/>
    <s v="UN Peace Building Fund (PBF) - The Gambia 01/2023-12/2025"/>
  </r>
  <r>
    <x v="8"/>
    <s v="Meals &amp; Per Diem"/>
    <s v="Catering for Participants"/>
    <s v="JV-RW082824"/>
    <x v="29"/>
    <x v="274"/>
    <m/>
    <s v="2.3"/>
    <s v="Gam"/>
    <s v="3007"/>
    <s v="UN Peace Building Fund (PBF) - The Gambia 01/2023-12/2025"/>
  </r>
  <r>
    <x v="21"/>
    <s v="Media Outreach / Publicity"/>
    <s v="Final pmt to Unique Graphics for Printing 1200 copies of WP."/>
    <s v="JV-RW082824"/>
    <x v="29"/>
    <x v="275"/>
    <m/>
    <s v="2.3"/>
    <s v="Gam"/>
    <s v="3007"/>
    <s v="UN Peace Building Fund (PBF) - The Gambia 01/2023-12/2025"/>
  </r>
  <r>
    <x v="21"/>
    <s v="Media Outreach / Publicity"/>
    <s v="Final pmt to Binos Creation for the Caravan Printing Job"/>
    <s v="JV-RW082824"/>
    <x v="29"/>
    <x v="276"/>
    <m/>
    <s v="2.3"/>
    <s v="Gam"/>
    <s v="3007"/>
    <s v="UN Peace Building Fund (PBF) - The Gambia 01/2023-12/2025"/>
  </r>
  <r>
    <x v="21"/>
    <s v="Media Outreach / Publicity"/>
    <s v="Radio Airtime"/>
    <s v="JV-RW082824"/>
    <x v="29"/>
    <x v="277"/>
    <m/>
    <s v="2.3"/>
    <s v="Gam"/>
    <s v="3007"/>
    <s v="UN Peace Building Fund (PBF) - The Gambia 01/2023-12/2025"/>
  </r>
  <r>
    <x v="21"/>
    <s v="Media Outreach / Publicity"/>
    <s v="40% pmt to Binos Creation for the Caravan Printing Job"/>
    <s v="JV-RW082824"/>
    <x v="29"/>
    <x v="278"/>
    <m/>
    <s v="2.3"/>
    <s v="Gam"/>
    <s v="3007"/>
    <s v="UN Peace Building Fund (PBF) - The Gambia 01/2023-12/2025"/>
  </r>
  <r>
    <x v="21"/>
    <s v="Media Outreach / Publicity"/>
    <s v="50% pmt to Unique Graphics for Printing 1200 copies of WP."/>
    <s v="JV-RW082824"/>
    <x v="29"/>
    <x v="275"/>
    <m/>
    <s v="2.3"/>
    <s v="Gam"/>
    <s v="3007"/>
    <s v="UN Peace Building Fund (PBF) - The Gambia 01/2023-12/2025"/>
  </r>
  <r>
    <x v="21"/>
    <s v="Media Outreach / Publicity"/>
    <s v="Pmt to Aisha Jammeh for Caravan Advert audio production"/>
    <s v="JV-RW082824"/>
    <x v="29"/>
    <x v="279"/>
    <m/>
    <s v="2.3"/>
    <s v="Gam"/>
    <s v="3007"/>
    <s v="UN Peace Building Fund (PBF) - The Gambia 01/2023-12/2025"/>
  </r>
  <r>
    <x v="10"/>
    <s v="Consultants"/>
    <s v="Kanyelang Group Performance"/>
    <s v="JV-RW082824"/>
    <x v="29"/>
    <x v="280"/>
    <m/>
    <s v="2.3"/>
    <s v="Gam"/>
    <s v="3007"/>
    <s v="UN Peace Building Fund (PBF) - The Gambia 01/2023-12/2025"/>
  </r>
  <r>
    <x v="10"/>
    <s v="Consultants"/>
    <s v="Consultant Fees"/>
    <s v="JV-RW082824"/>
    <x v="29"/>
    <x v="281"/>
    <m/>
    <s v="2.3"/>
    <s v="Gam"/>
    <s v="3007"/>
    <s v="UN Peace Building Fund (PBF) - The Gambia 01/2023-12/2025"/>
  </r>
  <r>
    <x v="10"/>
    <s v="Consultants"/>
    <s v="Consultants"/>
    <s v="JV-RW082824"/>
    <x v="29"/>
    <x v="282"/>
    <m/>
    <s v="2.5"/>
    <s v="Gam"/>
    <s v="3007"/>
    <s v="UN Peace Building Fund (PBF) - The Gambia 01/2023-12/2025"/>
  </r>
  <r>
    <x v="12"/>
    <s v="Rental Halls / Convention Center"/>
    <s v="Rental Halls / Convention Center"/>
    <s v="JV-RW082824"/>
    <x v="29"/>
    <x v="259"/>
    <m/>
    <s v="2.5"/>
    <s v="Gam"/>
    <s v="3007"/>
    <s v="UN Peace Building Fund (PBF) - The Gambia 01/2023-12/2025"/>
  </r>
  <r>
    <x v="8"/>
    <s v="Meals &amp; Per Diem"/>
    <s v="Meals &amp; Per Diem"/>
    <s v="JV-RW082824"/>
    <x v="29"/>
    <x v="283"/>
    <m/>
    <s v="2.5"/>
    <s v="Gam"/>
    <s v="3007"/>
    <s v="UN Peace Building Fund (PBF) - The Gambia 01/2023-12/2025"/>
  </r>
  <r>
    <x v="8"/>
    <s v="Meals &amp; Per Diem"/>
    <s v="Meals &amp; Per Diem"/>
    <s v="JV-RW082824"/>
    <x v="29"/>
    <x v="284"/>
    <m/>
    <s v="2.5"/>
    <s v="Gam"/>
    <s v="3007"/>
    <s v="UN Peace Building Fund (PBF) - The Gambia 01/2023-12/2025"/>
  </r>
  <r>
    <x v="8"/>
    <s v="Meals &amp; Per Diem"/>
    <s v="Meals &amp; Per Diem"/>
    <s v="JV-RW082824"/>
    <x v="29"/>
    <x v="281"/>
    <m/>
    <s v="2.5"/>
    <s v="Gam"/>
    <s v="3007"/>
    <s v="UN Peace Building Fund (PBF) - The Gambia 01/2023-12/2025"/>
  </r>
  <r>
    <x v="3"/>
    <s v="Ground (Car/Mileage, Rail, Taxi/Shuttle)"/>
    <s v="Ground (Car/Mileage, Rail, Taxi/Shuttle)"/>
    <s v="JV-RW082824"/>
    <x v="29"/>
    <x v="285"/>
    <m/>
    <s v="2.5"/>
    <s v="Gam"/>
    <s v="3007"/>
    <s v="UN Peace Building Fund (PBF) - The Gambia 01/2023-12/2025"/>
  </r>
  <r>
    <x v="9"/>
    <s v="Other Expenses"/>
    <s v="Other Expenses"/>
    <s v="JV-RW082824"/>
    <x v="29"/>
    <x v="267"/>
    <m/>
    <s v="2.5"/>
    <s v="Gam"/>
    <s v="3007"/>
    <s v="UN Peace Building Fund (PBF) - The Gambia 01/2023-12/2025"/>
  </r>
  <r>
    <x v="4"/>
    <s v="Wages - International - Full Time"/>
    <s v="Salary July 2024 -Finance Officer"/>
    <s v="JV-RW082824"/>
    <x v="29"/>
    <x v="286"/>
    <m/>
    <s v="5.2"/>
    <s v="Gam"/>
    <s v="3007"/>
    <s v="UN Peace Building Fund (PBF) - The Gambia 01/2023-12/2025"/>
  </r>
  <r>
    <x v="4"/>
    <s v="Wages - International - Full Time"/>
    <s v="Salary July 2024 -Program Assistant"/>
    <s v="JV-RW082824"/>
    <x v="29"/>
    <x v="287"/>
    <m/>
    <s v="5.3"/>
    <s v="Gam"/>
    <s v="3007"/>
    <s v="UN Peace Building Fund (PBF) - The Gambia 01/2023-12/2025"/>
  </r>
  <r>
    <x v="4"/>
    <s v="Wages - International - Full Time"/>
    <s v="Salary July 2024 -Cleaner, Fatou Kinteh"/>
    <s v="JV-RW082824"/>
    <x v="29"/>
    <x v="288"/>
    <m/>
    <s v="6"/>
    <s v="Gam"/>
    <s v="3007"/>
    <s v="UN Peace Building Fund (PBF) - The Gambia 01/2023-12/2025"/>
  </r>
  <r>
    <x v="18"/>
    <s v="Banking / Credit Cards Fee"/>
    <s v="Bank Charges on RTGS Trasfer to Afriqcars"/>
    <s v="JV-RW082824"/>
    <x v="29"/>
    <x v="215"/>
    <m/>
    <s v="6"/>
    <s v="Gam"/>
    <s v="3007"/>
    <s v="UN Peace Building Fund (PBF) - The Gambia 01/2023-12/2025"/>
  </r>
  <r>
    <x v="18"/>
    <s v="Banking / Credit Cards Fee"/>
    <s v="Bank Charges on RTGS Trasfer to Afriqcars"/>
    <s v="JV-RW082824"/>
    <x v="29"/>
    <x v="215"/>
    <m/>
    <s v="6"/>
    <s v="Gam"/>
    <s v="3007"/>
    <s v="UN Peace Building Fund (PBF) - The Gambia 01/2023-12/2025"/>
  </r>
  <r>
    <x v="14"/>
    <s v="Telephone &amp; Internet Access"/>
    <s v="Credit Airtime for Head of Programs"/>
    <s v="JV-RW082824"/>
    <x v="29"/>
    <x v="249"/>
    <m/>
    <s v="6"/>
    <s v="Gam"/>
    <s v="3007"/>
    <s v="UN Peace Building Fund (PBF) - The Gambia 01/2023-12/2025"/>
  </r>
  <r>
    <x v="14"/>
    <s v="Telephone &amp; Internet Access"/>
    <s v="Credit Airtime for Legal Consultant"/>
    <s v="JV-RW082824"/>
    <x v="29"/>
    <x v="289"/>
    <m/>
    <s v="6"/>
    <s v="Gam"/>
    <s v="3007"/>
    <s v="UN Peace Building Fund (PBF) - The Gambia 01/2023-12/2025"/>
  </r>
  <r>
    <x v="14"/>
    <s v="Telephone &amp; Internet Access"/>
    <s v="Credit Airtime for Program Assistant"/>
    <s v="JV-RW082824"/>
    <x v="29"/>
    <x v="289"/>
    <m/>
    <s v="6"/>
    <s v="Gam"/>
    <s v="3007"/>
    <s v="UN Peace Building Fund (PBF) - The Gambia 01/2023-12/2025"/>
  </r>
  <r>
    <x v="14"/>
    <s v="Telephone &amp; Internet Access"/>
    <s v="Credit Airtime for Finance Officer"/>
    <s v="JV-RW082824"/>
    <x v="29"/>
    <x v="289"/>
    <m/>
    <s v="6"/>
    <s v="Gam"/>
    <s v="3007"/>
    <s v="UN Peace Building Fund (PBF) - The Gambia 01/2023-12/2025"/>
  </r>
  <r>
    <x v="14"/>
    <s v="Telephone &amp; Internet Access"/>
    <s v="Internet Subscription for Office Line 2"/>
    <s v="JV-RW082824"/>
    <x v="29"/>
    <x v="238"/>
    <m/>
    <s v="6"/>
    <s v="Gam"/>
    <s v="3007"/>
    <s v="UN Peace Building Fund (PBF) - The Gambia 01/2023-12/2025"/>
  </r>
  <r>
    <x v="6"/>
    <s v="Office Supplies / Materials"/>
    <s v="Newspaper Subscription Monthly Payment"/>
    <s v="JV-RW082824"/>
    <x v="29"/>
    <x v="290"/>
    <m/>
    <s v="6"/>
    <s v="Gam"/>
    <s v="3007"/>
    <s v="UN Peace Building Fund (PBF) - The Gambia 01/2023-12/2025"/>
  </r>
  <r>
    <x v="6"/>
    <s v="Office Supplies / Materials"/>
    <s v="Shopping Bag"/>
    <s v="JV-RW082824"/>
    <x v="29"/>
    <x v="105"/>
    <m/>
    <s v="6"/>
    <s v="Gam"/>
    <s v="3007"/>
    <s v="UN Peace Building Fund (PBF) - The Gambia 01/2023-12/2025"/>
  </r>
  <r>
    <x v="6"/>
    <s v="Office Supplies / Materials"/>
    <s v="NAWEC Cash Power"/>
    <s v="JV-RW082824"/>
    <x v="29"/>
    <x v="291"/>
    <m/>
    <s v="6"/>
    <s v="Gam"/>
    <s v="3007"/>
    <s v="UN Peace Building Fund (PBF) - The Gambia 01/2023-12/2025"/>
  </r>
  <r>
    <x v="6"/>
    <s v="Office Supplies / Materials"/>
    <s v="Air Freshener Qty 2"/>
    <s v="JV-RW082824"/>
    <x v="29"/>
    <x v="292"/>
    <m/>
    <s v="6"/>
    <s v="Gam"/>
    <s v="3007"/>
    <s v="UN Peace Building Fund (PBF) - The Gambia 01/2023-12/2025"/>
  </r>
  <r>
    <x v="6"/>
    <s v="Office Supplies / Materials"/>
    <s v="Nescafe Gold Coffee"/>
    <s v="JV-RW082824"/>
    <x v="29"/>
    <x v="293"/>
    <m/>
    <s v="6"/>
    <s v="Gam"/>
    <s v="3007"/>
    <s v="UN Peace Building Fund (PBF) - The Gambia 01/2023-12/2025"/>
  </r>
  <r>
    <x v="6"/>
    <s v="Office Supplies / Materials"/>
    <s v="Milk"/>
    <s v="JV-RW082824"/>
    <x v="29"/>
    <x v="294"/>
    <m/>
    <s v="6"/>
    <s v="Gam"/>
    <s v="3007"/>
    <s v="UN Peace Building Fund (PBF) - The Gambia 01/2023-12/2025"/>
  </r>
  <r>
    <x v="6"/>
    <s v="Office Supplies / Materials"/>
    <s v="Water for dispenser"/>
    <s v="JV-RW082824"/>
    <x v="29"/>
    <x v="136"/>
    <m/>
    <s v="6"/>
    <s v="Gam"/>
    <s v="3007"/>
    <s v="UN Peace Building Fund (PBF) - The Gambia 01/2023-12/2025"/>
  </r>
  <r>
    <x v="6"/>
    <s v="Office Supplies / Materials"/>
    <s v="Sugar St Luis"/>
    <s v="JV-RW082824"/>
    <x v="29"/>
    <x v="295"/>
    <m/>
    <s v="6"/>
    <s v="Gam"/>
    <s v="3007"/>
    <s v="UN Peace Building Fund (PBF) - The Gambia 01/2023-12/2025"/>
  </r>
  <r>
    <x v="6"/>
    <s v="Office Supplies / Materials"/>
    <s v="Bleach Qty 1"/>
    <s v="JV-RW082824"/>
    <x v="29"/>
    <x v="214"/>
    <m/>
    <s v="6"/>
    <s v="Gam"/>
    <s v="3007"/>
    <s v="UN Peace Building Fund (PBF) - The Gambia 01/2023-12/2025"/>
  </r>
  <r>
    <x v="6"/>
    <s v="Office Supplies / Materials"/>
    <s v="Ovaltine Qty 1"/>
    <s v="JV-RW082824"/>
    <x v="29"/>
    <x v="296"/>
    <m/>
    <s v="6"/>
    <s v="Gam"/>
    <s v="3007"/>
    <s v="UN Peace Building Fund (PBF) - The Gambia 01/2023-12/2025"/>
  </r>
  <r>
    <x v="6"/>
    <s v="Office Supplies / Materials"/>
    <s v="Mouse Pad"/>
    <s v="JV-RW082824"/>
    <x v="29"/>
    <x v="297"/>
    <m/>
    <s v="6"/>
    <s v="Gam"/>
    <s v="3007"/>
    <s v="UN Peace Building Fund (PBF) - The Gambia 01/2023-12/2025"/>
  </r>
  <r>
    <x v="6"/>
    <s v="Office Supplies / Materials"/>
    <s v="Toner 17A Qty 2"/>
    <s v="JV-RW082824"/>
    <x v="29"/>
    <x v="298"/>
    <m/>
    <s v="6"/>
    <s v="Gam"/>
    <s v="3007"/>
    <s v="UN Peace Building Fund (PBF) - The Gambia 01/2023-12/2025"/>
  </r>
  <r>
    <x v="6"/>
    <s v="Office Supplies / Materials"/>
    <s v="A4 Paper Box"/>
    <s v="JV-RW082824"/>
    <x v="29"/>
    <x v="299"/>
    <m/>
    <s v="6"/>
    <s v="Gam"/>
    <s v="3007"/>
    <s v="UN Peace Building Fund (PBF) - The Gambia 01/2023-12/2025"/>
  </r>
  <r>
    <x v="6"/>
    <s v="Office Supplies / Materials"/>
    <s v="Led Bulb Qty"/>
    <s v="JV-RW082824"/>
    <x v="29"/>
    <x v="215"/>
    <m/>
    <s v="6"/>
    <s v="Gam"/>
    <s v="3007"/>
    <s v="UN Peace Building Fund (PBF) - The Gambia 01/2023-12/2025"/>
  </r>
  <r>
    <x v="6"/>
    <s v="Office Supplies / Materials"/>
    <s v="Water Bottle Packs Qty 2"/>
    <s v="JV-RW082824"/>
    <x v="29"/>
    <x v="296"/>
    <m/>
    <s v="6"/>
    <s v="Gam"/>
    <s v="3007"/>
    <s v="UN Peace Building Fund (PBF) - The Gambia 01/2023-12/2025"/>
  </r>
  <r>
    <x v="6"/>
    <s v="Office Supplies / Materials"/>
    <s v="Omo 1 bag"/>
    <s v="JV-RW082824"/>
    <x v="29"/>
    <x v="299"/>
    <m/>
    <s v="6"/>
    <s v="Gam"/>
    <s v="3007"/>
    <s v="UN Peace Building Fund (PBF) - The Gambia 01/2023-12/2025"/>
  </r>
  <r>
    <x v="6"/>
    <s v="Office Supplies / Materials"/>
    <s v="Tissue 1 Box"/>
    <s v="JV-RW082824"/>
    <x v="29"/>
    <x v="300"/>
    <m/>
    <s v="6"/>
    <s v="Gam"/>
    <s v="3007"/>
    <s v="UN Peace Building Fund (PBF) - The Gambia 01/2023-12/2025"/>
  </r>
  <r>
    <x v="6"/>
    <s v="Office Supplies / Materials"/>
    <s v="Toilet Roll"/>
    <s v="JV-RW082824"/>
    <x v="29"/>
    <x v="301"/>
    <m/>
    <s v="6"/>
    <s v="Gam"/>
    <s v="3007"/>
    <s v="UN Peace Building Fund (PBF) - The Gambia 01/2023-12/2025"/>
  </r>
  <r>
    <x v="6"/>
    <s v="Office Supplies / Materials"/>
    <s v="Dustbin"/>
    <s v="JV-RW082824"/>
    <x v="29"/>
    <x v="302"/>
    <m/>
    <s v="6"/>
    <s v="Gam"/>
    <s v="3007"/>
    <s v="UN Peace Building Fund (PBF) - The Gambia 01/2023-12/2025"/>
  </r>
  <r>
    <x v="6"/>
    <s v="Office Supplies / Materials"/>
    <s v="Arch Files Qty 3"/>
    <s v="JV-RW082824"/>
    <x v="29"/>
    <x v="214"/>
    <m/>
    <s v="6"/>
    <s v="Gam"/>
    <s v="3007"/>
    <s v="UN Peace Building Fund (PBF) - The Gambia 01/2023-12/2025"/>
  </r>
  <r>
    <x v="23"/>
    <s v="Office Equipment (below $2,000)"/>
    <s v="Refund to HoP for the Purchase of Video Project in Ivory Coast"/>
    <s v="JV-RW082824"/>
    <x v="29"/>
    <x v="303"/>
    <m/>
    <s v="6"/>
    <s v="Gam"/>
    <s v="3007"/>
    <s v="UN Peace Building Fund (PBF) - The Gambia 01/2023-12/2025"/>
  </r>
  <r>
    <x v="3"/>
    <s v="Ground (Car/Mileage, Rail, Taxi/Shuttle)"/>
    <s v="Taxi Service for Transportation"/>
    <s v="JV-RW082824"/>
    <x v="29"/>
    <x v="304"/>
    <m/>
    <s v="6"/>
    <s v="Gam"/>
    <s v="3007"/>
    <s v="UN Peace Building Fund (PBF) - The Gambia 01/2023-12/2025"/>
  </r>
  <r>
    <x v="3"/>
    <s v="Ground (Car/Mileage, Rail, Taxi/Shuttle)"/>
    <s v="Office trnsportation Fuel Refund to HoP"/>
    <s v="JV-RW082824"/>
    <x v="29"/>
    <x v="305"/>
    <m/>
    <s v="6"/>
    <s v="Gam"/>
    <s v="3007"/>
    <s v="UN Peace Building Fund (PBF) - The Gambia 01/2023-12/2025"/>
  </r>
  <r>
    <x v="3"/>
    <s v="Ground (Car/Mileage, Rail, Taxi/Shuttle)"/>
    <s v="Office trnsportation Fuel Refund to HoP"/>
    <s v="JV-RW082824"/>
    <x v="29"/>
    <x v="300"/>
    <m/>
    <s v="6"/>
    <s v="Gam"/>
    <s v="3007"/>
    <s v="UN Peace Building Fund (PBF) - The Gambia 01/2023-12/2025"/>
  </r>
  <r>
    <x v="3"/>
    <s v="Ground (Car/Mileage, Rail, Taxi/Shuttle)"/>
    <s v="Office trnsportation Fuel Refund to HoP"/>
    <s v="JV-RW082824"/>
    <x v="29"/>
    <x v="300"/>
    <m/>
    <s v="6"/>
    <s v="Gam"/>
    <s v="3007"/>
    <s v="UN Peace Building Fund (PBF) - The Gambia 01/2023-12/2025"/>
  </r>
  <r>
    <x v="3"/>
    <s v="Ground (Car/Mileage, Rail, Taxi/Shuttle)"/>
    <s v="Office trnsportation Fuel Refund to HoP"/>
    <s v="JV-RW082824"/>
    <x v="29"/>
    <x v="300"/>
    <m/>
    <s v="6"/>
    <s v="Gam"/>
    <s v="3007"/>
    <s v="UN Peace Building Fund (PBF) - The Gambia 01/2023-12/2025"/>
  </r>
  <r>
    <x v="21"/>
    <s v="Media Outreach / Publicity"/>
    <s v="The Gambia Comm Support"/>
    <s v="JV-JS073124 IT &amp; Comm Alloc"/>
    <x v="29"/>
    <x v="199"/>
    <m/>
    <s v="9999"/>
    <s v="9999"/>
    <s v="3007"/>
    <s v="UN Peace Building Fund (PBF) - The Gambia 01/2023-12/2025"/>
  </r>
  <r>
    <x v="1"/>
    <s v="Salary &amp; Fringes Fund Allocation"/>
    <s v="Ladisch, Virginie"/>
    <s v="JV-JS073124 Sal Alloc"/>
    <x v="29"/>
    <x v="2"/>
    <m/>
    <s v="9999"/>
    <s v="9999"/>
    <s v="3007"/>
    <s v="UN Peace Building Fund (PBF) - The Gambia 01/2023-12/2025"/>
  </r>
  <r>
    <x v="1"/>
    <s v="Salary &amp; Fringes Fund Allocation"/>
    <s v="Porciuncula, Mateo"/>
    <s v="JV-JS073124 Sal Alloc"/>
    <x v="29"/>
    <x v="3"/>
    <m/>
    <s v="9999"/>
    <s v="9999"/>
    <s v="3007"/>
    <s v="UN Peace Building Fund (PBF) - The Gambia 01/2023-12/2025"/>
  </r>
  <r>
    <x v="1"/>
    <s v="Salary &amp; Fringes Fund Allocation"/>
    <s v="Roccatello, Anna Myriam"/>
    <s v="JV-JS073124 Sal Alloc"/>
    <x v="29"/>
    <x v="4"/>
    <m/>
    <s v="9999"/>
    <s v="9999"/>
    <s v="3007"/>
    <s v="UN Peace Building Fund (PBF) - The Gambia 01/2023-12/2025"/>
  </r>
  <r>
    <x v="17"/>
    <s v="IT Consulting, Services, and Support"/>
    <s v="The Gambia IT Support"/>
    <s v="JV-JS073124 IT &amp; Comm Alloc"/>
    <x v="29"/>
    <x v="200"/>
    <m/>
    <s v="9999"/>
    <s v="9999"/>
    <s v="3007"/>
    <s v="UN Peace Building Fund (PBF) - The Gambia 01/2023-12/2025"/>
  </r>
  <r>
    <x v="10"/>
    <s v="Consultants"/>
    <s v="AUGUST 2024 - PROF SERVICE - HEAD OF PROG SALARY/HEALTH INS - THE GAMBIA- D GBERY"/>
    <s v="AP-RW080724"/>
    <x v="30"/>
    <x v="69"/>
    <m/>
    <s v="9999"/>
    <s v="Gam"/>
    <s v="3007"/>
    <s v="UN Peace Building Fund (PBF) - The Gambia 01/2023-12/2025"/>
  </r>
  <r>
    <x v="8"/>
    <s v="Meals &amp; Per Diem"/>
    <s v="Snack Packs for Participants"/>
    <s v="JV-RW101624-1"/>
    <x v="31"/>
    <x v="306"/>
    <m/>
    <s v="2.1"/>
    <s v="Gam"/>
    <s v="3007"/>
    <s v="UN Peace Building Fund (PBF) - The Gambia 01/2023-12/2025"/>
  </r>
  <r>
    <x v="3"/>
    <s v="Ground (Car/Mileage, Rail, Taxi/Shuttle)"/>
    <s v="Transport Refund"/>
    <s v="JV-RW101624-1"/>
    <x v="31"/>
    <x v="307"/>
    <m/>
    <s v="2.1"/>
    <s v="Gam"/>
    <s v="3007"/>
    <s v="UN Peace Building Fund (PBF) - The Gambia 01/2023-12/2025"/>
  </r>
  <r>
    <x v="3"/>
    <s v="Ground (Car/Mileage, Rail, Taxi/Shuttle)"/>
    <s v="Taxi Services incurred-permit letter andpriority crossing"/>
    <s v="JV-RW101624-1"/>
    <x v="31"/>
    <x v="308"/>
    <m/>
    <s v="2.3"/>
    <s v="Gam"/>
    <s v="3007"/>
    <s v="UN Peace Building Fund (PBF) - The Gambia 01/2023-12/2025"/>
  </r>
  <r>
    <x v="21"/>
    <s v="Media Outreach / Publicity"/>
    <s v="Pmt for press statement release on UNPBF Caravan to foroyaa"/>
    <s v="JV-RW101624-1"/>
    <x v="31"/>
    <x v="309"/>
    <m/>
    <s v="2.3"/>
    <s v="Gam"/>
    <s v="3007"/>
    <s v="UN Peace Building Fund (PBF) - The Gambia 01/2023-12/2025"/>
  </r>
  <r>
    <x v="21"/>
    <s v="Media Outreach / Publicity"/>
    <s v="Pmt for press statement release on UNPBF Caravan to Standard"/>
    <s v="JV-RW101624-1"/>
    <x v="31"/>
    <x v="310"/>
    <m/>
    <s v="2.3"/>
    <s v="Gam"/>
    <s v="3007"/>
    <s v="UN Peace Building Fund (PBF) - The Gambia 01/2023-12/2025"/>
  </r>
  <r>
    <x v="4"/>
    <s v="Wages - International - Full Time"/>
    <s v="Salary August 2024 -Program Assistant"/>
    <s v="JV-RW101624-1"/>
    <x v="31"/>
    <x v="311"/>
    <m/>
    <s v="5.3"/>
    <s v="Gam"/>
    <s v="3007"/>
    <s v="UN Peace Building Fund (PBF) - The Gambia 01/2023-12/2025"/>
  </r>
  <r>
    <x v="4"/>
    <s v="Wages - International - Full Time"/>
    <s v="Salary August 2024 -MediaConsultant"/>
    <s v="JV-RW101624-1"/>
    <x v="31"/>
    <x v="312"/>
    <m/>
    <s v="5.7"/>
    <s v="Gam"/>
    <s v="3007"/>
    <s v="UN Peace Building Fund (PBF) - The Gambia 01/2023-12/2025"/>
  </r>
  <r>
    <x v="4"/>
    <s v="Wages - International - Full Time"/>
    <s v="Salary August 2024 -Cleaner, Fatou Kinteh"/>
    <s v="JV-RW101624-1"/>
    <x v="31"/>
    <x v="313"/>
    <m/>
    <s v="6"/>
    <s v="Gam"/>
    <s v="3007"/>
    <s v="UN Peace Building Fund (PBF) - The Gambia 01/2023-12/2025"/>
  </r>
  <r>
    <x v="26"/>
    <s v="Immigration / VISA Fees"/>
    <s v="HoP US Visa Fees Payment"/>
    <s v="JV-RW101624-1"/>
    <x v="31"/>
    <x v="314"/>
    <m/>
    <s v="6"/>
    <s v="Gam"/>
    <s v="3007"/>
    <s v="UN Peace Building Fund (PBF) - The Gambia 01/2023-12/2025"/>
  </r>
  <r>
    <x v="6"/>
    <s v="Office Supplies / Materials"/>
    <s v="Newspaper Subscription Monthly Payment"/>
    <s v="JV-RW101624-1"/>
    <x v="31"/>
    <x v="315"/>
    <m/>
    <s v="6"/>
    <s v="Gam"/>
    <s v="3007"/>
    <s v="UN Peace Building Fund (PBF) - The Gambia 01/2023-12/2025"/>
  </r>
  <r>
    <x v="18"/>
    <s v="Banking / Credit Cards Fee"/>
    <s v="Bank charges on other Bank Transfer"/>
    <s v="JV-RW101624-1"/>
    <x v="31"/>
    <x v="316"/>
    <m/>
    <s v="6"/>
    <s v="Gam"/>
    <s v="3007"/>
    <s v="UN Peace Building Fund (PBF) - The Gambia 01/2023-12/2025"/>
  </r>
  <r>
    <x v="24"/>
    <s v="Office Maintenance &amp; Repairs"/>
    <s v="Refund- Electrical Maintenance at HoP Residence"/>
    <s v="JV-RW101624-1"/>
    <x v="31"/>
    <x v="317"/>
    <m/>
    <s v="6"/>
    <s v="Gam"/>
    <s v="3007"/>
    <s v="UN Peace Building Fund (PBF) - The Gambia 01/2023-12/2025"/>
  </r>
  <r>
    <x v="24"/>
    <s v="Office Maintenance &amp; Repairs"/>
    <s v="Refund- Office mainenance (Electrical) &amp; Fan Installation"/>
    <s v="JV-RW101624-1"/>
    <x v="31"/>
    <x v="318"/>
    <m/>
    <s v="6"/>
    <s v="Gam"/>
    <s v="3007"/>
    <s v="UN Peace Building Fund (PBF) - The Gambia 01/2023-12/2025"/>
  </r>
  <r>
    <x v="24"/>
    <s v="Office Maintenance &amp; Repairs"/>
    <s v="Refund- Grass clearing (Cleaning) at office front"/>
    <s v="JV-RW101624-1"/>
    <x v="31"/>
    <x v="319"/>
    <m/>
    <s v="6"/>
    <s v="Gam"/>
    <s v="3007"/>
    <s v="UN Peace Building Fund (PBF) - The Gambia 01/2023-12/2025"/>
  </r>
  <r>
    <x v="27"/>
    <s v="Furniture &amp; Equipment (below $2000)"/>
    <s v="Executive Chair for HoP Office"/>
    <s v="JV-RW101624-1"/>
    <x v="31"/>
    <x v="320"/>
    <m/>
    <s v="6"/>
    <s v="Gam"/>
    <s v="3007"/>
    <s v="UN Peace Building Fund (PBF) - The Gambia 01/2023-12/2025"/>
  </r>
  <r>
    <x v="23"/>
    <s v="Office Equipment (below $2,000)"/>
    <s v="Payment for AC's for programs and finance offce"/>
    <s v="JV-RW101624-1"/>
    <x v="31"/>
    <x v="321"/>
    <m/>
    <s v="6"/>
    <s v="Gam"/>
    <s v="3007"/>
    <s v="UN Peace Building Fund (PBF) - The Gambia 01/2023-12/2025"/>
  </r>
  <r>
    <x v="19"/>
    <s v="Computer Equipment &amp; Software (below $2,000)"/>
    <s v="Final payment for Laptop Purchase for HoP"/>
    <s v="JV-RW101624-1"/>
    <x v="31"/>
    <x v="322"/>
    <m/>
    <s v="6"/>
    <s v="Gam"/>
    <s v="3007"/>
    <s v="UN Peace Building Fund (PBF) - The Gambia 01/2023-12/2025"/>
  </r>
  <r>
    <x v="19"/>
    <s v="Computer Equipment &amp; Software (below $2,000)"/>
    <s v="Initial payment for Laptop Purchase for HoP"/>
    <s v="JV-RW101624-1"/>
    <x v="31"/>
    <x v="323"/>
    <m/>
    <s v="6"/>
    <s v="Gam"/>
    <s v="3007"/>
    <s v="UN Peace Building Fund (PBF) - The Gambia 01/2023-12/2025"/>
  </r>
  <r>
    <x v="14"/>
    <s v="Telephone &amp; Internet Access"/>
    <s v="Office Internet Subscription- Aug to Oct 2024"/>
    <s v="JV-RW101624-1"/>
    <x v="31"/>
    <x v="324"/>
    <m/>
    <s v="6"/>
    <s v="Gam"/>
    <s v="3007"/>
    <s v="UN Peace Building Fund (PBF) - The Gambia 01/2023-12/2025"/>
  </r>
  <r>
    <x v="14"/>
    <s v="Telephone &amp; Internet Access"/>
    <s v="Credit Airtime for Head of Programs"/>
    <s v="JV-RW101624-1"/>
    <x v="31"/>
    <x v="325"/>
    <m/>
    <s v="6"/>
    <s v="Gam"/>
    <s v="3007"/>
    <s v="UN Peace Building Fund (PBF) - The Gambia 01/2023-12/2025"/>
  </r>
  <r>
    <x v="14"/>
    <s v="Telephone &amp; Internet Access"/>
    <s v="Credit Airtime for Legal Consultant"/>
    <s v="JV-RW101624-1"/>
    <x v="31"/>
    <x v="326"/>
    <m/>
    <s v="6"/>
    <s v="Gam"/>
    <s v="3007"/>
    <s v="UN Peace Building Fund (PBF) - The Gambia 01/2023-12/2025"/>
  </r>
  <r>
    <x v="14"/>
    <s v="Telephone &amp; Internet Access"/>
    <s v="Credit Airtime for Program Assistant"/>
    <s v="JV-RW101624-1"/>
    <x v="31"/>
    <x v="326"/>
    <m/>
    <s v="6"/>
    <s v="Gam"/>
    <s v="3007"/>
    <s v="UN Peace Building Fund (PBF) - The Gambia 01/2023-12/2025"/>
  </r>
  <r>
    <x v="14"/>
    <s v="Telephone &amp; Internet Access"/>
    <s v="Credit Airtime for Finance Officer"/>
    <s v="JV-RW101624-1"/>
    <x v="31"/>
    <x v="326"/>
    <m/>
    <s v="6"/>
    <s v="Gam"/>
    <s v="3007"/>
    <s v="UN Peace Building Fund (PBF) - The Gambia 01/2023-12/2025"/>
  </r>
  <r>
    <x v="14"/>
    <s v="Telephone &amp; Internet Access"/>
    <s v="Internet Subscription for Office Line 2"/>
    <s v="JV-RW101624-1"/>
    <x v="31"/>
    <x v="327"/>
    <m/>
    <s v="6"/>
    <s v="Gam"/>
    <s v="3007"/>
    <s v="UN Peace Building Fund (PBF) - The Gambia 01/2023-12/2025"/>
  </r>
  <r>
    <x v="18"/>
    <s v="Banking / Credit Cards Fee"/>
    <s v="Bank Charges for Auguts-COT"/>
    <s v="JV-RW101624-1"/>
    <x v="31"/>
    <x v="328"/>
    <m/>
    <s v="6"/>
    <s v="Gam"/>
    <s v="3007"/>
    <s v="UN Peace Building Fund (PBF) - The Gambia 01/2023-12/2025"/>
  </r>
  <r>
    <x v="18"/>
    <s v="Banking / Credit Cards Fee"/>
    <s v="Bank Charges for Auguts-VAT on COT"/>
    <s v="JV-RW101624-1"/>
    <x v="31"/>
    <x v="329"/>
    <m/>
    <s v="6"/>
    <s v="Gam"/>
    <s v="3007"/>
    <s v="UN Peace Building Fund (PBF) - The Gambia 01/2023-12/2025"/>
  </r>
  <r>
    <x v="6"/>
    <s v="Office Supplies / Materials"/>
    <s v="NAWEC Cash Power"/>
    <s v="JV-RW101624-1"/>
    <x v="31"/>
    <x v="330"/>
    <m/>
    <s v="6"/>
    <s v="Gam"/>
    <s v="3007"/>
    <s v="UN Peace Building Fund (PBF) - The Gambia 01/2023-12/2025"/>
  </r>
  <r>
    <x v="6"/>
    <s v="Office Supplies / Materials"/>
    <s v="Dustbin for Finance and Legal Office"/>
    <s v="JV-RW101624-1"/>
    <x v="31"/>
    <x v="331"/>
    <m/>
    <s v="6"/>
    <s v="Gam"/>
    <s v="3007"/>
    <s v="UN Peace Building Fund (PBF) - The Gambia 01/2023-12/2025"/>
  </r>
  <r>
    <x v="6"/>
    <s v="Office Supplies / Materials"/>
    <s v="Water for dispenser"/>
    <s v="JV-RW101624-1"/>
    <x v="31"/>
    <x v="316"/>
    <m/>
    <s v="6"/>
    <s v="Gam"/>
    <s v="3007"/>
    <s v="UN Peace Building Fund (PBF) - The Gambia 01/2023-12/2025"/>
  </r>
  <r>
    <x v="6"/>
    <s v="Office Supplies / Materials"/>
    <s v="Water for Bottle Packs"/>
    <s v="JV-RW101624-1"/>
    <x v="31"/>
    <x v="332"/>
    <m/>
    <s v="6"/>
    <s v="Gam"/>
    <s v="3007"/>
    <s v="UN Peace Building Fund (PBF) - The Gambia 01/2023-12/2025"/>
  </r>
  <r>
    <x v="3"/>
    <s v="Ground (Car/Mileage, Rail, Taxi/Shuttle)"/>
    <s v="Taxi Services refund to FO for office errands."/>
    <s v="JV-RW101624-1"/>
    <x v="31"/>
    <x v="333"/>
    <m/>
    <s v="6"/>
    <s v="Gam"/>
    <s v="3007"/>
    <s v="UN Peace Building Fund (PBF) - The Gambia 01/2023-12/2025"/>
  </r>
  <r>
    <x v="3"/>
    <s v="Ground (Car/Mileage, Rail, Taxi/Shuttle)"/>
    <s v="Taxi Services for office errands paid to Ousman Conteh"/>
    <s v="JV-RW101624-1"/>
    <x v="31"/>
    <x v="334"/>
    <m/>
    <s v="6"/>
    <s v="Gam"/>
    <s v="3007"/>
    <s v="UN Peace Building Fund (PBF) - The Gambia 01/2023-12/2025"/>
  </r>
  <r>
    <x v="3"/>
    <s v="Ground (Car/Mileage, Rail, Taxi/Shuttle)"/>
    <s v="Fuel refund to HoP for office transportation"/>
    <s v="JV-RW101624-1"/>
    <x v="31"/>
    <x v="335"/>
    <m/>
    <s v="6"/>
    <s v="Gam"/>
    <s v="3007"/>
    <s v="UN Peace Building Fund (PBF) - The Gambia 01/2023-12/2025"/>
  </r>
  <r>
    <x v="3"/>
    <s v="Ground (Car/Mileage, Rail, Taxi/Shuttle)"/>
    <s v="Fuel refund to HoP for office transportation"/>
    <s v="JV-RW101624-1"/>
    <x v="31"/>
    <x v="336"/>
    <m/>
    <s v="6"/>
    <s v="Gam"/>
    <s v="3007"/>
    <s v="UN Peace Building Fund (PBF) - The Gambia 01/2023-12/2025"/>
  </r>
  <r>
    <x v="3"/>
    <s v="Ground (Car/Mileage, Rail, Taxi/Shuttle)"/>
    <s v="Taxi Service for Transportation"/>
    <s v="JV-RW101624-1"/>
    <x v="31"/>
    <x v="337"/>
    <m/>
    <s v="6"/>
    <s v="Gam"/>
    <s v="3007"/>
    <s v="UN Peace Building Fund (PBF) - The Gambia 01/2023-12/2025"/>
  </r>
  <r>
    <x v="6"/>
    <s v="Office Supplies / Materials"/>
    <s v="Accrue pmt-Re Stocking of office supplies"/>
    <s v="JV-RW101624-1"/>
    <x v="31"/>
    <x v="338"/>
    <m/>
    <s v="8"/>
    <s v="Gam"/>
    <s v="3007"/>
    <s v="UN Peace Building Fund (PBF) - The Gambia 01/2023-12/2025"/>
  </r>
  <r>
    <x v="27"/>
    <s v="Furniture &amp; Equipment (below $2000)"/>
    <s v="Accrue pmt- Ex. Chair for Media Consultant"/>
    <s v="JV-RW101624-1"/>
    <x v="31"/>
    <x v="339"/>
    <m/>
    <s v="8"/>
    <s v="Gam"/>
    <s v="3007"/>
    <s v="UN Peace Building Fund (PBF) - The Gambia 01/2023-12/2025"/>
  </r>
  <r>
    <x v="1"/>
    <s v="Salary &amp; Fringes Fund Allocation"/>
    <s v="Ladisch, Virginie"/>
    <s v="JV-JS083124 Sal Alloc"/>
    <x v="31"/>
    <x v="2"/>
    <m/>
    <s v="9999"/>
    <s v="9999"/>
    <s v="3007"/>
    <s v="UN Peace Building Fund (PBF) - The Gambia 01/2023-12/2025"/>
  </r>
  <r>
    <x v="1"/>
    <s v="Salary &amp; Fringes Fund Allocation"/>
    <s v="Porciuncula, Mateo"/>
    <s v="JV-JS083124 Sal Alloc"/>
    <x v="31"/>
    <x v="3"/>
    <m/>
    <s v="9999"/>
    <s v="9999"/>
    <s v="3007"/>
    <s v="UN Peace Building Fund (PBF) - The Gambia 01/2023-12/2025"/>
  </r>
  <r>
    <x v="1"/>
    <s v="Salary &amp; Fringes Fund Allocation"/>
    <s v="Roccatello, Anna Myriam"/>
    <s v="JV-JS083124 Sal Alloc"/>
    <x v="31"/>
    <x v="4"/>
    <m/>
    <s v="9999"/>
    <s v="9999"/>
    <s v="3007"/>
    <s v="UN Peace Building Fund (PBF) - The Gambia 01/2023-12/2025"/>
  </r>
  <r>
    <x v="16"/>
    <s v="Grants / Subcontracts Awarded"/>
    <s v="UNPBF- Subgrant to TYW"/>
    <s v="JV-RW102324"/>
    <x v="32"/>
    <x v="340"/>
    <m/>
    <s v=""/>
    <s v=""/>
    <s v="3007"/>
    <s v="UN Peace Building Fund (PBF) - The Gambia 01/2023-12/2025"/>
  </r>
  <r>
    <x v="16"/>
    <s v="Grants / Subcontracts Awarded"/>
    <s v="UNPBF- Subgrant to ONV"/>
    <s v="JV-RW102324"/>
    <x v="32"/>
    <x v="341"/>
    <m/>
    <s v=""/>
    <s v=""/>
    <s v="3007"/>
    <s v="UN Peace Building Fund (PBF) - The Gambia 01/2023-12/2025"/>
  </r>
  <r>
    <x v="16"/>
    <s v="Grants / Subcontracts Awarded"/>
    <s v="UNPBF- Subgrant to FANTANKA"/>
    <s v="JV-RW102324"/>
    <x v="32"/>
    <x v="342"/>
    <m/>
    <s v=""/>
    <s v=""/>
    <s v="3007"/>
    <s v="UN Peace Building Fund (PBF) - The Gambia 01/2023-12/2025"/>
  </r>
  <r>
    <x v="16"/>
    <s v="Grants / Subcontracts Awarded"/>
    <s v="UNPBF- Subgrant to PAG"/>
    <s v="JV-RW102324"/>
    <x v="32"/>
    <x v="343"/>
    <m/>
    <s v=""/>
    <s v=""/>
    <s v="3007"/>
    <s v="UN Peace Building Fund (PBF) - The Gambia 01/2023-12/2025"/>
  </r>
  <r>
    <x v="8"/>
    <s v="Meals &amp; Per Diem"/>
    <s v="50% Snacks &amp; Refreshment for the Steering Comm. Meeting"/>
    <s v="JV-RW102324"/>
    <x v="32"/>
    <x v="344"/>
    <m/>
    <s v="2.1"/>
    <s v="Gam"/>
    <s v="3007"/>
    <s v="UN Peace Building Fund (PBF) - The Gambia 01/2023-12/2025"/>
  </r>
  <r>
    <x v="12"/>
    <s v="Rental Halls / Convention Center"/>
    <s v="50% Hall Rental for the Steering Comm. Meeting"/>
    <s v="JV-RW102324"/>
    <x v="32"/>
    <x v="345"/>
    <m/>
    <s v="2.1"/>
    <s v="Gam"/>
    <s v="3007"/>
    <s v="UN Peace Building Fund (PBF) - The Gambia 01/2023-12/2025"/>
  </r>
  <r>
    <x v="8"/>
    <s v="Meals &amp; Per Diem"/>
    <s v="Vehicle Rental"/>
    <s v="JV-RW102324"/>
    <x v="32"/>
    <x v="346"/>
    <m/>
    <s v="2.6"/>
    <s v="Gam"/>
    <s v="3007"/>
    <s v="UN Peace Building Fund (PBF) - The Gambia 01/2023-12/2025"/>
  </r>
  <r>
    <x v="3"/>
    <s v="Ground (Car/Mileage, Rail, Taxi/Shuttle)"/>
    <s v="DSA for the Program Assistant to Monitor PAG in LRR"/>
    <s v="JV-RW102324"/>
    <x v="32"/>
    <x v="347"/>
    <m/>
    <s v="2.6"/>
    <s v="Gam"/>
    <s v="3007"/>
    <s v="UN Peace Building Fund (PBF) - The Gambia 01/2023-12/2025"/>
  </r>
  <r>
    <x v="3"/>
    <s v="Ground (Car/Mileage, Rail, Taxi/Shuttle)"/>
    <s v="Transport Refund for participants"/>
    <s v="JV-RW102324"/>
    <x v="32"/>
    <x v="348"/>
    <m/>
    <s v="4.3"/>
    <s v="Gam"/>
    <s v="3007"/>
    <s v="UN Peace Building Fund (PBF) - The Gambia 01/2023-12/2025"/>
  </r>
  <r>
    <x v="4"/>
    <s v="Wages - International - Full Time"/>
    <s v="Salary September 2024 -Program Assistant"/>
    <s v="JV-RW102324"/>
    <x v="32"/>
    <x v="349"/>
    <m/>
    <s v="5.3"/>
    <s v="Gam"/>
    <s v="3007"/>
    <s v="UN Peace Building Fund (PBF) - The Gambia 01/2023-12/2025"/>
  </r>
  <r>
    <x v="4"/>
    <s v="Wages - International - Full Time"/>
    <s v="Salary September 2024 -MediaConsultant"/>
    <s v="JV-RW102324"/>
    <x v="32"/>
    <x v="350"/>
    <m/>
    <s v="5.7"/>
    <s v="Gam"/>
    <s v="3007"/>
    <s v="UN Peace Building Fund (PBF) - The Gambia 01/2023-12/2025"/>
  </r>
  <r>
    <x v="4"/>
    <s v="Wages - International - Full Time"/>
    <s v="Salary September 2024 -Cleaner, Fatou Kinteh"/>
    <s v="JV-RW102324"/>
    <x v="32"/>
    <x v="351"/>
    <m/>
    <s v="6"/>
    <s v="Gam"/>
    <s v="3007"/>
    <s v="UN Peace Building Fund (PBF) - The Gambia 01/2023-12/2025"/>
  </r>
  <r>
    <x v="17"/>
    <s v="IT Consulting, Services, and Support"/>
    <s v="Pmt for Repairs to Legal Consultant Laptop"/>
    <s v="JV-RW102324"/>
    <x v="32"/>
    <x v="352"/>
    <m/>
    <s v="6"/>
    <s v="Gam"/>
    <s v="3007"/>
    <s v="UN Peace Building Fund (PBF) - The Gambia 01/2023-12/2025"/>
  </r>
  <r>
    <x v="21"/>
    <s v="Media Outreach / Publicity"/>
    <s v="Final Pmt to Yelef for Podcast Production &amp; Publishing"/>
    <s v="JV-RW102324"/>
    <x v="32"/>
    <x v="353"/>
    <m/>
    <s v="6"/>
    <s v="Gam"/>
    <s v="3007"/>
    <s v="UN Peace Building Fund (PBF) - The Gambia 01/2023-12/2025"/>
  </r>
  <r>
    <x v="18"/>
    <s v="Banking / Credit Cards Fee"/>
    <s v="Bank charges on RTGS to PAG"/>
    <s v="JV-RW102324"/>
    <x v="32"/>
    <x v="354"/>
    <m/>
    <s v="6"/>
    <s v="Gam"/>
    <s v="3007"/>
    <s v="UN Peace Building Fund (PBF) - The Gambia 01/2023-12/2025"/>
  </r>
  <r>
    <x v="18"/>
    <s v="Banking / Credit Cards Fee"/>
    <s v="Bank charges on RTGS to TYW"/>
    <s v="JV-RW102324"/>
    <x v="32"/>
    <x v="354"/>
    <m/>
    <s v="6"/>
    <s v="Gam"/>
    <s v="3007"/>
    <s v="UN Peace Building Fund (PBF) - The Gambia 01/2023-12/2025"/>
  </r>
  <r>
    <x v="14"/>
    <s v="Telephone &amp; Internet Access"/>
    <s v="Credit Airtime for Head of Programs"/>
    <s v="JV-RW102324"/>
    <x v="32"/>
    <x v="355"/>
    <m/>
    <s v="6"/>
    <s v="Gam"/>
    <s v="3007"/>
    <s v="UN Peace Building Fund (PBF) - The Gambia 01/2023-12/2025"/>
  </r>
  <r>
    <x v="14"/>
    <s v="Telephone &amp; Internet Access"/>
    <s v="Credit Airtime for Legal Consultant"/>
    <s v="JV-RW102324"/>
    <x v="32"/>
    <x v="356"/>
    <m/>
    <s v="6"/>
    <s v="Gam"/>
    <s v="3007"/>
    <s v="UN Peace Building Fund (PBF) - The Gambia 01/2023-12/2025"/>
  </r>
  <r>
    <x v="14"/>
    <s v="Telephone &amp; Internet Access"/>
    <s v="Credit Airtime for Program Assistant"/>
    <s v="JV-RW102324"/>
    <x v="32"/>
    <x v="356"/>
    <m/>
    <s v="6"/>
    <s v="Gam"/>
    <s v="3007"/>
    <s v="UN Peace Building Fund (PBF) - The Gambia 01/2023-12/2025"/>
  </r>
  <r>
    <x v="14"/>
    <s v="Telephone &amp; Internet Access"/>
    <s v="Credit Airtime for Finance Officer"/>
    <s v="JV-RW102324"/>
    <x v="32"/>
    <x v="356"/>
    <m/>
    <s v="6"/>
    <s v="Gam"/>
    <s v="3007"/>
    <s v="UN Peace Building Fund (PBF) - The Gambia 01/2023-12/2025"/>
  </r>
  <r>
    <x v="14"/>
    <s v="Telephone &amp; Internet Access"/>
    <s v="Credit Airtime for Media Consultant"/>
    <s v="JV-RW102324"/>
    <x v="32"/>
    <x v="356"/>
    <m/>
    <s v="6"/>
    <s v="Gam"/>
    <s v="3007"/>
    <s v="UN Peace Building Fund (PBF) - The Gambia 01/2023-12/2025"/>
  </r>
  <r>
    <x v="14"/>
    <s v="Telephone &amp; Internet Access"/>
    <s v="Credit Airtime for Program Associate"/>
    <s v="JV-RW102324"/>
    <x v="32"/>
    <x v="356"/>
    <m/>
    <s v="6"/>
    <s v="Gam"/>
    <s v="3007"/>
    <s v="UN Peace Building Fund (PBF) - The Gambia 01/2023-12/2025"/>
  </r>
  <r>
    <x v="14"/>
    <s v="Telephone &amp; Internet Access"/>
    <s v="Internet Subscription for Office Line 2"/>
    <s v="JV-RW102324"/>
    <x v="32"/>
    <x v="357"/>
    <m/>
    <s v="6"/>
    <s v="Gam"/>
    <s v="3007"/>
    <s v="UN Peace Building Fund (PBF) - The Gambia 01/2023-12/2025"/>
  </r>
  <r>
    <x v="18"/>
    <s v="Banking / Credit Cards Fee"/>
    <s v="Bank charges on Bank Transfer  to Afriqcars"/>
    <s v="JV-RW102324"/>
    <x v="32"/>
    <x v="354"/>
    <m/>
    <s v="6"/>
    <s v="Gam"/>
    <s v="3007"/>
    <s v="UN Peace Building Fund (PBF) - The Gambia 01/2023-12/2025"/>
  </r>
  <r>
    <x v="18"/>
    <s v="Banking / Credit Cards Fee"/>
    <s v="Bank charges on other Bank Transfer"/>
    <s v="JV-RW102324"/>
    <x v="32"/>
    <x v="354"/>
    <m/>
    <s v="6"/>
    <s v="Gam"/>
    <s v="3007"/>
    <s v="UN Peace Building Fund (PBF) - The Gambia 01/2023-12/2025"/>
  </r>
  <r>
    <x v="18"/>
    <s v="Banking / Credit Cards Fee"/>
    <s v="Bank charges on other Bank Transfer"/>
    <s v="JV-RW102324"/>
    <x v="32"/>
    <x v="354"/>
    <m/>
    <s v="6"/>
    <s v="Gam"/>
    <s v="3007"/>
    <s v="UN Peace Building Fund (PBF) - The Gambia 01/2023-12/2025"/>
  </r>
  <r>
    <x v="6"/>
    <s v="Office Supplies / Materials"/>
    <s v="Newspaper Subscription Monthly Payment"/>
    <s v="JV-RW102324"/>
    <x v="32"/>
    <x v="358"/>
    <m/>
    <s v="6"/>
    <s v="Gam"/>
    <s v="3007"/>
    <s v="UN Peace Building Fund (PBF) - The Gambia 01/2023-12/2025"/>
  </r>
  <r>
    <x v="6"/>
    <s v="Office Supplies / Materials"/>
    <s v="NAWEC Cash Power"/>
    <s v="JV-RW102324"/>
    <x v="32"/>
    <x v="351"/>
    <m/>
    <s v="6"/>
    <s v="Gam"/>
    <s v="3007"/>
    <s v="UN Peace Building Fund (PBF) - The Gambia 01/2023-12/2025"/>
  </r>
  <r>
    <x v="6"/>
    <s v="Office Supplies / Materials"/>
    <s v="Nescafe Gold x2"/>
    <s v="JV-RW102324"/>
    <x v="32"/>
    <x v="359"/>
    <m/>
    <s v="6"/>
    <s v="Gam"/>
    <s v="3007"/>
    <s v="UN Peace Building Fund (PBF) - The Gambia 01/2023-12/2025"/>
  </r>
  <r>
    <x v="6"/>
    <s v="Office Supplies / Materials"/>
    <s v="Nido Milk powder x2"/>
    <s v="JV-RW102324"/>
    <x v="32"/>
    <x v="360"/>
    <m/>
    <s v="6"/>
    <s v="Gam"/>
    <s v="3007"/>
    <s v="UN Peace Building Fund (PBF) - The Gambia 01/2023-12/2025"/>
  </r>
  <r>
    <x v="6"/>
    <s v="Office Supplies / Materials"/>
    <s v="Sugar Cubes x2 boxes"/>
    <s v="JV-RW102324"/>
    <x v="32"/>
    <x v="361"/>
    <m/>
    <s v="6"/>
    <s v="Gam"/>
    <s v="3007"/>
    <s v="UN Peace Building Fund (PBF) - The Gambia 01/2023-12/2025"/>
  </r>
  <r>
    <x v="6"/>
    <s v="Office Supplies / Materials"/>
    <s v="Shopping Bag"/>
    <s v="JV-RW102324"/>
    <x v="32"/>
    <x v="105"/>
    <m/>
    <s v="6"/>
    <s v="Gam"/>
    <s v="3007"/>
    <s v="UN Peace Building Fund (PBF) - The Gambia 01/2023-12/2025"/>
  </r>
  <r>
    <x v="3"/>
    <s v="Ground (Car/Mileage, Rail, Taxi/Shuttle)"/>
    <s v="Pmt. To Ousman for delivery of letters and Airport Trip."/>
    <s v="JV-RW102324"/>
    <x v="32"/>
    <x v="362"/>
    <m/>
    <s v="6"/>
    <s v="Gam"/>
    <s v="3007"/>
    <s v="UN Peace Building Fund (PBF) - The Gambia 01/2023-12/2025"/>
  </r>
  <r>
    <x v="3"/>
    <s v="Ground (Car/Mileage, Rail, Taxi/Shuttle)"/>
    <s v="Taxi Service for Transportation"/>
    <s v="JV-RW102324"/>
    <x v="32"/>
    <x v="363"/>
    <m/>
    <s v="6"/>
    <s v="Gam"/>
    <s v="3007"/>
    <s v="UN Peace Building Fund (PBF) - The Gambia 01/2023-12/2025"/>
  </r>
  <r>
    <x v="27"/>
    <s v="Furniture &amp; Equipment (below $2000)"/>
    <s v="50% Accrued Snacks &amp; Refreshment-Steering Comm. Meeting"/>
    <s v="JV-RW102324"/>
    <x v="32"/>
    <x v="344"/>
    <m/>
    <s v="8"/>
    <s v="Gam"/>
    <s v="3007"/>
    <s v="UN Peace Building Fund (PBF) - The Gambia 01/2023-12/2025"/>
  </r>
  <r>
    <x v="6"/>
    <s v="Office Supplies / Materials"/>
    <s v="50% Accrued Hall Rental for the Steering Comm. Meeting"/>
    <s v="JV-RW102324"/>
    <x v="32"/>
    <x v="345"/>
    <m/>
    <s v="8"/>
    <s v="Gam"/>
    <s v="3007"/>
    <s v="UN Peace Building Fund (PBF) - The Gambia 01/2023-12/2025"/>
  </r>
  <r>
    <x v="1"/>
    <s v="Salary &amp; Fringes Fund Allocation"/>
    <s v="Ladisch, Virginie"/>
    <s v="JV-JS093024 Sal Alloc"/>
    <x v="32"/>
    <x v="2"/>
    <m/>
    <s v="9999"/>
    <s v="9999"/>
    <s v="3007"/>
    <s v="UN Peace Building Fund (PBF) - The Gambia 01/2023-12/2025"/>
  </r>
  <r>
    <x v="1"/>
    <s v="Salary &amp; Fringes Fund Allocation"/>
    <s v="Porciuncula, Mateo"/>
    <s v="JV-JS093024 Sal Alloc"/>
    <x v="32"/>
    <x v="3"/>
    <m/>
    <s v="9999"/>
    <s v="9999"/>
    <s v="3007"/>
    <s v="UN Peace Building Fund (PBF) - The Gambia 01/2023-12/2025"/>
  </r>
  <r>
    <x v="1"/>
    <s v="Salary &amp; Fringes Fund Allocation"/>
    <s v="Roccatello, Anna Myriam"/>
    <s v="JV-JS093024 Sal Alloc"/>
    <x v="32"/>
    <x v="4"/>
    <m/>
    <s v="9999"/>
    <s v="9999"/>
    <s v="3007"/>
    <s v="UN Peace Building Fund (PBF) - The Gambia 01/2023-12/202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1"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N7:O28" firstHeaderRow="1" firstDataRow="1" firstDataCol="1" rowPageCount="1" colPageCount="1"/>
  <pivotFields count="11">
    <pivotField axis="axisRow" showAll="0">
      <items count="29">
        <item x="0"/>
        <item x="4"/>
        <item x="5"/>
        <item x="1"/>
        <item x="10"/>
        <item x="26"/>
        <item x="17"/>
        <item x="13"/>
        <item x="6"/>
        <item x="22"/>
        <item x="14"/>
        <item x="18"/>
        <item x="21"/>
        <item x="11"/>
        <item x="7"/>
        <item x="24"/>
        <item x="27"/>
        <item x="19"/>
        <item x="23"/>
        <item x="25"/>
        <item x="2"/>
        <item x="20"/>
        <item x="3"/>
        <item x="8"/>
        <item x="12"/>
        <item x="15"/>
        <item x="9"/>
        <item x="16"/>
        <item t="default"/>
      </items>
    </pivotField>
    <pivotField showAll="0"/>
    <pivotField showAll="0"/>
    <pivotField showAll="0"/>
    <pivotField axis="axisPage" multipleItemSelectionAllowed="1" showAll="0">
      <items count="34">
        <item h="1" x="0"/>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x="28"/>
        <item x="29"/>
        <item x="30"/>
        <item x="31"/>
        <item x="32"/>
        <item h="1" x="1"/>
        <item t="default"/>
      </items>
    </pivotField>
    <pivotField dataField="1" showAll="0">
      <items count="365">
        <item x="1"/>
        <item x="105"/>
        <item x="329"/>
        <item x="216"/>
        <item x="118"/>
        <item x="181"/>
        <item x="140"/>
        <item x="191"/>
        <item x="254"/>
        <item x="328"/>
        <item x="142"/>
        <item x="211"/>
        <item x="316"/>
        <item x="137"/>
        <item x="215"/>
        <item x="354"/>
        <item x="253"/>
        <item x="40"/>
        <item x="166"/>
        <item x="82"/>
        <item x="164"/>
        <item x="134"/>
        <item x="214"/>
        <item x="121"/>
        <item x="103"/>
        <item x="119"/>
        <item x="163"/>
        <item x="295"/>
        <item x="255"/>
        <item x="361"/>
        <item x="104"/>
        <item x="136"/>
        <item x="237"/>
        <item x="75"/>
        <item x="85"/>
        <item x="332"/>
        <item x="302"/>
        <item x="296"/>
        <item x="256"/>
        <item x="144"/>
        <item x="38"/>
        <item x="29"/>
        <item x="161"/>
        <item x="293"/>
        <item x="209"/>
        <item x="165"/>
        <item x="292"/>
        <item x="208"/>
        <item x="175"/>
        <item x="198"/>
        <item x="226"/>
        <item x="114"/>
        <item x="94"/>
        <item x="133"/>
        <item x="190"/>
        <item x="117"/>
        <item x="36"/>
        <item x="337"/>
        <item x="172"/>
        <item x="297"/>
        <item x="243"/>
        <item x="115"/>
        <item x="331"/>
        <item x="132"/>
        <item x="294"/>
        <item x="210"/>
        <item x="138"/>
        <item x="304"/>
        <item x="116"/>
        <item x="143"/>
        <item x="212"/>
        <item x="290"/>
        <item x="206"/>
        <item x="150"/>
        <item x="363"/>
        <item x="257"/>
        <item x="358"/>
        <item x="315"/>
        <item x="145"/>
        <item x="359"/>
        <item x="305"/>
        <item x="229"/>
        <item x="90"/>
        <item x="81"/>
        <item x="317"/>
        <item x="196"/>
        <item x="45"/>
        <item x="139"/>
        <item x="174"/>
        <item x="299"/>
        <item x="228"/>
        <item x="98"/>
        <item x="27"/>
        <item x="301"/>
        <item x="360"/>
        <item x="182"/>
        <item x="262"/>
        <item x="213"/>
        <item x="319"/>
        <item x="225"/>
        <item x="35"/>
        <item x="28"/>
        <item x="99"/>
        <item x="247"/>
        <item x="357"/>
        <item x="113"/>
        <item x="300"/>
        <item x="241"/>
        <item x="95"/>
        <item x="333"/>
        <item x="197"/>
        <item x="13"/>
        <item x="102"/>
        <item x="334"/>
        <item x="87"/>
        <item x="141"/>
        <item x="335"/>
        <item x="149"/>
        <item x="298"/>
        <item x="362"/>
        <item x="147"/>
        <item x="327"/>
        <item x="110"/>
        <item x="223"/>
        <item x="194"/>
        <item x="250"/>
        <item x="169"/>
        <item x="219"/>
        <item x="148"/>
        <item x="326"/>
        <item x="238"/>
        <item x="252"/>
        <item x="217"/>
        <item x="112"/>
        <item x="289"/>
        <item x="195"/>
        <item x="251"/>
        <item x="170"/>
        <item x="220"/>
        <item x="6"/>
        <item x="171"/>
        <item x="30"/>
        <item x="356"/>
        <item x="239"/>
        <item x="309"/>
        <item x="20"/>
        <item x="152"/>
        <item x="258"/>
        <item x="236"/>
        <item x="43"/>
        <item x="310"/>
        <item x="173"/>
        <item x="306"/>
        <item x="153"/>
        <item x="336"/>
        <item x="51"/>
        <item x="240"/>
        <item x="146"/>
        <item x="307"/>
        <item x="39"/>
        <item x="325"/>
        <item x="111"/>
        <item x="106"/>
        <item x="193"/>
        <item x="249"/>
        <item x="168"/>
        <item x="218"/>
        <item x="318"/>
        <item x="355"/>
        <item x="176"/>
        <item x="224"/>
        <item x="235"/>
        <item x="22"/>
        <item x="313"/>
        <item x="151"/>
        <item x="188"/>
        <item x="288"/>
        <item x="205"/>
        <item x="345"/>
        <item x="84"/>
        <item x="74"/>
        <item x="33"/>
        <item x="352"/>
        <item x="264"/>
        <item x="271"/>
        <item x="5"/>
        <item x="221"/>
        <item x="50"/>
        <item x="263"/>
        <item x="18"/>
        <item x="266"/>
        <item x="330"/>
        <item x="338"/>
        <item x="162"/>
        <item x="135"/>
        <item x="189"/>
        <item x="291"/>
        <item x="207"/>
        <item x="351"/>
        <item x="120"/>
        <item x="11"/>
        <item x="73"/>
        <item x="267"/>
        <item x="123"/>
        <item x="100"/>
        <item x="67"/>
        <item x="308"/>
        <item x="344"/>
        <item x="23"/>
        <item x="34"/>
        <item x="347"/>
        <item x="10"/>
        <item x="234"/>
        <item x="68"/>
        <item x="320"/>
        <item x="9"/>
        <item x="41"/>
        <item x="180"/>
        <item x="282"/>
        <item x="109"/>
        <item x="91"/>
        <item x="66"/>
        <item x="179"/>
        <item x="199"/>
        <item x="348"/>
        <item x="52"/>
        <item x="259"/>
        <item x="244"/>
        <item x="314"/>
        <item x="339"/>
        <item x="283"/>
        <item x="242"/>
        <item x="64"/>
        <item x="55"/>
        <item x="227"/>
        <item x="273"/>
        <item x="353"/>
        <item x="184"/>
        <item x="279"/>
        <item x="200"/>
        <item x="280"/>
        <item x="92"/>
        <item x="261"/>
        <item x="285"/>
        <item x="15"/>
        <item x="322"/>
        <item x="346"/>
        <item x="183"/>
        <item x="128"/>
        <item x="284"/>
        <item x="324"/>
        <item x="222"/>
        <item x="62"/>
        <item x="57"/>
        <item x="303"/>
        <item x="167"/>
        <item x="37"/>
        <item x="17"/>
        <item x="3"/>
        <item x="72"/>
        <item x="265"/>
        <item x="96"/>
        <item x="59"/>
        <item x="321"/>
        <item x="47"/>
        <item x="311"/>
        <item x="131"/>
        <item x="108"/>
        <item x="49"/>
        <item x="8"/>
        <item x="80"/>
        <item x="26"/>
        <item x="287"/>
        <item x="203"/>
        <item x="107"/>
        <item x="186"/>
        <item x="246"/>
        <item x="158"/>
        <item x="101"/>
        <item x="71"/>
        <item x="349"/>
        <item x="312"/>
        <item x="2"/>
        <item x="31"/>
        <item x="129"/>
        <item x="277"/>
        <item x="126"/>
        <item x="61"/>
        <item x="83"/>
        <item x="14"/>
        <item x="89"/>
        <item x="127"/>
        <item x="260"/>
        <item x="122"/>
        <item x="65"/>
        <item x="56"/>
        <item x="4"/>
        <item x="268"/>
        <item x="16"/>
        <item x="93"/>
        <item x="125"/>
        <item x="60"/>
        <item x="97"/>
        <item x="323"/>
        <item x="58"/>
        <item x="88"/>
        <item x="48"/>
        <item x="7"/>
        <item x="25"/>
        <item x="32"/>
        <item x="350"/>
        <item x="281"/>
        <item x="124"/>
        <item x="201"/>
        <item x="275"/>
        <item x="12"/>
        <item x="46"/>
        <item x="63"/>
        <item x="177"/>
        <item x="54"/>
        <item x="130"/>
        <item x="204"/>
        <item x="187"/>
        <item x="160"/>
        <item x="286"/>
        <item x="202"/>
        <item x="185"/>
        <item x="245"/>
        <item x="159"/>
        <item x="42"/>
        <item x="270"/>
        <item x="21"/>
        <item x="178"/>
        <item x="192"/>
        <item x="69"/>
        <item x="44"/>
        <item x="53"/>
        <item x="70"/>
        <item x="274"/>
        <item x="269"/>
        <item x="278"/>
        <item x="86"/>
        <item x="24"/>
        <item x="19"/>
        <item x="233"/>
        <item x="276"/>
        <item x="230"/>
        <item x="232"/>
        <item x="231"/>
        <item x="272"/>
        <item x="154"/>
        <item x="157"/>
        <item x="155"/>
        <item x="341"/>
        <item x="343"/>
        <item x="340"/>
        <item x="342"/>
        <item x="156"/>
        <item x="78"/>
        <item x="76"/>
        <item x="77"/>
        <item x="79"/>
        <item x="0"/>
        <item x="248"/>
        <item t="default"/>
      </items>
    </pivotField>
    <pivotField showAll="0"/>
    <pivotField showAll="0"/>
    <pivotField showAll="0"/>
    <pivotField showAll="0"/>
    <pivotField showAll="0"/>
  </pivotFields>
  <rowFields count="1">
    <field x="0"/>
  </rowFields>
  <rowItems count="21">
    <i>
      <x v="1"/>
    </i>
    <i>
      <x v="3"/>
    </i>
    <i>
      <x v="4"/>
    </i>
    <i>
      <x v="5"/>
    </i>
    <i>
      <x v="6"/>
    </i>
    <i>
      <x v="8"/>
    </i>
    <i>
      <x v="10"/>
    </i>
    <i>
      <x v="11"/>
    </i>
    <i>
      <x v="12"/>
    </i>
    <i>
      <x v="15"/>
    </i>
    <i>
      <x v="16"/>
    </i>
    <i>
      <x v="17"/>
    </i>
    <i>
      <x v="18"/>
    </i>
    <i>
      <x v="19"/>
    </i>
    <i>
      <x v="22"/>
    </i>
    <i>
      <x v="23"/>
    </i>
    <i>
      <x v="24"/>
    </i>
    <i>
      <x v="25"/>
    </i>
    <i>
      <x v="26"/>
    </i>
    <i>
      <x v="27"/>
    </i>
    <i t="grand">
      <x/>
    </i>
  </rowItems>
  <colItems count="1">
    <i/>
  </colItems>
  <pageFields count="1">
    <pageField fld="4" hier="-1"/>
  </pageFields>
  <dataFields count="1">
    <dataField name="Sum of Debit" fld="5" baseField="0" baseItem="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M9:N24" firstHeaderRow="1" firstDataRow="1" firstDataCol="1"/>
  <pivotFields count="14">
    <pivotField showAll="0"/>
    <pivotField axis="axisRow" showAll="0">
      <items count="15">
        <item x="0"/>
        <item x="8"/>
        <item x="4"/>
        <item x="13"/>
        <item x="10"/>
        <item x="11"/>
        <item x="9"/>
        <item x="5"/>
        <item x="12"/>
        <item x="3"/>
        <item x="6"/>
        <item x="7"/>
        <item x="2"/>
        <item x="1"/>
        <item t="default"/>
      </items>
    </pivotField>
    <pivotField showAll="0"/>
    <pivotField showAll="0"/>
    <pivotField showAll="0"/>
    <pivotField showAll="0"/>
    <pivotField showAll="0"/>
    <pivotField showAll="0"/>
    <pivotField showAll="0"/>
    <pivotField dataField="1" showAll="0">
      <items count="78">
        <item x="23"/>
        <item x="19"/>
        <item x="33"/>
        <item x="35"/>
        <item x="30"/>
        <item x="56"/>
        <item x="41"/>
        <item x="27"/>
        <item x="22"/>
        <item x="20"/>
        <item x="40"/>
        <item x="29"/>
        <item x="37"/>
        <item x="38"/>
        <item x="42"/>
        <item x="68"/>
        <item x="44"/>
        <item x="26"/>
        <item x="18"/>
        <item x="65"/>
        <item x="16"/>
        <item x="25"/>
        <item x="31"/>
        <item x="17"/>
        <item x="36"/>
        <item x="43"/>
        <item x="24"/>
        <item x="32"/>
        <item x="67"/>
        <item x="48"/>
        <item x="34"/>
        <item x="64"/>
        <item x="50"/>
        <item x="46"/>
        <item x="53"/>
        <item x="51"/>
        <item x="47"/>
        <item x="54"/>
        <item x="55"/>
        <item x="70"/>
        <item x="66"/>
        <item x="71"/>
        <item x="49"/>
        <item x="45"/>
        <item x="52"/>
        <item x="63"/>
        <item x="39"/>
        <item x="28"/>
        <item x="21"/>
        <item x="72"/>
        <item x="13"/>
        <item x="61"/>
        <item x="58"/>
        <item x="10"/>
        <item x="5"/>
        <item x="2"/>
        <item x="12"/>
        <item x="6"/>
        <item x="9"/>
        <item x="3"/>
        <item x="60"/>
        <item x="59"/>
        <item x="57"/>
        <item x="11"/>
        <item x="62"/>
        <item x="69"/>
        <item x="4"/>
        <item x="8"/>
        <item x="7"/>
        <item x="14"/>
        <item x="15"/>
        <item x="73"/>
        <item x="76"/>
        <item x="74"/>
        <item x="75"/>
        <item x="0"/>
        <item x="1"/>
        <item t="default"/>
      </items>
    </pivotField>
    <pivotField showAll="0"/>
    <pivotField showAll="0"/>
    <pivotField showAll="0"/>
    <pivotField showAll="0"/>
  </pivotFields>
  <rowFields count="1">
    <field x="1"/>
  </rowFields>
  <rowItems count="15">
    <i>
      <x/>
    </i>
    <i>
      <x v="1"/>
    </i>
    <i>
      <x v="2"/>
    </i>
    <i>
      <x v="3"/>
    </i>
    <i>
      <x v="4"/>
    </i>
    <i>
      <x v="5"/>
    </i>
    <i>
      <x v="6"/>
    </i>
    <i>
      <x v="7"/>
    </i>
    <i>
      <x v="8"/>
    </i>
    <i>
      <x v="9"/>
    </i>
    <i>
      <x v="10"/>
    </i>
    <i>
      <x v="11"/>
    </i>
    <i>
      <x v="12"/>
    </i>
    <i>
      <x v="13"/>
    </i>
    <i t="grand">
      <x/>
    </i>
  </rowItems>
  <colItems count="1">
    <i/>
  </colItems>
  <dataFields count="1">
    <dataField name="Sum of Net" fld="9" baseField="1" baseItem="0" numFmtId="43"/>
  </dataFields>
  <formats count="1">
    <format dxfId="2">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2:IB234"/>
  <sheetViews>
    <sheetView showGridLines="0" topLeftCell="E7" zoomScaleNormal="100" workbookViewId="0">
      <pane ySplit="5" topLeftCell="A212" activePane="bottomLeft" state="frozen"/>
      <selection activeCell="A7" sqref="A7"/>
      <selection pane="bottomLeft" activeCell="K222" sqref="K222"/>
    </sheetView>
  </sheetViews>
  <sheetFormatPr defaultColWidth="9.1328125" defaultRowHeight="14.25"/>
  <cols>
    <col min="1" max="1" width="12.86328125" style="1" customWidth="1"/>
    <col min="2" max="2" width="12.86328125" style="2" customWidth="1"/>
    <col min="3" max="3" width="16" style="1" customWidth="1"/>
    <col min="4" max="4" width="28.265625" style="2" customWidth="1"/>
    <col min="5" max="5" width="9.73046875" style="2" customWidth="1"/>
    <col min="6" max="6" width="8.73046875" style="2" customWidth="1"/>
    <col min="7" max="7" width="8" style="2" customWidth="1"/>
    <col min="8" max="8" width="9.1328125" style="2"/>
    <col min="9" max="9" width="11.1328125" style="2" customWidth="1"/>
    <col min="10" max="10" width="10.86328125" style="2" customWidth="1"/>
    <col min="11" max="11" width="10.59765625" style="2" customWidth="1"/>
    <col min="12" max="12" width="10.86328125" style="142" hidden="1" customWidth="1"/>
    <col min="13" max="13" width="12.3984375" style="142" hidden="1" customWidth="1"/>
    <col min="14" max="14" width="13.3984375" style="142" hidden="1" customWidth="1"/>
    <col min="15" max="15" width="12.3984375" style="142" hidden="1" customWidth="1"/>
    <col min="16" max="16" width="11" style="142" hidden="1" customWidth="1"/>
    <col min="17" max="17" width="10.86328125" style="142" hidden="1" customWidth="1"/>
    <col min="18" max="19" width="10.86328125" style="142" customWidth="1"/>
    <col min="20" max="20" width="12.86328125" style="2" customWidth="1"/>
    <col min="21" max="21" width="10.86328125" style="2" customWidth="1"/>
    <col min="22" max="16384" width="9.1328125" style="2"/>
  </cols>
  <sheetData>
    <row r="2" spans="1:21">
      <c r="D2" s="164" t="s">
        <v>0</v>
      </c>
      <c r="E2" s="4"/>
      <c r="F2" s="4"/>
      <c r="G2" s="4"/>
      <c r="H2" s="4"/>
      <c r="I2" s="4"/>
      <c r="J2" s="4"/>
      <c r="K2" s="4"/>
      <c r="L2" s="5"/>
      <c r="M2" s="5"/>
      <c r="N2" s="5"/>
      <c r="O2" s="5"/>
      <c r="P2" s="5"/>
      <c r="Q2" s="5"/>
      <c r="R2" s="5"/>
      <c r="S2" s="5"/>
      <c r="T2" s="4"/>
      <c r="U2" s="4"/>
    </row>
    <row r="3" spans="1:21">
      <c r="C3" s="7"/>
      <c r="D3" s="4"/>
      <c r="E3" s="4"/>
      <c r="F3" s="4"/>
      <c r="G3" s="4"/>
      <c r="H3" s="4"/>
      <c r="I3" s="4"/>
      <c r="J3" s="4"/>
      <c r="K3" s="4"/>
      <c r="L3" s="5"/>
      <c r="M3" s="5"/>
      <c r="N3" s="5"/>
      <c r="O3" s="5"/>
      <c r="P3" s="5"/>
      <c r="Q3" s="5"/>
      <c r="R3" s="5"/>
      <c r="S3" s="5"/>
      <c r="T3" s="4"/>
      <c r="U3" s="4"/>
    </row>
    <row r="4" spans="1:21">
      <c r="D4" s="8" t="s">
        <v>1</v>
      </c>
      <c r="E4" s="4" t="s">
        <v>2</v>
      </c>
      <c r="G4" s="4"/>
      <c r="H4" s="4"/>
      <c r="I4" s="4"/>
      <c r="J4" s="4"/>
      <c r="K4" s="4"/>
      <c r="L4" s="5"/>
      <c r="M4" s="5"/>
      <c r="N4" s="5"/>
      <c r="O4" s="5"/>
      <c r="P4" s="5"/>
      <c r="Q4" s="5"/>
      <c r="R4" s="5"/>
      <c r="S4" s="5"/>
      <c r="T4" s="4"/>
      <c r="U4" s="4"/>
    </row>
    <row r="5" spans="1:21">
      <c r="C5" s="8"/>
      <c r="D5" s="9"/>
      <c r="E5" s="4"/>
      <c r="F5" s="4"/>
      <c r="G5" s="10"/>
      <c r="H5" s="11">
        <v>1</v>
      </c>
      <c r="I5" s="4"/>
      <c r="J5" s="4"/>
      <c r="K5" s="4"/>
      <c r="L5" s="5"/>
      <c r="M5" s="5"/>
      <c r="N5" s="5"/>
      <c r="O5" s="5"/>
      <c r="P5" s="5"/>
      <c r="Q5" s="5"/>
      <c r="R5" s="5"/>
      <c r="S5" s="5"/>
      <c r="T5" s="4"/>
      <c r="U5" s="4"/>
    </row>
    <row r="6" spans="1:21">
      <c r="D6" s="8" t="s">
        <v>3</v>
      </c>
      <c r="E6" s="12">
        <f>I222</f>
        <v>500000</v>
      </c>
      <c r="F6" s="4"/>
      <c r="G6" s="4"/>
      <c r="H6" s="4"/>
      <c r="I6" s="4"/>
      <c r="J6" s="4"/>
      <c r="K6" s="4"/>
      <c r="L6" s="5"/>
      <c r="M6" s="5"/>
      <c r="N6" s="5"/>
      <c r="O6" s="5"/>
      <c r="P6" s="5"/>
      <c r="Q6" s="5"/>
      <c r="R6" s="5"/>
      <c r="S6" s="5"/>
      <c r="T6" s="4"/>
      <c r="U6" s="4"/>
    </row>
    <row r="7" spans="1:21" ht="14.65" thickBot="1">
      <c r="C7" s="13"/>
      <c r="D7" s="14"/>
      <c r="E7" s="4"/>
      <c r="F7" s="4"/>
      <c r="G7" s="4"/>
      <c r="H7" s="4"/>
      <c r="I7" s="4"/>
      <c r="J7" s="4"/>
      <c r="K7" s="4"/>
      <c r="L7" s="5"/>
      <c r="M7" s="5"/>
      <c r="N7" s="5"/>
      <c r="O7" s="5"/>
      <c r="P7" s="5"/>
      <c r="Q7" s="5"/>
      <c r="R7" s="5"/>
      <c r="S7" s="5"/>
      <c r="T7" s="4"/>
      <c r="U7" s="4"/>
    </row>
    <row r="8" spans="1:21" ht="58.15">
      <c r="C8" s="15" t="s">
        <v>4</v>
      </c>
      <c r="D8" s="16" t="s">
        <v>5</v>
      </c>
      <c r="E8" s="16" t="s">
        <v>6</v>
      </c>
      <c r="F8" s="16" t="s">
        <v>7</v>
      </c>
      <c r="G8" s="16" t="s">
        <v>8</v>
      </c>
      <c r="H8" s="16" t="s">
        <v>9</v>
      </c>
      <c r="I8" s="17" t="s">
        <v>10</v>
      </c>
      <c r="J8" s="17" t="s">
        <v>10</v>
      </c>
      <c r="K8" s="18" t="s">
        <v>11</v>
      </c>
      <c r="L8" s="174" t="s">
        <v>12</v>
      </c>
      <c r="M8" s="174" t="s">
        <v>13</v>
      </c>
      <c r="N8" s="175" t="s">
        <v>14</v>
      </c>
      <c r="O8" s="174" t="s">
        <v>15</v>
      </c>
      <c r="P8" s="174" t="s">
        <v>566</v>
      </c>
      <c r="Q8" s="174" t="s">
        <v>595</v>
      </c>
      <c r="R8" s="174" t="s">
        <v>596</v>
      </c>
      <c r="S8" s="174" t="s">
        <v>597</v>
      </c>
      <c r="T8" s="165" t="s">
        <v>16</v>
      </c>
      <c r="U8" s="167" t="s">
        <v>17</v>
      </c>
    </row>
    <row r="9" spans="1:21">
      <c r="C9" s="19"/>
      <c r="D9" s="20"/>
      <c r="E9" s="20"/>
      <c r="F9" s="20"/>
      <c r="G9" s="20"/>
      <c r="H9" s="20"/>
      <c r="I9" s="20"/>
      <c r="J9" s="21"/>
      <c r="K9" s="22"/>
      <c r="L9" s="23"/>
      <c r="M9" s="23"/>
      <c r="N9" s="23"/>
      <c r="O9" s="23"/>
      <c r="P9" s="23"/>
      <c r="Q9" s="23"/>
      <c r="R9" s="23"/>
      <c r="S9" s="23"/>
      <c r="T9" s="150"/>
      <c r="U9" s="24"/>
    </row>
    <row r="10" spans="1:21" ht="15.75">
      <c r="C10" s="339" t="s">
        <v>18</v>
      </c>
      <c r="D10" s="339"/>
      <c r="E10" s="339"/>
      <c r="F10" s="339"/>
      <c r="G10" s="339"/>
      <c r="H10" s="339"/>
      <c r="I10" s="339"/>
      <c r="J10" s="339"/>
      <c r="K10" s="25"/>
      <c r="L10" s="26"/>
      <c r="M10" s="26"/>
      <c r="N10" s="26"/>
      <c r="O10" s="26"/>
      <c r="P10" s="26"/>
      <c r="Q10" s="26"/>
      <c r="R10" s="26"/>
      <c r="S10" s="26"/>
      <c r="T10" s="151"/>
      <c r="U10" s="27"/>
    </row>
    <row r="11" spans="1:21" ht="24.75" customHeight="1">
      <c r="B11" s="28" t="s">
        <v>19</v>
      </c>
      <c r="C11" s="29" t="s">
        <v>20</v>
      </c>
      <c r="D11" s="30" t="s">
        <v>21</v>
      </c>
      <c r="E11" s="31" t="s">
        <v>6</v>
      </c>
      <c r="F11" s="31" t="s">
        <v>7</v>
      </c>
      <c r="G11" s="31" t="s">
        <v>8</v>
      </c>
      <c r="H11" s="31" t="s">
        <v>9</v>
      </c>
      <c r="I11" s="31" t="s">
        <v>22</v>
      </c>
      <c r="J11" s="32" t="s">
        <v>10</v>
      </c>
      <c r="K11" s="33" t="str">
        <f>K8</f>
        <v>ICTJ</v>
      </c>
      <c r="L11" s="34"/>
      <c r="M11" s="34"/>
      <c r="N11" s="34"/>
      <c r="O11" s="34"/>
      <c r="P11" s="34"/>
      <c r="Q11" s="34"/>
      <c r="R11" s="34"/>
      <c r="S11" s="34"/>
      <c r="T11" s="152"/>
      <c r="U11" s="35"/>
    </row>
    <row r="12" spans="1:21">
      <c r="A12" s="36">
        <v>2</v>
      </c>
      <c r="B12" s="2" t="s">
        <v>23</v>
      </c>
      <c r="C12" s="7" t="s">
        <v>24</v>
      </c>
      <c r="D12" s="37" t="s">
        <v>25</v>
      </c>
      <c r="E12" s="37" t="s">
        <v>26</v>
      </c>
      <c r="F12" s="37">
        <v>1</v>
      </c>
      <c r="G12" s="37">
        <v>3</v>
      </c>
      <c r="H12" s="37">
        <v>200</v>
      </c>
      <c r="I12" s="37">
        <f>F12*G12*H12</f>
        <v>600</v>
      </c>
      <c r="J12" s="38">
        <f>I12/$H$5</f>
        <v>600</v>
      </c>
      <c r="K12" s="39">
        <f>I12</f>
        <v>600</v>
      </c>
      <c r="L12" s="40"/>
      <c r="M12" s="40">
        <v>600</v>
      </c>
      <c r="N12" s="40"/>
      <c r="O12" s="40"/>
      <c r="P12" s="40"/>
      <c r="Q12" s="40"/>
      <c r="R12" s="40"/>
      <c r="S12" s="40">
        <f>+L12+M12+N12+O12+P12+Q12+R12</f>
        <v>600</v>
      </c>
      <c r="T12" s="146">
        <f>J12-L12-M12-N12-O12-P12-Q12-R12</f>
        <v>0</v>
      </c>
      <c r="U12" s="41"/>
    </row>
    <row r="13" spans="1:21">
      <c r="A13" s="36">
        <v>2</v>
      </c>
      <c r="C13" s="7"/>
      <c r="D13" s="37" t="s">
        <v>27</v>
      </c>
      <c r="E13" s="37"/>
      <c r="F13" s="37"/>
      <c r="G13" s="37"/>
      <c r="H13" s="37"/>
      <c r="I13" s="37"/>
      <c r="J13" s="38"/>
      <c r="K13" s="39">
        <f>I13</f>
        <v>0</v>
      </c>
      <c r="L13" s="40"/>
      <c r="M13" s="40">
        <v>1781.65</v>
      </c>
      <c r="N13" s="40"/>
      <c r="O13" s="40"/>
      <c r="P13" s="40"/>
      <c r="Q13" s="40"/>
      <c r="R13" s="40"/>
      <c r="S13" s="40">
        <f t="shared" ref="S13:S28" si="0">+L13+M13+N13+O13+P13+Q13+R13</f>
        <v>1781.65</v>
      </c>
      <c r="T13" s="146">
        <f t="shared" ref="T13:T29" si="1">J13-L13-M13-N13-O13-P13-Q13-R13</f>
        <v>-1781.65</v>
      </c>
      <c r="U13" s="41"/>
    </row>
    <row r="14" spans="1:21">
      <c r="A14" s="36">
        <v>2</v>
      </c>
      <c r="B14" s="2" t="s">
        <v>23</v>
      </c>
      <c r="C14" s="7" t="s">
        <v>24</v>
      </c>
      <c r="D14" s="37" t="s">
        <v>28</v>
      </c>
      <c r="E14" s="37" t="s">
        <v>29</v>
      </c>
      <c r="F14" s="37">
        <v>30</v>
      </c>
      <c r="G14" s="37">
        <v>3</v>
      </c>
      <c r="H14" s="37">
        <v>20</v>
      </c>
      <c r="I14" s="37">
        <f>F14*G14*H14</f>
        <v>1800</v>
      </c>
      <c r="J14" s="38">
        <f>I14/$H$5</f>
        <v>1800</v>
      </c>
      <c r="K14" s="39">
        <f t="shared" ref="K14:K29" si="2">I14</f>
        <v>1800</v>
      </c>
      <c r="L14" s="40"/>
      <c r="M14" s="40">
        <v>1800</v>
      </c>
      <c r="N14" s="40"/>
      <c r="O14" s="40"/>
      <c r="P14" s="40"/>
      <c r="Q14" s="40"/>
      <c r="R14" s="40"/>
      <c r="S14" s="40">
        <f t="shared" si="0"/>
        <v>1800</v>
      </c>
      <c r="T14" s="146">
        <f t="shared" si="1"/>
        <v>0</v>
      </c>
      <c r="U14" s="41"/>
    </row>
    <row r="15" spans="1:21">
      <c r="A15" s="36">
        <v>5</v>
      </c>
      <c r="B15" s="2" t="s">
        <v>30</v>
      </c>
      <c r="C15" s="7" t="s">
        <v>24</v>
      </c>
      <c r="D15" s="37" t="s">
        <v>31</v>
      </c>
      <c r="E15" s="37" t="s">
        <v>29</v>
      </c>
      <c r="F15" s="37">
        <v>30</v>
      </c>
      <c r="G15" s="37">
        <v>1</v>
      </c>
      <c r="H15" s="37">
        <v>10</v>
      </c>
      <c r="I15" s="37">
        <f t="shared" ref="I15:I29" si="3">F15*G15*H15</f>
        <v>300</v>
      </c>
      <c r="J15" s="38">
        <f t="shared" ref="J15:J22" si="4">I15/$H$5</f>
        <v>300</v>
      </c>
      <c r="K15" s="39">
        <f t="shared" si="2"/>
        <v>300</v>
      </c>
      <c r="L15" s="40"/>
      <c r="M15" s="40">
        <v>480.38</v>
      </c>
      <c r="N15" s="40"/>
      <c r="O15" s="40"/>
      <c r="P15" s="40"/>
      <c r="Q15" s="40"/>
      <c r="R15" s="40"/>
      <c r="S15" s="40">
        <f t="shared" si="0"/>
        <v>480.38</v>
      </c>
      <c r="T15" s="146">
        <f t="shared" si="1"/>
        <v>-180.38</v>
      </c>
      <c r="U15" s="41"/>
    </row>
    <row r="16" spans="1:21">
      <c r="A16" s="36">
        <v>5</v>
      </c>
      <c r="B16" s="2" t="s">
        <v>30</v>
      </c>
      <c r="C16" s="7" t="s">
        <v>24</v>
      </c>
      <c r="D16" s="37" t="s">
        <v>32</v>
      </c>
      <c r="E16" s="37" t="s">
        <v>29</v>
      </c>
      <c r="F16" s="37">
        <v>30</v>
      </c>
      <c r="G16" s="37">
        <v>3</v>
      </c>
      <c r="H16" s="37">
        <v>40</v>
      </c>
      <c r="I16" s="37">
        <f t="shared" si="3"/>
        <v>3600</v>
      </c>
      <c r="J16" s="38">
        <f t="shared" si="4"/>
        <v>3600</v>
      </c>
      <c r="K16" s="39">
        <f t="shared" si="2"/>
        <v>3600</v>
      </c>
      <c r="L16" s="40"/>
      <c r="M16" s="40">
        <v>1310.33</v>
      </c>
      <c r="N16" s="40">
        <v>2278.6</v>
      </c>
      <c r="O16" s="40"/>
      <c r="P16" s="40"/>
      <c r="Q16" s="40"/>
      <c r="R16" s="40"/>
      <c r="S16" s="40">
        <f t="shared" si="0"/>
        <v>3588.93</v>
      </c>
      <c r="T16" s="146">
        <f t="shared" si="1"/>
        <v>11.070000000000164</v>
      </c>
      <c r="U16" s="41"/>
    </row>
    <row r="17" spans="1:21">
      <c r="A17" s="36">
        <v>3</v>
      </c>
      <c r="B17" s="28" t="s">
        <v>33</v>
      </c>
      <c r="C17" s="7" t="s">
        <v>24</v>
      </c>
      <c r="D17" s="37" t="s">
        <v>34</v>
      </c>
      <c r="E17" s="37" t="s">
        <v>29</v>
      </c>
      <c r="F17" s="37">
        <v>1</v>
      </c>
      <c r="G17" s="37">
        <v>4</v>
      </c>
      <c r="H17" s="37">
        <v>200</v>
      </c>
      <c r="I17" s="37">
        <f t="shared" si="3"/>
        <v>800</v>
      </c>
      <c r="J17" s="38">
        <f t="shared" si="4"/>
        <v>800</v>
      </c>
      <c r="K17" s="39">
        <f t="shared" si="2"/>
        <v>800</v>
      </c>
      <c r="L17" s="40"/>
      <c r="M17" s="40">
        <v>604.77</v>
      </c>
      <c r="N17" s="40"/>
      <c r="O17" s="40"/>
      <c r="P17" s="40"/>
      <c r="Q17" s="40"/>
      <c r="R17" s="40"/>
      <c r="S17" s="40">
        <f t="shared" si="0"/>
        <v>604.77</v>
      </c>
      <c r="T17" s="146">
        <f t="shared" si="1"/>
        <v>195.23000000000002</v>
      </c>
      <c r="U17" s="41"/>
    </row>
    <row r="18" spans="1:21">
      <c r="A18" s="36">
        <v>5</v>
      </c>
      <c r="B18" s="28"/>
      <c r="C18" s="7"/>
      <c r="D18" s="37" t="s">
        <v>35</v>
      </c>
      <c r="E18" s="37"/>
      <c r="F18" s="37"/>
      <c r="G18" s="37"/>
      <c r="H18" s="37"/>
      <c r="I18" s="37"/>
      <c r="J18" s="38">
        <f t="shared" si="4"/>
        <v>0</v>
      </c>
      <c r="K18" s="39">
        <f t="shared" si="2"/>
        <v>0</v>
      </c>
      <c r="L18" s="40"/>
      <c r="M18" s="40">
        <v>43.68</v>
      </c>
      <c r="N18" s="40"/>
      <c r="O18" s="40"/>
      <c r="P18" s="40"/>
      <c r="Q18" s="40"/>
      <c r="R18" s="40"/>
      <c r="S18" s="40">
        <f t="shared" si="0"/>
        <v>43.68</v>
      </c>
      <c r="T18" s="146">
        <f t="shared" si="1"/>
        <v>-43.68</v>
      </c>
      <c r="U18" s="41"/>
    </row>
    <row r="19" spans="1:21" ht="24">
      <c r="A19" s="36">
        <v>5</v>
      </c>
      <c r="B19" s="28"/>
      <c r="C19" s="7"/>
      <c r="D19" s="42" t="s">
        <v>36</v>
      </c>
      <c r="E19" s="37"/>
      <c r="F19" s="37"/>
      <c r="G19" s="37"/>
      <c r="H19" s="37"/>
      <c r="I19" s="37"/>
      <c r="J19" s="38">
        <f t="shared" si="4"/>
        <v>0</v>
      </c>
      <c r="K19" s="39">
        <f t="shared" si="2"/>
        <v>0</v>
      </c>
      <c r="L19" s="40"/>
      <c r="M19" s="40">
        <v>134.4</v>
      </c>
      <c r="N19" s="40"/>
      <c r="O19" s="40"/>
      <c r="P19" s="40"/>
      <c r="Q19" s="40"/>
      <c r="R19" s="40"/>
      <c r="S19" s="40">
        <f t="shared" si="0"/>
        <v>134.4</v>
      </c>
      <c r="T19" s="146">
        <f t="shared" si="1"/>
        <v>-134.4</v>
      </c>
      <c r="U19" s="41"/>
    </row>
    <row r="20" spans="1:21">
      <c r="A20" s="36">
        <v>4</v>
      </c>
      <c r="B20" s="28"/>
      <c r="C20" s="7"/>
      <c r="D20" s="37" t="s">
        <v>37</v>
      </c>
      <c r="E20" s="37"/>
      <c r="F20" s="37"/>
      <c r="G20" s="37"/>
      <c r="H20" s="37"/>
      <c r="I20" s="37"/>
      <c r="J20" s="38">
        <f t="shared" si="4"/>
        <v>0</v>
      </c>
      <c r="K20" s="39">
        <f t="shared" si="2"/>
        <v>0</v>
      </c>
      <c r="L20" s="40"/>
      <c r="M20" s="40">
        <v>100.79</v>
      </c>
      <c r="N20" s="40"/>
      <c r="O20" s="40"/>
      <c r="P20" s="40"/>
      <c r="Q20" s="40"/>
      <c r="R20" s="40"/>
      <c r="S20" s="40">
        <f t="shared" si="0"/>
        <v>100.79</v>
      </c>
      <c r="T20" s="146">
        <f t="shared" si="1"/>
        <v>-100.79</v>
      </c>
      <c r="U20" s="41"/>
    </row>
    <row r="21" spans="1:21">
      <c r="A21" s="36">
        <v>2</v>
      </c>
      <c r="B21" s="28"/>
      <c r="C21" s="7"/>
      <c r="D21" s="37" t="s">
        <v>38</v>
      </c>
      <c r="E21" s="37"/>
      <c r="F21" s="37"/>
      <c r="G21" s="37"/>
      <c r="H21" s="37"/>
      <c r="I21" s="37"/>
      <c r="J21" s="38">
        <f t="shared" si="4"/>
        <v>0</v>
      </c>
      <c r="K21" s="39">
        <f t="shared" si="2"/>
        <v>0</v>
      </c>
      <c r="L21" s="40"/>
      <c r="M21" s="40">
        <v>748.4</v>
      </c>
      <c r="N21" s="40"/>
      <c r="O21" s="40"/>
      <c r="P21" s="40"/>
      <c r="Q21" s="40"/>
      <c r="R21" s="40"/>
      <c r="S21" s="40">
        <f t="shared" si="0"/>
        <v>748.4</v>
      </c>
      <c r="T21" s="146">
        <f t="shared" si="1"/>
        <v>-748.4</v>
      </c>
      <c r="U21" s="41"/>
    </row>
    <row r="22" spans="1:21">
      <c r="A22" s="36">
        <v>5</v>
      </c>
      <c r="B22" s="2" t="s">
        <v>30</v>
      </c>
      <c r="C22" s="7" t="s">
        <v>24</v>
      </c>
      <c r="D22" s="37" t="s">
        <v>39</v>
      </c>
      <c r="E22" s="37" t="s">
        <v>26</v>
      </c>
      <c r="F22" s="37">
        <v>1</v>
      </c>
      <c r="G22" s="37">
        <v>4</v>
      </c>
      <c r="H22" s="37">
        <v>50</v>
      </c>
      <c r="I22" s="37">
        <f t="shared" si="3"/>
        <v>200</v>
      </c>
      <c r="J22" s="38">
        <f t="shared" si="4"/>
        <v>200</v>
      </c>
      <c r="K22" s="39">
        <f t="shared" si="2"/>
        <v>200</v>
      </c>
      <c r="L22" s="40"/>
      <c r="M22" s="40">
        <v>51</v>
      </c>
      <c r="N22" s="40"/>
      <c r="O22" s="40"/>
      <c r="P22" s="40"/>
      <c r="Q22" s="40"/>
      <c r="R22" s="40"/>
      <c r="S22" s="40">
        <f t="shared" si="0"/>
        <v>51</v>
      </c>
      <c r="T22" s="146">
        <f t="shared" si="1"/>
        <v>149</v>
      </c>
      <c r="U22" s="41"/>
    </row>
    <row r="23" spans="1:21">
      <c r="A23" s="36">
        <v>2</v>
      </c>
      <c r="B23" s="2" t="s">
        <v>23</v>
      </c>
      <c r="C23" s="7" t="s">
        <v>24</v>
      </c>
      <c r="D23" s="37" t="s">
        <v>40</v>
      </c>
      <c r="E23" s="37" t="s">
        <v>29</v>
      </c>
      <c r="F23" s="37">
        <v>30</v>
      </c>
      <c r="G23" s="37">
        <v>1</v>
      </c>
      <c r="H23" s="37">
        <v>5</v>
      </c>
      <c r="I23" s="37">
        <f t="shared" si="3"/>
        <v>150</v>
      </c>
      <c r="J23" s="38">
        <f>I23/$H$5</f>
        <v>150</v>
      </c>
      <c r="K23" s="39">
        <f t="shared" si="2"/>
        <v>150</v>
      </c>
      <c r="L23" s="40"/>
      <c r="M23" s="40">
        <v>470.3</v>
      </c>
      <c r="N23" s="40"/>
      <c r="O23" s="40"/>
      <c r="P23" s="40"/>
      <c r="Q23" s="40"/>
      <c r="R23" s="40"/>
      <c r="S23" s="40">
        <f t="shared" si="0"/>
        <v>470.3</v>
      </c>
      <c r="T23" s="146">
        <f t="shared" si="1"/>
        <v>-320.3</v>
      </c>
      <c r="U23" s="41"/>
    </row>
    <row r="24" spans="1:21">
      <c r="A24" s="36">
        <v>5</v>
      </c>
      <c r="B24" s="2" t="s">
        <v>30</v>
      </c>
      <c r="C24" s="7" t="s">
        <v>24</v>
      </c>
      <c r="D24" s="37" t="s">
        <v>41</v>
      </c>
      <c r="E24" s="37" t="s">
        <v>29</v>
      </c>
      <c r="F24" s="37">
        <v>1</v>
      </c>
      <c r="G24" s="37">
        <v>1</v>
      </c>
      <c r="H24" s="37">
        <v>1200</v>
      </c>
      <c r="I24" s="37">
        <f t="shared" si="3"/>
        <v>1200</v>
      </c>
      <c r="J24" s="38">
        <f t="shared" ref="J24:J29" si="5">I24/$H$5</f>
        <v>1200</v>
      </c>
      <c r="K24" s="39">
        <f t="shared" si="2"/>
        <v>1200</v>
      </c>
      <c r="L24" s="40"/>
      <c r="M24" s="40"/>
      <c r="N24" s="40"/>
      <c r="O24" s="40"/>
      <c r="P24" s="40"/>
      <c r="Q24" s="40"/>
      <c r="R24" s="40"/>
      <c r="S24" s="40"/>
      <c r="T24" s="146">
        <f t="shared" si="1"/>
        <v>1200</v>
      </c>
      <c r="U24" s="41"/>
    </row>
    <row r="25" spans="1:21">
      <c r="A25" s="36">
        <v>5</v>
      </c>
      <c r="B25" s="2" t="s">
        <v>30</v>
      </c>
      <c r="C25" s="7" t="s">
        <v>24</v>
      </c>
      <c r="D25" s="37" t="s">
        <v>42</v>
      </c>
      <c r="E25" s="37" t="s">
        <v>43</v>
      </c>
      <c r="F25" s="37">
        <v>1</v>
      </c>
      <c r="G25" s="37">
        <v>5</v>
      </c>
      <c r="H25" s="37">
        <v>200</v>
      </c>
      <c r="I25" s="37">
        <f t="shared" si="3"/>
        <v>1000</v>
      </c>
      <c r="J25" s="38">
        <f t="shared" si="5"/>
        <v>1000</v>
      </c>
      <c r="K25" s="39">
        <f t="shared" si="2"/>
        <v>1000</v>
      </c>
      <c r="L25" s="40"/>
      <c r="M25" s="40"/>
      <c r="N25" s="40"/>
      <c r="O25" s="40"/>
      <c r="P25" s="40"/>
      <c r="Q25" s="40"/>
      <c r="R25" s="40"/>
      <c r="S25" s="40"/>
      <c r="T25" s="146">
        <f t="shared" si="1"/>
        <v>1000</v>
      </c>
      <c r="U25" s="41"/>
    </row>
    <row r="26" spans="1:21">
      <c r="A26" s="36">
        <v>5</v>
      </c>
      <c r="B26" s="2" t="s">
        <v>30</v>
      </c>
      <c r="C26" s="7" t="s">
        <v>24</v>
      </c>
      <c r="D26" s="37" t="s">
        <v>44</v>
      </c>
      <c r="E26" s="37" t="s">
        <v>29</v>
      </c>
      <c r="F26" s="37">
        <v>1</v>
      </c>
      <c r="G26" s="37">
        <v>2</v>
      </c>
      <c r="H26" s="37">
        <v>40</v>
      </c>
      <c r="I26" s="37">
        <f t="shared" si="3"/>
        <v>80</v>
      </c>
      <c r="J26" s="38">
        <f t="shared" si="5"/>
        <v>80</v>
      </c>
      <c r="K26" s="39">
        <f t="shared" si="2"/>
        <v>80</v>
      </c>
      <c r="L26" s="40"/>
      <c r="M26" s="40"/>
      <c r="N26" s="40"/>
      <c r="O26" s="40"/>
      <c r="P26" s="40"/>
      <c r="Q26" s="40"/>
      <c r="R26" s="40"/>
      <c r="S26" s="40"/>
      <c r="T26" s="146">
        <f t="shared" si="1"/>
        <v>80</v>
      </c>
      <c r="U26" s="41"/>
    </row>
    <row r="27" spans="1:21">
      <c r="A27" s="36">
        <v>4</v>
      </c>
      <c r="B27" s="2" t="s">
        <v>45</v>
      </c>
      <c r="C27" s="7" t="s">
        <v>24</v>
      </c>
      <c r="D27" s="37" t="s">
        <v>46</v>
      </c>
      <c r="E27" s="37" t="s">
        <v>26</v>
      </c>
      <c r="F27" s="37">
        <v>1</v>
      </c>
      <c r="G27" s="37">
        <v>1</v>
      </c>
      <c r="H27" s="37">
        <v>1000</v>
      </c>
      <c r="I27" s="37">
        <f t="shared" si="3"/>
        <v>1000</v>
      </c>
      <c r="J27" s="38">
        <f t="shared" si="5"/>
        <v>1000</v>
      </c>
      <c r="K27" s="39">
        <f t="shared" si="2"/>
        <v>1000</v>
      </c>
      <c r="L27" s="40"/>
      <c r="M27" s="40"/>
      <c r="N27" s="40">
        <v>490.19</v>
      </c>
      <c r="O27" s="40"/>
      <c r="P27" s="40"/>
      <c r="Q27" s="40">
        <v>499.79</v>
      </c>
      <c r="R27" s="40"/>
      <c r="S27" s="40">
        <f t="shared" si="0"/>
        <v>989.98</v>
      </c>
      <c r="T27" s="146">
        <f t="shared" si="1"/>
        <v>10.019999999999982</v>
      </c>
      <c r="U27" s="41"/>
    </row>
    <row r="28" spans="1:21">
      <c r="A28" s="36">
        <v>4</v>
      </c>
      <c r="B28" s="2" t="s">
        <v>45</v>
      </c>
      <c r="C28" s="7" t="s">
        <v>24</v>
      </c>
      <c r="D28" s="37" t="s">
        <v>47</v>
      </c>
      <c r="E28" s="37" t="s">
        <v>26</v>
      </c>
      <c r="F28" s="37">
        <v>1</v>
      </c>
      <c r="G28" s="37">
        <v>1</v>
      </c>
      <c r="H28" s="37">
        <v>1700</v>
      </c>
      <c r="I28" s="37">
        <f t="shared" si="3"/>
        <v>1700</v>
      </c>
      <c r="J28" s="38">
        <f t="shared" si="5"/>
        <v>1700</v>
      </c>
      <c r="K28" s="39">
        <f t="shared" si="2"/>
        <v>1700</v>
      </c>
      <c r="L28" s="40"/>
      <c r="M28" s="40">
        <v>837.89</v>
      </c>
      <c r="N28" s="40">
        <v>839.67</v>
      </c>
      <c r="O28" s="40"/>
      <c r="P28" s="40"/>
      <c r="Q28" s="40"/>
      <c r="R28" s="40"/>
      <c r="S28" s="40">
        <f t="shared" si="0"/>
        <v>1677.56</v>
      </c>
      <c r="T28" s="146">
        <f t="shared" si="1"/>
        <v>22.440000000000055</v>
      </c>
      <c r="U28" s="41"/>
    </row>
    <row r="29" spans="1:21">
      <c r="A29" s="36">
        <v>4</v>
      </c>
      <c r="B29" s="2" t="s">
        <v>45</v>
      </c>
      <c r="C29" s="7" t="s">
        <v>24</v>
      </c>
      <c r="D29" s="37" t="s">
        <v>48</v>
      </c>
      <c r="E29" s="37" t="s">
        <v>26</v>
      </c>
      <c r="F29" s="37">
        <v>1</v>
      </c>
      <c r="G29" s="37">
        <v>1</v>
      </c>
      <c r="H29" s="37">
        <v>750</v>
      </c>
      <c r="I29" s="37">
        <f t="shared" si="3"/>
        <v>750</v>
      </c>
      <c r="J29" s="38">
        <f t="shared" si="5"/>
        <v>750</v>
      </c>
      <c r="K29" s="39">
        <f t="shared" si="2"/>
        <v>750</v>
      </c>
      <c r="L29" s="40"/>
      <c r="M29" s="40"/>
      <c r="N29" s="40"/>
      <c r="O29" s="40"/>
      <c r="P29" s="40"/>
      <c r="Q29" s="40"/>
      <c r="R29" s="40"/>
      <c r="S29" s="40"/>
      <c r="T29" s="146">
        <f t="shared" si="1"/>
        <v>750</v>
      </c>
      <c r="U29" s="41"/>
    </row>
    <row r="30" spans="1:21">
      <c r="A30" s="36"/>
      <c r="B30" s="28" t="s">
        <v>49</v>
      </c>
      <c r="C30" s="51" t="s">
        <v>50</v>
      </c>
      <c r="D30" s="52"/>
      <c r="E30" s="53"/>
      <c r="F30" s="53"/>
      <c r="G30" s="54"/>
      <c r="H30" s="54"/>
      <c r="I30" s="55">
        <f t="shared" ref="I30:R30" si="6">SUM(I12:I29)</f>
        <v>13180</v>
      </c>
      <c r="J30" s="55">
        <f t="shared" si="6"/>
        <v>13180</v>
      </c>
      <c r="K30" s="56">
        <f t="shared" si="6"/>
        <v>13180</v>
      </c>
      <c r="L30" s="57">
        <f t="shared" si="6"/>
        <v>0</v>
      </c>
      <c r="M30" s="57">
        <f t="shared" si="6"/>
        <v>8963.5899999999983</v>
      </c>
      <c r="N30" s="57">
        <f t="shared" si="6"/>
        <v>3608.46</v>
      </c>
      <c r="O30" s="57">
        <f t="shared" si="6"/>
        <v>0</v>
      </c>
      <c r="P30" s="57">
        <f t="shared" si="6"/>
        <v>0</v>
      </c>
      <c r="Q30" s="57">
        <f t="shared" si="6"/>
        <v>499.79</v>
      </c>
      <c r="R30" s="57">
        <f t="shared" si="6"/>
        <v>0</v>
      </c>
      <c r="S30" s="57">
        <f>SUM(S12:S29)</f>
        <v>13071.839999999998</v>
      </c>
      <c r="T30" s="148">
        <f>SUM(T12:T29)</f>
        <v>108.15999999999985</v>
      </c>
      <c r="U30" s="58">
        <v>6767.6693999999989</v>
      </c>
    </row>
    <row r="31" spans="1:21">
      <c r="A31" s="36"/>
      <c r="B31" s="28" t="s">
        <v>49</v>
      </c>
      <c r="C31" s="59" t="s">
        <v>51</v>
      </c>
      <c r="D31" s="60" t="s">
        <v>52</v>
      </c>
      <c r="E31" s="61"/>
      <c r="F31" s="60"/>
      <c r="G31" s="60"/>
      <c r="H31" s="61"/>
      <c r="I31" s="61"/>
      <c r="J31" s="61"/>
      <c r="K31" s="62"/>
      <c r="L31" s="63"/>
      <c r="M31" s="63"/>
      <c r="N31" s="63"/>
      <c r="O31" s="63"/>
      <c r="P31" s="63"/>
      <c r="Q31" s="63"/>
      <c r="R31" s="63"/>
      <c r="S31" s="63"/>
      <c r="T31" s="153"/>
      <c r="U31" s="64"/>
    </row>
    <row r="32" spans="1:21">
      <c r="A32" s="36">
        <v>2</v>
      </c>
      <c r="B32" s="2" t="s">
        <v>23</v>
      </c>
      <c r="C32" s="7" t="s">
        <v>53</v>
      </c>
      <c r="D32" s="37" t="s">
        <v>54</v>
      </c>
      <c r="E32" s="37" t="s">
        <v>26</v>
      </c>
      <c r="F32" s="37">
        <f>2</f>
        <v>2</v>
      </c>
      <c r="G32" s="37">
        <v>3</v>
      </c>
      <c r="H32" s="37">
        <v>200</v>
      </c>
      <c r="I32" s="37">
        <f>F32*G32*H32</f>
        <v>1200</v>
      </c>
      <c r="J32" s="38">
        <f>I32/$H$5</f>
        <v>1200</v>
      </c>
      <c r="K32" s="39">
        <f>I32</f>
        <v>1200</v>
      </c>
      <c r="L32" s="40"/>
      <c r="M32" s="40"/>
      <c r="N32" s="40">
        <v>2627.93</v>
      </c>
      <c r="O32" s="40"/>
      <c r="P32" s="40"/>
      <c r="Q32" s="40"/>
      <c r="R32" s="40"/>
      <c r="S32" s="40">
        <f>+L32+M32+N32+O32+P32+Q32+R32</f>
        <v>2627.93</v>
      </c>
      <c r="T32" s="146">
        <f>J32-L32-M32-N32-O32-P32-Q32-R32</f>
        <v>-1427.9299999999998</v>
      </c>
      <c r="U32" s="41"/>
    </row>
    <row r="33" spans="1:21">
      <c r="A33" s="36">
        <v>2</v>
      </c>
      <c r="B33" s="2" t="s">
        <v>23</v>
      </c>
      <c r="C33" s="7" t="s">
        <v>53</v>
      </c>
      <c r="D33" s="37" t="s">
        <v>55</v>
      </c>
      <c r="E33" s="37" t="s">
        <v>29</v>
      </c>
      <c r="F33" s="37">
        <f>25*2</f>
        <v>50</v>
      </c>
      <c r="G33" s="37">
        <v>3</v>
      </c>
      <c r="H33" s="37">
        <v>20</v>
      </c>
      <c r="I33" s="37">
        <f t="shared" ref="I33:I36" si="7">F33*G33*H33</f>
        <v>3000</v>
      </c>
      <c r="J33" s="38">
        <f t="shared" ref="J33:J37" si="8">I33/$H$5</f>
        <v>3000</v>
      </c>
      <c r="K33" s="39">
        <f t="shared" ref="K33:K41" si="9">I33</f>
        <v>3000</v>
      </c>
      <c r="L33" s="40"/>
      <c r="M33" s="40"/>
      <c r="N33" s="40">
        <v>1869.12</v>
      </c>
      <c r="O33" s="40"/>
      <c r="P33" s="40"/>
      <c r="Q33" s="40"/>
      <c r="R33" s="40"/>
      <c r="S33" s="40">
        <f t="shared" ref="S33:S40" si="10">+L33+M33+N33+O33+P33+Q33+R33</f>
        <v>1869.12</v>
      </c>
      <c r="T33" s="146">
        <f t="shared" ref="T33:T41" si="11">J33-L33-M33-N33-O33-P33-Q33-R33</f>
        <v>1130.8800000000001</v>
      </c>
      <c r="U33" s="41"/>
    </row>
    <row r="34" spans="1:21">
      <c r="A34" s="36">
        <v>2</v>
      </c>
      <c r="B34" s="2" t="s">
        <v>23</v>
      </c>
      <c r="C34" s="7" t="s">
        <v>53</v>
      </c>
      <c r="D34" s="37" t="s">
        <v>56</v>
      </c>
      <c r="E34" s="37" t="s">
        <v>29</v>
      </c>
      <c r="F34" s="37">
        <v>25</v>
      </c>
      <c r="G34" s="37">
        <v>3</v>
      </c>
      <c r="H34" s="37">
        <v>5</v>
      </c>
      <c r="I34" s="37">
        <f t="shared" si="7"/>
        <v>375</v>
      </c>
      <c r="J34" s="38">
        <f t="shared" si="8"/>
        <v>375</v>
      </c>
      <c r="K34" s="39">
        <f t="shared" si="9"/>
        <v>375</v>
      </c>
      <c r="L34" s="40"/>
      <c r="M34" s="40"/>
      <c r="N34" s="40">
        <v>205</v>
      </c>
      <c r="O34" s="40"/>
      <c r="P34" s="40"/>
      <c r="Q34" s="40"/>
      <c r="R34" s="40"/>
      <c r="S34" s="40">
        <f t="shared" si="10"/>
        <v>205</v>
      </c>
      <c r="T34" s="146">
        <f t="shared" si="11"/>
        <v>170</v>
      </c>
      <c r="U34" s="41"/>
    </row>
    <row r="35" spans="1:21">
      <c r="A35" s="36">
        <v>5</v>
      </c>
      <c r="B35" s="28" t="s">
        <v>30</v>
      </c>
      <c r="C35" s="7" t="s">
        <v>53</v>
      </c>
      <c r="D35" s="37" t="s">
        <v>57</v>
      </c>
      <c r="E35" s="37" t="s">
        <v>29</v>
      </c>
      <c r="F35" s="37">
        <f>25*2</f>
        <v>50</v>
      </c>
      <c r="G35" s="37">
        <v>3</v>
      </c>
      <c r="H35" s="37">
        <v>10</v>
      </c>
      <c r="I35" s="37">
        <f t="shared" si="7"/>
        <v>1500</v>
      </c>
      <c r="J35" s="38">
        <f t="shared" si="8"/>
        <v>1500</v>
      </c>
      <c r="K35" s="39">
        <f t="shared" si="9"/>
        <v>1500</v>
      </c>
      <c r="L35" s="40"/>
      <c r="M35" s="40"/>
      <c r="N35" s="40">
        <v>1358.47</v>
      </c>
      <c r="O35" s="40"/>
      <c r="P35" s="40"/>
      <c r="Q35" s="40"/>
      <c r="R35" s="40"/>
      <c r="S35" s="40">
        <f t="shared" si="10"/>
        <v>1358.47</v>
      </c>
      <c r="T35" s="146">
        <f t="shared" si="11"/>
        <v>141.52999999999997</v>
      </c>
      <c r="U35" s="41"/>
    </row>
    <row r="36" spans="1:21">
      <c r="A36" s="36">
        <v>4</v>
      </c>
      <c r="B36" s="2" t="s">
        <v>45</v>
      </c>
      <c r="C36" s="7" t="s">
        <v>53</v>
      </c>
      <c r="D36" s="37" t="s">
        <v>58</v>
      </c>
      <c r="E36" s="37" t="s">
        <v>29</v>
      </c>
      <c r="F36" s="37">
        <v>1</v>
      </c>
      <c r="G36" s="37">
        <v>3</v>
      </c>
      <c r="H36" s="37">
        <v>100</v>
      </c>
      <c r="I36" s="37">
        <f t="shared" si="7"/>
        <v>300</v>
      </c>
      <c r="J36" s="38">
        <f t="shared" si="8"/>
        <v>300</v>
      </c>
      <c r="K36" s="39">
        <f t="shared" si="9"/>
        <v>300</v>
      </c>
      <c r="L36" s="40"/>
      <c r="M36" s="40"/>
      <c r="N36" s="40">
        <v>243.76</v>
      </c>
      <c r="O36" s="40"/>
      <c r="P36" s="40"/>
      <c r="Q36" s="40"/>
      <c r="R36" s="40"/>
      <c r="S36" s="40">
        <f t="shared" si="10"/>
        <v>243.76</v>
      </c>
      <c r="T36" s="146">
        <f t="shared" si="11"/>
        <v>56.240000000000009</v>
      </c>
      <c r="U36" s="41"/>
    </row>
    <row r="37" spans="1:21">
      <c r="A37" s="43">
        <v>5</v>
      </c>
      <c r="B37" s="6" t="s">
        <v>30</v>
      </c>
      <c r="C37" s="44">
        <v>1.1000000000000001</v>
      </c>
      <c r="D37" s="45" t="s">
        <v>59</v>
      </c>
      <c r="E37" s="45" t="s">
        <v>29</v>
      </c>
      <c r="F37" s="45">
        <v>25</v>
      </c>
      <c r="G37" s="45">
        <v>3</v>
      </c>
      <c r="H37" s="45">
        <v>0</v>
      </c>
      <c r="I37" s="46">
        <v>0</v>
      </c>
      <c r="J37" s="38">
        <f t="shared" si="8"/>
        <v>0</v>
      </c>
      <c r="K37" s="39">
        <f t="shared" si="9"/>
        <v>0</v>
      </c>
      <c r="L37" s="47"/>
      <c r="M37" s="48"/>
      <c r="N37" s="48">
        <v>3293.6</v>
      </c>
      <c r="O37" s="48"/>
      <c r="P37" s="40"/>
      <c r="Q37" s="40"/>
      <c r="R37" s="40"/>
      <c r="S37" s="40">
        <f t="shared" si="10"/>
        <v>3293.6</v>
      </c>
      <c r="T37" s="146">
        <f t="shared" si="11"/>
        <v>-3293.6</v>
      </c>
      <c r="U37" s="168"/>
    </row>
    <row r="38" spans="1:21">
      <c r="A38" s="36">
        <v>2</v>
      </c>
      <c r="B38" s="2" t="s">
        <v>23</v>
      </c>
      <c r="C38" s="7" t="s">
        <v>53</v>
      </c>
      <c r="D38" s="37" t="s">
        <v>60</v>
      </c>
      <c r="E38" s="37" t="s">
        <v>26</v>
      </c>
      <c r="F38" s="37">
        <v>1</v>
      </c>
      <c r="G38" s="37">
        <v>3</v>
      </c>
      <c r="H38" s="37">
        <v>39</v>
      </c>
      <c r="I38" s="37">
        <f>F38*G38*H38</f>
        <v>117</v>
      </c>
      <c r="J38" s="38">
        <f>I38/$H$5</f>
        <v>117</v>
      </c>
      <c r="K38" s="39">
        <f t="shared" si="9"/>
        <v>117</v>
      </c>
      <c r="L38" s="40"/>
      <c r="M38" s="40"/>
      <c r="N38" s="40"/>
      <c r="O38" s="40"/>
      <c r="P38" s="40"/>
      <c r="Q38" s="40"/>
      <c r="R38" s="40"/>
      <c r="S38" s="40"/>
      <c r="T38" s="146">
        <f t="shared" si="11"/>
        <v>117</v>
      </c>
      <c r="U38" s="41"/>
    </row>
    <row r="39" spans="1:21">
      <c r="A39" s="43">
        <v>4</v>
      </c>
      <c r="B39" s="6" t="s">
        <v>45</v>
      </c>
      <c r="C39" s="44" t="s">
        <v>53</v>
      </c>
      <c r="D39" s="45" t="s">
        <v>46</v>
      </c>
      <c r="E39" s="45" t="s">
        <v>26</v>
      </c>
      <c r="F39" s="45">
        <v>1</v>
      </c>
      <c r="G39" s="45">
        <v>1</v>
      </c>
      <c r="H39" s="45">
        <v>1000</v>
      </c>
      <c r="I39" s="46">
        <f t="shared" ref="I39:I41" si="12">F39*G39*H39</f>
        <v>1000</v>
      </c>
      <c r="J39" s="38">
        <f t="shared" ref="J39:J41" si="13">I39/$H$5</f>
        <v>1000</v>
      </c>
      <c r="K39" s="39">
        <f t="shared" si="9"/>
        <v>1000</v>
      </c>
      <c r="L39" s="47"/>
      <c r="M39" s="48"/>
      <c r="N39" s="48">
        <v>498.51</v>
      </c>
      <c r="O39" s="48"/>
      <c r="P39" s="40"/>
      <c r="Q39" s="40"/>
      <c r="R39" s="40"/>
      <c r="S39" s="40">
        <f t="shared" si="10"/>
        <v>498.51</v>
      </c>
      <c r="T39" s="146">
        <f t="shared" si="11"/>
        <v>501.49</v>
      </c>
      <c r="U39" s="168"/>
    </row>
    <row r="40" spans="1:21">
      <c r="A40" s="43">
        <v>4</v>
      </c>
      <c r="B40" s="6" t="s">
        <v>45</v>
      </c>
      <c r="C40" s="44" t="s">
        <v>53</v>
      </c>
      <c r="D40" s="45" t="s">
        <v>47</v>
      </c>
      <c r="E40" s="45" t="s">
        <v>26</v>
      </c>
      <c r="F40" s="45">
        <v>1</v>
      </c>
      <c r="G40" s="45">
        <v>1</v>
      </c>
      <c r="H40" s="45">
        <v>1700</v>
      </c>
      <c r="I40" s="46">
        <f t="shared" si="12"/>
        <v>1700</v>
      </c>
      <c r="J40" s="38">
        <f t="shared" si="13"/>
        <v>1700</v>
      </c>
      <c r="K40" s="39">
        <f t="shared" si="9"/>
        <v>1700</v>
      </c>
      <c r="L40" s="47"/>
      <c r="M40" s="48">
        <v>839.01</v>
      </c>
      <c r="N40" s="48">
        <v>837.49</v>
      </c>
      <c r="O40" s="48"/>
      <c r="P40" s="40"/>
      <c r="Q40" s="40"/>
      <c r="R40" s="40"/>
      <c r="S40" s="40">
        <f t="shared" si="10"/>
        <v>1676.5</v>
      </c>
      <c r="T40" s="146">
        <f t="shared" si="11"/>
        <v>23.5</v>
      </c>
      <c r="U40" s="168"/>
    </row>
    <row r="41" spans="1:21">
      <c r="A41" s="43">
        <v>4</v>
      </c>
      <c r="B41" s="6" t="s">
        <v>45</v>
      </c>
      <c r="C41" s="44" t="s">
        <v>53</v>
      </c>
      <c r="D41" s="45" t="s">
        <v>48</v>
      </c>
      <c r="E41" s="45" t="s">
        <v>26</v>
      </c>
      <c r="F41" s="45">
        <v>1</v>
      </c>
      <c r="G41" s="45">
        <v>1</v>
      </c>
      <c r="H41" s="45">
        <v>750</v>
      </c>
      <c r="I41" s="46">
        <f t="shared" si="12"/>
        <v>750</v>
      </c>
      <c r="J41" s="38">
        <f t="shared" si="13"/>
        <v>750</v>
      </c>
      <c r="K41" s="39">
        <f t="shared" si="9"/>
        <v>750</v>
      </c>
      <c r="L41" s="47"/>
      <c r="M41" s="48"/>
      <c r="N41" s="48"/>
      <c r="O41" s="48"/>
      <c r="P41" s="40"/>
      <c r="Q41" s="40"/>
      <c r="R41" s="40"/>
      <c r="S41" s="40"/>
      <c r="T41" s="146">
        <f t="shared" si="11"/>
        <v>750</v>
      </c>
      <c r="U41" s="168"/>
    </row>
    <row r="42" spans="1:21">
      <c r="A42" s="36"/>
      <c r="B42" s="28" t="s">
        <v>49</v>
      </c>
      <c r="C42" s="51" t="s">
        <v>61</v>
      </c>
      <c r="D42" s="52"/>
      <c r="E42" s="53"/>
      <c r="F42" s="53"/>
      <c r="G42" s="54"/>
      <c r="H42" s="54"/>
      <c r="I42" s="55">
        <f>SUM(I32:I41)</f>
        <v>9942</v>
      </c>
      <c r="J42" s="55">
        <f>SUM(J32:J41)</f>
        <v>9942</v>
      </c>
      <c r="K42" s="56">
        <f>SUM(K32:K41)</f>
        <v>9942</v>
      </c>
      <c r="L42" s="57">
        <f>SUM(L32:L38)</f>
        <v>0</v>
      </c>
      <c r="M42" s="57">
        <f t="shared" ref="M42:T42" si="14">SUM(M32:M41)</f>
        <v>839.01</v>
      </c>
      <c r="N42" s="57">
        <f t="shared" si="14"/>
        <v>10933.88</v>
      </c>
      <c r="O42" s="57">
        <f t="shared" si="14"/>
        <v>0</v>
      </c>
      <c r="P42" s="57">
        <f t="shared" si="14"/>
        <v>0</v>
      </c>
      <c r="Q42" s="57">
        <f t="shared" si="14"/>
        <v>0</v>
      </c>
      <c r="R42" s="57">
        <f t="shared" si="14"/>
        <v>0</v>
      </c>
      <c r="S42" s="57">
        <f t="shared" si="14"/>
        <v>11772.89</v>
      </c>
      <c r="T42" s="148">
        <f t="shared" si="14"/>
        <v>-1830.8899999999994</v>
      </c>
      <c r="U42" s="58">
        <v>7299.1917999999996</v>
      </c>
    </row>
    <row r="43" spans="1:21">
      <c r="A43" s="36"/>
      <c r="B43" s="28" t="s">
        <v>49</v>
      </c>
      <c r="C43" s="59" t="s">
        <v>62</v>
      </c>
      <c r="D43" s="60" t="s">
        <v>63</v>
      </c>
      <c r="E43" s="61"/>
      <c r="F43" s="60"/>
      <c r="G43" s="60"/>
      <c r="H43" s="61"/>
      <c r="I43" s="61"/>
      <c r="J43" s="61"/>
      <c r="K43" s="62"/>
      <c r="L43" s="63"/>
      <c r="M43" s="63"/>
      <c r="N43" s="63"/>
      <c r="O43" s="63"/>
      <c r="P43" s="63"/>
      <c r="Q43" s="63"/>
      <c r="R43" s="63"/>
      <c r="S43" s="63"/>
      <c r="T43" s="153"/>
      <c r="U43" s="64"/>
    </row>
    <row r="44" spans="1:21">
      <c r="A44" s="36">
        <v>5</v>
      </c>
      <c r="B44" s="2" t="s">
        <v>30</v>
      </c>
      <c r="C44" s="7" t="s">
        <v>64</v>
      </c>
      <c r="D44" s="37" t="s">
        <v>65</v>
      </c>
      <c r="E44" s="37" t="s">
        <v>26</v>
      </c>
      <c r="F44" s="37">
        <v>1</v>
      </c>
      <c r="G44" s="37">
        <v>8</v>
      </c>
      <c r="H44" s="37">
        <v>100</v>
      </c>
      <c r="I44" s="37">
        <f t="shared" ref="I44:I49" si="15">F44*G44*H44</f>
        <v>800</v>
      </c>
      <c r="J44" s="38">
        <f t="shared" ref="J44:J49" si="16">I44/$H$5</f>
        <v>800</v>
      </c>
      <c r="K44" s="39">
        <f>I44</f>
        <v>800</v>
      </c>
      <c r="L44" s="40"/>
      <c r="M44" s="40">
        <v>123.34</v>
      </c>
      <c r="N44" s="40"/>
      <c r="O44" s="40">
        <v>315.10000000000002</v>
      </c>
      <c r="P44" s="40">
        <v>196.91804816600705</v>
      </c>
      <c r="Q44" s="40">
        <v>101.78417329861855</v>
      </c>
      <c r="R44" s="40"/>
      <c r="S44" s="40">
        <f>+L44+M44+N44+O44+P44+Q44+R44</f>
        <v>737.14222146462566</v>
      </c>
      <c r="T44" s="146">
        <f>J44-L44-M44-N44-O44-P44-Q44-R44</f>
        <v>62.857778535374337</v>
      </c>
      <c r="U44" s="41"/>
    </row>
    <row r="45" spans="1:21">
      <c r="A45" s="36">
        <v>4</v>
      </c>
      <c r="B45" s="2" t="s">
        <v>45</v>
      </c>
      <c r="C45" s="7" t="s">
        <v>64</v>
      </c>
      <c r="D45" s="37" t="s">
        <v>66</v>
      </c>
      <c r="E45" s="37" t="s">
        <v>29</v>
      </c>
      <c r="F45" s="37">
        <v>1</v>
      </c>
      <c r="G45" s="37">
        <v>8</v>
      </c>
      <c r="H45" s="37">
        <v>100</v>
      </c>
      <c r="I45" s="37">
        <f t="shared" si="15"/>
        <v>800</v>
      </c>
      <c r="J45" s="38">
        <f t="shared" si="16"/>
        <v>800</v>
      </c>
      <c r="K45" s="39">
        <f t="shared" ref="K45:K49" si="17">I45</f>
        <v>800</v>
      </c>
      <c r="L45" s="40"/>
      <c r="M45" s="40"/>
      <c r="N45" s="40"/>
      <c r="O45" s="40"/>
      <c r="P45" s="40"/>
      <c r="Q45" s="40">
        <f>241.23+108.1+186.59+340.96</f>
        <v>876.87999999999988</v>
      </c>
      <c r="R45" s="40"/>
      <c r="S45" s="40">
        <f t="shared" ref="S45:S48" si="18">+L45+M45+N45+O45+P45+Q45+R45</f>
        <v>876.87999999999988</v>
      </c>
      <c r="T45" s="146">
        <f t="shared" ref="T45:T49" si="19">J45-L45-M45-N45-O45-P45-Q45-R45</f>
        <v>-76.879999999999882</v>
      </c>
      <c r="U45" s="41"/>
    </row>
    <row r="46" spans="1:21">
      <c r="A46" s="36">
        <v>4</v>
      </c>
      <c r="B46" s="2" t="s">
        <v>45</v>
      </c>
      <c r="C46" s="7" t="s">
        <v>64</v>
      </c>
      <c r="D46" s="37" t="s">
        <v>67</v>
      </c>
      <c r="E46" s="37" t="s">
        <v>29</v>
      </c>
      <c r="F46" s="37">
        <v>1</v>
      </c>
      <c r="G46" s="37">
        <v>8</v>
      </c>
      <c r="H46" s="37">
        <v>100</v>
      </c>
      <c r="I46" s="37">
        <f t="shared" si="15"/>
        <v>800</v>
      </c>
      <c r="J46" s="38">
        <f t="shared" si="16"/>
        <v>800</v>
      </c>
      <c r="K46" s="39">
        <f t="shared" si="17"/>
        <v>800</v>
      </c>
      <c r="L46" s="40"/>
      <c r="M46" s="40"/>
      <c r="N46" s="40"/>
      <c r="O46" s="40"/>
      <c r="P46" s="40"/>
      <c r="Q46" s="40"/>
      <c r="R46" s="40">
        <f>44.35+97.96</f>
        <v>142.31</v>
      </c>
      <c r="S46" s="40">
        <f t="shared" si="18"/>
        <v>142.31</v>
      </c>
      <c r="T46" s="146">
        <f t="shared" si="19"/>
        <v>657.69</v>
      </c>
      <c r="U46" s="41"/>
    </row>
    <row r="47" spans="1:21">
      <c r="A47" s="36">
        <v>4</v>
      </c>
      <c r="B47" s="2" t="s">
        <v>45</v>
      </c>
      <c r="C47" s="7" t="s">
        <v>64</v>
      </c>
      <c r="D47" s="37" t="s">
        <v>46</v>
      </c>
      <c r="E47" s="37" t="s">
        <v>26</v>
      </c>
      <c r="F47" s="50">
        <v>1</v>
      </c>
      <c r="G47" s="49">
        <v>1</v>
      </c>
      <c r="H47" s="49">
        <v>1000</v>
      </c>
      <c r="I47" s="37">
        <f t="shared" si="15"/>
        <v>1000</v>
      </c>
      <c r="J47" s="38">
        <f t="shared" si="16"/>
        <v>1000</v>
      </c>
      <c r="K47" s="39">
        <f t="shared" si="17"/>
        <v>1000</v>
      </c>
      <c r="L47" s="40"/>
      <c r="M47" s="40"/>
      <c r="N47" s="40">
        <v>477.53</v>
      </c>
      <c r="O47" s="40">
        <v>501.9</v>
      </c>
      <c r="P47" s="40"/>
      <c r="Q47" s="40"/>
      <c r="R47" s="40"/>
      <c r="S47" s="40">
        <f t="shared" si="18"/>
        <v>979.43</v>
      </c>
      <c r="T47" s="146">
        <f t="shared" si="19"/>
        <v>20.57000000000005</v>
      </c>
      <c r="U47" s="41"/>
    </row>
    <row r="48" spans="1:21">
      <c r="A48" s="36">
        <v>4</v>
      </c>
      <c r="B48" s="2" t="s">
        <v>45</v>
      </c>
      <c r="C48" s="7" t="s">
        <v>64</v>
      </c>
      <c r="D48" s="37" t="s">
        <v>47</v>
      </c>
      <c r="E48" s="37" t="s">
        <v>26</v>
      </c>
      <c r="F48" s="50">
        <v>1</v>
      </c>
      <c r="G48" s="49">
        <v>1</v>
      </c>
      <c r="H48" s="49">
        <v>1700</v>
      </c>
      <c r="I48" s="37">
        <f t="shared" si="15"/>
        <v>1700</v>
      </c>
      <c r="J48" s="38">
        <f t="shared" si="16"/>
        <v>1700</v>
      </c>
      <c r="K48" s="39">
        <f t="shared" si="17"/>
        <v>1700</v>
      </c>
      <c r="L48" s="40"/>
      <c r="M48" s="40"/>
      <c r="N48" s="40">
        <v>802.26</v>
      </c>
      <c r="O48" s="40"/>
      <c r="P48" s="40"/>
      <c r="Q48" s="40"/>
      <c r="R48" s="40"/>
      <c r="S48" s="40">
        <f t="shared" si="18"/>
        <v>802.26</v>
      </c>
      <c r="T48" s="146">
        <f t="shared" si="19"/>
        <v>897.74</v>
      </c>
      <c r="U48" s="41"/>
    </row>
    <row r="49" spans="1:21">
      <c r="A49" s="36">
        <v>4</v>
      </c>
      <c r="B49" s="2" t="s">
        <v>45</v>
      </c>
      <c r="C49" s="7" t="s">
        <v>64</v>
      </c>
      <c r="D49" s="65" t="s">
        <v>48</v>
      </c>
      <c r="E49" s="65" t="s">
        <v>26</v>
      </c>
      <c r="F49" s="50">
        <v>1</v>
      </c>
      <c r="G49" s="49">
        <v>1</v>
      </c>
      <c r="H49" s="49">
        <v>750</v>
      </c>
      <c r="I49" s="65">
        <f t="shared" si="15"/>
        <v>750</v>
      </c>
      <c r="J49" s="38">
        <f t="shared" si="16"/>
        <v>750</v>
      </c>
      <c r="K49" s="39">
        <f t="shared" si="17"/>
        <v>750</v>
      </c>
      <c r="L49" s="40"/>
      <c r="M49" s="40"/>
      <c r="N49" s="40"/>
      <c r="O49" s="40"/>
      <c r="P49" s="40"/>
      <c r="Q49" s="40"/>
      <c r="R49" s="40"/>
      <c r="S49" s="40"/>
      <c r="T49" s="146">
        <f t="shared" si="19"/>
        <v>750</v>
      </c>
      <c r="U49" s="41"/>
    </row>
    <row r="50" spans="1:21">
      <c r="A50" s="36"/>
      <c r="B50" s="66" t="s">
        <v>49</v>
      </c>
      <c r="C50" s="67" t="s">
        <v>68</v>
      </c>
      <c r="D50" s="68"/>
      <c r="E50" s="69"/>
      <c r="F50" s="69"/>
      <c r="G50" s="70"/>
      <c r="H50" s="70"/>
      <c r="I50" s="71">
        <f>SUM(I44:I49)</f>
        <v>5850</v>
      </c>
      <c r="J50" s="72">
        <f>SUM(J44:J49)</f>
        <v>5850</v>
      </c>
      <c r="K50" s="56">
        <f>SUM(K44:K49)</f>
        <v>5850</v>
      </c>
      <c r="L50" s="57">
        <f>SUM(L44:L49)</f>
        <v>0</v>
      </c>
      <c r="M50" s="57">
        <f t="shared" ref="M50:S50" si="20">SUM(M44:M49)</f>
        <v>123.34</v>
      </c>
      <c r="N50" s="57">
        <f t="shared" si="20"/>
        <v>1279.79</v>
      </c>
      <c r="O50" s="57">
        <f t="shared" si="20"/>
        <v>817</v>
      </c>
      <c r="P50" s="57">
        <f t="shared" si="20"/>
        <v>196.91804816600705</v>
      </c>
      <c r="Q50" s="57">
        <f t="shared" si="20"/>
        <v>978.66417329861838</v>
      </c>
      <c r="R50" s="57">
        <f t="shared" si="20"/>
        <v>142.31</v>
      </c>
      <c r="S50" s="57">
        <f t="shared" si="20"/>
        <v>3538.0222214646255</v>
      </c>
      <c r="T50" s="148">
        <f>SUM(T44:T49)</f>
        <v>2311.9777785353745</v>
      </c>
      <c r="U50" s="169">
        <v>1304.010755685679</v>
      </c>
    </row>
    <row r="51" spans="1:21">
      <c r="A51" s="36"/>
      <c r="B51" s="28" t="s">
        <v>49</v>
      </c>
      <c r="C51" s="59" t="s">
        <v>69</v>
      </c>
      <c r="D51" s="60" t="s">
        <v>70</v>
      </c>
      <c r="E51" s="61"/>
      <c r="F51" s="60"/>
      <c r="G51" s="60"/>
      <c r="H51" s="61"/>
      <c r="I51" s="61"/>
      <c r="J51" s="61"/>
      <c r="K51" s="62"/>
      <c r="L51" s="63"/>
      <c r="M51" s="63"/>
      <c r="N51" s="63"/>
      <c r="O51" s="63"/>
      <c r="P51" s="63"/>
      <c r="Q51" s="63"/>
      <c r="R51" s="63"/>
      <c r="S51" s="63"/>
      <c r="T51" s="153"/>
      <c r="U51" s="64"/>
    </row>
    <row r="52" spans="1:21">
      <c r="A52" s="36">
        <v>2</v>
      </c>
      <c r="B52" s="2" t="s">
        <v>23</v>
      </c>
      <c r="C52" s="7" t="s">
        <v>71</v>
      </c>
      <c r="D52" s="37" t="s">
        <v>54</v>
      </c>
      <c r="E52" s="37" t="s">
        <v>26</v>
      </c>
      <c r="F52" s="37">
        <v>2</v>
      </c>
      <c r="G52" s="37">
        <v>5</v>
      </c>
      <c r="H52" s="37">
        <v>200</v>
      </c>
      <c r="I52" s="37">
        <f>F52*G52*H52</f>
        <v>2000</v>
      </c>
      <c r="J52" s="38">
        <f>I52/$H$5</f>
        <v>2000</v>
      </c>
      <c r="K52" s="39">
        <f>I52/5</f>
        <v>400</v>
      </c>
      <c r="L52" s="40"/>
      <c r="M52" s="40"/>
      <c r="N52" s="40"/>
      <c r="O52" s="40">
        <v>1689.98</v>
      </c>
      <c r="P52" s="40"/>
      <c r="Q52" s="40"/>
      <c r="R52" s="40"/>
      <c r="S52" s="40">
        <f>+L52+N52+M52+O52+P52+Q52+R52</f>
        <v>1689.98</v>
      </c>
      <c r="T52" s="146">
        <f>J52-L52-M52-N52-O52-P52-Q52-R52</f>
        <v>310.02</v>
      </c>
      <c r="U52" s="41"/>
    </row>
    <row r="53" spans="1:21">
      <c r="A53" s="36">
        <v>2</v>
      </c>
      <c r="B53" s="2" t="s">
        <v>23</v>
      </c>
      <c r="C53" s="7" t="s">
        <v>71</v>
      </c>
      <c r="D53" s="37" t="s">
        <v>72</v>
      </c>
      <c r="E53" s="37" t="s">
        <v>29</v>
      </c>
      <c r="F53" s="37">
        <f>50*2</f>
        <v>100</v>
      </c>
      <c r="G53" s="37">
        <v>5</v>
      </c>
      <c r="H53" s="37">
        <v>20</v>
      </c>
      <c r="I53" s="37">
        <f t="shared" ref="I53:I54" si="21">F53*G53*H53</f>
        <v>10000</v>
      </c>
      <c r="J53" s="38">
        <f t="shared" ref="J53:J54" si="22">I53/$H$5</f>
        <v>10000</v>
      </c>
      <c r="K53" s="39">
        <f>I53/5</f>
        <v>2000</v>
      </c>
      <c r="L53" s="40"/>
      <c r="M53" s="40"/>
      <c r="N53" s="40"/>
      <c r="O53" s="40">
        <v>9247.7000000000007</v>
      </c>
      <c r="P53" s="40"/>
      <c r="Q53" s="40"/>
      <c r="R53" s="40"/>
      <c r="S53" s="40">
        <f t="shared" ref="S53:S67" si="23">+L53+N53+M53+O53+P53+Q53+R53</f>
        <v>9247.7000000000007</v>
      </c>
      <c r="T53" s="146">
        <f t="shared" ref="T53:T67" si="24">J53-L53-M53-N53-O53-P53-Q53-R53</f>
        <v>752.29999999999927</v>
      </c>
      <c r="U53" s="41"/>
    </row>
    <row r="54" spans="1:21">
      <c r="A54" s="36">
        <v>2</v>
      </c>
      <c r="B54" s="2" t="s">
        <v>23</v>
      </c>
      <c r="C54" s="7" t="s">
        <v>71</v>
      </c>
      <c r="D54" s="37" t="s">
        <v>56</v>
      </c>
      <c r="E54" s="37" t="s">
        <v>26</v>
      </c>
      <c r="F54" s="37">
        <v>50</v>
      </c>
      <c r="G54" s="37">
        <v>5</v>
      </c>
      <c r="H54" s="37">
        <v>5</v>
      </c>
      <c r="I54" s="37">
        <f t="shared" si="21"/>
        <v>1250</v>
      </c>
      <c r="J54" s="38">
        <f t="shared" si="22"/>
        <v>1250</v>
      </c>
      <c r="K54" s="39">
        <f t="shared" ref="K54:K62" si="25">I54/5</f>
        <v>250</v>
      </c>
      <c r="L54" s="40"/>
      <c r="M54" s="40"/>
      <c r="N54" s="40"/>
      <c r="O54" s="40">
        <v>1034.49</v>
      </c>
      <c r="P54" s="40"/>
      <c r="Q54" s="40"/>
      <c r="R54" s="40"/>
      <c r="S54" s="40">
        <f t="shared" si="23"/>
        <v>1034.49</v>
      </c>
      <c r="T54" s="146">
        <f t="shared" si="24"/>
        <v>215.51</v>
      </c>
      <c r="U54" s="41"/>
    </row>
    <row r="55" spans="1:21">
      <c r="A55" s="36">
        <v>5</v>
      </c>
      <c r="B55" s="28" t="s">
        <v>30</v>
      </c>
      <c r="C55" s="7" t="s">
        <v>71</v>
      </c>
      <c r="D55" s="37" t="s">
        <v>73</v>
      </c>
      <c r="E55" s="37" t="s">
        <v>26</v>
      </c>
      <c r="F55" s="37">
        <f>50*2</f>
        <v>100</v>
      </c>
      <c r="G55" s="37">
        <v>5</v>
      </c>
      <c r="H55" s="37">
        <v>10</v>
      </c>
      <c r="I55" s="37">
        <f>F55*G55*H55</f>
        <v>5000</v>
      </c>
      <c r="J55" s="38">
        <f>I55/$H$5</f>
        <v>5000</v>
      </c>
      <c r="K55" s="39">
        <f t="shared" si="25"/>
        <v>1000</v>
      </c>
      <c r="L55" s="40"/>
      <c r="M55" s="40"/>
      <c r="N55" s="40"/>
      <c r="O55" s="40">
        <v>4757.32</v>
      </c>
      <c r="P55" s="40"/>
      <c r="Q55" s="40"/>
      <c r="R55" s="40"/>
      <c r="S55" s="40">
        <f t="shared" si="23"/>
        <v>4757.32</v>
      </c>
      <c r="T55" s="146">
        <f t="shared" si="24"/>
        <v>242.68000000000029</v>
      </c>
      <c r="U55" s="41"/>
    </row>
    <row r="56" spans="1:21">
      <c r="A56" s="36">
        <v>5</v>
      </c>
      <c r="B56" s="2" t="s">
        <v>30</v>
      </c>
      <c r="C56" s="7" t="s">
        <v>71</v>
      </c>
      <c r="D56" s="37" t="s">
        <v>74</v>
      </c>
      <c r="E56" s="37" t="s">
        <v>29</v>
      </c>
      <c r="F56" s="37">
        <f>4*4</f>
        <v>16</v>
      </c>
      <c r="G56" s="37">
        <v>5</v>
      </c>
      <c r="H56" s="37">
        <v>40</v>
      </c>
      <c r="I56" s="37">
        <f t="shared" ref="I56:I67" si="26">F56*G56*H56</f>
        <v>3200</v>
      </c>
      <c r="J56" s="38">
        <f t="shared" ref="J56:J67" si="27">I56/$H$5</f>
        <v>3200</v>
      </c>
      <c r="K56" s="39">
        <f t="shared" si="25"/>
        <v>640</v>
      </c>
      <c r="L56" s="40"/>
      <c r="M56" s="40"/>
      <c r="N56" s="40"/>
      <c r="O56" s="40">
        <v>2799.94</v>
      </c>
      <c r="P56" s="40"/>
      <c r="Q56" s="40"/>
      <c r="R56" s="40"/>
      <c r="S56" s="40">
        <f t="shared" si="23"/>
        <v>2799.94</v>
      </c>
      <c r="T56" s="146">
        <f t="shared" si="24"/>
        <v>400.05999999999995</v>
      </c>
      <c r="U56" s="41"/>
    </row>
    <row r="57" spans="1:21">
      <c r="A57" s="36">
        <v>5</v>
      </c>
      <c r="B57" s="2" t="s">
        <v>30</v>
      </c>
      <c r="C57" s="7" t="s">
        <v>71</v>
      </c>
      <c r="D57" s="37" t="s">
        <v>75</v>
      </c>
      <c r="E57" s="37" t="s">
        <v>29</v>
      </c>
      <c r="F57" s="37">
        <v>10</v>
      </c>
      <c r="G57" s="37">
        <v>2</v>
      </c>
      <c r="H57" s="37">
        <v>40</v>
      </c>
      <c r="I57" s="37">
        <f>F57*G57*H57</f>
        <v>800</v>
      </c>
      <c r="J57" s="38">
        <f>I57/$H$5</f>
        <v>800</v>
      </c>
      <c r="K57" s="39"/>
      <c r="L57" s="40"/>
      <c r="M57" s="40"/>
      <c r="N57" s="40"/>
      <c r="O57" s="40">
        <v>800</v>
      </c>
      <c r="P57" s="40"/>
      <c r="Q57" s="40"/>
      <c r="R57" s="40"/>
      <c r="S57" s="40">
        <f t="shared" si="23"/>
        <v>800</v>
      </c>
      <c r="T57" s="146">
        <f t="shared" si="24"/>
        <v>0</v>
      </c>
      <c r="U57" s="41"/>
    </row>
    <row r="58" spans="1:21">
      <c r="A58" s="36">
        <v>5</v>
      </c>
      <c r="B58" s="2" t="s">
        <v>30</v>
      </c>
      <c r="C58" s="7" t="s">
        <v>71</v>
      </c>
      <c r="D58" s="37" t="s">
        <v>76</v>
      </c>
      <c r="E58" s="37" t="s">
        <v>29</v>
      </c>
      <c r="F58" s="37">
        <v>10</v>
      </c>
      <c r="G58" s="37">
        <v>2</v>
      </c>
      <c r="H58" s="37">
        <v>20</v>
      </c>
      <c r="I58" s="37">
        <f>F58*G58*H58</f>
        <v>400</v>
      </c>
      <c r="J58" s="38">
        <f>I58/$H$5</f>
        <v>400</v>
      </c>
      <c r="K58" s="39"/>
      <c r="L58" s="40"/>
      <c r="M58" s="40"/>
      <c r="N58" s="40"/>
      <c r="O58" s="40">
        <v>429.99</v>
      </c>
      <c r="P58" s="40"/>
      <c r="Q58" s="40"/>
      <c r="R58" s="40"/>
      <c r="S58" s="40">
        <f t="shared" si="23"/>
        <v>429.99</v>
      </c>
      <c r="T58" s="146">
        <f t="shared" si="24"/>
        <v>-29.990000000000009</v>
      </c>
      <c r="U58" s="41"/>
    </row>
    <row r="59" spans="1:21">
      <c r="A59" s="36">
        <v>4</v>
      </c>
      <c r="B59" s="2" t="s">
        <v>45</v>
      </c>
      <c r="C59" s="7" t="s">
        <v>71</v>
      </c>
      <c r="D59" s="37" t="s">
        <v>77</v>
      </c>
      <c r="E59" s="37" t="s">
        <v>29</v>
      </c>
      <c r="F59" s="37">
        <v>10</v>
      </c>
      <c r="G59" s="37">
        <v>2</v>
      </c>
      <c r="H59" s="37">
        <v>100</v>
      </c>
      <c r="I59" s="37">
        <f>F59*G59*H59</f>
        <v>2000</v>
      </c>
      <c r="J59" s="38">
        <f>I59/$H$5</f>
        <v>2000</v>
      </c>
      <c r="K59" s="39"/>
      <c r="L59" s="40"/>
      <c r="M59" s="40"/>
      <c r="N59" s="40"/>
      <c r="O59" s="40">
        <v>2149.96</v>
      </c>
      <c r="P59" s="40">
        <v>149.68222463709546</v>
      </c>
      <c r="Q59" s="40">
        <v>295.02999999999997</v>
      </c>
      <c r="R59" s="40">
        <v>147.82206362557264</v>
      </c>
      <c r="S59" s="40">
        <f t="shared" si="23"/>
        <v>2742.4942882626683</v>
      </c>
      <c r="T59" s="146">
        <f t="shared" si="24"/>
        <v>-742.49428826266808</v>
      </c>
      <c r="U59" s="41"/>
    </row>
    <row r="60" spans="1:21">
      <c r="A60" s="36">
        <v>3</v>
      </c>
      <c r="B60" s="28" t="s">
        <v>33</v>
      </c>
      <c r="C60" s="7" t="s">
        <v>71</v>
      </c>
      <c r="D60" s="37" t="s">
        <v>78</v>
      </c>
      <c r="E60" s="37" t="s">
        <v>26</v>
      </c>
      <c r="F60" s="37">
        <v>1</v>
      </c>
      <c r="G60" s="37">
        <v>15</v>
      </c>
      <c r="H60" s="37">
        <v>135</v>
      </c>
      <c r="I60" s="37">
        <f t="shared" si="26"/>
        <v>2025</v>
      </c>
      <c r="J60" s="38">
        <f t="shared" si="27"/>
        <v>2025</v>
      </c>
      <c r="K60" s="39">
        <f t="shared" si="25"/>
        <v>405</v>
      </c>
      <c r="L60" s="40"/>
      <c r="M60" s="40"/>
      <c r="N60" s="40"/>
      <c r="O60" s="40">
        <v>2249.85</v>
      </c>
      <c r="P60" s="40"/>
      <c r="Q60" s="40"/>
      <c r="R60" s="40"/>
      <c r="S60" s="40">
        <f t="shared" si="23"/>
        <v>2249.85</v>
      </c>
      <c r="T60" s="146">
        <f t="shared" si="24"/>
        <v>-224.84999999999991</v>
      </c>
      <c r="U60" s="41"/>
    </row>
    <row r="61" spans="1:21">
      <c r="A61" s="36">
        <v>5</v>
      </c>
      <c r="B61" s="2" t="s">
        <v>30</v>
      </c>
      <c r="C61" s="7" t="s">
        <v>71</v>
      </c>
      <c r="D61" s="37" t="s">
        <v>39</v>
      </c>
      <c r="E61" s="37" t="s">
        <v>26</v>
      </c>
      <c r="F61" s="37">
        <v>1</v>
      </c>
      <c r="G61" s="37">
        <v>15</v>
      </c>
      <c r="H61" s="37">
        <v>50</v>
      </c>
      <c r="I61" s="37">
        <f t="shared" si="26"/>
        <v>750</v>
      </c>
      <c r="J61" s="38">
        <f t="shared" si="27"/>
        <v>750</v>
      </c>
      <c r="K61" s="39">
        <f t="shared" si="25"/>
        <v>150</v>
      </c>
      <c r="L61" s="40"/>
      <c r="M61" s="40"/>
      <c r="N61" s="40"/>
      <c r="O61" s="40">
        <v>600</v>
      </c>
      <c r="P61" s="40"/>
      <c r="Q61" s="40"/>
      <c r="R61" s="40"/>
      <c r="S61" s="40">
        <f t="shared" si="23"/>
        <v>600</v>
      </c>
      <c r="T61" s="146">
        <f t="shared" si="24"/>
        <v>150</v>
      </c>
      <c r="U61" s="41"/>
    </row>
    <row r="62" spans="1:21">
      <c r="A62" s="36">
        <v>4</v>
      </c>
      <c r="B62" s="2" t="s">
        <v>45</v>
      </c>
      <c r="C62" s="7" t="s">
        <v>71</v>
      </c>
      <c r="D62" s="37" t="s">
        <v>79</v>
      </c>
      <c r="E62" s="37" t="s">
        <v>29</v>
      </c>
      <c r="F62" s="37">
        <v>2</v>
      </c>
      <c r="G62" s="37">
        <v>5</v>
      </c>
      <c r="H62" s="37">
        <v>30</v>
      </c>
      <c r="I62" s="37">
        <f t="shared" si="26"/>
        <v>300</v>
      </c>
      <c r="J62" s="38">
        <f t="shared" si="27"/>
        <v>300</v>
      </c>
      <c r="K62" s="39">
        <f t="shared" si="25"/>
        <v>60</v>
      </c>
      <c r="L62" s="40"/>
      <c r="M62" s="40"/>
      <c r="N62" s="40"/>
      <c r="O62" s="40">
        <v>240</v>
      </c>
      <c r="P62" s="40"/>
      <c r="Q62" s="40"/>
      <c r="R62" s="40"/>
      <c r="S62" s="40">
        <f t="shared" si="23"/>
        <v>240</v>
      </c>
      <c r="T62" s="146">
        <f t="shared" si="24"/>
        <v>60</v>
      </c>
      <c r="U62" s="41"/>
    </row>
    <row r="63" spans="1:21">
      <c r="A63" s="36">
        <v>5</v>
      </c>
      <c r="B63" s="2" t="s">
        <v>30</v>
      </c>
      <c r="C63" s="7" t="s">
        <v>71</v>
      </c>
      <c r="D63" s="37" t="s">
        <v>80</v>
      </c>
      <c r="E63" s="37" t="s">
        <v>29</v>
      </c>
      <c r="F63" s="37">
        <v>1</v>
      </c>
      <c r="G63" s="37">
        <v>2</v>
      </c>
      <c r="H63" s="37">
        <v>158</v>
      </c>
      <c r="I63" s="37">
        <f t="shared" si="26"/>
        <v>316</v>
      </c>
      <c r="J63" s="38">
        <f t="shared" si="27"/>
        <v>316</v>
      </c>
      <c r="K63" s="39"/>
      <c r="L63" s="40"/>
      <c r="M63" s="40"/>
      <c r="N63" s="40"/>
      <c r="O63" s="40">
        <v>316</v>
      </c>
      <c r="P63" s="40"/>
      <c r="Q63" s="40"/>
      <c r="R63" s="40"/>
      <c r="S63" s="40">
        <f t="shared" si="23"/>
        <v>316</v>
      </c>
      <c r="T63" s="146">
        <f t="shared" si="24"/>
        <v>0</v>
      </c>
      <c r="U63" s="41"/>
    </row>
    <row r="64" spans="1:21">
      <c r="A64" s="36">
        <v>6</v>
      </c>
      <c r="B64" s="2" t="s">
        <v>81</v>
      </c>
      <c r="C64" s="7" t="s">
        <v>71</v>
      </c>
      <c r="D64" s="37" t="s">
        <v>82</v>
      </c>
      <c r="E64" s="37" t="s">
        <v>26</v>
      </c>
      <c r="F64" s="37">
        <v>4</v>
      </c>
      <c r="G64" s="37">
        <v>1</v>
      </c>
      <c r="H64" s="37">
        <v>5100</v>
      </c>
      <c r="I64" s="37">
        <f t="shared" si="26"/>
        <v>20400</v>
      </c>
      <c r="J64" s="38">
        <f t="shared" si="27"/>
        <v>20400</v>
      </c>
      <c r="K64" s="39"/>
      <c r="L64" s="40"/>
      <c r="M64" s="40"/>
      <c r="N64" s="40"/>
      <c r="O64" s="40">
        <v>17775.537889748317</v>
      </c>
      <c r="P64" s="40"/>
      <c r="Q64" s="40"/>
      <c r="R64" s="40"/>
      <c r="S64" s="40">
        <f t="shared" si="23"/>
        <v>17775.537889748317</v>
      </c>
      <c r="T64" s="146">
        <f t="shared" si="24"/>
        <v>2624.462110251683</v>
      </c>
      <c r="U64" s="41"/>
    </row>
    <row r="65" spans="1:236">
      <c r="A65" s="36">
        <v>4</v>
      </c>
      <c r="B65" s="2" t="s">
        <v>45</v>
      </c>
      <c r="C65" s="7" t="s">
        <v>71</v>
      </c>
      <c r="D65" s="37" t="s">
        <v>46</v>
      </c>
      <c r="E65" s="37" t="s">
        <v>26</v>
      </c>
      <c r="F65" s="37">
        <v>1</v>
      </c>
      <c r="G65" s="37">
        <v>1</v>
      </c>
      <c r="H65" s="37">
        <v>1000</v>
      </c>
      <c r="I65" s="37">
        <f t="shared" si="26"/>
        <v>1000</v>
      </c>
      <c r="J65" s="38">
        <f t="shared" si="27"/>
        <v>1000</v>
      </c>
      <c r="K65" s="39">
        <f>I65</f>
        <v>1000</v>
      </c>
      <c r="L65" s="40"/>
      <c r="M65" s="40"/>
      <c r="N65" s="40"/>
      <c r="O65" s="40">
        <v>999.64</v>
      </c>
      <c r="P65" s="40"/>
      <c r="Q65" s="40"/>
      <c r="R65" s="40"/>
      <c r="S65" s="40">
        <f t="shared" si="23"/>
        <v>999.64</v>
      </c>
      <c r="T65" s="146">
        <f t="shared" si="24"/>
        <v>0.36000000000001364</v>
      </c>
      <c r="U65" s="41"/>
    </row>
    <row r="66" spans="1:236">
      <c r="A66" s="36">
        <v>4</v>
      </c>
      <c r="B66" s="2" t="s">
        <v>45</v>
      </c>
      <c r="C66" s="7" t="s">
        <v>71</v>
      </c>
      <c r="D66" s="37" t="s">
        <v>47</v>
      </c>
      <c r="E66" s="37" t="s">
        <v>26</v>
      </c>
      <c r="F66" s="37">
        <v>1</v>
      </c>
      <c r="G66" s="37">
        <v>1</v>
      </c>
      <c r="H66" s="37">
        <v>1700</v>
      </c>
      <c r="I66" s="37">
        <f t="shared" si="26"/>
        <v>1700</v>
      </c>
      <c r="J66" s="38">
        <f t="shared" si="27"/>
        <v>1700</v>
      </c>
      <c r="K66" s="39">
        <f>I66</f>
        <v>1700</v>
      </c>
      <c r="L66" s="40"/>
      <c r="M66" s="40"/>
      <c r="N66" s="40"/>
      <c r="O66" s="40">
        <v>0</v>
      </c>
      <c r="P66" s="40"/>
      <c r="Q66" s="40">
        <v>1119.52</v>
      </c>
      <c r="R66" s="40"/>
      <c r="S66" s="40">
        <f t="shared" si="23"/>
        <v>1119.52</v>
      </c>
      <c r="T66" s="146">
        <f t="shared" si="24"/>
        <v>580.48</v>
      </c>
      <c r="U66" s="41"/>
    </row>
    <row r="67" spans="1:236">
      <c r="A67" s="36">
        <v>4</v>
      </c>
      <c r="B67" s="2" t="s">
        <v>45</v>
      </c>
      <c r="C67" s="7" t="s">
        <v>71</v>
      </c>
      <c r="D67" s="37" t="s">
        <v>48</v>
      </c>
      <c r="E67" s="37" t="s">
        <v>26</v>
      </c>
      <c r="F67" s="37">
        <v>1</v>
      </c>
      <c r="G67" s="37">
        <v>1</v>
      </c>
      <c r="H67" s="37">
        <v>750</v>
      </c>
      <c r="I67" s="37">
        <f t="shared" si="26"/>
        <v>750</v>
      </c>
      <c r="J67" s="38">
        <f t="shared" si="27"/>
        <v>750</v>
      </c>
      <c r="K67" s="39">
        <f>I67</f>
        <v>750</v>
      </c>
      <c r="L67" s="40"/>
      <c r="M67" s="40"/>
      <c r="N67" s="40"/>
      <c r="O67" s="40">
        <v>0</v>
      </c>
      <c r="P67" s="40"/>
      <c r="Q67" s="40"/>
      <c r="R67" s="40">
        <v>562.71</v>
      </c>
      <c r="S67" s="40">
        <f t="shared" si="23"/>
        <v>562.71</v>
      </c>
      <c r="T67" s="146">
        <f t="shared" si="24"/>
        <v>187.28999999999996</v>
      </c>
      <c r="U67" s="41"/>
    </row>
    <row r="68" spans="1:236">
      <c r="A68" s="36"/>
      <c r="B68" s="28" t="s">
        <v>49</v>
      </c>
      <c r="C68" s="51" t="s">
        <v>83</v>
      </c>
      <c r="D68" s="52"/>
      <c r="E68" s="53"/>
      <c r="F68" s="53"/>
      <c r="G68" s="54"/>
      <c r="H68" s="54"/>
      <c r="I68" s="55">
        <f>SUM(I52:I67)</f>
        <v>51891</v>
      </c>
      <c r="J68" s="55">
        <f>SUM(J52:J67)</f>
        <v>51891</v>
      </c>
      <c r="K68" s="56">
        <f>SUM(K52:K67)</f>
        <v>8355</v>
      </c>
      <c r="L68" s="57">
        <f>SUM(L52:L67)</f>
        <v>0</v>
      </c>
      <c r="M68" s="57">
        <f t="shared" ref="M68:R68" si="28">SUM(M52:M67)</f>
        <v>0</v>
      </c>
      <c r="N68" s="57"/>
      <c r="O68" s="57">
        <f t="shared" si="28"/>
        <v>45090.407889748312</v>
      </c>
      <c r="P68" s="57">
        <f t="shared" si="28"/>
        <v>149.68222463709546</v>
      </c>
      <c r="Q68" s="57">
        <f t="shared" si="28"/>
        <v>1414.55</v>
      </c>
      <c r="R68" s="57">
        <f t="shared" si="28"/>
        <v>710.53206362557262</v>
      </c>
      <c r="S68" s="57">
        <f t="shared" ref="S68" si="29">SUM(S52:S67)</f>
        <v>47365.17217801098</v>
      </c>
      <c r="T68" s="166">
        <f>SUM(T52:T67)</f>
        <v>4525.8278219890144</v>
      </c>
      <c r="U68" s="58">
        <v>21461.134452617291</v>
      </c>
    </row>
    <row r="69" spans="1:236">
      <c r="A69" s="36"/>
      <c r="B69" s="28" t="s">
        <v>49</v>
      </c>
      <c r="C69" s="73"/>
      <c r="D69" s="74"/>
      <c r="E69" s="75"/>
      <c r="F69" s="74"/>
      <c r="G69" s="74"/>
      <c r="H69" s="75"/>
      <c r="I69" s="75"/>
      <c r="J69" s="75"/>
      <c r="K69" s="76"/>
      <c r="L69" s="77"/>
      <c r="M69" s="77"/>
      <c r="N69" s="77"/>
      <c r="O69" s="77"/>
      <c r="P69" s="77"/>
      <c r="Q69" s="77"/>
      <c r="R69" s="77"/>
      <c r="S69" s="77"/>
      <c r="T69" s="154"/>
      <c r="U69" s="78"/>
    </row>
    <row r="70" spans="1:236" s="81" customFormat="1">
      <c r="A70" s="36"/>
      <c r="B70" s="79" t="s">
        <v>49</v>
      </c>
      <c r="C70" s="80" t="s">
        <v>84</v>
      </c>
      <c r="E70" s="82"/>
      <c r="F70" s="82"/>
      <c r="G70" s="83"/>
      <c r="H70" s="83"/>
      <c r="I70" s="84">
        <f>SUM(I68,I50,I42,I30)</f>
        <v>80863</v>
      </c>
      <c r="J70" s="84">
        <f>SUM(J68,J50,J42,J30)</f>
        <v>80863</v>
      </c>
      <c r="K70" s="85"/>
      <c r="L70" s="84">
        <f t="shared" ref="L70:P70" si="30">SUM(L68,L50,L42,L30)</f>
        <v>0</v>
      </c>
      <c r="M70" s="84">
        <f t="shared" si="30"/>
        <v>9925.9399999999987</v>
      </c>
      <c r="N70" s="84">
        <f t="shared" si="30"/>
        <v>15822.129999999997</v>
      </c>
      <c r="O70" s="84">
        <f t="shared" si="30"/>
        <v>45907.407889748312</v>
      </c>
      <c r="P70" s="84">
        <f t="shared" si="30"/>
        <v>346.60027280310248</v>
      </c>
      <c r="Q70" s="84">
        <f>SUM(Q68,Q50,Q42,Q30)</f>
        <v>2893.0041732986183</v>
      </c>
      <c r="R70" s="84">
        <f>SUM(R68,R50,R42,R30)</f>
        <v>852.84206362557256</v>
      </c>
      <c r="S70" s="84">
        <f>SUM(S68,S50,S42,S30)</f>
        <v>75747.924399475611</v>
      </c>
      <c r="T70" s="84">
        <f>SUM(T68,T50,T42,T30)</f>
        <v>5115.0756005243893</v>
      </c>
      <c r="U70" s="86"/>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row>
    <row r="71" spans="1:236">
      <c r="A71" s="36"/>
      <c r="B71" s="28" t="s">
        <v>49</v>
      </c>
      <c r="C71" s="87"/>
      <c r="D71" s="88"/>
      <c r="E71" s="89"/>
      <c r="F71" s="89"/>
      <c r="G71" s="90"/>
      <c r="H71" s="90"/>
      <c r="I71" s="91"/>
      <c r="J71" s="92"/>
      <c r="K71" s="93"/>
      <c r="L71" s="94"/>
      <c r="M71" s="94"/>
      <c r="N71" s="94"/>
      <c r="O71" s="94"/>
      <c r="P71" s="94"/>
      <c r="Q71" s="94"/>
      <c r="R71" s="94"/>
      <c r="S71" s="94"/>
      <c r="T71" s="155"/>
      <c r="U71" s="95"/>
    </row>
    <row r="72" spans="1:236" ht="15.75">
      <c r="A72" s="36"/>
      <c r="B72" s="28" t="s">
        <v>49</v>
      </c>
      <c r="C72" s="339" t="s">
        <v>85</v>
      </c>
      <c r="D72" s="339"/>
      <c r="E72" s="339"/>
      <c r="F72" s="339"/>
      <c r="G72" s="339"/>
      <c r="H72" s="339"/>
      <c r="I72" s="339"/>
      <c r="J72" s="339"/>
      <c r="K72" s="25"/>
      <c r="L72" s="26"/>
      <c r="M72" s="26"/>
      <c r="N72" s="26"/>
      <c r="O72" s="26"/>
      <c r="P72" s="26"/>
      <c r="Q72" s="26"/>
      <c r="R72" s="26"/>
      <c r="S72" s="26"/>
      <c r="T72" s="151"/>
      <c r="U72" s="27"/>
    </row>
    <row r="73" spans="1:236">
      <c r="A73" s="36"/>
      <c r="B73" s="28" t="s">
        <v>49</v>
      </c>
      <c r="C73" s="59" t="s">
        <v>86</v>
      </c>
      <c r="D73" s="338" t="s">
        <v>87</v>
      </c>
      <c r="E73" s="338"/>
      <c r="F73" s="338"/>
      <c r="G73" s="338"/>
      <c r="H73" s="338"/>
      <c r="I73" s="338"/>
      <c r="J73" s="338"/>
      <c r="K73" s="96"/>
      <c r="L73" s="97"/>
      <c r="M73" s="97"/>
      <c r="N73" s="97"/>
      <c r="O73" s="97"/>
      <c r="P73" s="97"/>
      <c r="Q73" s="97"/>
      <c r="R73" s="97"/>
      <c r="S73" s="97"/>
      <c r="T73" s="156"/>
      <c r="U73" s="98"/>
    </row>
    <row r="74" spans="1:236">
      <c r="A74" s="36">
        <v>2</v>
      </c>
      <c r="B74" s="2" t="s">
        <v>23</v>
      </c>
      <c r="C74" s="7" t="s">
        <v>88</v>
      </c>
      <c r="D74" s="37" t="s">
        <v>89</v>
      </c>
      <c r="E74" s="37" t="s">
        <v>26</v>
      </c>
      <c r="F74" s="37">
        <v>1</v>
      </c>
      <c r="G74" s="37">
        <v>1</v>
      </c>
      <c r="H74" s="37">
        <v>1000</v>
      </c>
      <c r="I74" s="37">
        <f t="shared" ref="I74" si="31">F74*G74*H74</f>
        <v>1000</v>
      </c>
      <c r="J74" s="38">
        <f t="shared" ref="J74" si="32">I74/$H$5</f>
        <v>1000</v>
      </c>
      <c r="K74" s="39">
        <f>I74</f>
        <v>1000</v>
      </c>
      <c r="L74" s="40"/>
      <c r="M74" s="40"/>
      <c r="N74" s="40"/>
      <c r="O74" s="40"/>
      <c r="P74" s="40">
        <v>425.27</v>
      </c>
      <c r="Q74" s="40">
        <f>213.52+162.26</f>
        <v>375.78</v>
      </c>
      <c r="R74" s="40">
        <v>215.08</v>
      </c>
      <c r="S74" s="40">
        <f>+L74+N74+M74+O74+P74+Q74+R74</f>
        <v>1016.13</v>
      </c>
      <c r="T74" s="146">
        <f>K74-L74-M74-N74-O74-P74-Q74-R74</f>
        <v>-16.129999999999967</v>
      </c>
      <c r="U74" s="41"/>
    </row>
    <row r="75" spans="1:236">
      <c r="A75" s="36"/>
      <c r="B75" s="28" t="s">
        <v>49</v>
      </c>
      <c r="C75" s="51" t="s">
        <v>90</v>
      </c>
      <c r="D75" s="52"/>
      <c r="E75" s="53"/>
      <c r="F75" s="53"/>
      <c r="G75" s="54"/>
      <c r="H75" s="54"/>
      <c r="I75" s="55">
        <f t="shared" ref="I75:T75" si="33">SUM(I74:I74)</f>
        <v>1000</v>
      </c>
      <c r="J75" s="55">
        <f t="shared" si="33"/>
        <v>1000</v>
      </c>
      <c r="K75" s="56">
        <f t="shared" si="33"/>
        <v>1000</v>
      </c>
      <c r="L75" s="57">
        <f t="shared" si="33"/>
        <v>0</v>
      </c>
      <c r="M75" s="57">
        <f t="shared" si="33"/>
        <v>0</v>
      </c>
      <c r="N75" s="57">
        <f t="shared" si="33"/>
        <v>0</v>
      </c>
      <c r="O75" s="57">
        <f t="shared" si="33"/>
        <v>0</v>
      </c>
      <c r="P75" s="57">
        <f t="shared" si="33"/>
        <v>425.27</v>
      </c>
      <c r="Q75" s="57">
        <f t="shared" si="33"/>
        <v>375.78</v>
      </c>
      <c r="R75" s="57">
        <f t="shared" si="33"/>
        <v>215.08</v>
      </c>
      <c r="S75" s="57">
        <f t="shared" si="33"/>
        <v>1016.13</v>
      </c>
      <c r="T75" s="57">
        <f t="shared" si="33"/>
        <v>-16.129999999999967</v>
      </c>
      <c r="U75" s="58"/>
    </row>
    <row r="76" spans="1:236">
      <c r="A76" s="36"/>
      <c r="B76" s="28" t="s">
        <v>49</v>
      </c>
      <c r="C76" s="59" t="s">
        <v>91</v>
      </c>
      <c r="D76" s="338" t="s">
        <v>92</v>
      </c>
      <c r="E76" s="338"/>
      <c r="F76" s="338"/>
      <c r="G76" s="338"/>
      <c r="H76" s="338"/>
      <c r="I76" s="338"/>
      <c r="J76" s="338"/>
      <c r="K76" s="96"/>
      <c r="L76" s="97"/>
      <c r="M76" s="97"/>
      <c r="N76" s="97"/>
      <c r="O76" s="97"/>
      <c r="P76" s="97"/>
      <c r="Q76" s="97"/>
      <c r="R76" s="97"/>
      <c r="S76" s="97"/>
      <c r="T76" s="156"/>
      <c r="U76" s="98"/>
    </row>
    <row r="77" spans="1:236">
      <c r="A77" s="36">
        <v>2</v>
      </c>
      <c r="B77" s="2" t="s">
        <v>23</v>
      </c>
      <c r="C77" s="7" t="s">
        <v>93</v>
      </c>
      <c r="D77" s="37" t="s">
        <v>54</v>
      </c>
      <c r="E77" s="37" t="s">
        <v>26</v>
      </c>
      <c r="F77" s="37">
        <v>2</v>
      </c>
      <c r="G77" s="37">
        <v>5</v>
      </c>
      <c r="H77" s="37">
        <v>200</v>
      </c>
      <c r="I77" s="37">
        <f t="shared" ref="I77:I88" si="34">F77*G77*H77</f>
        <v>2000</v>
      </c>
      <c r="J77" s="38">
        <f t="shared" ref="J77:J88" si="35">I77/$H$5</f>
        <v>2000</v>
      </c>
      <c r="K77" s="39">
        <f>I77/5</f>
        <v>400</v>
      </c>
      <c r="L77" s="40"/>
      <c r="M77" s="40"/>
      <c r="N77" s="40"/>
      <c r="O77" s="40">
        <v>1600</v>
      </c>
      <c r="P77" s="40">
        <v>89.809334782257267</v>
      </c>
      <c r="Q77" s="40"/>
      <c r="R77" s="40"/>
      <c r="S77" s="40">
        <f>+L77+N77+M77+O77+P77+Q77+R77</f>
        <v>1689.8093347822573</v>
      </c>
      <c r="T77" s="146">
        <f>J77-L77-M77-N77-O77-P77-Q77-R77</f>
        <v>310.19066521774272</v>
      </c>
      <c r="U77" s="41"/>
    </row>
    <row r="78" spans="1:236">
      <c r="A78" s="36">
        <v>2</v>
      </c>
      <c r="B78" s="2" t="s">
        <v>23</v>
      </c>
      <c r="C78" s="7" t="s">
        <v>93</v>
      </c>
      <c r="D78" s="37" t="s">
        <v>94</v>
      </c>
      <c r="E78" s="37" t="s">
        <v>29</v>
      </c>
      <c r="F78" s="37">
        <f>25*2</f>
        <v>50</v>
      </c>
      <c r="G78" s="37">
        <v>5</v>
      </c>
      <c r="H78" s="37">
        <v>20</v>
      </c>
      <c r="I78" s="37">
        <f t="shared" si="34"/>
        <v>5000</v>
      </c>
      <c r="J78" s="38">
        <f t="shared" si="35"/>
        <v>5000</v>
      </c>
      <c r="K78" s="39">
        <f t="shared" ref="K78:K83" si="36">I78/5</f>
        <v>1000</v>
      </c>
      <c r="L78" s="40"/>
      <c r="M78" s="40"/>
      <c r="N78" s="40"/>
      <c r="O78" s="40">
        <v>4000</v>
      </c>
      <c r="P78" s="40">
        <v>889.11241434434692</v>
      </c>
      <c r="Q78" s="40"/>
      <c r="R78" s="40">
        <v>642.33609120030042</v>
      </c>
      <c r="S78" s="40">
        <f t="shared" ref="S78:S87" si="37">+L78+N78+M78+O78+P78+Q78+R78</f>
        <v>5531.4485055446476</v>
      </c>
      <c r="T78" s="146">
        <f t="shared" ref="T78:T88" si="38">J78-L78-M78-N78-O78-P78-Q78-R78</f>
        <v>-531.44850554464733</v>
      </c>
      <c r="U78" s="41"/>
    </row>
    <row r="79" spans="1:236">
      <c r="A79" s="36">
        <v>2</v>
      </c>
      <c r="B79" s="2" t="s">
        <v>23</v>
      </c>
      <c r="C79" s="7" t="s">
        <v>93</v>
      </c>
      <c r="D79" s="37" t="s">
        <v>56</v>
      </c>
      <c r="E79" s="37" t="s">
        <v>29</v>
      </c>
      <c r="F79" s="37">
        <v>25</v>
      </c>
      <c r="G79" s="37">
        <v>5</v>
      </c>
      <c r="H79" s="37">
        <v>5</v>
      </c>
      <c r="I79" s="37">
        <f t="shared" si="34"/>
        <v>625</v>
      </c>
      <c r="J79" s="38">
        <f t="shared" si="35"/>
        <v>625</v>
      </c>
      <c r="K79" s="39">
        <f t="shared" si="36"/>
        <v>125</v>
      </c>
      <c r="L79" s="40"/>
      <c r="M79" s="40"/>
      <c r="N79" s="40"/>
      <c r="O79" s="40">
        <v>500</v>
      </c>
      <c r="P79" s="40">
        <v>666.09</v>
      </c>
      <c r="Q79" s="40"/>
      <c r="R79" s="40"/>
      <c r="S79" s="40">
        <f t="shared" si="37"/>
        <v>1166.0900000000001</v>
      </c>
      <c r="T79" s="146">
        <f t="shared" si="38"/>
        <v>-541.09</v>
      </c>
      <c r="U79" s="41"/>
    </row>
    <row r="80" spans="1:236">
      <c r="A80" s="36">
        <v>5</v>
      </c>
      <c r="B80" s="2" t="s">
        <v>30</v>
      </c>
      <c r="C80" s="7" t="s">
        <v>93</v>
      </c>
      <c r="D80" s="37" t="s">
        <v>57</v>
      </c>
      <c r="E80" s="37" t="s">
        <v>29</v>
      </c>
      <c r="F80" s="37">
        <v>50</v>
      </c>
      <c r="G80" s="37">
        <v>5</v>
      </c>
      <c r="H80" s="37">
        <v>10</v>
      </c>
      <c r="I80" s="37">
        <f t="shared" si="34"/>
        <v>2500</v>
      </c>
      <c r="J80" s="38">
        <f t="shared" si="35"/>
        <v>2500</v>
      </c>
      <c r="K80" s="39">
        <f t="shared" si="36"/>
        <v>500</v>
      </c>
      <c r="L80" s="40"/>
      <c r="M80" s="40"/>
      <c r="N80" s="40"/>
      <c r="O80" s="40">
        <v>2000</v>
      </c>
      <c r="P80" s="40">
        <v>778.35</v>
      </c>
      <c r="Q80" s="40"/>
      <c r="R80" s="40">
        <f>248.341066890962+22.17</f>
        <v>270.51106689096201</v>
      </c>
      <c r="S80" s="40">
        <f t="shared" si="37"/>
        <v>3048.8610668909619</v>
      </c>
      <c r="T80" s="146">
        <f t="shared" si="38"/>
        <v>-548.86106689096209</v>
      </c>
      <c r="U80" s="41"/>
    </row>
    <row r="81" spans="1:21">
      <c r="A81" s="36">
        <v>5</v>
      </c>
      <c r="B81" s="2" t="s">
        <v>30</v>
      </c>
      <c r="C81" s="7" t="s">
        <v>93</v>
      </c>
      <c r="D81" s="37" t="s">
        <v>95</v>
      </c>
      <c r="E81" s="37" t="s">
        <v>29</v>
      </c>
      <c r="F81" s="37">
        <v>4</v>
      </c>
      <c r="G81" s="37">
        <v>2</v>
      </c>
      <c r="H81" s="37">
        <v>40</v>
      </c>
      <c r="I81" s="37">
        <f t="shared" si="34"/>
        <v>320</v>
      </c>
      <c r="J81" s="38">
        <f t="shared" si="35"/>
        <v>320</v>
      </c>
      <c r="K81" s="39">
        <f t="shared" si="36"/>
        <v>64</v>
      </c>
      <c r="L81" s="40"/>
      <c r="M81" s="40"/>
      <c r="N81" s="40"/>
      <c r="O81" s="40">
        <v>256</v>
      </c>
      <c r="P81" s="40">
        <v>748.40889854838179</v>
      </c>
      <c r="Q81" s="40"/>
      <c r="R81" s="40"/>
      <c r="S81" s="40">
        <f t="shared" si="37"/>
        <v>1004.4088985483818</v>
      </c>
      <c r="T81" s="146">
        <f t="shared" si="38"/>
        <v>-684.40889854838179</v>
      </c>
      <c r="U81" s="41"/>
    </row>
    <row r="82" spans="1:21">
      <c r="A82" s="36">
        <v>3</v>
      </c>
      <c r="B82" s="28" t="s">
        <v>33</v>
      </c>
      <c r="C82" s="7" t="s">
        <v>93</v>
      </c>
      <c r="D82" s="37" t="s">
        <v>96</v>
      </c>
      <c r="E82" s="37" t="s">
        <v>26</v>
      </c>
      <c r="F82" s="37">
        <v>1</v>
      </c>
      <c r="G82" s="37">
        <v>10</v>
      </c>
      <c r="H82" s="37">
        <v>135</v>
      </c>
      <c r="I82" s="37">
        <f t="shared" si="34"/>
        <v>1350</v>
      </c>
      <c r="J82" s="38">
        <f t="shared" si="35"/>
        <v>1350</v>
      </c>
      <c r="K82" s="39">
        <f t="shared" si="36"/>
        <v>270</v>
      </c>
      <c r="L82" s="40"/>
      <c r="M82" s="40"/>
      <c r="N82" s="40"/>
      <c r="O82" s="40">
        <v>1080</v>
      </c>
      <c r="P82" s="40">
        <v>633.9</v>
      </c>
      <c r="Q82" s="40"/>
      <c r="R82" s="40"/>
      <c r="S82" s="40">
        <f t="shared" si="37"/>
        <v>1713.9</v>
      </c>
      <c r="T82" s="146">
        <f t="shared" si="38"/>
        <v>-363.9</v>
      </c>
      <c r="U82" s="41"/>
    </row>
    <row r="83" spans="1:21">
      <c r="A83" s="36">
        <v>5</v>
      </c>
      <c r="B83" s="2" t="s">
        <v>30</v>
      </c>
      <c r="C83" s="7" t="s">
        <v>93</v>
      </c>
      <c r="D83" s="37" t="s">
        <v>39</v>
      </c>
      <c r="E83" s="37" t="s">
        <v>26</v>
      </c>
      <c r="F83" s="37">
        <v>1</v>
      </c>
      <c r="G83" s="37">
        <v>10</v>
      </c>
      <c r="H83" s="37">
        <v>50</v>
      </c>
      <c r="I83" s="37">
        <f t="shared" si="34"/>
        <v>500</v>
      </c>
      <c r="J83" s="38">
        <f t="shared" si="35"/>
        <v>500</v>
      </c>
      <c r="K83" s="39">
        <f t="shared" si="36"/>
        <v>100</v>
      </c>
      <c r="L83" s="40"/>
      <c r="M83" s="40"/>
      <c r="N83" s="40"/>
      <c r="O83" s="40">
        <v>400</v>
      </c>
      <c r="P83" s="40">
        <v>74.841112318547729</v>
      </c>
      <c r="Q83" s="40"/>
      <c r="R83" s="40"/>
      <c r="S83" s="40">
        <f t="shared" si="37"/>
        <v>474.84111231854774</v>
      </c>
      <c r="T83" s="146">
        <f t="shared" si="38"/>
        <v>25.158887681452271</v>
      </c>
      <c r="U83" s="41"/>
    </row>
    <row r="84" spans="1:21">
      <c r="A84" s="36">
        <v>6</v>
      </c>
      <c r="B84" s="28" t="s">
        <v>81</v>
      </c>
      <c r="C84" s="7" t="s">
        <v>93</v>
      </c>
      <c r="D84" s="37" t="s">
        <v>82</v>
      </c>
      <c r="E84" s="37" t="s">
        <v>26</v>
      </c>
      <c r="F84" s="37">
        <v>4</v>
      </c>
      <c r="G84" s="37">
        <v>1</v>
      </c>
      <c r="H84" s="37">
        <v>4000</v>
      </c>
      <c r="I84" s="37">
        <v>14000</v>
      </c>
      <c r="J84" s="38">
        <f t="shared" si="35"/>
        <v>14000</v>
      </c>
      <c r="K84" s="39"/>
      <c r="L84" s="40"/>
      <c r="M84" s="40"/>
      <c r="N84" s="40"/>
      <c r="O84" s="40">
        <v>5386</v>
      </c>
      <c r="P84" s="40"/>
      <c r="Q84" s="40">
        <v>7563</v>
      </c>
      <c r="R84" s="40"/>
      <c r="S84" s="40">
        <f t="shared" si="37"/>
        <v>12949</v>
      </c>
      <c r="T84" s="146">
        <f t="shared" si="38"/>
        <v>1051</v>
      </c>
      <c r="U84" s="41"/>
    </row>
    <row r="85" spans="1:21">
      <c r="A85" s="36">
        <v>6</v>
      </c>
      <c r="B85" s="28" t="s">
        <v>81</v>
      </c>
      <c r="C85" s="7" t="s">
        <v>93</v>
      </c>
      <c r="D85" s="37" t="s">
        <v>82</v>
      </c>
      <c r="E85" s="37" t="s">
        <v>26</v>
      </c>
      <c r="F85" s="37">
        <v>4</v>
      </c>
      <c r="G85" s="37">
        <v>1</v>
      </c>
      <c r="H85" s="37">
        <v>3000</v>
      </c>
      <c r="I85" s="37">
        <f t="shared" si="34"/>
        <v>12000</v>
      </c>
      <c r="J85" s="38">
        <f t="shared" si="35"/>
        <v>12000</v>
      </c>
      <c r="K85" s="39"/>
      <c r="L85" s="40"/>
      <c r="M85" s="40"/>
      <c r="N85" s="40"/>
      <c r="O85" s="40">
        <v>2000</v>
      </c>
      <c r="P85" s="40"/>
      <c r="Q85" s="40">
        <v>10000</v>
      </c>
      <c r="R85" s="40"/>
      <c r="S85" s="40">
        <f t="shared" si="37"/>
        <v>12000</v>
      </c>
      <c r="T85" s="146">
        <f t="shared" si="38"/>
        <v>0</v>
      </c>
      <c r="U85" s="41"/>
    </row>
    <row r="86" spans="1:21">
      <c r="A86" s="36">
        <v>4</v>
      </c>
      <c r="B86" s="28" t="s">
        <v>45</v>
      </c>
      <c r="C86" s="7" t="s">
        <v>93</v>
      </c>
      <c r="D86" s="37" t="s">
        <v>46</v>
      </c>
      <c r="E86" s="37" t="s">
        <v>26</v>
      </c>
      <c r="F86" s="37">
        <v>1</v>
      </c>
      <c r="G86" s="37">
        <v>1</v>
      </c>
      <c r="H86" s="37">
        <v>1000</v>
      </c>
      <c r="I86" s="37">
        <f t="shared" si="34"/>
        <v>1000</v>
      </c>
      <c r="J86" s="38">
        <f t="shared" si="35"/>
        <v>1000</v>
      </c>
      <c r="K86" s="39">
        <f>I86</f>
        <v>1000</v>
      </c>
      <c r="L86" s="40"/>
      <c r="M86" s="40"/>
      <c r="N86" s="40"/>
      <c r="O86" s="40"/>
      <c r="P86" s="40">
        <v>994.71</v>
      </c>
      <c r="Q86" s="40"/>
      <c r="R86" s="40"/>
      <c r="S86" s="40">
        <f t="shared" si="37"/>
        <v>994.71</v>
      </c>
      <c r="T86" s="146">
        <f t="shared" si="38"/>
        <v>5.2899999999999636</v>
      </c>
      <c r="U86" s="41"/>
    </row>
    <row r="87" spans="1:21">
      <c r="A87" s="36">
        <v>4</v>
      </c>
      <c r="B87" s="28" t="s">
        <v>45</v>
      </c>
      <c r="C87" s="7" t="s">
        <v>93</v>
      </c>
      <c r="D87" s="37" t="s">
        <v>47</v>
      </c>
      <c r="E87" s="37" t="s">
        <v>26</v>
      </c>
      <c r="F87" s="37">
        <v>1</v>
      </c>
      <c r="G87" s="37">
        <v>1</v>
      </c>
      <c r="H87" s="37">
        <v>1700</v>
      </c>
      <c r="I87" s="37">
        <f t="shared" si="34"/>
        <v>1700</v>
      </c>
      <c r="J87" s="38">
        <f t="shared" si="35"/>
        <v>1700</v>
      </c>
      <c r="K87" s="39">
        <f>I87</f>
        <v>1700</v>
      </c>
      <c r="L87" s="40"/>
      <c r="M87" s="40"/>
      <c r="N87" s="40"/>
      <c r="O87" s="40"/>
      <c r="P87" s="40">
        <v>1113.32</v>
      </c>
      <c r="Q87" s="40"/>
      <c r="R87" s="40"/>
      <c r="S87" s="40">
        <f t="shared" si="37"/>
        <v>1113.32</v>
      </c>
      <c r="T87" s="146">
        <f t="shared" si="38"/>
        <v>586.68000000000006</v>
      </c>
      <c r="U87" s="41"/>
    </row>
    <row r="88" spans="1:21">
      <c r="A88" s="36">
        <v>4</v>
      </c>
      <c r="B88" s="28" t="s">
        <v>45</v>
      </c>
      <c r="C88" s="7" t="s">
        <v>93</v>
      </c>
      <c r="D88" s="37" t="s">
        <v>48</v>
      </c>
      <c r="E88" s="37" t="s">
        <v>26</v>
      </c>
      <c r="F88" s="37">
        <v>1</v>
      </c>
      <c r="G88" s="37">
        <v>1</v>
      </c>
      <c r="H88" s="37">
        <v>750</v>
      </c>
      <c r="I88" s="37">
        <f t="shared" si="34"/>
        <v>750</v>
      </c>
      <c r="J88" s="38">
        <f t="shared" si="35"/>
        <v>750</v>
      </c>
      <c r="K88" s="39">
        <f>I88</f>
        <v>750</v>
      </c>
      <c r="L88" s="40"/>
      <c r="M88" s="40"/>
      <c r="N88" s="40"/>
      <c r="O88" s="40"/>
      <c r="P88" s="40"/>
      <c r="Q88" s="40"/>
      <c r="R88" s="40"/>
      <c r="S88" s="40"/>
      <c r="T88" s="146">
        <f t="shared" si="38"/>
        <v>750</v>
      </c>
      <c r="U88" s="41"/>
    </row>
    <row r="89" spans="1:21">
      <c r="A89" s="36"/>
      <c r="B89" s="28" t="s">
        <v>49</v>
      </c>
      <c r="C89" s="51" t="s">
        <v>97</v>
      </c>
      <c r="D89" s="52"/>
      <c r="E89" s="53"/>
      <c r="F89" s="53"/>
      <c r="G89" s="54"/>
      <c r="H89" s="54"/>
      <c r="I89" s="55">
        <f>SUM(I77:I88)</f>
        <v>41745</v>
      </c>
      <c r="J89" s="55">
        <f>SUM(J77:J88)</f>
        <v>41745</v>
      </c>
      <c r="K89" s="56">
        <f>SUM(K77:K88)</f>
        <v>5909</v>
      </c>
      <c r="L89" s="55">
        <f t="shared" ref="L89:N89" si="39">SUM(L77:L88)</f>
        <v>0</v>
      </c>
      <c r="M89" s="55">
        <f t="shared" si="39"/>
        <v>0</v>
      </c>
      <c r="N89" s="55">
        <f t="shared" si="39"/>
        <v>0</v>
      </c>
      <c r="O89" s="55">
        <f t="shared" ref="O89:T89" si="40">SUM(O77:O88)</f>
        <v>17222</v>
      </c>
      <c r="P89" s="55">
        <f t="shared" si="40"/>
        <v>5988.5417599935336</v>
      </c>
      <c r="Q89" s="55">
        <f t="shared" si="40"/>
        <v>17563</v>
      </c>
      <c r="R89" s="55">
        <f t="shared" si="40"/>
        <v>912.84715809126237</v>
      </c>
      <c r="S89" s="55">
        <f t="shared" si="40"/>
        <v>41686.388918084791</v>
      </c>
      <c r="T89" s="166">
        <f t="shared" si="40"/>
        <v>58.61108191520384</v>
      </c>
      <c r="U89" s="169">
        <v>11104.72</v>
      </c>
    </row>
    <row r="90" spans="1:21">
      <c r="A90" s="36"/>
      <c r="B90" s="28" t="s">
        <v>49</v>
      </c>
      <c r="C90" s="59" t="s">
        <v>98</v>
      </c>
      <c r="D90" s="338" t="s">
        <v>99</v>
      </c>
      <c r="E90" s="338"/>
      <c r="F90" s="338"/>
      <c r="G90" s="338"/>
      <c r="H90" s="338"/>
      <c r="I90" s="338"/>
      <c r="J90" s="338"/>
      <c r="K90" s="96"/>
      <c r="L90" s="97"/>
      <c r="M90" s="97"/>
      <c r="N90" s="97"/>
      <c r="O90" s="97"/>
      <c r="P90" s="97"/>
      <c r="Q90" s="97"/>
      <c r="R90" s="97"/>
      <c r="S90" s="97"/>
      <c r="T90" s="156"/>
      <c r="U90" s="98"/>
    </row>
    <row r="91" spans="1:21">
      <c r="A91" s="36">
        <v>2</v>
      </c>
      <c r="B91" s="2" t="s">
        <v>23</v>
      </c>
      <c r="C91" s="7" t="s">
        <v>100</v>
      </c>
      <c r="D91" s="37" t="s">
        <v>101</v>
      </c>
      <c r="E91" s="37" t="s">
        <v>26</v>
      </c>
      <c r="F91" s="37">
        <v>1</v>
      </c>
      <c r="G91" s="37">
        <v>2</v>
      </c>
      <c r="H91" s="37">
        <v>100</v>
      </c>
      <c r="I91" s="37">
        <f t="shared" ref="I91:I108" si="41">F91*G91*H91</f>
        <v>200</v>
      </c>
      <c r="J91" s="38">
        <f t="shared" ref="J91:J108" si="42">I91/$H$5</f>
        <v>200</v>
      </c>
      <c r="K91" s="39">
        <f t="shared" ref="K91:K93" si="43">I91</f>
        <v>200</v>
      </c>
      <c r="L91" s="99"/>
      <c r="M91" s="99"/>
      <c r="N91" s="99"/>
      <c r="O91" s="99"/>
      <c r="P91" s="99"/>
      <c r="Q91" s="99"/>
      <c r="R91" s="40"/>
      <c r="S91" s="40">
        <f>+L91+N91+M91+O91+P91+Q91+R91</f>
        <v>0</v>
      </c>
      <c r="T91" s="146">
        <f>J91-L91-M91-N91-O91-P91-Q91-R91</f>
        <v>200</v>
      </c>
      <c r="U91" s="41"/>
    </row>
    <row r="92" spans="1:21">
      <c r="A92" s="36">
        <v>2</v>
      </c>
      <c r="B92" s="2" t="s">
        <v>23</v>
      </c>
      <c r="C92" s="7" t="s">
        <v>100</v>
      </c>
      <c r="D92" s="37" t="s">
        <v>28</v>
      </c>
      <c r="E92" s="37" t="s">
        <v>102</v>
      </c>
      <c r="F92" s="37">
        <v>20</v>
      </c>
      <c r="G92" s="37">
        <v>2</v>
      </c>
      <c r="H92" s="37">
        <v>20</v>
      </c>
      <c r="I92" s="37">
        <f t="shared" si="41"/>
        <v>800</v>
      </c>
      <c r="J92" s="38">
        <f t="shared" si="42"/>
        <v>800</v>
      </c>
      <c r="K92" s="39">
        <f t="shared" si="43"/>
        <v>800</v>
      </c>
      <c r="L92" s="99"/>
      <c r="M92" s="99"/>
      <c r="N92" s="99"/>
      <c r="O92" s="99"/>
      <c r="P92" s="99"/>
      <c r="Q92" s="99"/>
      <c r="R92" s="40">
        <v>800</v>
      </c>
      <c r="S92" s="40">
        <f t="shared" ref="S92:S94" si="44">+L92+N92+M92+O92+P92+Q92+R92</f>
        <v>800</v>
      </c>
      <c r="T92" s="146">
        <f t="shared" ref="T92:T108" si="45">J92-L92-M92-N92-O92-P92-Q92-R92</f>
        <v>0</v>
      </c>
      <c r="U92" s="41"/>
    </row>
    <row r="93" spans="1:21" ht="15.75" customHeight="1">
      <c r="A93" s="36">
        <v>5</v>
      </c>
      <c r="B93" s="2" t="s">
        <v>30</v>
      </c>
      <c r="C93" s="7" t="s">
        <v>100</v>
      </c>
      <c r="D93" s="37" t="s">
        <v>103</v>
      </c>
      <c r="E93" s="37" t="s">
        <v>26</v>
      </c>
      <c r="F93" s="37">
        <v>20</v>
      </c>
      <c r="G93" s="37">
        <v>2</v>
      </c>
      <c r="H93" s="37">
        <v>20</v>
      </c>
      <c r="I93" s="37">
        <f t="shared" si="41"/>
        <v>800</v>
      </c>
      <c r="J93" s="38">
        <f t="shared" si="42"/>
        <v>800</v>
      </c>
      <c r="K93" s="39">
        <f t="shared" si="43"/>
        <v>800</v>
      </c>
      <c r="L93" s="99"/>
      <c r="M93" s="99"/>
      <c r="N93" s="99"/>
      <c r="O93" s="99"/>
      <c r="P93" s="99"/>
      <c r="Q93" s="99"/>
      <c r="R93" s="40">
        <f>(88.6932381753436*2)+97.96</f>
        <v>275.34647635068717</v>
      </c>
      <c r="S93" s="40">
        <f t="shared" si="44"/>
        <v>275.34647635068717</v>
      </c>
      <c r="T93" s="146">
        <f t="shared" si="45"/>
        <v>524.65352364931277</v>
      </c>
      <c r="U93" s="41"/>
    </row>
    <row r="94" spans="1:21" ht="15.75" customHeight="1">
      <c r="A94" s="36">
        <v>3</v>
      </c>
      <c r="B94" s="28" t="s">
        <v>33</v>
      </c>
      <c r="C94" s="7" t="s">
        <v>100</v>
      </c>
      <c r="D94" s="37" t="s">
        <v>104</v>
      </c>
      <c r="E94" s="37" t="s">
        <v>26</v>
      </c>
      <c r="F94" s="37">
        <v>1</v>
      </c>
      <c r="G94" s="37">
        <v>14</v>
      </c>
      <c r="H94" s="37">
        <v>200</v>
      </c>
      <c r="I94" s="37">
        <f t="shared" si="41"/>
        <v>2800</v>
      </c>
      <c r="J94" s="38">
        <f t="shared" si="42"/>
        <v>2800</v>
      </c>
      <c r="K94" s="39">
        <f>I94</f>
        <v>2800</v>
      </c>
      <c r="L94" s="40"/>
      <c r="M94" s="40"/>
      <c r="N94" s="40"/>
      <c r="O94" s="40"/>
      <c r="P94" s="40"/>
      <c r="Q94" s="40"/>
      <c r="R94" s="40">
        <f>2439.06</f>
        <v>2439.06</v>
      </c>
      <c r="S94" s="40">
        <f t="shared" si="44"/>
        <v>2439.06</v>
      </c>
      <c r="T94" s="146">
        <f t="shared" si="45"/>
        <v>360.94000000000005</v>
      </c>
      <c r="U94" s="41"/>
    </row>
    <row r="95" spans="1:21">
      <c r="A95" s="36">
        <v>3</v>
      </c>
      <c r="B95" s="28" t="s">
        <v>33</v>
      </c>
      <c r="C95" s="7" t="s">
        <v>100</v>
      </c>
      <c r="D95" s="37" t="s">
        <v>105</v>
      </c>
      <c r="E95" s="37" t="s">
        <v>26</v>
      </c>
      <c r="F95" s="37">
        <v>1</v>
      </c>
      <c r="G95" s="37">
        <v>14</v>
      </c>
      <c r="H95" s="37">
        <v>200</v>
      </c>
      <c r="I95" s="37">
        <f t="shared" si="41"/>
        <v>2800</v>
      </c>
      <c r="J95" s="38">
        <f t="shared" si="42"/>
        <v>2800</v>
      </c>
      <c r="K95" s="39">
        <f t="shared" ref="K95:K103" si="46">I95</f>
        <v>2800</v>
      </c>
      <c r="L95" s="40"/>
      <c r="M95" s="40"/>
      <c r="N95" s="40"/>
      <c r="O95" s="40"/>
      <c r="P95" s="40"/>
      <c r="Q95" s="40"/>
      <c r="R95" s="40">
        <f>2660.8</f>
        <v>2660.8</v>
      </c>
      <c r="S95" s="40">
        <f>+L95+N95+M95+O95+P95+Q95+R95</f>
        <v>2660.8</v>
      </c>
      <c r="T95" s="146">
        <f t="shared" si="45"/>
        <v>139.19999999999982</v>
      </c>
      <c r="U95" s="41"/>
    </row>
    <row r="96" spans="1:21">
      <c r="A96" s="36">
        <v>5</v>
      </c>
      <c r="B96" s="2" t="s">
        <v>30</v>
      </c>
      <c r="C96" s="7" t="s">
        <v>100</v>
      </c>
      <c r="D96" s="37" t="s">
        <v>106</v>
      </c>
      <c r="E96" s="37" t="s">
        <v>29</v>
      </c>
      <c r="F96" s="37">
        <v>15</v>
      </c>
      <c r="G96" s="37">
        <v>14</v>
      </c>
      <c r="H96" s="37">
        <v>40</v>
      </c>
      <c r="I96" s="37">
        <f t="shared" si="41"/>
        <v>8400</v>
      </c>
      <c r="J96" s="38">
        <f t="shared" si="42"/>
        <v>8400</v>
      </c>
      <c r="K96" s="39">
        <f t="shared" si="46"/>
        <v>8400</v>
      </c>
      <c r="L96" s="40"/>
      <c r="M96" s="40"/>
      <c r="N96" s="40"/>
      <c r="O96" s="40"/>
      <c r="P96" s="40"/>
      <c r="Q96" s="40"/>
      <c r="R96" s="40">
        <v>7243.2811176530586</v>
      </c>
      <c r="S96" s="40">
        <f t="shared" ref="S96:S108" si="47">+L96+N96+M96+O96+P96+Q96+R96</f>
        <v>7243.2811176530586</v>
      </c>
      <c r="T96" s="146">
        <f t="shared" si="45"/>
        <v>1156.7188823469414</v>
      </c>
      <c r="U96" s="41"/>
    </row>
    <row r="97" spans="1:21">
      <c r="A97" s="36">
        <v>2</v>
      </c>
      <c r="B97" s="2" t="s">
        <v>23</v>
      </c>
      <c r="C97" s="7" t="s">
        <v>100</v>
      </c>
      <c r="D97" s="37" t="s">
        <v>107</v>
      </c>
      <c r="E97" s="37" t="s">
        <v>26</v>
      </c>
      <c r="F97" s="37">
        <v>1</v>
      </c>
      <c r="G97" s="37">
        <v>5</v>
      </c>
      <c r="H97" s="37">
        <v>500</v>
      </c>
      <c r="I97" s="37">
        <f t="shared" si="41"/>
        <v>2500</v>
      </c>
      <c r="J97" s="38">
        <f t="shared" si="42"/>
        <v>2500</v>
      </c>
      <c r="K97" s="39">
        <f t="shared" si="46"/>
        <v>2500</v>
      </c>
      <c r="L97" s="40"/>
      <c r="M97" s="40"/>
      <c r="N97" s="40"/>
      <c r="O97" s="40"/>
      <c r="P97" s="40"/>
      <c r="Q97" s="40"/>
      <c r="R97" s="40">
        <f>81.27+177.39+81.27</f>
        <v>339.92999999999995</v>
      </c>
      <c r="S97" s="40">
        <f t="shared" si="47"/>
        <v>339.92999999999995</v>
      </c>
      <c r="T97" s="146">
        <f t="shared" si="45"/>
        <v>2160.0700000000002</v>
      </c>
      <c r="U97" s="41"/>
    </row>
    <row r="98" spans="1:21">
      <c r="A98" s="36">
        <v>2</v>
      </c>
      <c r="B98" s="2" t="s">
        <v>23</v>
      </c>
      <c r="C98" s="7" t="s">
        <v>100</v>
      </c>
      <c r="D98" s="37" t="s">
        <v>108</v>
      </c>
      <c r="E98" s="37" t="s">
        <v>26</v>
      </c>
      <c r="F98" s="37">
        <v>1</v>
      </c>
      <c r="G98" s="37">
        <v>5</v>
      </c>
      <c r="H98" s="37">
        <v>500</v>
      </c>
      <c r="I98" s="37">
        <f t="shared" si="41"/>
        <v>2500</v>
      </c>
      <c r="J98" s="38">
        <f t="shared" si="42"/>
        <v>2500</v>
      </c>
      <c r="K98" s="39">
        <f t="shared" si="46"/>
        <v>2500</v>
      </c>
      <c r="L98" s="40"/>
      <c r="M98" s="40"/>
      <c r="N98" s="40"/>
      <c r="O98" s="40"/>
      <c r="P98" s="40"/>
      <c r="Q98" s="40"/>
      <c r="R98" s="40">
        <f>930.69+1396.03</f>
        <v>2326.7200000000003</v>
      </c>
      <c r="S98" s="40">
        <f t="shared" si="47"/>
        <v>2326.7200000000003</v>
      </c>
      <c r="T98" s="146">
        <f t="shared" si="45"/>
        <v>173.27999999999975</v>
      </c>
      <c r="U98" s="41"/>
    </row>
    <row r="99" spans="1:21">
      <c r="A99" s="36">
        <v>5</v>
      </c>
      <c r="B99" s="2" t="s">
        <v>30</v>
      </c>
      <c r="C99" s="7" t="s">
        <v>100</v>
      </c>
      <c r="D99" s="37" t="s">
        <v>109</v>
      </c>
      <c r="E99" s="37" t="s">
        <v>26</v>
      </c>
      <c r="F99" s="37">
        <v>2</v>
      </c>
      <c r="G99" s="37">
        <v>14</v>
      </c>
      <c r="H99" s="37">
        <v>50</v>
      </c>
      <c r="I99" s="37">
        <f>F99*G99*H99</f>
        <v>1400</v>
      </c>
      <c r="J99" s="38">
        <f t="shared" si="42"/>
        <v>1400</v>
      </c>
      <c r="K99" s="39">
        <f t="shared" si="46"/>
        <v>1400</v>
      </c>
      <c r="L99" s="40"/>
      <c r="M99" s="40"/>
      <c r="N99" s="40"/>
      <c r="O99" s="40"/>
      <c r="P99" s="40"/>
      <c r="Q99" s="40"/>
      <c r="R99" s="40">
        <f>519.15+65.05</f>
        <v>584.19999999999993</v>
      </c>
      <c r="S99" s="40">
        <f t="shared" si="47"/>
        <v>584.19999999999993</v>
      </c>
      <c r="T99" s="146">
        <f t="shared" si="45"/>
        <v>815.80000000000007</v>
      </c>
      <c r="U99" s="41"/>
    </row>
    <row r="100" spans="1:21">
      <c r="A100" s="36">
        <v>3</v>
      </c>
      <c r="B100" s="28" t="s">
        <v>33</v>
      </c>
      <c r="C100" s="7" t="s">
        <v>100</v>
      </c>
      <c r="D100" s="37" t="s">
        <v>110</v>
      </c>
      <c r="E100" s="37" t="s">
        <v>26</v>
      </c>
      <c r="F100" s="37">
        <v>1</v>
      </c>
      <c r="G100" s="37">
        <v>14</v>
      </c>
      <c r="H100" s="37">
        <v>50</v>
      </c>
      <c r="I100" s="37">
        <f t="shared" si="41"/>
        <v>700</v>
      </c>
      <c r="J100" s="38">
        <f t="shared" si="42"/>
        <v>700</v>
      </c>
      <c r="K100" s="39">
        <f t="shared" si="46"/>
        <v>700</v>
      </c>
      <c r="L100" s="40"/>
      <c r="M100" s="40"/>
      <c r="N100" s="40"/>
      <c r="O100" s="40"/>
      <c r="P100" s="40"/>
      <c r="Q100" s="40"/>
      <c r="R100" s="40"/>
      <c r="S100" s="40">
        <f t="shared" si="47"/>
        <v>0</v>
      </c>
      <c r="T100" s="146">
        <f t="shared" si="45"/>
        <v>700</v>
      </c>
      <c r="U100" s="41"/>
    </row>
    <row r="101" spans="1:21">
      <c r="A101" s="36">
        <v>4</v>
      </c>
      <c r="B101" s="2" t="s">
        <v>45</v>
      </c>
      <c r="C101" s="7" t="s">
        <v>100</v>
      </c>
      <c r="D101" s="37" t="s">
        <v>111</v>
      </c>
      <c r="E101" s="37" t="s">
        <v>29</v>
      </c>
      <c r="F101" s="37">
        <v>12</v>
      </c>
      <c r="G101" s="37">
        <v>5</v>
      </c>
      <c r="H101" s="37">
        <v>100</v>
      </c>
      <c r="I101" s="37">
        <f t="shared" si="41"/>
        <v>6000</v>
      </c>
      <c r="J101" s="38">
        <f t="shared" si="42"/>
        <v>6000</v>
      </c>
      <c r="K101" s="39">
        <f t="shared" si="46"/>
        <v>6000</v>
      </c>
      <c r="L101" s="40"/>
      <c r="M101" s="40"/>
      <c r="N101" s="40"/>
      <c r="O101" s="40"/>
      <c r="P101" s="40"/>
      <c r="Q101" s="40"/>
      <c r="R101" s="40">
        <f>229.124198619638+886.93</f>
        <v>1116.0541986196379</v>
      </c>
      <c r="S101" s="40">
        <f t="shared" si="47"/>
        <v>1116.0541986196379</v>
      </c>
      <c r="T101" s="146">
        <f t="shared" si="45"/>
        <v>4883.9458013803624</v>
      </c>
      <c r="U101" s="41"/>
    </row>
    <row r="102" spans="1:21">
      <c r="A102" s="36">
        <v>4</v>
      </c>
      <c r="B102" s="2" t="s">
        <v>45</v>
      </c>
      <c r="C102" s="7" t="s">
        <v>100</v>
      </c>
      <c r="D102" s="37" t="s">
        <v>112</v>
      </c>
      <c r="E102" s="37" t="s">
        <v>26</v>
      </c>
      <c r="F102" s="37">
        <v>1</v>
      </c>
      <c r="G102" s="37">
        <v>5</v>
      </c>
      <c r="H102" s="37">
        <v>50</v>
      </c>
      <c r="I102" s="37">
        <f t="shared" si="41"/>
        <v>250</v>
      </c>
      <c r="J102" s="38">
        <f t="shared" si="42"/>
        <v>250</v>
      </c>
      <c r="K102" s="39">
        <f t="shared" si="46"/>
        <v>250</v>
      </c>
      <c r="L102" s="40"/>
      <c r="M102" s="40"/>
      <c r="N102" s="40"/>
      <c r="O102" s="40"/>
      <c r="P102" s="40"/>
      <c r="Q102" s="40"/>
      <c r="R102" s="40">
        <v>581.09</v>
      </c>
      <c r="S102" s="40">
        <f t="shared" si="47"/>
        <v>581.09</v>
      </c>
      <c r="T102" s="146">
        <f t="shared" si="45"/>
        <v>-331.09000000000003</v>
      </c>
      <c r="U102" s="41"/>
    </row>
    <row r="103" spans="1:21">
      <c r="A103" s="36">
        <v>4</v>
      </c>
      <c r="B103" s="2" t="s">
        <v>45</v>
      </c>
      <c r="C103" s="7" t="s">
        <v>100</v>
      </c>
      <c r="D103" s="37" t="s">
        <v>113</v>
      </c>
      <c r="E103" s="37" t="s">
        <v>26</v>
      </c>
      <c r="F103" s="37">
        <v>1</v>
      </c>
      <c r="G103" s="37">
        <v>5</v>
      </c>
      <c r="H103" s="37">
        <v>100</v>
      </c>
      <c r="I103" s="37">
        <f t="shared" si="41"/>
        <v>500</v>
      </c>
      <c r="J103" s="38">
        <f t="shared" si="42"/>
        <v>500</v>
      </c>
      <c r="K103" s="39">
        <f t="shared" si="46"/>
        <v>500</v>
      </c>
      <c r="L103" s="40"/>
      <c r="M103" s="40"/>
      <c r="N103" s="40"/>
      <c r="O103" s="40"/>
      <c r="P103" s="40"/>
      <c r="Q103" s="40"/>
      <c r="R103" s="40">
        <f>221.73+66.52+89.32</f>
        <v>377.57</v>
      </c>
      <c r="S103" s="40">
        <f t="shared" si="47"/>
        <v>377.57</v>
      </c>
      <c r="T103" s="146">
        <f t="shared" si="45"/>
        <v>122.43</v>
      </c>
      <c r="U103" s="41"/>
    </row>
    <row r="104" spans="1:21">
      <c r="A104" s="36">
        <v>6</v>
      </c>
      <c r="B104" s="2" t="s">
        <v>81</v>
      </c>
      <c r="C104" s="7" t="s">
        <v>100</v>
      </c>
      <c r="D104" s="37" t="s">
        <v>82</v>
      </c>
      <c r="E104" s="37" t="s">
        <v>26</v>
      </c>
      <c r="F104" s="37">
        <v>4</v>
      </c>
      <c r="G104" s="37">
        <v>1</v>
      </c>
      <c r="H104" s="37">
        <v>2700</v>
      </c>
      <c r="I104" s="37">
        <f t="shared" si="41"/>
        <v>10800</v>
      </c>
      <c r="J104" s="38">
        <f t="shared" si="42"/>
        <v>10800</v>
      </c>
      <c r="K104" s="39"/>
      <c r="L104" s="40"/>
      <c r="M104" s="40"/>
      <c r="N104" s="40"/>
      <c r="O104" s="40"/>
      <c r="P104" s="40"/>
      <c r="Q104" s="40"/>
      <c r="R104" s="40">
        <f>2798.31117372+894.36+2855.92+2050.23+64.3</f>
        <v>8663.1211737199992</v>
      </c>
      <c r="S104" s="40">
        <f t="shared" si="47"/>
        <v>8663.1211737199992</v>
      </c>
      <c r="T104" s="146">
        <f t="shared" si="45"/>
        <v>2136.8788262800008</v>
      </c>
      <c r="U104" s="41"/>
    </row>
    <row r="105" spans="1:21">
      <c r="A105" s="36">
        <v>6</v>
      </c>
      <c r="B105" s="2" t="s">
        <v>81</v>
      </c>
      <c r="C105" s="7" t="s">
        <v>100</v>
      </c>
      <c r="D105" s="37" t="s">
        <v>82</v>
      </c>
      <c r="E105" s="37" t="s">
        <v>26</v>
      </c>
      <c r="F105" s="37">
        <v>4</v>
      </c>
      <c r="G105" s="37">
        <v>1</v>
      </c>
      <c r="H105" s="37">
        <v>2700</v>
      </c>
      <c r="I105" s="37">
        <f t="shared" si="41"/>
        <v>10800</v>
      </c>
      <c r="J105" s="38">
        <f t="shared" si="42"/>
        <v>10800</v>
      </c>
      <c r="K105" s="39"/>
      <c r="L105" s="40"/>
      <c r="M105" s="40"/>
      <c r="N105" s="40"/>
      <c r="O105" s="40"/>
      <c r="P105" s="40"/>
      <c r="Q105" s="40"/>
      <c r="R105" s="40"/>
      <c r="S105" s="40">
        <f t="shared" si="47"/>
        <v>0</v>
      </c>
      <c r="T105" s="146">
        <f t="shared" si="45"/>
        <v>10800</v>
      </c>
      <c r="U105" s="41"/>
    </row>
    <row r="106" spans="1:21">
      <c r="A106" s="36">
        <v>4</v>
      </c>
      <c r="B106" s="2" t="s">
        <v>45</v>
      </c>
      <c r="C106" s="7" t="s">
        <v>100</v>
      </c>
      <c r="D106" s="37" t="s">
        <v>46</v>
      </c>
      <c r="E106" s="37" t="s">
        <v>26</v>
      </c>
      <c r="F106" s="37">
        <v>1</v>
      </c>
      <c r="G106" s="37">
        <v>1</v>
      </c>
      <c r="H106" s="37">
        <v>1000</v>
      </c>
      <c r="I106" s="37">
        <f t="shared" si="41"/>
        <v>1000</v>
      </c>
      <c r="J106" s="38">
        <f t="shared" si="42"/>
        <v>1000</v>
      </c>
      <c r="K106" s="39">
        <f>I106</f>
        <v>1000</v>
      </c>
      <c r="L106" s="40"/>
      <c r="M106" s="40"/>
      <c r="N106" s="40"/>
      <c r="O106" s="40"/>
      <c r="P106" s="40"/>
      <c r="Q106" s="40"/>
      <c r="R106" s="40">
        <f>499.6+491.25</f>
        <v>990.85</v>
      </c>
      <c r="S106" s="40">
        <f t="shared" si="47"/>
        <v>990.85</v>
      </c>
      <c r="T106" s="146">
        <f t="shared" si="45"/>
        <v>9.1499999999999773</v>
      </c>
      <c r="U106" s="41"/>
    </row>
    <row r="107" spans="1:21">
      <c r="A107" s="36">
        <v>4</v>
      </c>
      <c r="B107" s="2" t="s">
        <v>45</v>
      </c>
      <c r="C107" s="7" t="s">
        <v>100</v>
      </c>
      <c r="D107" s="37" t="s">
        <v>47</v>
      </c>
      <c r="E107" s="37" t="s">
        <v>26</v>
      </c>
      <c r="F107" s="37">
        <v>1</v>
      </c>
      <c r="G107" s="37">
        <v>1</v>
      </c>
      <c r="H107" s="37">
        <v>1700</v>
      </c>
      <c r="I107" s="37">
        <f t="shared" si="41"/>
        <v>1700</v>
      </c>
      <c r="J107" s="38">
        <f t="shared" si="42"/>
        <v>1700</v>
      </c>
      <c r="K107" s="39">
        <f>I107</f>
        <v>1700</v>
      </c>
      <c r="L107" s="40"/>
      <c r="M107" s="40"/>
      <c r="N107" s="40"/>
      <c r="O107" s="40"/>
      <c r="P107" s="40"/>
      <c r="Q107" s="40"/>
      <c r="R107" s="40">
        <v>1199.03</v>
      </c>
      <c r="S107" s="40">
        <f>+L107+N107+M107+O107+P107+Q107+R107</f>
        <v>1199.03</v>
      </c>
      <c r="T107" s="146">
        <f>J107-L107-M107-N107-O107-P107-Q107-R107</f>
        <v>500.97</v>
      </c>
      <c r="U107" s="41"/>
    </row>
    <row r="108" spans="1:21">
      <c r="A108" s="36">
        <v>4</v>
      </c>
      <c r="B108" s="2" t="s">
        <v>45</v>
      </c>
      <c r="C108" s="7" t="s">
        <v>100</v>
      </c>
      <c r="D108" s="37" t="s">
        <v>48</v>
      </c>
      <c r="E108" s="37" t="s">
        <v>26</v>
      </c>
      <c r="F108" s="37">
        <v>1</v>
      </c>
      <c r="G108" s="37">
        <v>1</v>
      </c>
      <c r="H108" s="37">
        <v>750</v>
      </c>
      <c r="I108" s="37">
        <f t="shared" si="41"/>
        <v>750</v>
      </c>
      <c r="J108" s="38">
        <f t="shared" si="42"/>
        <v>750</v>
      </c>
      <c r="K108" s="39">
        <f>I108</f>
        <v>750</v>
      </c>
      <c r="L108" s="40"/>
      <c r="M108" s="40"/>
      <c r="N108" s="40"/>
      <c r="O108" s="40"/>
      <c r="P108" s="40"/>
      <c r="Q108" s="40"/>
      <c r="R108" s="40">
        <v>852.76</v>
      </c>
      <c r="S108" s="40">
        <f t="shared" si="47"/>
        <v>852.76</v>
      </c>
      <c r="T108" s="146">
        <f t="shared" si="45"/>
        <v>-102.75999999999999</v>
      </c>
      <c r="U108" s="41"/>
    </row>
    <row r="109" spans="1:21">
      <c r="A109" s="36"/>
      <c r="B109" s="28" t="s">
        <v>49</v>
      </c>
      <c r="C109" s="51" t="s">
        <v>114</v>
      </c>
      <c r="D109" s="52"/>
      <c r="E109" s="53"/>
      <c r="F109" s="53"/>
      <c r="G109" s="54"/>
      <c r="H109" s="54"/>
      <c r="I109" s="55">
        <f t="shared" ref="I109:S109" si="48">SUM(I91:I108)</f>
        <v>54700</v>
      </c>
      <c r="J109" s="55">
        <f t="shared" si="48"/>
        <v>54700</v>
      </c>
      <c r="K109" s="56">
        <f t="shared" si="48"/>
        <v>33100</v>
      </c>
      <c r="L109" s="55">
        <f t="shared" si="48"/>
        <v>0</v>
      </c>
      <c r="M109" s="55">
        <f t="shared" si="48"/>
        <v>0</v>
      </c>
      <c r="N109" s="55">
        <f t="shared" si="48"/>
        <v>0</v>
      </c>
      <c r="O109" s="55">
        <f t="shared" si="48"/>
        <v>0</v>
      </c>
      <c r="P109" s="55">
        <f t="shared" si="48"/>
        <v>0</v>
      </c>
      <c r="Q109" s="55">
        <f t="shared" si="48"/>
        <v>0</v>
      </c>
      <c r="R109" s="55">
        <f t="shared" si="48"/>
        <v>30449.812966343379</v>
      </c>
      <c r="S109" s="55">
        <f t="shared" si="48"/>
        <v>30449.812966343379</v>
      </c>
      <c r="T109" s="176">
        <f>SUM(T91:T108)</f>
        <v>24250.187033656621</v>
      </c>
      <c r="U109" s="58">
        <f>S109*0.6</f>
        <v>18269.887779806028</v>
      </c>
    </row>
    <row r="110" spans="1:21">
      <c r="A110" s="36"/>
      <c r="B110" s="28" t="s">
        <v>49</v>
      </c>
      <c r="C110" s="59" t="s">
        <v>115</v>
      </c>
      <c r="D110" s="338" t="s">
        <v>116</v>
      </c>
      <c r="E110" s="338"/>
      <c r="F110" s="338"/>
      <c r="G110" s="338"/>
      <c r="H110" s="338"/>
      <c r="I110" s="338"/>
      <c r="J110" s="338"/>
      <c r="K110" s="96"/>
      <c r="L110" s="97"/>
      <c r="M110" s="97"/>
      <c r="N110" s="97"/>
      <c r="O110" s="97"/>
      <c r="P110" s="97"/>
      <c r="Q110" s="97"/>
      <c r="R110" s="97"/>
      <c r="S110" s="97"/>
      <c r="T110" s="156"/>
      <c r="U110" s="98"/>
    </row>
    <row r="111" spans="1:21">
      <c r="A111" s="36">
        <v>4</v>
      </c>
      <c r="B111" s="2" t="s">
        <v>45</v>
      </c>
      <c r="C111" s="7" t="s">
        <v>117</v>
      </c>
      <c r="D111" s="37" t="s">
        <v>118</v>
      </c>
      <c r="E111" s="37" t="s">
        <v>26</v>
      </c>
      <c r="F111" s="37">
        <v>3</v>
      </c>
      <c r="G111" s="37">
        <v>4</v>
      </c>
      <c r="H111" s="37">
        <v>200</v>
      </c>
      <c r="I111" s="37">
        <f t="shared" ref="I111:I124" si="49">F111*G111*H111</f>
        <v>2400</v>
      </c>
      <c r="J111" s="38">
        <f t="shared" ref="J111:J124" si="50">I111/$H$5</f>
        <v>2400</v>
      </c>
      <c r="K111" s="39">
        <v>2400</v>
      </c>
      <c r="L111" s="40"/>
      <c r="M111" s="97"/>
      <c r="N111" s="40"/>
      <c r="O111" s="40"/>
      <c r="P111" s="40">
        <v>493.99683252180216</v>
      </c>
      <c r="Q111" s="40">
        <v>22.13</v>
      </c>
      <c r="R111" s="40"/>
      <c r="S111" s="40">
        <f>+L111+N111+M111+O111+P111+Q111+R111</f>
        <v>516.12683252180216</v>
      </c>
      <c r="T111" s="146">
        <f>J111-L111-M111-N111-O111-P111-Q111-R111</f>
        <v>1883.8731674781977</v>
      </c>
      <c r="U111" s="41"/>
    </row>
    <row r="112" spans="1:21">
      <c r="A112" s="36">
        <v>2</v>
      </c>
      <c r="B112" s="2" t="s">
        <v>23</v>
      </c>
      <c r="C112" s="7" t="s">
        <v>117</v>
      </c>
      <c r="D112" s="37" t="s">
        <v>119</v>
      </c>
      <c r="E112" s="37" t="s">
        <v>26</v>
      </c>
      <c r="F112" s="37">
        <v>1</v>
      </c>
      <c r="G112" s="37">
        <v>2</v>
      </c>
      <c r="H112" s="37">
        <v>40</v>
      </c>
      <c r="I112" s="37">
        <f t="shared" si="49"/>
        <v>80</v>
      </c>
      <c r="J112" s="38">
        <f t="shared" si="50"/>
        <v>80</v>
      </c>
      <c r="K112" s="39">
        <f>I112/5</f>
        <v>16</v>
      </c>
      <c r="L112" s="40"/>
      <c r="M112" s="40"/>
      <c r="N112" s="40"/>
      <c r="O112" s="40"/>
      <c r="P112" s="40">
        <v>64</v>
      </c>
      <c r="Q112" s="40">
        <v>36.878323658919761</v>
      </c>
      <c r="R112" s="40"/>
      <c r="S112" s="40">
        <f t="shared" ref="S112:S123" si="51">+L112+N112+M112+O112+P112+Q112+R112</f>
        <v>100.87832365891975</v>
      </c>
      <c r="T112" s="146">
        <f t="shared" ref="T112:T124" si="52">J112-L112-M112-N112-O112-P112-Q112-R112</f>
        <v>-20.878323658919761</v>
      </c>
      <c r="U112" s="41"/>
    </row>
    <row r="113" spans="1:21">
      <c r="A113" s="36">
        <v>2</v>
      </c>
      <c r="B113" s="2" t="s">
        <v>23</v>
      </c>
      <c r="C113" s="7" t="s">
        <v>117</v>
      </c>
      <c r="D113" s="37" t="s">
        <v>120</v>
      </c>
      <c r="E113" s="37" t="s">
        <v>29</v>
      </c>
      <c r="F113" s="37">
        <v>20</v>
      </c>
      <c r="G113" s="37">
        <v>2</v>
      </c>
      <c r="H113" s="37">
        <v>15</v>
      </c>
      <c r="I113" s="37">
        <f t="shared" si="49"/>
        <v>600</v>
      </c>
      <c r="J113" s="38">
        <f t="shared" si="50"/>
        <v>600</v>
      </c>
      <c r="K113" s="39">
        <f t="shared" ref="K113:K121" si="53">I113/5</f>
        <v>120</v>
      </c>
      <c r="L113" s="40"/>
      <c r="M113" s="40"/>
      <c r="N113" s="40"/>
      <c r="O113" s="40"/>
      <c r="P113" s="40">
        <v>480</v>
      </c>
      <c r="Q113" s="40">
        <v>1567.3287555040899</v>
      </c>
      <c r="R113" s="40"/>
      <c r="S113" s="40">
        <f t="shared" si="51"/>
        <v>2047.3287555040899</v>
      </c>
      <c r="T113" s="146">
        <f t="shared" si="52"/>
        <v>-1447.3287555040899</v>
      </c>
      <c r="U113" s="41"/>
    </row>
    <row r="114" spans="1:21">
      <c r="A114" s="36">
        <v>5</v>
      </c>
      <c r="B114" s="2" t="s">
        <v>30</v>
      </c>
      <c r="C114" s="7" t="s">
        <v>117</v>
      </c>
      <c r="D114" s="37" t="s">
        <v>121</v>
      </c>
      <c r="E114" s="37" t="s">
        <v>29</v>
      </c>
      <c r="F114" s="37">
        <v>4</v>
      </c>
      <c r="G114" s="37">
        <v>2</v>
      </c>
      <c r="H114" s="37">
        <v>40</v>
      </c>
      <c r="I114" s="37">
        <f t="shared" si="49"/>
        <v>320</v>
      </c>
      <c r="J114" s="38">
        <f t="shared" si="50"/>
        <v>320</v>
      </c>
      <c r="K114" s="39">
        <f t="shared" si="53"/>
        <v>64</v>
      </c>
      <c r="L114" s="40"/>
      <c r="M114" s="40"/>
      <c r="N114" s="40"/>
      <c r="O114" s="40"/>
      <c r="P114" s="40">
        <v>256</v>
      </c>
      <c r="Q114" s="40">
        <v>1032.5930624497535</v>
      </c>
      <c r="R114" s="40"/>
      <c r="S114" s="40">
        <f t="shared" si="51"/>
        <v>1288.5930624497535</v>
      </c>
      <c r="T114" s="146">
        <f t="shared" si="52"/>
        <v>-968.59306244975346</v>
      </c>
      <c r="U114" s="41"/>
    </row>
    <row r="115" spans="1:21">
      <c r="A115" s="36">
        <v>3</v>
      </c>
      <c r="B115" s="28" t="s">
        <v>33</v>
      </c>
      <c r="C115" s="7" t="s">
        <v>117</v>
      </c>
      <c r="D115" s="37" t="s">
        <v>34</v>
      </c>
      <c r="E115" s="37" t="s">
        <v>26</v>
      </c>
      <c r="F115" s="37">
        <v>2</v>
      </c>
      <c r="G115" s="37">
        <v>3</v>
      </c>
      <c r="H115" s="37">
        <v>135</v>
      </c>
      <c r="I115" s="37">
        <f t="shared" si="49"/>
        <v>810</v>
      </c>
      <c r="J115" s="38">
        <f t="shared" si="50"/>
        <v>810</v>
      </c>
      <c r="K115" s="39">
        <f t="shared" si="53"/>
        <v>162</v>
      </c>
      <c r="L115" s="40"/>
      <c r="M115" s="40"/>
      <c r="N115" s="40"/>
      <c r="O115" s="40"/>
      <c r="P115" s="40">
        <v>648</v>
      </c>
      <c r="Q115" s="40">
        <f>955.07+12.83</f>
        <v>967.90000000000009</v>
      </c>
      <c r="R115" s="40"/>
      <c r="S115" s="40">
        <f t="shared" si="51"/>
        <v>1615.9</v>
      </c>
      <c r="T115" s="146">
        <f t="shared" si="52"/>
        <v>-805.90000000000009</v>
      </c>
      <c r="U115" s="41"/>
    </row>
    <row r="116" spans="1:21">
      <c r="A116" s="36">
        <v>5</v>
      </c>
      <c r="B116" s="2" t="s">
        <v>30</v>
      </c>
      <c r="C116" s="7" t="s">
        <v>117</v>
      </c>
      <c r="D116" s="37" t="s">
        <v>109</v>
      </c>
      <c r="E116" s="37" t="s">
        <v>26</v>
      </c>
      <c r="F116" s="37">
        <v>2</v>
      </c>
      <c r="G116" s="37">
        <v>3</v>
      </c>
      <c r="H116" s="37">
        <v>50</v>
      </c>
      <c r="I116" s="37">
        <f t="shared" si="49"/>
        <v>300</v>
      </c>
      <c r="J116" s="38">
        <f t="shared" si="50"/>
        <v>300</v>
      </c>
      <c r="K116" s="39">
        <f t="shared" si="53"/>
        <v>60</v>
      </c>
      <c r="L116" s="40"/>
      <c r="M116" s="40"/>
      <c r="N116" s="40"/>
      <c r="O116" s="40"/>
      <c r="P116" s="40">
        <v>300</v>
      </c>
      <c r="Q116" s="40"/>
      <c r="R116" s="40"/>
      <c r="S116" s="40">
        <f t="shared" si="51"/>
        <v>300</v>
      </c>
      <c r="T116" s="146">
        <f t="shared" si="52"/>
        <v>0</v>
      </c>
      <c r="U116" s="41"/>
    </row>
    <row r="117" spans="1:21">
      <c r="A117" s="36">
        <v>5</v>
      </c>
      <c r="B117" s="2" t="s">
        <v>30</v>
      </c>
      <c r="C117" s="7" t="s">
        <v>117</v>
      </c>
      <c r="D117" s="37" t="s">
        <v>122</v>
      </c>
      <c r="E117" s="37" t="s">
        <v>29</v>
      </c>
      <c r="F117" s="37">
        <v>20</v>
      </c>
      <c r="G117" s="37">
        <v>2</v>
      </c>
      <c r="H117" s="37">
        <v>10</v>
      </c>
      <c r="I117" s="37">
        <f t="shared" si="49"/>
        <v>400</v>
      </c>
      <c r="J117" s="38">
        <f t="shared" si="50"/>
        <v>400</v>
      </c>
      <c r="K117" s="39">
        <f t="shared" si="53"/>
        <v>80</v>
      </c>
      <c r="L117" s="40"/>
      <c r="M117" s="40"/>
      <c r="N117" s="40"/>
      <c r="O117" s="40"/>
      <c r="P117" s="40">
        <v>320</v>
      </c>
      <c r="Q117" s="40">
        <v>191.76</v>
      </c>
      <c r="R117" s="40"/>
      <c r="S117" s="40">
        <f t="shared" si="51"/>
        <v>511.76</v>
      </c>
      <c r="T117" s="146">
        <f t="shared" si="52"/>
        <v>-111.75999999999999</v>
      </c>
      <c r="U117" s="41" t="s">
        <v>123</v>
      </c>
    </row>
    <row r="118" spans="1:21">
      <c r="A118" s="36">
        <v>4</v>
      </c>
      <c r="B118" s="2" t="s">
        <v>45</v>
      </c>
      <c r="C118" s="7" t="s">
        <v>117</v>
      </c>
      <c r="D118" s="37" t="s">
        <v>124</v>
      </c>
      <c r="E118" s="37" t="s">
        <v>29</v>
      </c>
      <c r="F118" s="37">
        <v>1</v>
      </c>
      <c r="G118" s="37">
        <v>2</v>
      </c>
      <c r="H118" s="37">
        <v>250</v>
      </c>
      <c r="I118" s="37">
        <f t="shared" si="49"/>
        <v>500</v>
      </c>
      <c r="J118" s="38">
        <f t="shared" si="50"/>
        <v>500</v>
      </c>
      <c r="K118" s="39">
        <f t="shared" si="53"/>
        <v>100</v>
      </c>
      <c r="L118" s="40"/>
      <c r="M118" s="40"/>
      <c r="N118" s="40"/>
      <c r="O118" s="40"/>
      <c r="P118" s="40">
        <v>400</v>
      </c>
      <c r="Q118" s="40"/>
      <c r="R118" s="40"/>
      <c r="S118" s="40">
        <f t="shared" si="51"/>
        <v>400</v>
      </c>
      <c r="T118" s="146">
        <f t="shared" si="52"/>
        <v>100</v>
      </c>
      <c r="U118" s="41"/>
    </row>
    <row r="119" spans="1:21">
      <c r="A119" s="36">
        <v>2</v>
      </c>
      <c r="B119" s="2" t="s">
        <v>23</v>
      </c>
      <c r="C119" s="7" t="s">
        <v>117</v>
      </c>
      <c r="D119" s="49" t="s">
        <v>125</v>
      </c>
      <c r="E119" s="37" t="s">
        <v>26</v>
      </c>
      <c r="F119" s="49">
        <v>1</v>
      </c>
      <c r="G119" s="49">
        <v>2</v>
      </c>
      <c r="H119" s="49">
        <v>500</v>
      </c>
      <c r="I119" s="49">
        <f t="shared" si="49"/>
        <v>1000</v>
      </c>
      <c r="J119" s="38">
        <f t="shared" si="50"/>
        <v>1000</v>
      </c>
      <c r="K119" s="39">
        <f t="shared" si="53"/>
        <v>200</v>
      </c>
      <c r="L119" s="40"/>
      <c r="M119" s="40"/>
      <c r="N119" s="40"/>
      <c r="O119" s="40"/>
      <c r="P119" s="40">
        <v>800</v>
      </c>
      <c r="Q119" s="40"/>
      <c r="R119" s="40"/>
      <c r="S119" s="40">
        <f t="shared" si="51"/>
        <v>800</v>
      </c>
      <c r="T119" s="146">
        <f t="shared" si="52"/>
        <v>200</v>
      </c>
      <c r="U119" s="41"/>
    </row>
    <row r="120" spans="1:21">
      <c r="A120" s="36">
        <v>4</v>
      </c>
      <c r="B120" s="2" t="s">
        <v>45</v>
      </c>
      <c r="C120" s="7" t="s">
        <v>117</v>
      </c>
      <c r="D120" s="49" t="s">
        <v>126</v>
      </c>
      <c r="E120" s="37" t="s">
        <v>26</v>
      </c>
      <c r="F120" s="49">
        <v>1</v>
      </c>
      <c r="G120" s="49">
        <v>2</v>
      </c>
      <c r="H120" s="49">
        <v>1000</v>
      </c>
      <c r="I120" s="49">
        <f t="shared" si="49"/>
        <v>2000</v>
      </c>
      <c r="J120" s="38">
        <f t="shared" si="50"/>
        <v>2000</v>
      </c>
      <c r="K120" s="39">
        <f t="shared" si="53"/>
        <v>400</v>
      </c>
      <c r="L120" s="40"/>
      <c r="M120" s="40"/>
      <c r="N120" s="40"/>
      <c r="O120" s="40"/>
      <c r="P120" s="40">
        <v>1941.7125026911799</v>
      </c>
      <c r="Q120" s="40"/>
      <c r="R120" s="40"/>
      <c r="S120" s="40">
        <f t="shared" si="51"/>
        <v>1941.7125026911799</v>
      </c>
      <c r="T120" s="146">
        <f t="shared" si="52"/>
        <v>58.287497308820093</v>
      </c>
      <c r="U120" s="41"/>
    </row>
    <row r="121" spans="1:21">
      <c r="A121" s="36">
        <v>2</v>
      </c>
      <c r="B121" s="2" t="s">
        <v>23</v>
      </c>
      <c r="C121" s="7" t="s">
        <v>117</v>
      </c>
      <c r="D121" s="49" t="s">
        <v>127</v>
      </c>
      <c r="E121" s="37" t="s">
        <v>26</v>
      </c>
      <c r="F121" s="49">
        <v>1</v>
      </c>
      <c r="G121" s="49">
        <v>2</v>
      </c>
      <c r="H121" s="49">
        <v>1000</v>
      </c>
      <c r="I121" s="49">
        <f t="shared" si="49"/>
        <v>2000</v>
      </c>
      <c r="J121" s="38">
        <f t="shared" si="50"/>
        <v>2000</v>
      </c>
      <c r="K121" s="39">
        <f t="shared" si="53"/>
        <v>400</v>
      </c>
      <c r="L121" s="40"/>
      <c r="M121" s="40"/>
      <c r="N121" s="40"/>
      <c r="O121" s="40"/>
      <c r="P121" s="40">
        <v>704</v>
      </c>
      <c r="Q121" s="40"/>
      <c r="R121" s="40"/>
      <c r="S121" s="40">
        <f t="shared" si="51"/>
        <v>704</v>
      </c>
      <c r="T121" s="146">
        <f t="shared" si="52"/>
        <v>1296</v>
      </c>
      <c r="U121" s="41"/>
    </row>
    <row r="122" spans="1:21">
      <c r="A122" s="36">
        <v>4</v>
      </c>
      <c r="B122" s="2" t="s">
        <v>45</v>
      </c>
      <c r="C122" s="7" t="s">
        <v>117</v>
      </c>
      <c r="D122" s="37" t="s">
        <v>46</v>
      </c>
      <c r="E122" s="37" t="s">
        <v>26</v>
      </c>
      <c r="F122" s="50">
        <v>1</v>
      </c>
      <c r="G122" s="49">
        <v>1</v>
      </c>
      <c r="H122" s="49">
        <v>1000</v>
      </c>
      <c r="I122" s="49">
        <f t="shared" si="49"/>
        <v>1000</v>
      </c>
      <c r="J122" s="38">
        <f t="shared" si="50"/>
        <v>1000</v>
      </c>
      <c r="K122" s="39">
        <f>I122</f>
        <v>1000</v>
      </c>
      <c r="L122" s="40"/>
      <c r="M122" s="40"/>
      <c r="N122" s="40"/>
      <c r="O122" s="40"/>
      <c r="P122" s="40">
        <v>500.26</v>
      </c>
      <c r="Q122" s="40">
        <v>500.04</v>
      </c>
      <c r="R122" s="40"/>
      <c r="S122" s="40">
        <f t="shared" si="51"/>
        <v>1000.3</v>
      </c>
      <c r="T122" s="146">
        <f t="shared" si="52"/>
        <v>-0.30000000000001137</v>
      </c>
      <c r="U122" s="41"/>
    </row>
    <row r="123" spans="1:21">
      <c r="A123" s="36">
        <v>4</v>
      </c>
      <c r="B123" s="2" t="s">
        <v>45</v>
      </c>
      <c r="C123" s="7" t="s">
        <v>117</v>
      </c>
      <c r="D123" s="37" t="s">
        <v>47</v>
      </c>
      <c r="E123" s="37" t="s">
        <v>26</v>
      </c>
      <c r="F123" s="50">
        <v>1</v>
      </c>
      <c r="G123" s="49">
        <v>1</v>
      </c>
      <c r="H123" s="49">
        <v>1700</v>
      </c>
      <c r="I123" s="49">
        <f t="shared" si="49"/>
        <v>1700</v>
      </c>
      <c r="J123" s="38">
        <f t="shared" si="50"/>
        <v>1700</v>
      </c>
      <c r="K123" s="39">
        <f t="shared" ref="K123:K124" si="54">I123</f>
        <v>1700</v>
      </c>
      <c r="L123" s="40"/>
      <c r="M123" s="40"/>
      <c r="N123" s="40"/>
      <c r="O123" s="40"/>
      <c r="P123" s="40">
        <v>1120.5899999999999</v>
      </c>
      <c r="Q123" s="40">
        <v>579</v>
      </c>
      <c r="R123" s="40"/>
      <c r="S123" s="40">
        <f t="shared" si="51"/>
        <v>1699.59</v>
      </c>
      <c r="T123" s="146">
        <f t="shared" si="52"/>
        <v>0.41000000000008185</v>
      </c>
      <c r="U123" s="41"/>
    </row>
    <row r="124" spans="1:21">
      <c r="A124" s="36">
        <v>4</v>
      </c>
      <c r="B124" s="2" t="s">
        <v>45</v>
      </c>
      <c r="C124" s="7" t="s">
        <v>117</v>
      </c>
      <c r="D124" s="37" t="s">
        <v>48</v>
      </c>
      <c r="E124" s="37" t="s">
        <v>26</v>
      </c>
      <c r="F124" s="50">
        <v>1</v>
      </c>
      <c r="G124" s="49">
        <v>1</v>
      </c>
      <c r="H124" s="49">
        <v>750</v>
      </c>
      <c r="I124" s="49">
        <f t="shared" si="49"/>
        <v>750</v>
      </c>
      <c r="J124" s="38">
        <f t="shared" si="50"/>
        <v>750</v>
      </c>
      <c r="K124" s="39">
        <f t="shared" si="54"/>
        <v>750</v>
      </c>
      <c r="L124" s="40"/>
      <c r="M124" s="40"/>
      <c r="N124" s="40"/>
      <c r="O124" s="40"/>
      <c r="P124" s="40"/>
      <c r="Q124" s="40"/>
      <c r="R124" s="40"/>
      <c r="S124" s="40"/>
      <c r="T124" s="146">
        <f t="shared" si="52"/>
        <v>750</v>
      </c>
      <c r="U124" s="41"/>
    </row>
    <row r="125" spans="1:21">
      <c r="A125" s="36"/>
      <c r="B125" s="28" t="s">
        <v>49</v>
      </c>
      <c r="C125" s="51" t="s">
        <v>128</v>
      </c>
      <c r="D125" s="52"/>
      <c r="E125" s="53"/>
      <c r="F125" s="53"/>
      <c r="G125" s="54"/>
      <c r="H125" s="54"/>
      <c r="I125" s="55">
        <f>SUM(I111:I124)</f>
        <v>13860</v>
      </c>
      <c r="J125" s="55">
        <f t="shared" ref="J125:O125" si="55">SUM(J111:J124)</f>
        <v>13860</v>
      </c>
      <c r="K125" s="56">
        <f>SUM(K111:K124)</f>
        <v>7452</v>
      </c>
      <c r="L125" s="55">
        <f t="shared" si="55"/>
        <v>0</v>
      </c>
      <c r="M125" s="55">
        <f t="shared" si="55"/>
        <v>0</v>
      </c>
      <c r="N125" s="55">
        <f t="shared" si="55"/>
        <v>0</v>
      </c>
      <c r="O125" s="55">
        <f t="shared" si="55"/>
        <v>0</v>
      </c>
      <c r="P125" s="55">
        <f>SUM(P111:P124)</f>
        <v>8028.5593352129827</v>
      </c>
      <c r="Q125" s="55">
        <f>SUM(Q111:Q124)</f>
        <v>4897.6301416127635</v>
      </c>
      <c r="R125" s="55">
        <f>SUM(R111:R124)</f>
        <v>0</v>
      </c>
      <c r="S125" s="55">
        <f>SUM(S111:S124)</f>
        <v>12926.189476825744</v>
      </c>
      <c r="T125" s="166">
        <f>SUM(T111:T124)</f>
        <v>933.81052317425474</v>
      </c>
      <c r="U125" s="169">
        <v>5946.0471593398424</v>
      </c>
    </row>
    <row r="126" spans="1:21">
      <c r="A126" s="36"/>
      <c r="B126" s="28" t="s">
        <v>49</v>
      </c>
      <c r="C126" s="59" t="s">
        <v>129</v>
      </c>
      <c r="D126" s="338" t="s">
        <v>130</v>
      </c>
      <c r="E126" s="338"/>
      <c r="F126" s="338"/>
      <c r="G126" s="338"/>
      <c r="H126" s="338"/>
      <c r="I126" s="338"/>
      <c r="J126" s="338"/>
      <c r="K126" s="96"/>
      <c r="L126" s="97"/>
      <c r="M126" s="97"/>
      <c r="N126" s="97"/>
      <c r="O126" s="97"/>
      <c r="P126" s="97"/>
      <c r="Q126" s="97"/>
      <c r="R126" s="97"/>
      <c r="S126" s="97"/>
      <c r="T126" s="156"/>
      <c r="U126" s="98"/>
    </row>
    <row r="127" spans="1:21">
      <c r="A127" s="36">
        <v>2</v>
      </c>
      <c r="B127" s="2" t="s">
        <v>23</v>
      </c>
      <c r="C127" s="7" t="s">
        <v>131</v>
      </c>
      <c r="D127" s="37" t="s">
        <v>132</v>
      </c>
      <c r="E127" s="37" t="s">
        <v>26</v>
      </c>
      <c r="F127" s="37">
        <v>1</v>
      </c>
      <c r="G127" s="37">
        <v>5</v>
      </c>
      <c r="H127" s="37">
        <v>200</v>
      </c>
      <c r="I127" s="37">
        <f t="shared" ref="I127:I137" si="56">F127*G127*H127</f>
        <v>1000</v>
      </c>
      <c r="J127" s="38">
        <f t="shared" ref="J127:J137" si="57">I127/$H$5</f>
        <v>1000</v>
      </c>
      <c r="K127" s="39">
        <f>I127/5</f>
        <v>200</v>
      </c>
      <c r="L127" s="40"/>
      <c r="M127" s="40"/>
      <c r="N127" s="40"/>
      <c r="O127" s="40"/>
      <c r="P127" s="40">
        <v>800</v>
      </c>
      <c r="Q127" s="40"/>
      <c r="R127" s="40">
        <v>177.38647635068716</v>
      </c>
      <c r="S127" s="40">
        <f>+L127+N127+M127+O127+P127+Q127+R127</f>
        <v>977.38647635068719</v>
      </c>
      <c r="T127" s="146">
        <f>J127-L127-M127-N127-O127-P127-Q127-R127</f>
        <v>22.613523649312839</v>
      </c>
      <c r="U127" s="41"/>
    </row>
    <row r="128" spans="1:21">
      <c r="A128" s="36">
        <v>2</v>
      </c>
      <c r="B128" s="2" t="s">
        <v>23</v>
      </c>
      <c r="C128" s="7" t="s">
        <v>131</v>
      </c>
      <c r="D128" s="37" t="s">
        <v>133</v>
      </c>
      <c r="E128" s="37" t="s">
        <v>29</v>
      </c>
      <c r="F128" s="37">
        <v>30</v>
      </c>
      <c r="G128" s="37">
        <v>5</v>
      </c>
      <c r="H128" s="37">
        <v>20</v>
      </c>
      <c r="I128" s="37">
        <f t="shared" si="56"/>
        <v>3000</v>
      </c>
      <c r="J128" s="38">
        <f t="shared" si="57"/>
        <v>3000</v>
      </c>
      <c r="K128" s="39">
        <f t="shared" ref="K128:K133" si="58">I128/5</f>
        <v>600</v>
      </c>
      <c r="L128" s="40"/>
      <c r="M128" s="40"/>
      <c r="N128" s="40"/>
      <c r="O128" s="40"/>
      <c r="P128" s="40">
        <v>2702.6206647870204</v>
      </c>
      <c r="Q128" s="40"/>
      <c r="R128" s="40">
        <v>321.168119511182</v>
      </c>
      <c r="S128" s="40">
        <f t="shared" ref="S128:S136" si="59">+L128+N128+M128+O128+P128+Q128+R128</f>
        <v>3023.7887842982022</v>
      </c>
      <c r="T128" s="146">
        <f t="shared" ref="T128:T137" si="60">J128-L128-M128-N128-O128-P128-Q128-R128</f>
        <v>-23.788784298202359</v>
      </c>
      <c r="U128" s="41"/>
    </row>
    <row r="129" spans="1:236">
      <c r="A129" s="36">
        <v>2</v>
      </c>
      <c r="B129" s="2" t="s">
        <v>23</v>
      </c>
      <c r="C129" s="7" t="s">
        <v>131</v>
      </c>
      <c r="D129" s="37" t="s">
        <v>56</v>
      </c>
      <c r="E129" s="37" t="s">
        <v>26</v>
      </c>
      <c r="F129" s="37">
        <v>30</v>
      </c>
      <c r="G129" s="37">
        <v>5</v>
      </c>
      <c r="H129" s="37">
        <v>5</v>
      </c>
      <c r="I129" s="37">
        <f t="shared" si="56"/>
        <v>750</v>
      </c>
      <c r="J129" s="38">
        <f t="shared" si="57"/>
        <v>750</v>
      </c>
      <c r="K129" s="39">
        <f t="shared" si="58"/>
        <v>150</v>
      </c>
      <c r="L129" s="40"/>
      <c r="M129" s="40"/>
      <c r="N129" s="40"/>
      <c r="O129" s="40"/>
      <c r="P129" s="40">
        <v>600</v>
      </c>
      <c r="Q129" s="40"/>
      <c r="R129" s="40">
        <v>88.693238175343581</v>
      </c>
      <c r="S129" s="40">
        <f t="shared" si="59"/>
        <v>688.69323817534359</v>
      </c>
      <c r="T129" s="146">
        <f t="shared" si="60"/>
        <v>61.306761824656419</v>
      </c>
      <c r="U129" s="41"/>
    </row>
    <row r="130" spans="1:236">
      <c r="A130" s="36">
        <v>5</v>
      </c>
      <c r="B130" s="2" t="s">
        <v>30</v>
      </c>
      <c r="C130" s="7" t="s">
        <v>131</v>
      </c>
      <c r="D130" s="37" t="s">
        <v>134</v>
      </c>
      <c r="E130" s="37" t="s">
        <v>29</v>
      </c>
      <c r="F130" s="37">
        <v>30</v>
      </c>
      <c r="G130" s="37">
        <v>5</v>
      </c>
      <c r="H130" s="37">
        <v>10</v>
      </c>
      <c r="I130" s="37">
        <f t="shared" si="56"/>
        <v>1500</v>
      </c>
      <c r="J130" s="38">
        <f t="shared" si="57"/>
        <v>1500</v>
      </c>
      <c r="K130" s="39">
        <f t="shared" si="58"/>
        <v>300</v>
      </c>
      <c r="L130" s="40"/>
      <c r="M130" s="40"/>
      <c r="N130" s="40"/>
      <c r="O130" s="40"/>
      <c r="P130" s="40">
        <v>1200</v>
      </c>
      <c r="Q130" s="40"/>
      <c r="R130" s="40">
        <v>266.07971452603101</v>
      </c>
      <c r="S130" s="40">
        <f t="shared" si="59"/>
        <v>1466.079714526031</v>
      </c>
      <c r="T130" s="146">
        <f t="shared" si="60"/>
        <v>33.920285473968988</v>
      </c>
      <c r="U130" s="41"/>
    </row>
    <row r="131" spans="1:236">
      <c r="A131" s="36">
        <v>5</v>
      </c>
      <c r="B131" s="2" t="s">
        <v>30</v>
      </c>
      <c r="C131" s="7" t="s">
        <v>131</v>
      </c>
      <c r="D131" s="37" t="s">
        <v>135</v>
      </c>
      <c r="E131" s="37" t="s">
        <v>29</v>
      </c>
      <c r="F131" s="37">
        <v>4</v>
      </c>
      <c r="G131" s="37">
        <v>10</v>
      </c>
      <c r="H131" s="37">
        <v>40</v>
      </c>
      <c r="I131" s="37">
        <f t="shared" si="56"/>
        <v>1600</v>
      </c>
      <c r="J131" s="38">
        <f t="shared" si="57"/>
        <v>1600</v>
      </c>
      <c r="K131" s="39">
        <f t="shared" si="58"/>
        <v>320</v>
      </c>
      <c r="L131" s="40"/>
      <c r="M131" s="40"/>
      <c r="N131" s="40"/>
      <c r="O131" s="40"/>
      <c r="P131" s="40">
        <v>1280</v>
      </c>
      <c r="Q131" s="40"/>
      <c r="R131" s="40">
        <v>886.93238175343583</v>
      </c>
      <c r="S131" s="40">
        <f t="shared" si="59"/>
        <v>2166.9323817534359</v>
      </c>
      <c r="T131" s="146">
        <f t="shared" si="60"/>
        <v>-566.93238175343583</v>
      </c>
      <c r="U131" s="41"/>
    </row>
    <row r="132" spans="1:236">
      <c r="A132" s="36">
        <v>3</v>
      </c>
      <c r="B132" s="28" t="s">
        <v>33</v>
      </c>
      <c r="C132" s="7" t="s">
        <v>131</v>
      </c>
      <c r="D132" s="37" t="s">
        <v>136</v>
      </c>
      <c r="E132" s="37" t="s">
        <v>26</v>
      </c>
      <c r="F132" s="37">
        <v>1</v>
      </c>
      <c r="G132" s="37">
        <v>10</v>
      </c>
      <c r="H132" s="37">
        <v>135</v>
      </c>
      <c r="I132" s="37">
        <f t="shared" si="56"/>
        <v>1350</v>
      </c>
      <c r="J132" s="38">
        <f t="shared" si="57"/>
        <v>1350</v>
      </c>
      <c r="K132" s="39">
        <f t="shared" si="58"/>
        <v>270</v>
      </c>
      <c r="L132" s="40"/>
      <c r="M132" s="40"/>
      <c r="N132" s="40"/>
      <c r="O132" s="40"/>
      <c r="P132" s="40">
        <v>1080</v>
      </c>
      <c r="Q132" s="40"/>
      <c r="R132" s="40">
        <v>724.33</v>
      </c>
      <c r="S132" s="40">
        <f>+L132+N132+M132+O132+P132+Q132+R132</f>
        <v>1804.33</v>
      </c>
      <c r="T132" s="146">
        <f>J132-L132-M132-N132-O132-P132-Q132-R132</f>
        <v>-454.33000000000004</v>
      </c>
      <c r="U132" s="41"/>
    </row>
    <row r="133" spans="1:236">
      <c r="A133" s="36">
        <v>5</v>
      </c>
      <c r="B133" s="2" t="s">
        <v>30</v>
      </c>
      <c r="C133" s="7" t="s">
        <v>131</v>
      </c>
      <c r="D133" s="37" t="s">
        <v>109</v>
      </c>
      <c r="E133" s="37" t="s">
        <v>26</v>
      </c>
      <c r="F133" s="37">
        <v>1</v>
      </c>
      <c r="G133" s="37">
        <v>10</v>
      </c>
      <c r="H133" s="37">
        <v>50</v>
      </c>
      <c r="I133" s="37">
        <f t="shared" si="56"/>
        <v>500</v>
      </c>
      <c r="J133" s="38">
        <f t="shared" si="57"/>
        <v>500</v>
      </c>
      <c r="K133" s="39">
        <f t="shared" si="58"/>
        <v>100</v>
      </c>
      <c r="L133" s="40"/>
      <c r="M133" s="40"/>
      <c r="N133" s="40"/>
      <c r="O133" s="40"/>
      <c r="P133" s="40">
        <v>400</v>
      </c>
      <c r="Q133" s="40"/>
      <c r="R133" s="40">
        <v>191.42957239511657</v>
      </c>
      <c r="S133" s="40">
        <f t="shared" si="59"/>
        <v>591.42957239511657</v>
      </c>
      <c r="T133" s="146">
        <f t="shared" si="60"/>
        <v>-91.429572395116566</v>
      </c>
      <c r="U133" s="41"/>
    </row>
    <row r="134" spans="1:236">
      <c r="A134" s="36">
        <v>6</v>
      </c>
      <c r="B134" s="28" t="s">
        <v>81</v>
      </c>
      <c r="C134" s="7" t="s">
        <v>131</v>
      </c>
      <c r="D134" s="37" t="s">
        <v>82</v>
      </c>
      <c r="E134" s="37" t="s">
        <v>26</v>
      </c>
      <c r="F134" s="37">
        <v>4</v>
      </c>
      <c r="G134" s="37">
        <v>1</v>
      </c>
      <c r="H134" s="37">
        <v>8400</v>
      </c>
      <c r="I134" s="37">
        <f t="shared" si="56"/>
        <v>33600</v>
      </c>
      <c r="J134" s="38">
        <f t="shared" si="57"/>
        <v>33600</v>
      </c>
      <c r="K134" s="39"/>
      <c r="L134" s="40"/>
      <c r="M134" s="40"/>
      <c r="N134" s="40"/>
      <c r="O134" s="40"/>
      <c r="P134" s="40">
        <v>33600</v>
      </c>
      <c r="Q134" s="40"/>
      <c r="R134" s="40"/>
      <c r="S134" s="40">
        <f t="shared" si="59"/>
        <v>33600</v>
      </c>
      <c r="T134" s="146">
        <f t="shared" si="60"/>
        <v>0</v>
      </c>
      <c r="U134" s="41"/>
    </row>
    <row r="135" spans="1:236">
      <c r="A135" s="36">
        <v>4</v>
      </c>
      <c r="B135" s="28" t="s">
        <v>45</v>
      </c>
      <c r="C135" s="7" t="s">
        <v>131</v>
      </c>
      <c r="D135" s="37" t="s">
        <v>46</v>
      </c>
      <c r="E135" s="37" t="s">
        <v>26</v>
      </c>
      <c r="F135" s="37">
        <v>1</v>
      </c>
      <c r="G135" s="37">
        <v>1</v>
      </c>
      <c r="H135" s="37">
        <v>1000</v>
      </c>
      <c r="I135" s="37">
        <f t="shared" si="56"/>
        <v>1000</v>
      </c>
      <c r="J135" s="38">
        <f t="shared" si="57"/>
        <v>1000</v>
      </c>
      <c r="K135" s="39">
        <f>I135</f>
        <v>1000</v>
      </c>
      <c r="L135" s="40"/>
      <c r="M135" s="40"/>
      <c r="N135" s="40"/>
      <c r="O135" s="40"/>
      <c r="P135" s="40"/>
      <c r="Q135" s="40">
        <v>500.05</v>
      </c>
      <c r="R135" s="40">
        <v>507.59</v>
      </c>
      <c r="S135" s="40">
        <f t="shared" si="59"/>
        <v>1007.64</v>
      </c>
      <c r="T135" s="146">
        <f t="shared" si="60"/>
        <v>-7.6399999999999864</v>
      </c>
      <c r="U135" s="41"/>
    </row>
    <row r="136" spans="1:236">
      <c r="A136" s="36">
        <v>4</v>
      </c>
      <c r="B136" s="28" t="s">
        <v>45</v>
      </c>
      <c r="C136" s="7" t="s">
        <v>131</v>
      </c>
      <c r="D136" s="37" t="s">
        <v>47</v>
      </c>
      <c r="E136" s="37" t="s">
        <v>26</v>
      </c>
      <c r="F136" s="37">
        <v>1</v>
      </c>
      <c r="G136" s="37">
        <v>1</v>
      </c>
      <c r="H136" s="37">
        <v>1700</v>
      </c>
      <c r="I136" s="37">
        <f t="shared" si="56"/>
        <v>1700</v>
      </c>
      <c r="J136" s="38">
        <f t="shared" si="57"/>
        <v>1700</v>
      </c>
      <c r="K136" s="39">
        <f>I136</f>
        <v>1700</v>
      </c>
      <c r="L136" s="40"/>
      <c r="M136" s="40"/>
      <c r="N136" s="40"/>
      <c r="O136" s="40"/>
      <c r="P136" s="40"/>
      <c r="Q136" s="40">
        <v>541</v>
      </c>
      <c r="R136" s="40"/>
      <c r="S136" s="40">
        <f t="shared" si="59"/>
        <v>541</v>
      </c>
      <c r="T136" s="146">
        <f t="shared" si="60"/>
        <v>1159</v>
      </c>
      <c r="U136" s="41"/>
    </row>
    <row r="137" spans="1:236">
      <c r="A137" s="36">
        <v>4</v>
      </c>
      <c r="B137" s="28" t="s">
        <v>45</v>
      </c>
      <c r="C137" s="7" t="s">
        <v>131</v>
      </c>
      <c r="D137" s="37" t="s">
        <v>48</v>
      </c>
      <c r="E137" s="37" t="s">
        <v>26</v>
      </c>
      <c r="F137" s="37">
        <v>1</v>
      </c>
      <c r="G137" s="37">
        <v>1</v>
      </c>
      <c r="H137" s="37">
        <v>750</v>
      </c>
      <c r="I137" s="37">
        <f t="shared" si="56"/>
        <v>750</v>
      </c>
      <c r="J137" s="38">
        <f t="shared" si="57"/>
        <v>750</v>
      </c>
      <c r="K137" s="39">
        <f>I137</f>
        <v>750</v>
      </c>
      <c r="L137" s="40"/>
      <c r="M137" s="40"/>
      <c r="N137" s="40"/>
      <c r="O137" s="40"/>
      <c r="P137" s="40"/>
      <c r="Q137" s="40"/>
      <c r="R137" s="40"/>
      <c r="S137" s="40"/>
      <c r="T137" s="146">
        <f t="shared" si="60"/>
        <v>750</v>
      </c>
      <c r="U137" s="41"/>
    </row>
    <row r="138" spans="1:236">
      <c r="A138" s="36"/>
      <c r="C138" s="51" t="s">
        <v>137</v>
      </c>
      <c r="D138" s="52"/>
      <c r="E138" s="53"/>
      <c r="F138" s="53"/>
      <c r="G138" s="54"/>
      <c r="H138" s="54"/>
      <c r="I138" s="55">
        <f t="shared" ref="I138:R138" si="61">SUM(I127:I137)</f>
        <v>46750</v>
      </c>
      <c r="J138" s="55">
        <f t="shared" si="61"/>
        <v>46750</v>
      </c>
      <c r="K138" s="56">
        <f t="shared" si="61"/>
        <v>5390</v>
      </c>
      <c r="L138" s="55">
        <f t="shared" si="61"/>
        <v>0</v>
      </c>
      <c r="M138" s="55">
        <f t="shared" si="61"/>
        <v>0</v>
      </c>
      <c r="N138" s="55">
        <f t="shared" si="61"/>
        <v>0</v>
      </c>
      <c r="O138" s="55">
        <f t="shared" si="61"/>
        <v>0</v>
      </c>
      <c r="P138" s="55">
        <f t="shared" si="61"/>
        <v>41662.62066478702</v>
      </c>
      <c r="Q138" s="55">
        <f t="shared" si="61"/>
        <v>1041.05</v>
      </c>
      <c r="R138" s="55">
        <f t="shared" si="61"/>
        <v>3163.6095027117963</v>
      </c>
      <c r="S138" s="55">
        <f>SUM(S127:S137)</f>
        <v>45867.280167498815</v>
      </c>
      <c r="T138" s="176">
        <f>SUM(T127:T137)</f>
        <v>882.71983250118365</v>
      </c>
      <c r="U138" s="169">
        <v>23914.055572280737</v>
      </c>
    </row>
    <row r="139" spans="1:236" s="81" customFormat="1">
      <c r="A139" s="36"/>
      <c r="B139" s="79" t="s">
        <v>49</v>
      </c>
      <c r="C139" s="80" t="s">
        <v>138</v>
      </c>
      <c r="E139" s="82"/>
      <c r="F139" s="82"/>
      <c r="G139" s="83"/>
      <c r="H139" s="83"/>
      <c r="I139" s="84">
        <f>SUM(I138,I125,I109,I89,I75)</f>
        <v>158055</v>
      </c>
      <c r="J139" s="84">
        <f t="shared" ref="J139:O139" si="62">SUM(J138,J125,J109,J89,J75)</f>
        <v>158055</v>
      </c>
      <c r="K139" s="84">
        <f t="shared" si="62"/>
        <v>52851</v>
      </c>
      <c r="L139" s="84">
        <f t="shared" si="62"/>
        <v>0</v>
      </c>
      <c r="M139" s="84">
        <f t="shared" si="62"/>
        <v>0</v>
      </c>
      <c r="N139" s="84">
        <f t="shared" si="62"/>
        <v>0</v>
      </c>
      <c r="O139" s="84">
        <f t="shared" si="62"/>
        <v>17222</v>
      </c>
      <c r="P139" s="84">
        <f>SUM(P138,P125,P109,P89,P75)</f>
        <v>56104.991759993529</v>
      </c>
      <c r="Q139" s="84">
        <f>SUM(Q138,Q125,Q109,Q89,Q75)</f>
        <v>23877.460141612763</v>
      </c>
      <c r="R139" s="84">
        <f>SUM(R138,R125,R109,R89,R75)</f>
        <v>34741.349627146439</v>
      </c>
      <c r="S139" s="84">
        <f>SUM(S138,S125,S109,S89,S75)</f>
        <v>131945.80152875272</v>
      </c>
      <c r="T139" s="84">
        <f>SUM(T138,T125,T109,T89,T75)</f>
        <v>26109.198471247262</v>
      </c>
      <c r="U139" s="86"/>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c r="GQ139" s="2"/>
      <c r="GR139" s="2"/>
      <c r="GS139" s="2"/>
      <c r="GT139" s="2"/>
      <c r="GU139" s="2"/>
      <c r="GV139" s="2"/>
      <c r="GW139" s="2"/>
      <c r="GX139" s="2"/>
      <c r="GY139" s="2"/>
      <c r="GZ139" s="2"/>
      <c r="HA139" s="2"/>
      <c r="HB139" s="2"/>
      <c r="HC139" s="2"/>
      <c r="HD139" s="2"/>
      <c r="HE139" s="2"/>
      <c r="HF139" s="2"/>
      <c r="HG139" s="2"/>
      <c r="HH139" s="2"/>
      <c r="HI139" s="2"/>
      <c r="HJ139" s="2"/>
      <c r="HK139" s="2"/>
      <c r="HL139" s="2"/>
      <c r="HM139" s="2"/>
      <c r="HN139" s="2"/>
      <c r="HO139" s="2"/>
      <c r="HP139" s="2"/>
      <c r="HQ139" s="2"/>
      <c r="HR139" s="2"/>
      <c r="HS139" s="2"/>
      <c r="HT139" s="2"/>
      <c r="HU139" s="2"/>
      <c r="HV139" s="2"/>
      <c r="HW139" s="2"/>
      <c r="HX139" s="2"/>
      <c r="HY139" s="2"/>
      <c r="HZ139" s="2"/>
      <c r="IA139" s="2"/>
      <c r="IB139" s="2"/>
    </row>
    <row r="140" spans="1:236" ht="15.75">
      <c r="A140" s="36"/>
      <c r="B140" s="28" t="s">
        <v>49</v>
      </c>
      <c r="C140" s="339"/>
      <c r="D140" s="339"/>
      <c r="E140" s="339"/>
      <c r="F140" s="339"/>
      <c r="G140" s="339"/>
      <c r="H140" s="339"/>
      <c r="I140" s="339"/>
      <c r="J140" s="339"/>
      <c r="K140" s="25"/>
      <c r="L140" s="26"/>
      <c r="M140" s="26"/>
      <c r="N140" s="26"/>
      <c r="O140" s="26"/>
      <c r="P140" s="26"/>
      <c r="Q140" s="26"/>
      <c r="R140" s="26"/>
      <c r="S140" s="26"/>
      <c r="T140" s="151"/>
      <c r="U140" s="27"/>
    </row>
    <row r="141" spans="1:236">
      <c r="A141" s="36"/>
      <c r="B141" s="28" t="s">
        <v>49</v>
      </c>
      <c r="C141" s="59" t="s">
        <v>139</v>
      </c>
      <c r="D141" s="338" t="s">
        <v>140</v>
      </c>
      <c r="E141" s="338"/>
      <c r="F141" s="338"/>
      <c r="G141" s="338"/>
      <c r="H141" s="338"/>
      <c r="I141" s="338"/>
      <c r="J141" s="338"/>
      <c r="K141" s="96"/>
      <c r="L141" s="97"/>
      <c r="M141" s="97"/>
      <c r="N141" s="97"/>
      <c r="O141" s="97"/>
      <c r="P141" s="97"/>
      <c r="Q141" s="97"/>
      <c r="R141" s="97"/>
      <c r="S141" s="97"/>
      <c r="T141" s="156"/>
      <c r="U141" s="98"/>
    </row>
    <row r="142" spans="1:236">
      <c r="A142" s="36">
        <v>2</v>
      </c>
      <c r="B142" s="2" t="s">
        <v>23</v>
      </c>
      <c r="C142" s="7" t="s">
        <v>141</v>
      </c>
      <c r="D142" s="37" t="s">
        <v>119</v>
      </c>
      <c r="E142" s="37" t="s">
        <v>26</v>
      </c>
      <c r="F142" s="37">
        <v>2</v>
      </c>
      <c r="G142" s="37">
        <v>5</v>
      </c>
      <c r="H142" s="37">
        <v>100</v>
      </c>
      <c r="I142" s="37">
        <f>F142*G142*H142</f>
        <v>1000</v>
      </c>
      <c r="J142" s="38">
        <f>I142/$H$5</f>
        <v>1000</v>
      </c>
      <c r="K142" s="39">
        <f>I142/5</f>
        <v>200</v>
      </c>
      <c r="L142" s="40"/>
      <c r="M142" s="40"/>
      <c r="N142" s="40"/>
      <c r="O142" s="40"/>
      <c r="P142" s="40"/>
      <c r="Q142" s="40"/>
      <c r="R142" s="40">
        <v>800</v>
      </c>
      <c r="S142" s="40">
        <f t="shared" ref="S142:S152" si="63">+L142+N142+M142+O142+P142+Q142+R142</f>
        <v>800</v>
      </c>
      <c r="T142" s="146">
        <f>J142-L142-M142-N142-O142-P142-Q142-R142</f>
        <v>200</v>
      </c>
      <c r="U142" s="41"/>
    </row>
    <row r="143" spans="1:236">
      <c r="A143" s="36">
        <v>2</v>
      </c>
      <c r="B143" s="2" t="s">
        <v>23</v>
      </c>
      <c r="C143" s="7" t="s">
        <v>141</v>
      </c>
      <c r="D143" s="37" t="s">
        <v>133</v>
      </c>
      <c r="E143" s="37" t="s">
        <v>29</v>
      </c>
      <c r="F143" s="37">
        <v>60</v>
      </c>
      <c r="G143" s="37">
        <v>5</v>
      </c>
      <c r="H143" s="37">
        <v>20</v>
      </c>
      <c r="I143" s="37">
        <f t="shared" ref="I143:I152" si="64">F143*G143*H143</f>
        <v>6000</v>
      </c>
      <c r="J143" s="38">
        <f t="shared" ref="J143:J152" si="65">I143/$H$5</f>
        <v>6000</v>
      </c>
      <c r="K143" s="39">
        <f t="shared" ref="K143:K148" si="66">I143/5</f>
        <v>1200</v>
      </c>
      <c r="L143" s="40"/>
      <c r="M143" s="40"/>
      <c r="N143" s="40"/>
      <c r="O143" s="40"/>
      <c r="P143" s="40"/>
      <c r="Q143" s="40"/>
      <c r="R143" s="40">
        <v>4800</v>
      </c>
      <c r="S143" s="40">
        <f t="shared" si="63"/>
        <v>4800</v>
      </c>
      <c r="T143" s="146">
        <f t="shared" ref="T143:T148" si="67">J143-L143-M143-N143-O143-P143-Q143-R143</f>
        <v>1200</v>
      </c>
      <c r="U143" s="41"/>
    </row>
    <row r="144" spans="1:236">
      <c r="A144" s="36">
        <v>5</v>
      </c>
      <c r="B144" s="2" t="s">
        <v>30</v>
      </c>
      <c r="C144" s="7" t="s">
        <v>141</v>
      </c>
      <c r="D144" s="37" t="s">
        <v>134</v>
      </c>
      <c r="E144" s="37" t="s">
        <v>29</v>
      </c>
      <c r="F144" s="37">
        <v>60</v>
      </c>
      <c r="G144" s="37">
        <v>5</v>
      </c>
      <c r="H144" s="37">
        <v>10</v>
      </c>
      <c r="I144" s="37">
        <f t="shared" si="64"/>
        <v>3000</v>
      </c>
      <c r="J144" s="38">
        <f t="shared" si="65"/>
        <v>3000</v>
      </c>
      <c r="K144" s="39">
        <f t="shared" si="66"/>
        <v>600</v>
      </c>
      <c r="L144" s="40"/>
      <c r="M144" s="40"/>
      <c r="N144" s="40"/>
      <c r="O144" s="40"/>
      <c r="P144" s="40"/>
      <c r="Q144" s="40"/>
      <c r="R144" s="40">
        <v>2400</v>
      </c>
      <c r="S144" s="40">
        <f t="shared" si="63"/>
        <v>2400</v>
      </c>
      <c r="T144" s="146">
        <f t="shared" si="67"/>
        <v>600</v>
      </c>
      <c r="U144" s="41"/>
    </row>
    <row r="145" spans="1:21">
      <c r="A145" s="36">
        <v>5</v>
      </c>
      <c r="B145" s="2" t="s">
        <v>30</v>
      </c>
      <c r="C145" s="7" t="s">
        <v>141</v>
      </c>
      <c r="D145" s="37" t="s">
        <v>142</v>
      </c>
      <c r="E145" s="37" t="s">
        <v>29</v>
      </c>
      <c r="F145" s="37">
        <v>3</v>
      </c>
      <c r="G145" s="37">
        <v>10</v>
      </c>
      <c r="H145" s="37">
        <v>40</v>
      </c>
      <c r="I145" s="37">
        <f t="shared" si="64"/>
        <v>1200</v>
      </c>
      <c r="J145" s="38">
        <f t="shared" si="65"/>
        <v>1200</v>
      </c>
      <c r="K145" s="39">
        <f t="shared" si="66"/>
        <v>240</v>
      </c>
      <c r="L145" s="40"/>
      <c r="M145" s="40"/>
      <c r="N145" s="40"/>
      <c r="O145" s="40"/>
      <c r="P145" s="40"/>
      <c r="Q145" s="40"/>
      <c r="R145" s="40">
        <v>960</v>
      </c>
      <c r="S145" s="40">
        <f t="shared" si="63"/>
        <v>960</v>
      </c>
      <c r="T145" s="146">
        <f t="shared" si="67"/>
        <v>240</v>
      </c>
      <c r="U145" s="41"/>
    </row>
    <row r="146" spans="1:21">
      <c r="A146" s="36">
        <v>3</v>
      </c>
      <c r="B146" s="28" t="s">
        <v>33</v>
      </c>
      <c r="C146" s="7" t="s">
        <v>141</v>
      </c>
      <c r="D146" s="37" t="s">
        <v>136</v>
      </c>
      <c r="E146" s="37" t="s">
        <v>26</v>
      </c>
      <c r="F146" s="37">
        <v>1</v>
      </c>
      <c r="G146" s="37">
        <v>20</v>
      </c>
      <c r="H146" s="37">
        <v>135</v>
      </c>
      <c r="I146" s="37">
        <f t="shared" si="64"/>
        <v>2700</v>
      </c>
      <c r="J146" s="38">
        <f t="shared" si="65"/>
        <v>2700</v>
      </c>
      <c r="K146" s="39">
        <f t="shared" si="66"/>
        <v>540</v>
      </c>
      <c r="L146" s="40"/>
      <c r="M146" s="40"/>
      <c r="N146" s="40"/>
      <c r="O146" s="40"/>
      <c r="P146" s="40"/>
      <c r="Q146" s="40"/>
      <c r="R146" s="40">
        <v>2160</v>
      </c>
      <c r="S146" s="40">
        <f t="shared" si="63"/>
        <v>2160</v>
      </c>
      <c r="T146" s="146">
        <f t="shared" si="67"/>
        <v>540</v>
      </c>
      <c r="U146" s="41"/>
    </row>
    <row r="147" spans="1:21">
      <c r="A147" s="36">
        <v>5</v>
      </c>
      <c r="B147" s="2" t="s">
        <v>30</v>
      </c>
      <c r="C147" s="7" t="s">
        <v>141</v>
      </c>
      <c r="D147" s="37" t="s">
        <v>109</v>
      </c>
      <c r="E147" s="37" t="s">
        <v>26</v>
      </c>
      <c r="F147" s="37">
        <v>1</v>
      </c>
      <c r="G147" s="37">
        <v>20</v>
      </c>
      <c r="H147" s="37">
        <v>50</v>
      </c>
      <c r="I147" s="37">
        <f t="shared" si="64"/>
        <v>1000</v>
      </c>
      <c r="J147" s="38">
        <f t="shared" si="65"/>
        <v>1000</v>
      </c>
      <c r="K147" s="39">
        <f t="shared" si="66"/>
        <v>200</v>
      </c>
      <c r="L147" s="40"/>
      <c r="M147" s="40"/>
      <c r="N147" s="40"/>
      <c r="O147" s="40"/>
      <c r="P147" s="40"/>
      <c r="Q147" s="40"/>
      <c r="R147" s="40">
        <v>868</v>
      </c>
      <c r="S147" s="40">
        <f t="shared" si="63"/>
        <v>868</v>
      </c>
      <c r="T147" s="146">
        <f t="shared" si="67"/>
        <v>132</v>
      </c>
      <c r="U147" s="41"/>
    </row>
    <row r="148" spans="1:21">
      <c r="A148" s="36">
        <v>4</v>
      </c>
      <c r="B148" s="2" t="s">
        <v>45</v>
      </c>
      <c r="C148" s="7" t="s">
        <v>141</v>
      </c>
      <c r="D148" s="37" t="s">
        <v>79</v>
      </c>
      <c r="E148" s="37" t="s">
        <v>29</v>
      </c>
      <c r="F148" s="37">
        <v>1</v>
      </c>
      <c r="G148" s="37">
        <v>5</v>
      </c>
      <c r="H148" s="37">
        <v>100</v>
      </c>
      <c r="I148" s="37">
        <f t="shared" si="64"/>
        <v>500</v>
      </c>
      <c r="J148" s="38">
        <f t="shared" si="65"/>
        <v>500</v>
      </c>
      <c r="K148" s="39">
        <f t="shared" si="66"/>
        <v>100</v>
      </c>
      <c r="L148" s="40"/>
      <c r="M148" s="40"/>
      <c r="N148" s="40"/>
      <c r="O148" s="40"/>
      <c r="P148" s="40"/>
      <c r="Q148" s="40"/>
      <c r="R148" s="40">
        <v>400</v>
      </c>
      <c r="S148" s="40">
        <f t="shared" si="63"/>
        <v>400</v>
      </c>
      <c r="T148" s="146">
        <f t="shared" si="67"/>
        <v>100</v>
      </c>
      <c r="U148" s="41"/>
    </row>
    <row r="149" spans="1:21">
      <c r="A149" s="36"/>
      <c r="B149" s="2" t="s">
        <v>143</v>
      </c>
      <c r="C149" s="7" t="s">
        <v>141</v>
      </c>
      <c r="D149" s="37" t="s">
        <v>144</v>
      </c>
      <c r="E149" s="37" t="s">
        <v>26</v>
      </c>
      <c r="F149" s="37">
        <v>4</v>
      </c>
      <c r="G149" s="37">
        <v>1</v>
      </c>
      <c r="H149" s="37">
        <v>9125</v>
      </c>
      <c r="I149" s="37">
        <f t="shared" si="64"/>
        <v>36500</v>
      </c>
      <c r="J149" s="38">
        <f t="shared" si="65"/>
        <v>36500</v>
      </c>
      <c r="K149" s="39"/>
      <c r="L149" s="40">
        <f t="shared" ref="L149:P149" si="68">SUM(L142:L148)</f>
        <v>0</v>
      </c>
      <c r="M149" s="40">
        <f t="shared" si="68"/>
        <v>0</v>
      </c>
      <c r="N149" s="40">
        <f t="shared" si="68"/>
        <v>0</v>
      </c>
      <c r="O149" s="40">
        <f t="shared" si="68"/>
        <v>0</v>
      </c>
      <c r="P149" s="40">
        <f t="shared" si="68"/>
        <v>0</v>
      </c>
      <c r="Q149" s="40"/>
      <c r="R149" s="40">
        <v>36500</v>
      </c>
      <c r="S149" s="40">
        <f t="shared" si="63"/>
        <v>36500</v>
      </c>
      <c r="T149" s="146">
        <f>J149-S149</f>
        <v>0</v>
      </c>
      <c r="U149" s="41"/>
    </row>
    <row r="150" spans="1:21">
      <c r="A150" s="36">
        <v>4</v>
      </c>
      <c r="B150" s="2" t="s">
        <v>45</v>
      </c>
      <c r="C150" s="7" t="s">
        <v>141</v>
      </c>
      <c r="D150" s="37" t="s">
        <v>46</v>
      </c>
      <c r="E150" s="37" t="s">
        <v>26</v>
      </c>
      <c r="F150" s="50">
        <v>1</v>
      </c>
      <c r="G150" s="49">
        <v>1</v>
      </c>
      <c r="H150" s="49">
        <v>1000</v>
      </c>
      <c r="I150" s="37">
        <f t="shared" si="64"/>
        <v>1000</v>
      </c>
      <c r="J150" s="38">
        <f t="shared" si="65"/>
        <v>1000</v>
      </c>
      <c r="K150" s="39">
        <f>I150</f>
        <v>1000</v>
      </c>
      <c r="L150" s="40"/>
      <c r="M150" s="40"/>
      <c r="N150" s="40"/>
      <c r="O150" s="40"/>
      <c r="P150" s="40"/>
      <c r="Q150" s="40"/>
      <c r="R150" s="40"/>
      <c r="S150" s="40">
        <f t="shared" si="63"/>
        <v>0</v>
      </c>
      <c r="T150" s="146">
        <f t="shared" ref="T150:T152" si="69">J150-L150-M150-N150</f>
        <v>1000</v>
      </c>
      <c r="U150" s="41"/>
    </row>
    <row r="151" spans="1:21">
      <c r="A151" s="36">
        <v>4</v>
      </c>
      <c r="B151" s="2" t="s">
        <v>45</v>
      </c>
      <c r="C151" s="7" t="s">
        <v>141</v>
      </c>
      <c r="D151" s="37" t="s">
        <v>47</v>
      </c>
      <c r="E151" s="37" t="s">
        <v>26</v>
      </c>
      <c r="F151" s="50">
        <v>1</v>
      </c>
      <c r="G151" s="49">
        <v>1</v>
      </c>
      <c r="H151" s="49">
        <v>1700</v>
      </c>
      <c r="I151" s="37">
        <f t="shared" si="64"/>
        <v>1700</v>
      </c>
      <c r="J151" s="38">
        <f t="shared" si="65"/>
        <v>1700</v>
      </c>
      <c r="K151" s="39">
        <f>I151</f>
        <v>1700</v>
      </c>
      <c r="L151" s="40"/>
      <c r="M151" s="40"/>
      <c r="N151" s="40"/>
      <c r="O151" s="40"/>
      <c r="P151" s="40"/>
      <c r="Q151" s="40"/>
      <c r="R151" s="40"/>
      <c r="S151" s="40">
        <f t="shared" si="63"/>
        <v>0</v>
      </c>
      <c r="T151" s="146">
        <f t="shared" si="69"/>
        <v>1700</v>
      </c>
      <c r="U151" s="41"/>
    </row>
    <row r="152" spans="1:21">
      <c r="A152" s="36">
        <v>4</v>
      </c>
      <c r="B152" s="2" t="s">
        <v>45</v>
      </c>
      <c r="C152" s="7" t="s">
        <v>141</v>
      </c>
      <c r="D152" s="37" t="s">
        <v>48</v>
      </c>
      <c r="E152" s="37" t="s">
        <v>26</v>
      </c>
      <c r="F152" s="50">
        <v>1</v>
      </c>
      <c r="G152" s="49">
        <v>1</v>
      </c>
      <c r="H152" s="49">
        <v>750</v>
      </c>
      <c r="I152" s="37">
        <f t="shared" si="64"/>
        <v>750</v>
      </c>
      <c r="J152" s="38">
        <f t="shared" si="65"/>
        <v>750</v>
      </c>
      <c r="K152" s="39">
        <f>I152</f>
        <v>750</v>
      </c>
      <c r="L152" s="40"/>
      <c r="M152" s="40"/>
      <c r="N152" s="40"/>
      <c r="O152" s="40"/>
      <c r="P152" s="40"/>
      <c r="Q152" s="40"/>
      <c r="R152" s="40"/>
      <c r="S152" s="40">
        <f t="shared" si="63"/>
        <v>0</v>
      </c>
      <c r="T152" s="146">
        <f t="shared" si="69"/>
        <v>750</v>
      </c>
      <c r="U152" s="41"/>
    </row>
    <row r="153" spans="1:21">
      <c r="A153" s="36"/>
      <c r="B153" s="28" t="s">
        <v>49</v>
      </c>
      <c r="C153" s="51" t="s">
        <v>145</v>
      </c>
      <c r="D153" s="52"/>
      <c r="E153" s="53"/>
      <c r="F153" s="53"/>
      <c r="G153" s="54"/>
      <c r="H153" s="54"/>
      <c r="I153" s="55">
        <f>SUM(I142:I152)</f>
        <v>55350</v>
      </c>
      <c r="J153" s="55">
        <f>SUM(J142:J152)</f>
        <v>55350</v>
      </c>
      <c r="K153" s="55">
        <f>SUM(K142:K152)</f>
        <v>6530</v>
      </c>
      <c r="L153" s="55">
        <f t="shared" ref="L153:Q153" si="70">SUM(L149:L152)</f>
        <v>0</v>
      </c>
      <c r="M153" s="55">
        <f t="shared" si="70"/>
        <v>0</v>
      </c>
      <c r="N153" s="55">
        <f t="shared" si="70"/>
        <v>0</v>
      </c>
      <c r="O153" s="55">
        <f t="shared" si="70"/>
        <v>0</v>
      </c>
      <c r="P153" s="55">
        <f t="shared" si="70"/>
        <v>0</v>
      </c>
      <c r="Q153" s="55">
        <f t="shared" si="70"/>
        <v>0</v>
      </c>
      <c r="R153" s="55">
        <f>SUM(R142:R152)</f>
        <v>48888</v>
      </c>
      <c r="S153" s="55">
        <f>SUM(S142:S152)</f>
        <v>48888</v>
      </c>
      <c r="T153" s="166">
        <f>SUM(T142:T152)</f>
        <v>6462</v>
      </c>
      <c r="U153" s="58">
        <v>21085</v>
      </c>
    </row>
    <row r="154" spans="1:21">
      <c r="A154" s="36"/>
      <c r="B154" s="28" t="s">
        <v>49</v>
      </c>
      <c r="C154" s="59" t="s">
        <v>146</v>
      </c>
      <c r="D154" s="338" t="s">
        <v>147</v>
      </c>
      <c r="E154" s="338"/>
      <c r="F154" s="338"/>
      <c r="G154" s="338"/>
      <c r="H154" s="338"/>
      <c r="I154" s="338"/>
      <c r="J154" s="338"/>
      <c r="K154" s="96"/>
      <c r="L154" s="97"/>
      <c r="M154" s="97"/>
      <c r="N154" s="97"/>
      <c r="O154" s="97"/>
      <c r="P154" s="97"/>
      <c r="Q154" s="97"/>
      <c r="R154" s="97"/>
      <c r="S154" s="97"/>
      <c r="T154" s="156"/>
      <c r="U154" s="98"/>
    </row>
    <row r="155" spans="1:21">
      <c r="A155" s="36">
        <v>2</v>
      </c>
      <c r="B155" s="2" t="s">
        <v>23</v>
      </c>
      <c r="C155" s="7" t="s">
        <v>148</v>
      </c>
      <c r="D155" s="37" t="s">
        <v>101</v>
      </c>
      <c r="E155" s="37" t="s">
        <v>26</v>
      </c>
      <c r="F155" s="37">
        <v>1</v>
      </c>
      <c r="G155" s="37">
        <v>1</v>
      </c>
      <c r="H155" s="37">
        <v>350</v>
      </c>
      <c r="I155" s="37">
        <f t="shared" ref="I155:I166" si="71">F155*G155*H155</f>
        <v>350</v>
      </c>
      <c r="J155" s="38">
        <f t="shared" ref="J155:J166" si="72">I155/$H$5</f>
        <v>350</v>
      </c>
      <c r="K155" s="39">
        <f>I155</f>
        <v>350</v>
      </c>
      <c r="L155" s="40"/>
      <c r="M155" s="40"/>
      <c r="N155" s="40"/>
      <c r="O155" s="40"/>
      <c r="P155" s="40"/>
      <c r="Q155" s="40"/>
      <c r="R155" s="40"/>
      <c r="S155" s="40">
        <f t="shared" ref="S155:S166" si="73">+L155+N155+M155+O155+P155+Q155+R155</f>
        <v>0</v>
      </c>
      <c r="T155" s="146">
        <f>K155-L155-M155-N155-O155-P155-Q155-R155</f>
        <v>350</v>
      </c>
      <c r="U155" s="41"/>
    </row>
    <row r="156" spans="1:21">
      <c r="A156" s="36">
        <v>2</v>
      </c>
      <c r="B156" s="2" t="s">
        <v>23</v>
      </c>
      <c r="C156" s="7" t="s">
        <v>148</v>
      </c>
      <c r="D156" s="37" t="s">
        <v>149</v>
      </c>
      <c r="E156" s="37" t="s">
        <v>29</v>
      </c>
      <c r="F156" s="37">
        <v>120</v>
      </c>
      <c r="G156" s="37">
        <v>1</v>
      </c>
      <c r="H156" s="37">
        <v>20</v>
      </c>
      <c r="I156" s="37">
        <f t="shared" si="71"/>
        <v>2400</v>
      </c>
      <c r="J156" s="38">
        <f t="shared" si="72"/>
        <v>2400</v>
      </c>
      <c r="K156" s="39">
        <f t="shared" ref="K156:K166" si="74">I156</f>
        <v>2400</v>
      </c>
      <c r="L156" s="40"/>
      <c r="M156" s="40"/>
      <c r="N156" s="40"/>
      <c r="O156" s="40"/>
      <c r="P156" s="40"/>
      <c r="Q156" s="40"/>
      <c r="R156" s="40"/>
      <c r="S156" s="40">
        <f t="shared" si="73"/>
        <v>0</v>
      </c>
      <c r="T156" s="146">
        <f t="shared" ref="T156:T166" si="75">K156-L156-M156-N156-O156-P156-Q156-R156</f>
        <v>2400</v>
      </c>
      <c r="U156" s="41"/>
    </row>
    <row r="157" spans="1:21">
      <c r="A157" s="36">
        <v>5</v>
      </c>
      <c r="B157" s="2" t="s">
        <v>30</v>
      </c>
      <c r="C157" s="7" t="s">
        <v>148</v>
      </c>
      <c r="D157" s="37" t="s">
        <v>150</v>
      </c>
      <c r="E157" s="37" t="s">
        <v>29</v>
      </c>
      <c r="F157" s="37">
        <v>50</v>
      </c>
      <c r="G157" s="37">
        <v>1</v>
      </c>
      <c r="H157" s="37">
        <v>20</v>
      </c>
      <c r="I157" s="37">
        <f t="shared" si="71"/>
        <v>1000</v>
      </c>
      <c r="J157" s="38">
        <f t="shared" si="72"/>
        <v>1000</v>
      </c>
      <c r="K157" s="39">
        <f t="shared" si="74"/>
        <v>1000</v>
      </c>
      <c r="L157" s="40"/>
      <c r="M157" s="40"/>
      <c r="N157" s="40"/>
      <c r="O157" s="40"/>
      <c r="P157" s="40"/>
      <c r="Q157" s="40"/>
      <c r="R157" s="40"/>
      <c r="S157" s="40">
        <f>+L157+N157+M157+O157+P157+Q157+R157</f>
        <v>0</v>
      </c>
      <c r="T157" s="146">
        <f t="shared" si="75"/>
        <v>1000</v>
      </c>
      <c r="U157" s="41"/>
    </row>
    <row r="158" spans="1:21">
      <c r="A158" s="36">
        <v>5</v>
      </c>
      <c r="B158" s="2" t="s">
        <v>30</v>
      </c>
      <c r="C158" s="7" t="s">
        <v>148</v>
      </c>
      <c r="D158" s="37" t="s">
        <v>151</v>
      </c>
      <c r="E158" s="37" t="s">
        <v>29</v>
      </c>
      <c r="F158" s="37">
        <v>50</v>
      </c>
      <c r="G158" s="37">
        <v>2</v>
      </c>
      <c r="H158" s="37">
        <v>40</v>
      </c>
      <c r="I158" s="37">
        <f t="shared" si="71"/>
        <v>4000</v>
      </c>
      <c r="J158" s="38">
        <f t="shared" si="72"/>
        <v>4000</v>
      </c>
      <c r="K158" s="39">
        <f t="shared" si="74"/>
        <v>4000</v>
      </c>
      <c r="L158" s="40"/>
      <c r="M158" s="40"/>
      <c r="N158" s="40"/>
      <c r="O158" s="40"/>
      <c r="P158" s="40"/>
      <c r="Q158" s="40"/>
      <c r="R158" s="40"/>
      <c r="S158" s="40">
        <f t="shared" si="73"/>
        <v>0</v>
      </c>
      <c r="T158" s="146">
        <f t="shared" si="75"/>
        <v>4000</v>
      </c>
      <c r="U158" s="41"/>
    </row>
    <row r="159" spans="1:21">
      <c r="A159" s="36">
        <v>5</v>
      </c>
      <c r="B159" s="2" t="s">
        <v>30</v>
      </c>
      <c r="C159" s="7" t="s">
        <v>148</v>
      </c>
      <c r="D159" s="37" t="s">
        <v>152</v>
      </c>
      <c r="E159" s="37" t="s">
        <v>29</v>
      </c>
      <c r="F159" s="37">
        <v>70</v>
      </c>
      <c r="G159" s="37">
        <v>1</v>
      </c>
      <c r="H159" s="37">
        <v>10</v>
      </c>
      <c r="I159" s="37">
        <f t="shared" si="71"/>
        <v>700</v>
      </c>
      <c r="J159" s="38">
        <f t="shared" si="72"/>
        <v>700</v>
      </c>
      <c r="K159" s="39">
        <f t="shared" si="74"/>
        <v>700</v>
      </c>
      <c r="L159" s="40"/>
      <c r="M159" s="40"/>
      <c r="N159" s="40"/>
      <c r="O159" s="40"/>
      <c r="P159" s="40"/>
      <c r="Q159" s="40"/>
      <c r="R159" s="40"/>
      <c r="S159" s="40">
        <f t="shared" si="73"/>
        <v>0</v>
      </c>
      <c r="T159" s="146">
        <f t="shared" si="75"/>
        <v>700</v>
      </c>
      <c r="U159" s="41"/>
    </row>
    <row r="160" spans="1:21">
      <c r="A160" s="36">
        <v>2</v>
      </c>
      <c r="B160" s="2" t="s">
        <v>23</v>
      </c>
      <c r="C160" s="7" t="s">
        <v>148</v>
      </c>
      <c r="D160" s="37" t="s">
        <v>56</v>
      </c>
      <c r="E160" s="37" t="s">
        <v>29</v>
      </c>
      <c r="F160" s="37">
        <v>120</v>
      </c>
      <c r="G160" s="37">
        <v>1</v>
      </c>
      <c r="H160" s="37">
        <v>5</v>
      </c>
      <c r="I160" s="37">
        <f t="shared" si="71"/>
        <v>600</v>
      </c>
      <c r="J160" s="38">
        <f t="shared" si="72"/>
        <v>600</v>
      </c>
      <c r="K160" s="39">
        <f t="shared" si="74"/>
        <v>600</v>
      </c>
      <c r="L160" s="40"/>
      <c r="M160" s="40"/>
      <c r="N160" s="40"/>
      <c r="O160" s="40"/>
      <c r="P160" s="40"/>
      <c r="Q160" s="40"/>
      <c r="R160" s="40"/>
      <c r="S160" s="40">
        <f t="shared" si="73"/>
        <v>0</v>
      </c>
      <c r="T160" s="146">
        <f t="shared" si="75"/>
        <v>600</v>
      </c>
      <c r="U160" s="41"/>
    </row>
    <row r="161" spans="1:21">
      <c r="A161" s="36">
        <v>5</v>
      </c>
      <c r="B161" s="2" t="s">
        <v>30</v>
      </c>
      <c r="C161" s="7" t="s">
        <v>148</v>
      </c>
      <c r="D161" s="37" t="s">
        <v>153</v>
      </c>
      <c r="E161" s="37" t="s">
        <v>29</v>
      </c>
      <c r="F161" s="37">
        <v>1</v>
      </c>
      <c r="G161" s="37">
        <v>1</v>
      </c>
      <c r="H161" s="37">
        <v>1200</v>
      </c>
      <c r="I161" s="37">
        <f t="shared" si="71"/>
        <v>1200</v>
      </c>
      <c r="J161" s="38">
        <f t="shared" si="72"/>
        <v>1200</v>
      </c>
      <c r="K161" s="39">
        <f t="shared" si="74"/>
        <v>1200</v>
      </c>
      <c r="L161" s="40"/>
      <c r="M161" s="40"/>
      <c r="N161" s="40"/>
      <c r="O161" s="40"/>
      <c r="P161" s="40"/>
      <c r="Q161" s="40"/>
      <c r="R161" s="40"/>
      <c r="S161" s="40">
        <f t="shared" si="73"/>
        <v>0</v>
      </c>
      <c r="T161" s="146">
        <f t="shared" si="75"/>
        <v>1200</v>
      </c>
      <c r="U161" s="41"/>
    </row>
    <row r="162" spans="1:21">
      <c r="A162" s="36">
        <v>5</v>
      </c>
      <c r="B162" s="2" t="s">
        <v>30</v>
      </c>
      <c r="C162" s="7" t="s">
        <v>148</v>
      </c>
      <c r="D162" s="37" t="s">
        <v>154</v>
      </c>
      <c r="E162" s="37" t="s">
        <v>29</v>
      </c>
      <c r="F162" s="37">
        <v>1</v>
      </c>
      <c r="G162" s="37">
        <v>2</v>
      </c>
      <c r="H162" s="49">
        <v>40</v>
      </c>
      <c r="I162" s="49">
        <f t="shared" si="71"/>
        <v>80</v>
      </c>
      <c r="J162" s="38">
        <f t="shared" si="72"/>
        <v>80</v>
      </c>
      <c r="K162" s="39">
        <f t="shared" si="74"/>
        <v>80</v>
      </c>
      <c r="L162" s="40"/>
      <c r="M162" s="40"/>
      <c r="N162" s="40"/>
      <c r="O162" s="40"/>
      <c r="P162" s="40"/>
      <c r="Q162" s="40"/>
      <c r="R162" s="40"/>
      <c r="S162" s="40">
        <f t="shared" si="73"/>
        <v>0</v>
      </c>
      <c r="T162" s="146">
        <f t="shared" si="75"/>
        <v>80</v>
      </c>
      <c r="U162" s="41"/>
    </row>
    <row r="163" spans="1:21">
      <c r="A163" s="36">
        <v>4</v>
      </c>
      <c r="B163" s="2" t="s">
        <v>45</v>
      </c>
      <c r="C163" s="7" t="s">
        <v>148</v>
      </c>
      <c r="D163" s="37" t="s">
        <v>46</v>
      </c>
      <c r="E163" s="37" t="s">
        <v>26</v>
      </c>
      <c r="F163" s="50">
        <v>1</v>
      </c>
      <c r="G163" s="49">
        <v>2</v>
      </c>
      <c r="H163" s="49">
        <v>1000</v>
      </c>
      <c r="I163" s="49">
        <f t="shared" si="71"/>
        <v>2000</v>
      </c>
      <c r="J163" s="38">
        <f t="shared" si="72"/>
        <v>2000</v>
      </c>
      <c r="K163" s="39">
        <f t="shared" si="74"/>
        <v>2000</v>
      </c>
      <c r="L163" s="40"/>
      <c r="M163" s="40"/>
      <c r="N163" s="40"/>
      <c r="O163" s="40"/>
      <c r="P163" s="40"/>
      <c r="Q163" s="40"/>
      <c r="R163" s="40"/>
      <c r="S163" s="40">
        <f t="shared" si="73"/>
        <v>0</v>
      </c>
      <c r="T163" s="146">
        <f t="shared" si="75"/>
        <v>2000</v>
      </c>
      <c r="U163" s="41"/>
    </row>
    <row r="164" spans="1:21">
      <c r="A164" s="36">
        <v>4</v>
      </c>
      <c r="B164" s="2" t="s">
        <v>45</v>
      </c>
      <c r="C164" s="7" t="s">
        <v>148</v>
      </c>
      <c r="D164" s="37" t="s">
        <v>47</v>
      </c>
      <c r="E164" s="37" t="s">
        <v>26</v>
      </c>
      <c r="F164" s="50">
        <v>1</v>
      </c>
      <c r="G164" s="49">
        <v>2</v>
      </c>
      <c r="H164" s="49">
        <v>1700</v>
      </c>
      <c r="I164" s="49">
        <f t="shared" si="71"/>
        <v>3400</v>
      </c>
      <c r="J164" s="38">
        <f t="shared" si="72"/>
        <v>3400</v>
      </c>
      <c r="K164" s="39">
        <f t="shared" si="74"/>
        <v>3400</v>
      </c>
      <c r="L164" s="40"/>
      <c r="M164" s="40"/>
      <c r="N164" s="40"/>
      <c r="O164" s="40"/>
      <c r="P164" s="40"/>
      <c r="Q164" s="40"/>
      <c r="R164" s="40"/>
      <c r="S164" s="40">
        <f t="shared" si="73"/>
        <v>0</v>
      </c>
      <c r="T164" s="146">
        <f t="shared" si="75"/>
        <v>3400</v>
      </c>
      <c r="U164" s="41"/>
    </row>
    <row r="165" spans="1:21">
      <c r="A165" s="36">
        <v>4</v>
      </c>
      <c r="B165" s="2" t="s">
        <v>45</v>
      </c>
      <c r="C165" s="7" t="s">
        <v>148</v>
      </c>
      <c r="D165" s="37" t="s">
        <v>48</v>
      </c>
      <c r="E165" s="37" t="s">
        <v>26</v>
      </c>
      <c r="F165" s="50">
        <v>1</v>
      </c>
      <c r="G165" s="49">
        <v>2</v>
      </c>
      <c r="H165" s="49">
        <v>750</v>
      </c>
      <c r="I165" s="49">
        <f t="shared" si="71"/>
        <v>1500</v>
      </c>
      <c r="J165" s="38">
        <f t="shared" si="72"/>
        <v>1500</v>
      </c>
      <c r="K165" s="39">
        <f t="shared" si="74"/>
        <v>1500</v>
      </c>
      <c r="L165" s="40"/>
      <c r="M165" s="40"/>
      <c r="N165" s="40"/>
      <c r="O165" s="40"/>
      <c r="P165" s="40"/>
      <c r="Q165" s="40"/>
      <c r="R165" s="40"/>
      <c r="S165" s="40">
        <f t="shared" si="73"/>
        <v>0</v>
      </c>
      <c r="T165" s="146">
        <f t="shared" si="75"/>
        <v>1500</v>
      </c>
      <c r="U165" s="41"/>
    </row>
    <row r="166" spans="1:21">
      <c r="A166" s="36">
        <v>2</v>
      </c>
      <c r="B166" s="2" t="s">
        <v>23</v>
      </c>
      <c r="C166" s="7" t="s">
        <v>148</v>
      </c>
      <c r="D166" s="49" t="s">
        <v>155</v>
      </c>
      <c r="E166" s="37" t="s">
        <v>26</v>
      </c>
      <c r="F166" s="50">
        <v>1</v>
      </c>
      <c r="G166" s="49">
        <v>1</v>
      </c>
      <c r="H166" s="49">
        <v>1000</v>
      </c>
      <c r="I166" s="49">
        <f t="shared" si="71"/>
        <v>1000</v>
      </c>
      <c r="J166" s="38">
        <f t="shared" si="72"/>
        <v>1000</v>
      </c>
      <c r="K166" s="39">
        <f t="shared" si="74"/>
        <v>1000</v>
      </c>
      <c r="L166" s="40"/>
      <c r="M166" s="40"/>
      <c r="N166" s="40"/>
      <c r="O166" s="40"/>
      <c r="P166" s="40"/>
      <c r="Q166" s="40"/>
      <c r="R166" s="40"/>
      <c r="S166" s="40">
        <f t="shared" si="73"/>
        <v>0</v>
      </c>
      <c r="T166" s="146">
        <f t="shared" si="75"/>
        <v>1000</v>
      </c>
      <c r="U166" s="41"/>
    </row>
    <row r="167" spans="1:21">
      <c r="A167" s="36"/>
      <c r="B167" s="28" t="s">
        <v>49</v>
      </c>
      <c r="C167" s="51" t="s">
        <v>156</v>
      </c>
      <c r="D167" s="52"/>
      <c r="E167" s="53"/>
      <c r="F167" s="53"/>
      <c r="G167" s="54"/>
      <c r="H167" s="54"/>
      <c r="I167" s="55">
        <f>SUM(I155:I166)</f>
        <v>18230</v>
      </c>
      <c r="J167" s="55">
        <f>SUM(J155:J166)</f>
        <v>18230</v>
      </c>
      <c r="K167" s="55">
        <f>SUM(K155:K166)</f>
        <v>18230</v>
      </c>
      <c r="L167" s="55">
        <f t="shared" ref="L167:R167" si="76">SUM(L155:L166)</f>
        <v>0</v>
      </c>
      <c r="M167" s="55">
        <f t="shared" si="76"/>
        <v>0</v>
      </c>
      <c r="N167" s="55">
        <f t="shared" si="76"/>
        <v>0</v>
      </c>
      <c r="O167" s="55">
        <f t="shared" si="76"/>
        <v>0</v>
      </c>
      <c r="P167" s="55">
        <f t="shared" si="76"/>
        <v>0</v>
      </c>
      <c r="Q167" s="55">
        <f t="shared" si="76"/>
        <v>0</v>
      </c>
      <c r="R167" s="55">
        <f t="shared" si="76"/>
        <v>0</v>
      </c>
      <c r="S167" s="55">
        <f>SUM(S155:S166)</f>
        <v>0</v>
      </c>
      <c r="T167" s="166">
        <f>SUM(T155:T166)</f>
        <v>18230</v>
      </c>
      <c r="U167" s="170"/>
    </row>
    <row r="168" spans="1:21">
      <c r="A168" s="36"/>
      <c r="B168" s="28" t="s">
        <v>49</v>
      </c>
      <c r="C168" s="59" t="s">
        <v>157</v>
      </c>
      <c r="D168" s="338" t="s">
        <v>158</v>
      </c>
      <c r="E168" s="338"/>
      <c r="F168" s="338"/>
      <c r="G168" s="338"/>
      <c r="H168" s="338"/>
      <c r="I168" s="338"/>
      <c r="J168" s="338"/>
      <c r="K168" s="96"/>
      <c r="L168" s="97"/>
      <c r="M168" s="97"/>
      <c r="N168" s="97"/>
      <c r="O168" s="97"/>
      <c r="P168" s="97"/>
      <c r="Q168" s="97"/>
      <c r="R168" s="97"/>
      <c r="S168" s="97"/>
      <c r="T168" s="156"/>
      <c r="U168" s="98"/>
    </row>
    <row r="169" spans="1:21">
      <c r="A169" s="36">
        <v>2</v>
      </c>
      <c r="B169" s="2" t="s">
        <v>23</v>
      </c>
      <c r="C169" s="7" t="s">
        <v>159</v>
      </c>
      <c r="D169" s="37" t="s">
        <v>160</v>
      </c>
      <c r="E169" s="37" t="s">
        <v>26</v>
      </c>
      <c r="F169" s="37">
        <v>1</v>
      </c>
      <c r="G169" s="37">
        <v>1</v>
      </c>
      <c r="H169" s="37">
        <v>350</v>
      </c>
      <c r="I169" s="37">
        <f t="shared" ref="I169:I189" si="77">F169*G169*H169</f>
        <v>350</v>
      </c>
      <c r="J169" s="38">
        <f t="shared" ref="J169:J189" si="78">I169/$H$5</f>
        <v>350</v>
      </c>
      <c r="K169" s="39">
        <f>I169</f>
        <v>350</v>
      </c>
      <c r="L169" s="40"/>
      <c r="M169" s="40"/>
      <c r="N169" s="40"/>
      <c r="O169" s="40"/>
      <c r="P169" s="40"/>
      <c r="Q169" s="40"/>
      <c r="R169" s="40"/>
      <c r="S169" s="40">
        <f t="shared" ref="S169:S189" si="79">+L169+N169+M169+O169+P169+Q169+R169</f>
        <v>0</v>
      </c>
      <c r="T169" s="146">
        <f>J169-L169-M169-N169-O169-P169-Q169-R169</f>
        <v>350</v>
      </c>
      <c r="U169" s="41"/>
    </row>
    <row r="170" spans="1:21">
      <c r="A170" s="36">
        <v>2</v>
      </c>
      <c r="B170" s="2" t="s">
        <v>23</v>
      </c>
      <c r="C170" s="7" t="s">
        <v>159</v>
      </c>
      <c r="D170" s="37" t="s">
        <v>161</v>
      </c>
      <c r="E170" s="37" t="s">
        <v>29</v>
      </c>
      <c r="F170" s="37">
        <v>100</v>
      </c>
      <c r="G170" s="37">
        <v>1</v>
      </c>
      <c r="H170" s="37">
        <v>20</v>
      </c>
      <c r="I170" s="37">
        <f t="shared" si="77"/>
        <v>2000</v>
      </c>
      <c r="J170" s="38">
        <f t="shared" si="78"/>
        <v>2000</v>
      </c>
      <c r="K170" s="39">
        <f t="shared" ref="K170:K189" si="80">I170</f>
        <v>2000</v>
      </c>
      <c r="L170" s="40"/>
      <c r="M170" s="40"/>
      <c r="N170" s="40"/>
      <c r="O170" s="40"/>
      <c r="P170" s="40"/>
      <c r="Q170" s="40"/>
      <c r="R170" s="40"/>
      <c r="S170" s="40">
        <f t="shared" si="79"/>
        <v>0</v>
      </c>
      <c r="T170" s="146">
        <f t="shared" ref="T170:T189" si="81">J170-L170-M170-N170-O170-P170-Q170-R170</f>
        <v>2000</v>
      </c>
      <c r="U170" s="41"/>
    </row>
    <row r="171" spans="1:21">
      <c r="A171" s="36">
        <v>5</v>
      </c>
      <c r="B171" s="2" t="s">
        <v>30</v>
      </c>
      <c r="C171" s="7" t="s">
        <v>159</v>
      </c>
      <c r="D171" s="37" t="s">
        <v>162</v>
      </c>
      <c r="E171" s="37" t="s">
        <v>29</v>
      </c>
      <c r="F171" s="37">
        <v>30</v>
      </c>
      <c r="G171" s="37">
        <v>1</v>
      </c>
      <c r="H171" s="37">
        <v>20</v>
      </c>
      <c r="I171" s="37">
        <f t="shared" si="77"/>
        <v>600</v>
      </c>
      <c r="J171" s="38">
        <f t="shared" si="78"/>
        <v>600</v>
      </c>
      <c r="K171" s="39">
        <f t="shared" si="80"/>
        <v>600</v>
      </c>
      <c r="L171" s="40"/>
      <c r="M171" s="40"/>
      <c r="N171" s="40"/>
      <c r="O171" s="40"/>
      <c r="P171" s="40"/>
      <c r="Q171" s="40"/>
      <c r="R171" s="40"/>
      <c r="S171" s="40">
        <f t="shared" si="79"/>
        <v>0</v>
      </c>
      <c r="T171" s="146">
        <f t="shared" si="81"/>
        <v>600</v>
      </c>
      <c r="U171" s="41"/>
    </row>
    <row r="172" spans="1:21">
      <c r="A172" s="36">
        <v>5</v>
      </c>
      <c r="B172" s="2" t="s">
        <v>30</v>
      </c>
      <c r="C172" s="7" t="s">
        <v>159</v>
      </c>
      <c r="D172" s="37" t="s">
        <v>163</v>
      </c>
      <c r="E172" s="37" t="s">
        <v>29</v>
      </c>
      <c r="F172" s="37">
        <v>30</v>
      </c>
      <c r="G172" s="37">
        <v>2</v>
      </c>
      <c r="H172" s="37">
        <v>40</v>
      </c>
      <c r="I172" s="37">
        <f t="shared" si="77"/>
        <v>2400</v>
      </c>
      <c r="J172" s="38">
        <f t="shared" si="78"/>
        <v>2400</v>
      </c>
      <c r="K172" s="39">
        <f t="shared" si="80"/>
        <v>2400</v>
      </c>
      <c r="L172" s="40"/>
      <c r="M172" s="40"/>
      <c r="N172" s="40"/>
      <c r="O172" s="40"/>
      <c r="P172" s="40"/>
      <c r="Q172" s="40"/>
      <c r="R172" s="40"/>
      <c r="S172" s="40">
        <f t="shared" si="79"/>
        <v>0</v>
      </c>
      <c r="T172" s="146">
        <f t="shared" si="81"/>
        <v>2400</v>
      </c>
      <c r="U172" s="41"/>
    </row>
    <row r="173" spans="1:21">
      <c r="A173" s="36">
        <v>5</v>
      </c>
      <c r="B173" s="2" t="s">
        <v>30</v>
      </c>
      <c r="C173" s="7" t="s">
        <v>159</v>
      </c>
      <c r="D173" s="37" t="s">
        <v>164</v>
      </c>
      <c r="E173" s="37" t="s">
        <v>29</v>
      </c>
      <c r="F173" s="37">
        <v>60</v>
      </c>
      <c r="G173" s="37">
        <v>1</v>
      </c>
      <c r="H173" s="37">
        <v>10</v>
      </c>
      <c r="I173" s="37">
        <f t="shared" si="77"/>
        <v>600</v>
      </c>
      <c r="J173" s="38">
        <f t="shared" si="78"/>
        <v>600</v>
      </c>
      <c r="K173" s="39">
        <f t="shared" si="80"/>
        <v>600</v>
      </c>
      <c r="L173" s="40"/>
      <c r="M173" s="40"/>
      <c r="N173" s="40"/>
      <c r="O173" s="40"/>
      <c r="P173" s="40"/>
      <c r="Q173" s="40"/>
      <c r="R173" s="40"/>
      <c r="S173" s="40">
        <f t="shared" si="79"/>
        <v>0</v>
      </c>
      <c r="T173" s="146">
        <f t="shared" si="81"/>
        <v>600</v>
      </c>
      <c r="U173" s="41"/>
    </row>
    <row r="174" spans="1:21">
      <c r="A174" s="36">
        <v>5</v>
      </c>
      <c r="B174" s="2" t="s">
        <v>30</v>
      </c>
      <c r="C174" s="7" t="s">
        <v>159</v>
      </c>
      <c r="D174" s="37" t="s">
        <v>165</v>
      </c>
      <c r="E174" s="37" t="s">
        <v>29</v>
      </c>
      <c r="F174" s="37">
        <v>4</v>
      </c>
      <c r="G174" s="37">
        <v>1</v>
      </c>
      <c r="H174" s="37">
        <v>1000</v>
      </c>
      <c r="I174" s="37">
        <f t="shared" si="77"/>
        <v>4000</v>
      </c>
      <c r="J174" s="38">
        <f t="shared" si="78"/>
        <v>4000</v>
      </c>
      <c r="K174" s="39">
        <f t="shared" si="80"/>
        <v>4000</v>
      </c>
      <c r="L174" s="40"/>
      <c r="M174" s="40"/>
      <c r="N174" s="40"/>
      <c r="O174" s="40"/>
      <c r="P174" s="40"/>
      <c r="Q174" s="40"/>
      <c r="R174" s="40"/>
      <c r="S174" s="40">
        <f t="shared" si="79"/>
        <v>0</v>
      </c>
      <c r="T174" s="146">
        <f t="shared" si="81"/>
        <v>4000</v>
      </c>
      <c r="U174" s="41"/>
    </row>
    <row r="175" spans="1:21">
      <c r="A175" s="36">
        <v>5</v>
      </c>
      <c r="B175" s="2" t="s">
        <v>30</v>
      </c>
      <c r="C175" s="7" t="s">
        <v>159</v>
      </c>
      <c r="D175" s="37" t="s">
        <v>166</v>
      </c>
      <c r="E175" s="37" t="s">
        <v>29</v>
      </c>
      <c r="F175" s="37">
        <v>4</v>
      </c>
      <c r="G175" s="37">
        <v>4</v>
      </c>
      <c r="H175" s="37">
        <v>200</v>
      </c>
      <c r="I175" s="37">
        <f t="shared" si="77"/>
        <v>3200</v>
      </c>
      <c r="J175" s="38">
        <f t="shared" si="78"/>
        <v>3200</v>
      </c>
      <c r="K175" s="39">
        <f t="shared" si="80"/>
        <v>3200</v>
      </c>
      <c r="L175" s="40"/>
      <c r="M175" s="40"/>
      <c r="N175" s="40"/>
      <c r="O175" s="40"/>
      <c r="P175" s="40"/>
      <c r="Q175" s="40"/>
      <c r="R175" s="40"/>
      <c r="S175" s="40">
        <f t="shared" si="79"/>
        <v>0</v>
      </c>
      <c r="T175" s="146">
        <f t="shared" si="81"/>
        <v>3200</v>
      </c>
      <c r="U175" s="41"/>
    </row>
    <row r="176" spans="1:21">
      <c r="A176" s="36">
        <v>5</v>
      </c>
      <c r="B176" s="2" t="s">
        <v>30</v>
      </c>
      <c r="C176" s="7" t="s">
        <v>159</v>
      </c>
      <c r="D176" s="37" t="s">
        <v>154</v>
      </c>
      <c r="E176" s="37" t="s">
        <v>29</v>
      </c>
      <c r="F176" s="37">
        <v>4</v>
      </c>
      <c r="G176" s="37">
        <v>2</v>
      </c>
      <c r="H176" s="37">
        <v>40</v>
      </c>
      <c r="I176" s="37">
        <f t="shared" si="77"/>
        <v>320</v>
      </c>
      <c r="J176" s="38">
        <f t="shared" si="78"/>
        <v>320</v>
      </c>
      <c r="K176" s="39">
        <f t="shared" si="80"/>
        <v>320</v>
      </c>
      <c r="L176" s="40"/>
      <c r="M176" s="40"/>
      <c r="N176" s="40"/>
      <c r="O176" s="40"/>
      <c r="P176" s="40"/>
      <c r="Q176" s="40"/>
      <c r="R176" s="40"/>
      <c r="S176" s="40">
        <f t="shared" si="79"/>
        <v>0</v>
      </c>
      <c r="T176" s="146">
        <f t="shared" si="81"/>
        <v>320</v>
      </c>
      <c r="U176" s="41"/>
    </row>
    <row r="177" spans="1:236">
      <c r="A177" s="36">
        <v>2</v>
      </c>
      <c r="B177" s="2" t="s">
        <v>23</v>
      </c>
      <c r="C177" s="7" t="s">
        <v>159</v>
      </c>
      <c r="D177" s="37" t="s">
        <v>167</v>
      </c>
      <c r="E177" s="37" t="s">
        <v>29</v>
      </c>
      <c r="F177" s="37">
        <v>100</v>
      </c>
      <c r="G177" s="37">
        <v>2</v>
      </c>
      <c r="H177" s="37">
        <v>5</v>
      </c>
      <c r="I177" s="37">
        <f t="shared" si="77"/>
        <v>1000</v>
      </c>
      <c r="J177" s="38">
        <f t="shared" si="78"/>
        <v>1000</v>
      </c>
      <c r="K177" s="39">
        <f t="shared" si="80"/>
        <v>1000</v>
      </c>
      <c r="L177" s="40"/>
      <c r="M177" s="40"/>
      <c r="N177" s="40"/>
      <c r="O177" s="40"/>
      <c r="P177" s="40"/>
      <c r="Q177" s="40"/>
      <c r="R177" s="40"/>
      <c r="S177" s="40">
        <f t="shared" si="79"/>
        <v>0</v>
      </c>
      <c r="T177" s="146">
        <f t="shared" si="81"/>
        <v>1000</v>
      </c>
      <c r="U177" s="41"/>
    </row>
    <row r="178" spans="1:236">
      <c r="A178" s="36">
        <v>4</v>
      </c>
      <c r="B178" s="2" t="s">
        <v>45</v>
      </c>
      <c r="C178" s="7" t="s">
        <v>159</v>
      </c>
      <c r="D178" s="37" t="s">
        <v>168</v>
      </c>
      <c r="E178" s="37" t="s">
        <v>26</v>
      </c>
      <c r="F178" s="37">
        <v>1</v>
      </c>
      <c r="G178" s="37">
        <v>1</v>
      </c>
      <c r="H178" s="37">
        <v>2000</v>
      </c>
      <c r="I178" s="37">
        <f t="shared" si="77"/>
        <v>2000</v>
      </c>
      <c r="J178" s="38">
        <f t="shared" si="78"/>
        <v>2000</v>
      </c>
      <c r="K178" s="39">
        <f t="shared" si="80"/>
        <v>2000</v>
      </c>
      <c r="L178" s="40"/>
      <c r="M178" s="40"/>
      <c r="N178" s="40"/>
      <c r="O178" s="40"/>
      <c r="P178" s="40"/>
      <c r="Q178" s="40"/>
      <c r="R178" s="40"/>
      <c r="S178" s="40">
        <f t="shared" si="79"/>
        <v>0</v>
      </c>
      <c r="T178" s="146">
        <f t="shared" si="81"/>
        <v>2000</v>
      </c>
      <c r="U178" s="41"/>
    </row>
    <row r="179" spans="1:236">
      <c r="A179" s="36">
        <v>2</v>
      </c>
      <c r="B179" s="2" t="s">
        <v>23</v>
      </c>
      <c r="C179" s="7" t="s">
        <v>159</v>
      </c>
      <c r="D179" s="37" t="s">
        <v>169</v>
      </c>
      <c r="E179" s="37" t="s">
        <v>26</v>
      </c>
      <c r="F179" s="37">
        <v>1</v>
      </c>
      <c r="G179" s="37">
        <v>1</v>
      </c>
      <c r="H179" s="37">
        <v>350</v>
      </c>
      <c r="I179" s="37">
        <f t="shared" si="77"/>
        <v>350</v>
      </c>
      <c r="J179" s="38">
        <f t="shared" si="78"/>
        <v>350</v>
      </c>
      <c r="K179" s="39">
        <f t="shared" si="80"/>
        <v>350</v>
      </c>
      <c r="L179" s="40"/>
      <c r="M179" s="40"/>
      <c r="N179" s="40"/>
      <c r="O179" s="40"/>
      <c r="P179" s="40"/>
      <c r="Q179" s="40"/>
      <c r="R179" s="40"/>
      <c r="S179" s="40">
        <f t="shared" si="79"/>
        <v>0</v>
      </c>
      <c r="T179" s="146">
        <f t="shared" si="81"/>
        <v>350</v>
      </c>
      <c r="U179" s="41"/>
    </row>
    <row r="180" spans="1:236">
      <c r="A180" s="36">
        <v>2</v>
      </c>
      <c r="B180" s="2" t="s">
        <v>23</v>
      </c>
      <c r="C180" s="7" t="s">
        <v>159</v>
      </c>
      <c r="D180" s="37" t="s">
        <v>170</v>
      </c>
      <c r="E180" s="37" t="s">
        <v>29</v>
      </c>
      <c r="F180" s="37">
        <v>120</v>
      </c>
      <c r="G180" s="37">
        <v>1</v>
      </c>
      <c r="H180" s="37">
        <v>20</v>
      </c>
      <c r="I180" s="37">
        <f t="shared" si="77"/>
        <v>2400</v>
      </c>
      <c r="J180" s="38">
        <f t="shared" si="78"/>
        <v>2400</v>
      </c>
      <c r="K180" s="39">
        <f t="shared" si="80"/>
        <v>2400</v>
      </c>
      <c r="L180" s="40"/>
      <c r="M180" s="40"/>
      <c r="N180" s="40"/>
      <c r="O180" s="40"/>
      <c r="P180" s="40"/>
      <c r="Q180" s="40"/>
      <c r="R180" s="40"/>
      <c r="S180" s="40">
        <f t="shared" si="79"/>
        <v>0</v>
      </c>
      <c r="T180" s="146">
        <f t="shared" si="81"/>
        <v>2400</v>
      </c>
      <c r="U180" s="41"/>
    </row>
    <row r="181" spans="1:236">
      <c r="A181" s="36">
        <v>5</v>
      </c>
      <c r="B181" s="2" t="s">
        <v>30</v>
      </c>
      <c r="C181" s="7" t="s">
        <v>159</v>
      </c>
      <c r="D181" s="37" t="s">
        <v>171</v>
      </c>
      <c r="E181" s="37" t="s">
        <v>29</v>
      </c>
      <c r="F181" s="37">
        <v>30</v>
      </c>
      <c r="G181" s="37">
        <v>1</v>
      </c>
      <c r="H181" s="37">
        <v>20</v>
      </c>
      <c r="I181" s="37">
        <f t="shared" si="77"/>
        <v>600</v>
      </c>
      <c r="J181" s="38">
        <f t="shared" si="78"/>
        <v>600</v>
      </c>
      <c r="K181" s="39">
        <f t="shared" si="80"/>
        <v>600</v>
      </c>
      <c r="L181" s="40"/>
      <c r="M181" s="40"/>
      <c r="N181" s="40"/>
      <c r="O181" s="40"/>
      <c r="P181" s="40"/>
      <c r="Q181" s="40"/>
      <c r="R181" s="40"/>
      <c r="S181" s="40">
        <f t="shared" si="79"/>
        <v>0</v>
      </c>
      <c r="T181" s="146">
        <f t="shared" si="81"/>
        <v>600</v>
      </c>
      <c r="U181" s="41"/>
    </row>
    <row r="182" spans="1:236">
      <c r="A182" s="36">
        <v>5</v>
      </c>
      <c r="B182" s="2" t="s">
        <v>30</v>
      </c>
      <c r="C182" s="7" t="s">
        <v>159</v>
      </c>
      <c r="D182" s="37" t="s">
        <v>172</v>
      </c>
      <c r="E182" s="37" t="s">
        <v>29</v>
      </c>
      <c r="F182" s="37">
        <v>3</v>
      </c>
      <c r="G182" s="37">
        <v>1</v>
      </c>
      <c r="H182" s="37">
        <v>1200</v>
      </c>
      <c r="I182" s="37">
        <f t="shared" si="77"/>
        <v>3600</v>
      </c>
      <c r="J182" s="38">
        <f t="shared" si="78"/>
        <v>3600</v>
      </c>
      <c r="K182" s="39">
        <f t="shared" si="80"/>
        <v>3600</v>
      </c>
      <c r="L182" s="40"/>
      <c r="M182" s="40"/>
      <c r="N182" s="40"/>
      <c r="O182" s="40"/>
      <c r="P182" s="40"/>
      <c r="Q182" s="40"/>
      <c r="R182" s="40"/>
      <c r="S182" s="40">
        <f t="shared" si="79"/>
        <v>0</v>
      </c>
      <c r="T182" s="146">
        <f t="shared" si="81"/>
        <v>3600</v>
      </c>
      <c r="U182" s="41"/>
    </row>
    <row r="183" spans="1:236">
      <c r="A183" s="36">
        <v>5</v>
      </c>
      <c r="B183" s="2" t="s">
        <v>30</v>
      </c>
      <c r="C183" s="7" t="s">
        <v>159</v>
      </c>
      <c r="D183" s="37" t="s">
        <v>173</v>
      </c>
      <c r="E183" s="37" t="s">
        <v>43</v>
      </c>
      <c r="F183" s="37">
        <v>3</v>
      </c>
      <c r="G183" s="37">
        <v>4</v>
      </c>
      <c r="H183" s="37">
        <v>200</v>
      </c>
      <c r="I183" s="37">
        <f t="shared" si="77"/>
        <v>2400</v>
      </c>
      <c r="J183" s="38">
        <f t="shared" si="78"/>
        <v>2400</v>
      </c>
      <c r="K183" s="39">
        <f t="shared" si="80"/>
        <v>2400</v>
      </c>
      <c r="L183" s="40"/>
      <c r="M183" s="40"/>
      <c r="N183" s="40"/>
      <c r="O183" s="40"/>
      <c r="P183" s="40"/>
      <c r="Q183" s="40"/>
      <c r="R183" s="40"/>
      <c r="S183" s="40">
        <f t="shared" si="79"/>
        <v>0</v>
      </c>
      <c r="T183" s="146">
        <f t="shared" si="81"/>
        <v>2400</v>
      </c>
      <c r="U183" s="41"/>
    </row>
    <row r="184" spans="1:236">
      <c r="A184" s="36">
        <v>5</v>
      </c>
      <c r="B184" s="2" t="s">
        <v>30</v>
      </c>
      <c r="C184" s="7" t="s">
        <v>159</v>
      </c>
      <c r="D184" s="37" t="s">
        <v>154</v>
      </c>
      <c r="E184" s="37" t="s">
        <v>29</v>
      </c>
      <c r="F184" s="37">
        <v>1</v>
      </c>
      <c r="G184" s="37">
        <v>6</v>
      </c>
      <c r="H184" s="37">
        <v>40</v>
      </c>
      <c r="I184" s="37">
        <f t="shared" si="77"/>
        <v>240</v>
      </c>
      <c r="J184" s="38">
        <f t="shared" si="78"/>
        <v>240</v>
      </c>
      <c r="K184" s="39">
        <f t="shared" si="80"/>
        <v>240</v>
      </c>
      <c r="L184" s="40"/>
      <c r="M184" s="40"/>
      <c r="N184" s="40"/>
      <c r="O184" s="40"/>
      <c r="P184" s="40"/>
      <c r="Q184" s="40"/>
      <c r="R184" s="40"/>
      <c r="S184" s="40">
        <f t="shared" si="79"/>
        <v>0</v>
      </c>
      <c r="T184" s="146">
        <f t="shared" si="81"/>
        <v>240</v>
      </c>
      <c r="U184" s="41"/>
    </row>
    <row r="185" spans="1:236">
      <c r="A185" s="36">
        <v>5</v>
      </c>
      <c r="B185" s="2" t="s">
        <v>30</v>
      </c>
      <c r="C185" s="7" t="s">
        <v>159</v>
      </c>
      <c r="D185" s="37" t="s">
        <v>153</v>
      </c>
      <c r="E185" s="37" t="s">
        <v>29</v>
      </c>
      <c r="F185" s="37">
        <v>1</v>
      </c>
      <c r="G185" s="37">
        <v>1</v>
      </c>
      <c r="H185" s="37">
        <v>1200</v>
      </c>
      <c r="I185" s="37">
        <f t="shared" si="77"/>
        <v>1200</v>
      </c>
      <c r="J185" s="38">
        <f t="shared" si="78"/>
        <v>1200</v>
      </c>
      <c r="K185" s="39">
        <f t="shared" si="80"/>
        <v>1200</v>
      </c>
      <c r="L185" s="40"/>
      <c r="M185" s="40"/>
      <c r="N185" s="40"/>
      <c r="O185" s="40"/>
      <c r="P185" s="40"/>
      <c r="Q185" s="40"/>
      <c r="R185" s="40"/>
      <c r="S185" s="40">
        <f t="shared" si="79"/>
        <v>0</v>
      </c>
      <c r="T185" s="146">
        <f t="shared" si="81"/>
        <v>1200</v>
      </c>
      <c r="U185" s="41"/>
    </row>
    <row r="186" spans="1:236">
      <c r="A186" s="36">
        <v>5</v>
      </c>
      <c r="B186" s="2" t="s">
        <v>30</v>
      </c>
      <c r="C186" s="7" t="s">
        <v>159</v>
      </c>
      <c r="D186" s="37" t="s">
        <v>154</v>
      </c>
      <c r="E186" s="37" t="s">
        <v>29</v>
      </c>
      <c r="F186" s="37">
        <v>1</v>
      </c>
      <c r="G186" s="37">
        <v>2</v>
      </c>
      <c r="H186" s="37">
        <v>40</v>
      </c>
      <c r="I186" s="37">
        <f t="shared" si="77"/>
        <v>80</v>
      </c>
      <c r="J186" s="38">
        <f t="shared" si="78"/>
        <v>80</v>
      </c>
      <c r="K186" s="39">
        <f t="shared" si="80"/>
        <v>80</v>
      </c>
      <c r="L186" s="40"/>
      <c r="M186" s="40"/>
      <c r="N186" s="40"/>
      <c r="O186" s="40"/>
      <c r="P186" s="40"/>
      <c r="Q186" s="40"/>
      <c r="R186" s="40"/>
      <c r="S186" s="40">
        <f t="shared" si="79"/>
        <v>0</v>
      </c>
      <c r="T186" s="146">
        <f t="shared" si="81"/>
        <v>80</v>
      </c>
      <c r="U186" s="41"/>
    </row>
    <row r="187" spans="1:236">
      <c r="A187" s="36">
        <v>4</v>
      </c>
      <c r="B187" s="2" t="s">
        <v>45</v>
      </c>
      <c r="C187" s="7" t="s">
        <v>159</v>
      </c>
      <c r="D187" s="37" t="s">
        <v>46</v>
      </c>
      <c r="E187" s="37" t="s">
        <v>26</v>
      </c>
      <c r="F187" s="50">
        <v>1</v>
      </c>
      <c r="G187" s="49">
        <v>1</v>
      </c>
      <c r="H187" s="49">
        <v>1000</v>
      </c>
      <c r="I187" s="37">
        <f t="shared" si="77"/>
        <v>1000</v>
      </c>
      <c r="J187" s="38">
        <f t="shared" si="78"/>
        <v>1000</v>
      </c>
      <c r="K187" s="39">
        <f t="shared" si="80"/>
        <v>1000</v>
      </c>
      <c r="L187" s="40"/>
      <c r="M187" s="40"/>
      <c r="N187" s="40"/>
      <c r="O187" s="40"/>
      <c r="P187" s="40"/>
      <c r="Q187" s="40"/>
      <c r="R187" s="40"/>
      <c r="S187" s="40">
        <f t="shared" si="79"/>
        <v>0</v>
      </c>
      <c r="T187" s="146">
        <f t="shared" si="81"/>
        <v>1000</v>
      </c>
      <c r="U187" s="41"/>
    </row>
    <row r="188" spans="1:236">
      <c r="A188" s="36">
        <v>4</v>
      </c>
      <c r="B188" s="2" t="s">
        <v>45</v>
      </c>
      <c r="C188" s="7" t="s">
        <v>159</v>
      </c>
      <c r="D188" s="37" t="s">
        <v>47</v>
      </c>
      <c r="E188" s="37" t="s">
        <v>26</v>
      </c>
      <c r="F188" s="50">
        <v>1</v>
      </c>
      <c r="G188" s="49">
        <v>1</v>
      </c>
      <c r="H188" s="49">
        <v>1700</v>
      </c>
      <c r="I188" s="37">
        <f t="shared" si="77"/>
        <v>1700</v>
      </c>
      <c r="J188" s="38">
        <f t="shared" si="78"/>
        <v>1700</v>
      </c>
      <c r="K188" s="39">
        <f t="shared" si="80"/>
        <v>1700</v>
      </c>
      <c r="L188" s="40"/>
      <c r="M188" s="40"/>
      <c r="N188" s="40"/>
      <c r="O188" s="40"/>
      <c r="P188" s="40"/>
      <c r="Q188" s="40"/>
      <c r="R188" s="40"/>
      <c r="S188" s="40">
        <f t="shared" si="79"/>
        <v>0</v>
      </c>
      <c r="T188" s="146">
        <f t="shared" si="81"/>
        <v>1700</v>
      </c>
      <c r="U188" s="41"/>
    </row>
    <row r="189" spans="1:236">
      <c r="A189" s="36">
        <v>4</v>
      </c>
      <c r="B189" s="2" t="s">
        <v>45</v>
      </c>
      <c r="C189" s="7" t="s">
        <v>159</v>
      </c>
      <c r="D189" s="37" t="s">
        <v>48</v>
      </c>
      <c r="E189" s="37" t="s">
        <v>26</v>
      </c>
      <c r="F189" s="50">
        <v>1</v>
      </c>
      <c r="G189" s="49">
        <v>1</v>
      </c>
      <c r="H189" s="49">
        <v>750</v>
      </c>
      <c r="I189" s="37">
        <f t="shared" si="77"/>
        <v>750</v>
      </c>
      <c r="J189" s="38">
        <f t="shared" si="78"/>
        <v>750</v>
      </c>
      <c r="K189" s="39">
        <f t="shared" si="80"/>
        <v>750</v>
      </c>
      <c r="L189" s="40"/>
      <c r="M189" s="40"/>
      <c r="N189" s="40"/>
      <c r="O189" s="40"/>
      <c r="P189" s="40"/>
      <c r="Q189" s="40"/>
      <c r="R189" s="40"/>
      <c r="S189" s="40">
        <f t="shared" si="79"/>
        <v>0</v>
      </c>
      <c r="T189" s="146">
        <f t="shared" si="81"/>
        <v>750</v>
      </c>
      <c r="U189" s="41"/>
    </row>
    <row r="190" spans="1:236">
      <c r="B190" s="28" t="s">
        <v>49</v>
      </c>
      <c r="C190" s="51" t="s">
        <v>174</v>
      </c>
      <c r="D190" s="52"/>
      <c r="E190" s="53"/>
      <c r="F190" s="53"/>
      <c r="G190" s="54"/>
      <c r="H190" s="54"/>
      <c r="I190" s="55">
        <f>SUM(I169:I189)</f>
        <v>30790</v>
      </c>
      <c r="J190" s="55">
        <f>SUM(J169:J189)</f>
        <v>30790</v>
      </c>
      <c r="K190" s="55">
        <f>SUM(K169:K189)</f>
        <v>30790</v>
      </c>
      <c r="L190" s="57">
        <f>SUM(L169:L189)</f>
        <v>0</v>
      </c>
      <c r="M190" s="57">
        <f>SUM(M169:M189)</f>
        <v>0</v>
      </c>
      <c r="N190" s="57">
        <f t="shared" ref="N190:R190" si="82">SUM(N169:N189)</f>
        <v>0</v>
      </c>
      <c r="O190" s="57">
        <f t="shared" si="82"/>
        <v>0</v>
      </c>
      <c r="P190" s="57">
        <f t="shared" si="82"/>
        <v>0</v>
      </c>
      <c r="Q190" s="57">
        <f t="shared" si="82"/>
        <v>0</v>
      </c>
      <c r="R190" s="57">
        <f t="shared" si="82"/>
        <v>0</v>
      </c>
      <c r="S190" s="57">
        <f>SUM(S169:S189)</f>
        <v>0</v>
      </c>
      <c r="T190" s="166">
        <f>SUM(T169:T189)</f>
        <v>30790</v>
      </c>
      <c r="U190" s="58"/>
    </row>
    <row r="191" spans="1:236" s="81" customFormat="1">
      <c r="A191" s="100"/>
      <c r="B191" s="79"/>
      <c r="C191" s="80" t="s">
        <v>175</v>
      </c>
      <c r="E191" s="82"/>
      <c r="F191" s="82"/>
      <c r="G191" s="83"/>
      <c r="H191" s="83"/>
      <c r="I191" s="101">
        <f>SUM(I190,I167,I153)</f>
        <v>104370</v>
      </c>
      <c r="J191" s="101">
        <f>SUM(J190,J167,J153)</f>
        <v>104370</v>
      </c>
      <c r="K191" s="101">
        <f>SUM(K190,K167,K153)</f>
        <v>55550</v>
      </c>
      <c r="L191" s="101">
        <f t="shared" ref="L191:S191" si="83">+L190+L153</f>
        <v>0</v>
      </c>
      <c r="M191" s="101">
        <f t="shared" si="83"/>
        <v>0</v>
      </c>
      <c r="N191" s="101">
        <f t="shared" si="83"/>
        <v>0</v>
      </c>
      <c r="O191" s="101">
        <f t="shared" si="83"/>
        <v>0</v>
      </c>
      <c r="P191" s="101">
        <f>+P190+P153</f>
        <v>0</v>
      </c>
      <c r="Q191" s="101">
        <f t="shared" ref="Q191:R191" si="84">+Q190+Q153</f>
        <v>0</v>
      </c>
      <c r="R191" s="101">
        <f t="shared" si="84"/>
        <v>48888</v>
      </c>
      <c r="S191" s="101">
        <f t="shared" si="83"/>
        <v>48888</v>
      </c>
      <c r="T191" s="101">
        <f>+T190+T153+T167</f>
        <v>55482</v>
      </c>
      <c r="U191" s="86"/>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c r="GQ191" s="2"/>
      <c r="GR191" s="2"/>
      <c r="GS191" s="2"/>
      <c r="GT191" s="2"/>
      <c r="GU191" s="2"/>
      <c r="GV191" s="2"/>
      <c r="GW191" s="2"/>
      <c r="GX191" s="2"/>
      <c r="GY191" s="2"/>
      <c r="GZ191" s="2"/>
      <c r="HA191" s="2"/>
      <c r="HB191" s="2"/>
      <c r="HC191" s="2"/>
      <c r="HD191" s="2"/>
      <c r="HE191" s="2"/>
      <c r="HF191" s="2"/>
      <c r="HG191" s="2"/>
      <c r="HH191" s="2"/>
      <c r="HI191" s="2"/>
      <c r="HJ191" s="2"/>
      <c r="HK191" s="2"/>
      <c r="HL191" s="2"/>
      <c r="HM191" s="2"/>
      <c r="HN191" s="2"/>
      <c r="HO191" s="2"/>
      <c r="HP191" s="2"/>
      <c r="HQ191" s="2"/>
      <c r="HR191" s="2"/>
      <c r="HS191" s="2"/>
      <c r="HT191" s="2"/>
      <c r="HU191" s="2"/>
      <c r="HV191" s="2"/>
      <c r="HW191" s="2"/>
      <c r="HX191" s="2"/>
      <c r="HY191" s="2"/>
      <c r="HZ191" s="2"/>
      <c r="IA191" s="2"/>
      <c r="IB191" s="2"/>
    </row>
    <row r="192" spans="1:236">
      <c r="B192" s="28" t="s">
        <v>49</v>
      </c>
      <c r="L192" s="102"/>
      <c r="M192" s="102"/>
      <c r="N192" s="102"/>
      <c r="O192" s="102"/>
      <c r="P192" s="102"/>
      <c r="Q192" s="102"/>
      <c r="R192" s="102"/>
      <c r="S192" s="102"/>
      <c r="T192" s="149"/>
      <c r="U192" s="103"/>
    </row>
    <row r="193" spans="1:236">
      <c r="B193" s="28" t="s">
        <v>49</v>
      </c>
      <c r="C193" s="73"/>
      <c r="D193" s="74" t="s">
        <v>176</v>
      </c>
      <c r="E193" s="75"/>
      <c r="F193" s="74"/>
      <c r="G193" s="74"/>
      <c r="H193" s="75"/>
      <c r="I193" s="75"/>
      <c r="J193" s="75"/>
      <c r="K193" s="76"/>
      <c r="L193" s="77"/>
      <c r="M193" s="77"/>
      <c r="N193" s="77"/>
      <c r="O193" s="77"/>
      <c r="P193" s="77"/>
      <c r="Q193" s="77"/>
      <c r="R193" s="77"/>
      <c r="S193" s="77"/>
      <c r="T193" s="154"/>
      <c r="U193" s="78"/>
    </row>
    <row r="194" spans="1:236">
      <c r="C194" s="104"/>
      <c r="D194" s="37" t="s">
        <v>46</v>
      </c>
      <c r="E194" s="37" t="s">
        <v>177</v>
      </c>
      <c r="F194" s="105">
        <v>1</v>
      </c>
      <c r="G194" s="37">
        <v>24</v>
      </c>
      <c r="H194" s="37">
        <v>500</v>
      </c>
      <c r="I194" s="37">
        <f>F194*G194*H194</f>
        <v>12000</v>
      </c>
      <c r="J194" s="38">
        <f>I194/$H$5</f>
        <v>12000</v>
      </c>
      <c r="K194" s="39">
        <f>J194</f>
        <v>12000</v>
      </c>
      <c r="L194" s="40"/>
      <c r="M194" s="40"/>
      <c r="N194" s="40"/>
      <c r="O194" s="40"/>
      <c r="P194" s="40"/>
      <c r="Q194" s="40"/>
      <c r="R194" s="40"/>
      <c r="S194" s="40">
        <f t="shared" ref="S194:S197" si="85">+L194+N194+M194+O194+P194+Q194+R194</f>
        <v>0</v>
      </c>
      <c r="T194" s="146">
        <f>K194-L194-M194-N194-O194-P194-Q194-R194</f>
        <v>12000</v>
      </c>
      <c r="U194" s="41"/>
    </row>
    <row r="195" spans="1:236">
      <c r="C195" s="104"/>
      <c r="D195" s="37" t="s">
        <v>47</v>
      </c>
      <c r="E195" s="37" t="s">
        <v>177</v>
      </c>
      <c r="F195" s="105">
        <v>1</v>
      </c>
      <c r="G195" s="37">
        <v>24</v>
      </c>
      <c r="H195" s="37">
        <f>850</f>
        <v>850</v>
      </c>
      <c r="I195" s="37">
        <f t="shared" ref="I195:I196" si="86">F195*G195*H195</f>
        <v>20400</v>
      </c>
      <c r="J195" s="38">
        <f t="shared" ref="J195:J196" si="87">I195/$H$5</f>
        <v>20400</v>
      </c>
      <c r="K195" s="39">
        <v>20400</v>
      </c>
      <c r="L195" s="40"/>
      <c r="M195" s="40"/>
      <c r="N195" s="40"/>
      <c r="O195" s="40"/>
      <c r="P195" s="40"/>
      <c r="Q195" s="40"/>
      <c r="R195" s="40"/>
      <c r="S195" s="40">
        <f t="shared" si="85"/>
        <v>0</v>
      </c>
      <c r="T195" s="146">
        <f>K195-L195-M195-N195</f>
        <v>20400</v>
      </c>
      <c r="U195" s="41"/>
    </row>
    <row r="196" spans="1:236">
      <c r="C196" s="104"/>
      <c r="D196" s="37" t="s">
        <v>48</v>
      </c>
      <c r="E196" s="37" t="s">
        <v>177</v>
      </c>
      <c r="F196" s="105">
        <v>0.75</v>
      </c>
      <c r="G196" s="37">
        <v>24</v>
      </c>
      <c r="H196" s="37">
        <f>500</f>
        <v>500</v>
      </c>
      <c r="I196" s="37">
        <f t="shared" si="86"/>
        <v>9000</v>
      </c>
      <c r="J196" s="38">
        <f t="shared" si="87"/>
        <v>9000</v>
      </c>
      <c r="K196" s="39">
        <v>9000</v>
      </c>
      <c r="L196" s="40"/>
      <c r="M196" s="40"/>
      <c r="N196" s="40"/>
      <c r="O196" s="40"/>
      <c r="P196" s="40"/>
      <c r="Q196" s="40"/>
      <c r="R196" s="40"/>
      <c r="S196" s="40">
        <f t="shared" si="85"/>
        <v>0</v>
      </c>
      <c r="T196" s="146">
        <f>K196-L196-M196-N196</f>
        <v>9000</v>
      </c>
      <c r="U196" s="41"/>
    </row>
    <row r="197" spans="1:236">
      <c r="C197" s="104"/>
      <c r="D197" s="49"/>
      <c r="E197" s="49"/>
      <c r="F197" s="106"/>
      <c r="G197" s="49"/>
      <c r="H197" s="49"/>
      <c r="I197" s="49"/>
      <c r="J197" s="38"/>
      <c r="K197" s="39"/>
      <c r="L197" s="40"/>
      <c r="M197" s="40"/>
      <c r="N197" s="40"/>
      <c r="O197" s="40"/>
      <c r="P197" s="40"/>
      <c r="Q197" s="40"/>
      <c r="R197" s="40"/>
      <c r="S197" s="40">
        <f t="shared" si="85"/>
        <v>0</v>
      </c>
      <c r="T197" s="146">
        <f>K197-L197-M197-N197</f>
        <v>0</v>
      </c>
      <c r="U197" s="41"/>
    </row>
    <row r="198" spans="1:236">
      <c r="B198" s="28" t="s">
        <v>49</v>
      </c>
      <c r="C198" s="107"/>
      <c r="D198" s="108" t="s">
        <v>178</v>
      </c>
      <c r="E198" s="108" t="s">
        <v>177</v>
      </c>
      <c r="F198" s="109">
        <v>1</v>
      </c>
      <c r="G198" s="109">
        <v>24</v>
      </c>
      <c r="H198" s="109">
        <v>5500</v>
      </c>
      <c r="I198" s="109">
        <f>SUM(I194:I197)</f>
        <v>41400</v>
      </c>
      <c r="J198" s="109">
        <f>SUM(J194:J197)</f>
        <v>41400</v>
      </c>
      <c r="K198" s="109">
        <f>SUM(K194:K197)</f>
        <v>41400</v>
      </c>
      <c r="L198" s="109">
        <f>SUM(L194:L197)</f>
        <v>0</v>
      </c>
      <c r="M198" s="109">
        <f>SUM(M194:M197)</f>
        <v>0</v>
      </c>
      <c r="N198" s="109">
        <f t="shared" ref="N198:S198" si="88">SUM(N194:N197)</f>
        <v>0</v>
      </c>
      <c r="O198" s="109">
        <f t="shared" si="88"/>
        <v>0</v>
      </c>
      <c r="P198" s="109">
        <f t="shared" si="88"/>
        <v>0</v>
      </c>
      <c r="Q198" s="109"/>
      <c r="R198" s="109"/>
      <c r="S198" s="109">
        <f t="shared" si="88"/>
        <v>0</v>
      </c>
      <c r="T198" s="109">
        <f>SUM(T194:T197)</f>
        <v>41400</v>
      </c>
      <c r="U198" s="171"/>
    </row>
    <row r="199" spans="1:236">
      <c r="B199" s="28" t="s">
        <v>49</v>
      </c>
      <c r="C199" s="80"/>
      <c r="D199" s="81"/>
      <c r="E199" s="82"/>
      <c r="F199" s="82"/>
      <c r="G199" s="83"/>
      <c r="H199" s="83"/>
      <c r="I199" s="84"/>
      <c r="J199" s="110"/>
      <c r="K199" s="85"/>
      <c r="L199" s="111"/>
      <c r="M199" s="111"/>
      <c r="N199" s="111"/>
      <c r="O199" s="111"/>
      <c r="P199" s="111"/>
      <c r="Q199" s="111"/>
      <c r="R199" s="111"/>
      <c r="S199" s="111"/>
      <c r="T199" s="147"/>
      <c r="U199" s="86"/>
    </row>
    <row r="200" spans="1:236">
      <c r="B200" s="28" t="s">
        <v>49</v>
      </c>
      <c r="C200" s="80" t="s">
        <v>179</v>
      </c>
      <c r="D200" s="81"/>
      <c r="E200" s="82"/>
      <c r="F200" s="82"/>
      <c r="G200" s="83"/>
      <c r="H200" s="83"/>
      <c r="I200" s="112"/>
      <c r="J200" s="113"/>
      <c r="K200" s="114"/>
      <c r="L200" s="115"/>
      <c r="M200" s="115"/>
      <c r="N200" s="115"/>
      <c r="O200" s="115"/>
      <c r="P200" s="115"/>
      <c r="Q200" s="115"/>
      <c r="R200" s="115"/>
      <c r="S200" s="115"/>
      <c r="T200" s="157"/>
      <c r="U200" s="116"/>
    </row>
    <row r="201" spans="1:236">
      <c r="B201" s="28" t="s">
        <v>49</v>
      </c>
      <c r="C201" s="104" t="s">
        <v>180</v>
      </c>
      <c r="D201" s="4"/>
      <c r="E201" s="4"/>
      <c r="F201" s="117"/>
      <c r="G201" s="117"/>
      <c r="H201" s="117"/>
      <c r="I201" s="117">
        <f>I198</f>
        <v>41400</v>
      </c>
      <c r="J201" s="117">
        <f>J198</f>
        <v>41400</v>
      </c>
      <c r="K201" s="117">
        <f>K198</f>
        <v>41400</v>
      </c>
      <c r="L201" s="40"/>
      <c r="M201" s="40"/>
      <c r="N201" s="40"/>
      <c r="O201" s="40"/>
      <c r="P201" s="40"/>
      <c r="Q201" s="40"/>
      <c r="R201" s="40"/>
      <c r="S201" s="40"/>
      <c r="T201" s="146">
        <f t="shared" ref="T201" si="89">J201-S201</f>
        <v>41400</v>
      </c>
      <c r="U201" s="41"/>
    </row>
    <row r="202" spans="1:236">
      <c r="B202" s="28" t="s">
        <v>49</v>
      </c>
      <c r="C202" s="80" t="s">
        <v>181</v>
      </c>
      <c r="D202" s="81"/>
      <c r="E202" s="82"/>
      <c r="F202" s="82"/>
      <c r="G202" s="83"/>
      <c r="H202" s="83"/>
      <c r="I202" s="84">
        <f>I197+I198</f>
        <v>41400</v>
      </c>
      <c r="J202" s="84">
        <f>+J198</f>
        <v>41400</v>
      </c>
      <c r="K202" s="84">
        <f>+K198</f>
        <v>41400</v>
      </c>
      <c r="L202" s="84">
        <f t="shared" ref="L202" si="90">+L198</f>
        <v>0</v>
      </c>
      <c r="M202" s="84">
        <f>+M198</f>
        <v>0</v>
      </c>
      <c r="N202" s="84">
        <f t="shared" ref="N202:S202" si="91">+N198</f>
        <v>0</v>
      </c>
      <c r="O202" s="84">
        <f t="shared" si="91"/>
        <v>0</v>
      </c>
      <c r="P202" s="84">
        <f t="shared" si="91"/>
        <v>0</v>
      </c>
      <c r="Q202" s="84">
        <f t="shared" si="91"/>
        <v>0</v>
      </c>
      <c r="R202" s="84"/>
      <c r="S202" s="84">
        <f t="shared" si="91"/>
        <v>0</v>
      </c>
      <c r="T202" s="84">
        <f>+T198</f>
        <v>41400</v>
      </c>
      <c r="U202" s="172"/>
    </row>
    <row r="203" spans="1:236">
      <c r="B203" s="28" t="s">
        <v>49</v>
      </c>
      <c r="C203" s="3"/>
      <c r="E203" s="4"/>
      <c r="F203" s="4"/>
      <c r="G203" s="117"/>
      <c r="H203" s="117"/>
      <c r="I203" s="118"/>
      <c r="J203" s="119"/>
      <c r="K203" s="120"/>
      <c r="L203" s="121"/>
      <c r="M203" s="121"/>
      <c r="N203" s="121"/>
      <c r="O203" s="121"/>
      <c r="P203" s="121"/>
      <c r="Q203" s="121"/>
      <c r="R203" s="121"/>
      <c r="S203" s="121"/>
      <c r="T203" s="158"/>
      <c r="U203" s="122"/>
    </row>
    <row r="204" spans="1:236">
      <c r="B204" s="28" t="s">
        <v>49</v>
      </c>
      <c r="C204" s="73"/>
      <c r="D204" s="74" t="s">
        <v>182</v>
      </c>
      <c r="E204" s="75"/>
      <c r="F204" s="74"/>
      <c r="G204" s="74"/>
      <c r="H204" s="75"/>
      <c r="I204" s="75"/>
      <c r="J204" s="75"/>
      <c r="K204" s="75"/>
      <c r="L204" s="123"/>
      <c r="M204" s="123"/>
      <c r="N204" s="123"/>
      <c r="O204" s="123"/>
      <c r="P204" s="123"/>
      <c r="Q204" s="123"/>
      <c r="R204" s="123"/>
      <c r="S204" s="123"/>
      <c r="T204" s="159"/>
      <c r="U204" s="124"/>
    </row>
    <row r="205" spans="1:236">
      <c r="B205" s="2" t="s">
        <v>45</v>
      </c>
      <c r="C205" s="104"/>
      <c r="D205" s="37" t="s">
        <v>183</v>
      </c>
      <c r="E205" s="37" t="s">
        <v>177</v>
      </c>
      <c r="F205" s="37">
        <v>1</v>
      </c>
      <c r="G205" s="37">
        <v>1</v>
      </c>
      <c r="H205" s="37">
        <v>25000</v>
      </c>
      <c r="I205" s="125">
        <f t="shared" ref="I205" si="92">F205*G205*H205</f>
        <v>25000</v>
      </c>
      <c r="J205" s="38">
        <f>I205/$H$5</f>
        <v>25000</v>
      </c>
      <c r="K205" s="38">
        <v>25000</v>
      </c>
      <c r="L205" s="126"/>
      <c r="M205" s="126"/>
      <c r="N205" s="126"/>
      <c r="O205" s="126">
        <v>167.96</v>
      </c>
      <c r="P205" s="40">
        <v>296.37</v>
      </c>
      <c r="Q205" s="40">
        <v>266.55254268913018</v>
      </c>
      <c r="R205" s="40">
        <f>164.07+320.68+402.71</f>
        <v>887.46</v>
      </c>
      <c r="S205" s="40">
        <f>+L205+M205+N205+O205+P205+Q205+R205</f>
        <v>1618.3425426891304</v>
      </c>
      <c r="T205" s="146">
        <f>J205-S205</f>
        <v>23381.65745731087</v>
      </c>
      <c r="U205" s="127"/>
    </row>
    <row r="206" spans="1:236" ht="12" customHeight="1">
      <c r="B206" s="28" t="s">
        <v>49</v>
      </c>
      <c r="C206" s="80" t="s">
        <v>184</v>
      </c>
      <c r="D206" s="81"/>
      <c r="E206" s="82"/>
      <c r="F206" s="82"/>
      <c r="G206" s="83"/>
      <c r="H206" s="83"/>
      <c r="I206" s="84">
        <f t="shared" ref="I206:T206" si="93">SUM(I205:I205)</f>
        <v>25000</v>
      </c>
      <c r="J206" s="128">
        <f t="shared" si="93"/>
        <v>25000</v>
      </c>
      <c r="K206" s="128">
        <f t="shared" si="93"/>
        <v>25000</v>
      </c>
      <c r="L206" s="128">
        <f t="shared" si="93"/>
        <v>0</v>
      </c>
      <c r="M206" s="128">
        <f t="shared" si="93"/>
        <v>0</v>
      </c>
      <c r="N206" s="128">
        <f t="shared" si="93"/>
        <v>0</v>
      </c>
      <c r="O206" s="128">
        <f t="shared" si="93"/>
        <v>167.96</v>
      </c>
      <c r="P206" s="128">
        <f t="shared" si="93"/>
        <v>296.37</v>
      </c>
      <c r="Q206" s="128">
        <f t="shared" si="93"/>
        <v>266.55254268913018</v>
      </c>
      <c r="R206" s="128">
        <f t="shared" si="93"/>
        <v>887.46</v>
      </c>
      <c r="S206" s="128">
        <f t="shared" si="93"/>
        <v>1618.3425426891304</v>
      </c>
      <c r="T206" s="128">
        <f t="shared" si="93"/>
        <v>23381.65745731087</v>
      </c>
      <c r="U206" s="129"/>
    </row>
    <row r="207" spans="1:236" hidden="1">
      <c r="B207" s="28" t="s">
        <v>49</v>
      </c>
      <c r="C207" s="3"/>
      <c r="E207" s="4"/>
      <c r="F207" s="4"/>
      <c r="G207" s="117"/>
      <c r="H207" s="117"/>
      <c r="I207" s="118"/>
      <c r="J207" s="119"/>
      <c r="K207" s="119"/>
      <c r="L207" s="130"/>
      <c r="M207" s="130"/>
      <c r="N207" s="130"/>
      <c r="O207" s="130"/>
      <c r="P207" s="130"/>
      <c r="Q207" s="130"/>
      <c r="R207" s="130"/>
      <c r="S207" s="130"/>
      <c r="T207" s="161"/>
      <c r="U207" s="131"/>
    </row>
    <row r="208" spans="1:236" s="81" customFormat="1" hidden="1">
      <c r="A208" s="100"/>
      <c r="B208" s="79" t="s">
        <v>49</v>
      </c>
      <c r="C208" s="132" t="s">
        <v>185</v>
      </c>
      <c r="D208" s="110"/>
      <c r="E208" s="82"/>
      <c r="F208" s="110"/>
      <c r="G208" s="110"/>
      <c r="H208" s="82"/>
      <c r="I208" s="128">
        <f t="shared" ref="I208:U208" si="94">SUM(I206,I202,I191,I139,I70)</f>
        <v>409688</v>
      </c>
      <c r="J208" s="128">
        <f t="shared" si="94"/>
        <v>409688</v>
      </c>
      <c r="K208" s="128">
        <f t="shared" si="94"/>
        <v>174801</v>
      </c>
      <c r="L208" s="128">
        <f t="shared" si="94"/>
        <v>0</v>
      </c>
      <c r="M208" s="128">
        <f t="shared" si="94"/>
        <v>9925.9399999999987</v>
      </c>
      <c r="N208" s="128">
        <f t="shared" si="94"/>
        <v>15822.129999999997</v>
      </c>
      <c r="O208" s="128">
        <f t="shared" si="94"/>
        <v>63297.367889748311</v>
      </c>
      <c r="P208" s="128">
        <f t="shared" si="94"/>
        <v>56747.962032796633</v>
      </c>
      <c r="Q208" s="128">
        <f>SUM(Q206,Q202,Q191,Q139,Q70)</f>
        <v>27037.016857600509</v>
      </c>
      <c r="R208" s="128"/>
      <c r="S208" s="128">
        <f t="shared" si="94"/>
        <v>258200.06847091747</v>
      </c>
      <c r="T208" s="128">
        <f t="shared" si="94"/>
        <v>151487.93152908253</v>
      </c>
      <c r="U208" s="173">
        <f t="shared" si="94"/>
        <v>0</v>
      </c>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c r="GQ208" s="2"/>
      <c r="GR208" s="2"/>
      <c r="GS208" s="2"/>
      <c r="GT208" s="2"/>
      <c r="GU208" s="2"/>
      <c r="GV208" s="2"/>
      <c r="GW208" s="2"/>
      <c r="GX208" s="2"/>
      <c r="GY208" s="2"/>
      <c r="GZ208" s="2"/>
      <c r="HA208" s="2"/>
      <c r="HB208" s="2"/>
      <c r="HC208" s="2"/>
      <c r="HD208" s="2"/>
      <c r="HE208" s="2"/>
      <c r="HF208" s="2"/>
      <c r="HG208" s="2"/>
      <c r="HH208" s="2"/>
      <c r="HI208" s="2"/>
      <c r="HJ208" s="2"/>
      <c r="HK208" s="2"/>
      <c r="HL208" s="2"/>
      <c r="HM208" s="2"/>
      <c r="HN208" s="2"/>
      <c r="HO208" s="2"/>
      <c r="HP208" s="2"/>
      <c r="HQ208" s="2"/>
      <c r="HR208" s="2"/>
      <c r="HS208" s="2"/>
      <c r="HT208" s="2"/>
      <c r="HU208" s="2"/>
      <c r="HV208" s="2"/>
      <c r="HW208" s="2"/>
      <c r="HX208" s="2"/>
      <c r="HY208" s="2"/>
      <c r="HZ208" s="2"/>
      <c r="IA208" s="2"/>
      <c r="IB208" s="2"/>
    </row>
    <row r="209" spans="1:236">
      <c r="B209" s="28" t="s">
        <v>49</v>
      </c>
      <c r="C209" s="104"/>
      <c r="D209" s="119"/>
      <c r="E209" s="4"/>
      <c r="F209" s="119"/>
      <c r="G209" s="119"/>
      <c r="H209" s="4"/>
      <c r="I209" s="4"/>
      <c r="J209" s="4"/>
      <c r="K209" s="4"/>
      <c r="L209" s="133"/>
      <c r="M209" s="133"/>
      <c r="N209" s="133"/>
      <c r="O209" s="133"/>
      <c r="P209" s="133"/>
      <c r="Q209" s="133"/>
      <c r="R209" s="133"/>
      <c r="S209" s="133"/>
      <c r="T209" s="162"/>
      <c r="U209" s="134"/>
    </row>
    <row r="210" spans="1:236">
      <c r="B210" s="28" t="s">
        <v>49</v>
      </c>
      <c r="C210" s="73" t="s">
        <v>186</v>
      </c>
      <c r="D210" s="74"/>
      <c r="E210" s="75"/>
      <c r="F210" s="74"/>
      <c r="G210" s="74"/>
      <c r="H210" s="75"/>
      <c r="I210" s="75"/>
      <c r="J210" s="75"/>
      <c r="K210" s="75"/>
      <c r="L210" s="123"/>
      <c r="M210" s="123"/>
      <c r="N210" s="123"/>
      <c r="O210" s="123"/>
      <c r="P210" s="123"/>
      <c r="Q210" s="123"/>
      <c r="R210" s="123"/>
      <c r="S210" s="123"/>
      <c r="T210" s="159"/>
      <c r="U210" s="124"/>
    </row>
    <row r="211" spans="1:236">
      <c r="A211" s="36">
        <v>1</v>
      </c>
      <c r="B211" s="2" t="s">
        <v>187</v>
      </c>
      <c r="C211" s="3"/>
      <c r="D211" s="37" t="s">
        <v>188</v>
      </c>
      <c r="E211" s="37" t="s">
        <v>177</v>
      </c>
      <c r="F211" s="105">
        <v>0.42</v>
      </c>
      <c r="G211" s="37">
        <v>24</v>
      </c>
      <c r="H211" s="37">
        <f>5000</f>
        <v>5000</v>
      </c>
      <c r="I211" s="37">
        <f>F211*G211*H211</f>
        <v>50400</v>
      </c>
      <c r="J211" s="38">
        <f>I211/$H$5</f>
        <v>50400</v>
      </c>
      <c r="K211" s="38">
        <f>J211/2</f>
        <v>25200</v>
      </c>
      <c r="L211" s="126"/>
      <c r="M211" s="126">
        <v>4000</v>
      </c>
      <c r="N211" s="126">
        <v>5000</v>
      </c>
      <c r="O211" s="126">
        <v>6000</v>
      </c>
      <c r="P211" s="40">
        <v>3000</v>
      </c>
      <c r="Q211" s="40">
        <v>3500</v>
      </c>
      <c r="R211" s="40">
        <f>2000*3</f>
        <v>6000</v>
      </c>
      <c r="S211" s="40">
        <f>+L211+M211+N211+O211+P211+Q211+R211</f>
        <v>27500</v>
      </c>
      <c r="T211" s="146">
        <f>J211-S211</f>
        <v>22900</v>
      </c>
      <c r="U211" s="127"/>
    </row>
    <row r="212" spans="1:236">
      <c r="A212" s="36">
        <v>1</v>
      </c>
      <c r="B212" s="2" t="s">
        <v>187</v>
      </c>
      <c r="C212" s="3"/>
      <c r="D212" s="37" t="s">
        <v>189</v>
      </c>
      <c r="E212" s="37" t="s">
        <v>177</v>
      </c>
      <c r="F212" s="105">
        <v>0.61</v>
      </c>
      <c r="G212" s="37">
        <v>24</v>
      </c>
      <c r="H212" s="37">
        <v>500</v>
      </c>
      <c r="I212" s="135">
        <f t="shared" ref="I212" si="95">F212*G212*H212</f>
        <v>7320</v>
      </c>
      <c r="J212" s="38">
        <f t="shared" ref="J212:J215" si="96">I212/$H$5</f>
        <v>7320</v>
      </c>
      <c r="K212" s="38">
        <f>I212/2</f>
        <v>3660</v>
      </c>
      <c r="L212" s="126"/>
      <c r="M212" s="126">
        <v>998.15</v>
      </c>
      <c r="N212" s="126">
        <v>764.05</v>
      </c>
      <c r="O212" s="126">
        <v>445.69</v>
      </c>
      <c r="P212" s="40">
        <v>1765.4700000000003</v>
      </c>
      <c r="Q212" s="40">
        <f>1200.08+1199.49+1200.11</f>
        <v>3599.6799999999994</v>
      </c>
      <c r="R212" s="40"/>
      <c r="S212" s="40">
        <f>+L212+M212+N212+O212+P212+Q212+R212</f>
        <v>7573.0399999999991</v>
      </c>
      <c r="T212" s="146">
        <f t="shared" ref="T212:T215" si="97">J212-S212</f>
        <v>-253.03999999999905</v>
      </c>
      <c r="U212" s="127"/>
    </row>
    <row r="213" spans="1:236">
      <c r="A213" s="36">
        <v>1</v>
      </c>
      <c r="B213" s="2" t="s">
        <v>187</v>
      </c>
      <c r="C213" s="3"/>
      <c r="D213" s="37" t="s">
        <v>190</v>
      </c>
      <c r="E213" s="37" t="s">
        <v>177</v>
      </c>
      <c r="F213" s="105">
        <v>0.04</v>
      </c>
      <c r="G213" s="37">
        <v>24</v>
      </c>
      <c r="H213" s="37">
        <v>18000</v>
      </c>
      <c r="I213" s="135">
        <f>F213*G213*H213</f>
        <v>17280</v>
      </c>
      <c r="J213" s="38">
        <f t="shared" si="96"/>
        <v>17280</v>
      </c>
      <c r="K213" s="38">
        <f>J213/2</f>
        <v>8640</v>
      </c>
      <c r="L213" s="126"/>
      <c r="M213" s="126">
        <v>2160</v>
      </c>
      <c r="N213" s="126">
        <v>2160</v>
      </c>
      <c r="O213" s="126">
        <v>2160</v>
      </c>
      <c r="P213" s="40">
        <v>2160</v>
      </c>
      <c r="Q213" s="40">
        <v>2160</v>
      </c>
      <c r="R213" s="40">
        <f>720*3</f>
        <v>2160</v>
      </c>
      <c r="S213" s="40">
        <f t="shared" ref="S213:S215" si="98">+L213+M213+N213+O213+P213+Q213+R213</f>
        <v>12960</v>
      </c>
      <c r="T213" s="146">
        <f t="shared" si="97"/>
        <v>4320</v>
      </c>
      <c r="U213" s="127"/>
    </row>
    <row r="214" spans="1:236">
      <c r="A214" s="36">
        <v>1</v>
      </c>
      <c r="B214" s="2" t="s">
        <v>187</v>
      </c>
      <c r="C214" s="3"/>
      <c r="D214" s="37" t="s">
        <v>191</v>
      </c>
      <c r="E214" s="37" t="s">
        <v>177</v>
      </c>
      <c r="F214" s="105">
        <v>0.04</v>
      </c>
      <c r="G214" s="37">
        <v>24</v>
      </c>
      <c r="H214" s="37">
        <v>14082</v>
      </c>
      <c r="I214" s="135">
        <f t="shared" ref="I214:I215" si="99">F214*G214*H214</f>
        <v>13518.72</v>
      </c>
      <c r="J214" s="38">
        <f t="shared" si="96"/>
        <v>13518.72</v>
      </c>
      <c r="K214" s="38">
        <f>J214/2</f>
        <v>6759.36</v>
      </c>
      <c r="L214" s="126"/>
      <c r="M214" s="126">
        <v>1689.84</v>
      </c>
      <c r="N214" s="126">
        <v>1689.87</v>
      </c>
      <c r="O214" s="126">
        <v>1689.87</v>
      </c>
      <c r="P214" s="40">
        <v>1689.87</v>
      </c>
      <c r="Q214" s="40">
        <v>1689.87</v>
      </c>
      <c r="R214" s="40">
        <f>563.29*3</f>
        <v>1689.87</v>
      </c>
      <c r="S214" s="40">
        <f t="shared" si="98"/>
        <v>10139.189999999999</v>
      </c>
      <c r="T214" s="146">
        <f t="shared" si="97"/>
        <v>3379.5300000000007</v>
      </c>
      <c r="U214" s="127"/>
    </row>
    <row r="215" spans="1:236">
      <c r="A215" s="36">
        <v>1</v>
      </c>
      <c r="B215" s="2" t="s">
        <v>187</v>
      </c>
      <c r="C215" s="3"/>
      <c r="D215" s="37" t="s">
        <v>192</v>
      </c>
      <c r="E215" s="37" t="s">
        <v>177</v>
      </c>
      <c r="F215" s="105">
        <v>0.04</v>
      </c>
      <c r="G215" s="37">
        <v>24</v>
      </c>
      <c r="H215" s="37">
        <v>10920</v>
      </c>
      <c r="I215" s="135">
        <f t="shared" si="99"/>
        <v>10483.199999999999</v>
      </c>
      <c r="J215" s="38">
        <f t="shared" si="96"/>
        <v>10483.199999999999</v>
      </c>
      <c r="K215" s="38">
        <f>J215/2</f>
        <v>5241.5999999999995</v>
      </c>
      <c r="L215" s="126"/>
      <c r="M215" s="126">
        <v>1310.4000000000001</v>
      </c>
      <c r="N215" s="126">
        <v>1310.4000000000001</v>
      </c>
      <c r="O215" s="126">
        <v>1310.4000000000001</v>
      </c>
      <c r="P215" s="40">
        <v>1310.4000000000001</v>
      </c>
      <c r="Q215" s="40">
        <v>1310.4000000000001</v>
      </c>
      <c r="R215" s="40">
        <f>436.8*3</f>
        <v>1310.4000000000001</v>
      </c>
      <c r="S215" s="40">
        <f t="shared" si="98"/>
        <v>7862.4</v>
      </c>
      <c r="T215" s="146">
        <f t="shared" si="97"/>
        <v>2620.7999999999993</v>
      </c>
      <c r="U215" s="127"/>
    </row>
    <row r="216" spans="1:236" s="81" customFormat="1">
      <c r="A216" s="36"/>
      <c r="B216" s="79" t="s">
        <v>49</v>
      </c>
      <c r="C216" s="80" t="s">
        <v>193</v>
      </c>
      <c r="E216" s="82"/>
      <c r="F216" s="82"/>
      <c r="G216" s="83"/>
      <c r="H216" s="83"/>
      <c r="I216" s="84">
        <f>SUM(I211:I215)</f>
        <v>99001.919999999998</v>
      </c>
      <c r="J216" s="84">
        <f t="shared" ref="J216:L216" si="100">SUM(J211:J215)</f>
        <v>99001.919999999998</v>
      </c>
      <c r="K216" s="84">
        <f>SUM(K211:K215)</f>
        <v>49500.959999999999</v>
      </c>
      <c r="L216" s="84">
        <f t="shared" si="100"/>
        <v>0</v>
      </c>
      <c r="M216" s="84">
        <f>SUM(M211:M215)</f>
        <v>10158.39</v>
      </c>
      <c r="N216" s="84">
        <f t="shared" ref="N216:P216" si="101">SUM(N211:N215)</f>
        <v>10924.32</v>
      </c>
      <c r="O216" s="84">
        <f t="shared" si="101"/>
        <v>11605.959999999997</v>
      </c>
      <c r="P216" s="84">
        <f t="shared" si="101"/>
        <v>9925.74</v>
      </c>
      <c r="Q216" s="84">
        <f>SUM(Q211:Q215)</f>
        <v>12259.949999999999</v>
      </c>
      <c r="R216" s="84">
        <f>SUM(R211:R215)</f>
        <v>11160.269999999999</v>
      </c>
      <c r="S216" s="84">
        <f>SUM(S211:S215)</f>
        <v>66034.62999999999</v>
      </c>
      <c r="T216" s="160">
        <f>SUM(T211:T215)</f>
        <v>32967.289999999994</v>
      </c>
      <c r="U216" s="129"/>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c r="GQ216" s="2"/>
      <c r="GR216" s="2"/>
      <c r="GS216" s="2"/>
      <c r="GT216" s="2"/>
      <c r="GU216" s="2"/>
      <c r="GV216" s="2"/>
      <c r="GW216" s="2"/>
      <c r="GX216" s="2"/>
      <c r="GY216" s="2"/>
      <c r="GZ216" s="2"/>
      <c r="HA216" s="2"/>
      <c r="HB216" s="2"/>
      <c r="HC216" s="2"/>
      <c r="HD216" s="2"/>
      <c r="HE216" s="2"/>
      <c r="HF216" s="2"/>
      <c r="HG216" s="2"/>
      <c r="HH216" s="2"/>
      <c r="HI216" s="2"/>
      <c r="HJ216" s="2"/>
      <c r="HK216" s="2"/>
      <c r="HL216" s="2"/>
      <c r="HM216" s="2"/>
      <c r="HN216" s="2"/>
      <c r="HO216" s="2"/>
      <c r="HP216" s="2"/>
      <c r="HQ216" s="2"/>
      <c r="HR216" s="2"/>
      <c r="HS216" s="2"/>
      <c r="HT216" s="2"/>
      <c r="HU216" s="2"/>
      <c r="HV216" s="2"/>
      <c r="HW216" s="2"/>
      <c r="HX216" s="2"/>
      <c r="HY216" s="2"/>
      <c r="HZ216" s="2"/>
      <c r="IA216" s="2"/>
      <c r="IB216" s="2"/>
    </row>
    <row r="217" spans="1:236">
      <c r="A217" s="36"/>
      <c r="B217" s="28" t="s">
        <v>49</v>
      </c>
      <c r="C217" s="73" t="s">
        <v>194</v>
      </c>
      <c r="D217" s="74"/>
      <c r="E217" s="75"/>
      <c r="F217" s="74"/>
      <c r="G217" s="74"/>
      <c r="H217" s="75"/>
      <c r="I217" s="75"/>
      <c r="J217" s="75"/>
      <c r="K217" s="75"/>
      <c r="L217" s="123"/>
      <c r="M217" s="123"/>
      <c r="N217" s="123"/>
      <c r="O217" s="123"/>
      <c r="P217" s="123"/>
      <c r="Q217" s="123"/>
      <c r="R217" s="123"/>
      <c r="S217" s="123"/>
      <c r="T217" s="159"/>
      <c r="U217" s="124"/>
    </row>
    <row r="218" spans="1:236">
      <c r="A218" s="36">
        <v>7</v>
      </c>
      <c r="B218" s="2" t="s">
        <v>195</v>
      </c>
      <c r="C218" s="3"/>
      <c r="D218" s="37" t="s">
        <v>196</v>
      </c>
      <c r="E218" s="37" t="s">
        <v>177</v>
      </c>
      <c r="F218" s="105"/>
      <c r="G218" s="37">
        <v>24</v>
      </c>
      <c r="H218" s="37"/>
      <c r="I218" s="135">
        <f>(I216+I208)*0.07</f>
        <v>35608.294399999999</v>
      </c>
      <c r="J218" s="38">
        <f>(I216+I208)*0.07</f>
        <v>35608.294399999999</v>
      </c>
      <c r="K218" s="38">
        <f>J218/2</f>
        <v>17804.147199999999</v>
      </c>
      <c r="L218" s="126"/>
      <c r="M218" s="126">
        <v>1191.24</v>
      </c>
      <c r="N218" s="126">
        <v>714.36</v>
      </c>
      <c r="O218" s="126">
        <v>6391.65</v>
      </c>
      <c r="P218" s="126">
        <v>1252.0032146010199</v>
      </c>
      <c r="Q218" s="126">
        <f>479.82+53.31+59.23+3.03+105.13+3.07+370.06+1678.04+59.01+319.16+48.68+221.27+59.23+354.92+64.34+1167</f>
        <v>5045.3</v>
      </c>
      <c r="R218" s="126">
        <f>510.97+5.92+59.13+503.08+389+345.75+792.35+489.81+122.45+288.13+52.08+24.49+36.02+57.63+265.01+50.08+323.82+2.98+2.98+2.98+102.92+74.98+5.96+430.09+260.46+778</f>
        <v>5977.0699999999979</v>
      </c>
      <c r="S218" s="40">
        <f>+L218+M218+N218+O218+P218+Q218+R218</f>
        <v>20571.623214601015</v>
      </c>
      <c r="T218" s="146">
        <f>J218-S218</f>
        <v>15036.671185398984</v>
      </c>
      <c r="U218" s="127"/>
    </row>
    <row r="219" spans="1:236">
      <c r="A219" s="36"/>
      <c r="B219" s="28"/>
      <c r="C219" s="3"/>
      <c r="D219" s="4"/>
      <c r="E219" s="4"/>
      <c r="F219" s="117"/>
      <c r="G219" s="117"/>
      <c r="H219" s="117"/>
      <c r="I219" s="117"/>
      <c r="J219" s="38"/>
      <c r="K219" s="38"/>
      <c r="L219" s="126"/>
      <c r="M219" s="126"/>
      <c r="N219" s="126"/>
      <c r="O219" s="126"/>
      <c r="P219" s="126"/>
      <c r="Q219" s="126"/>
      <c r="R219" s="126"/>
      <c r="S219" s="126"/>
      <c r="T219" s="146"/>
      <c r="U219" s="127"/>
    </row>
    <row r="220" spans="1:236" s="81" customFormat="1">
      <c r="A220" s="100"/>
      <c r="B220" s="79" t="s">
        <v>49</v>
      </c>
      <c r="C220" s="80" t="s">
        <v>197</v>
      </c>
      <c r="E220" s="82"/>
      <c r="F220" s="82"/>
      <c r="G220" s="83"/>
      <c r="H220" s="83"/>
      <c r="I220" s="84">
        <f>J218</f>
        <v>35608.294399999999</v>
      </c>
      <c r="J220" s="84">
        <f>SUM(J218:J219)</f>
        <v>35608.294399999999</v>
      </c>
      <c r="K220" s="84">
        <f>SUM(K218:K219)</f>
        <v>17804.147199999999</v>
      </c>
      <c r="L220" s="84">
        <f t="shared" ref="L220:O220" si="102">SUM(L218:L219)</f>
        <v>0</v>
      </c>
      <c r="M220" s="84">
        <f t="shared" si="102"/>
        <v>1191.24</v>
      </c>
      <c r="N220" s="84">
        <f t="shared" si="102"/>
        <v>714.36</v>
      </c>
      <c r="O220" s="84">
        <f t="shared" si="102"/>
        <v>6391.65</v>
      </c>
      <c r="P220" s="84">
        <f>SUM(P218:P219)</f>
        <v>1252.0032146010199</v>
      </c>
      <c r="Q220" s="84">
        <f>SUM(Q218:Q219)</f>
        <v>5045.3</v>
      </c>
      <c r="R220" s="84">
        <f>SUM(R218:R219)</f>
        <v>5977.0699999999979</v>
      </c>
      <c r="S220" s="84">
        <f>SUM(S218:S219)</f>
        <v>20571.623214601015</v>
      </c>
      <c r="T220" s="160">
        <f>SUM(T218:T219)</f>
        <v>15036.671185398984</v>
      </c>
      <c r="U220" s="129"/>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c r="GQ220" s="2"/>
      <c r="GR220" s="2"/>
      <c r="GS220" s="2"/>
      <c r="GT220" s="2"/>
      <c r="GU220" s="2"/>
      <c r="GV220" s="2"/>
      <c r="GW220" s="2"/>
      <c r="GX220" s="2"/>
      <c r="GY220" s="2"/>
      <c r="GZ220" s="2"/>
      <c r="HA220" s="2"/>
      <c r="HB220" s="2"/>
      <c r="HC220" s="2"/>
      <c r="HD220" s="2"/>
      <c r="HE220" s="2"/>
      <c r="HF220" s="2"/>
      <c r="HG220" s="2"/>
      <c r="HH220" s="2"/>
      <c r="HI220" s="2"/>
      <c r="HJ220" s="2"/>
      <c r="HK220" s="2"/>
      <c r="HL220" s="2"/>
      <c r="HM220" s="2"/>
      <c r="HN220" s="2"/>
      <c r="HO220" s="2"/>
      <c r="HP220" s="2"/>
      <c r="HQ220" s="2"/>
      <c r="HR220" s="2"/>
      <c r="HS220" s="2"/>
      <c r="HT220" s="2"/>
      <c r="HU220" s="2"/>
      <c r="HV220" s="2"/>
      <c r="HW220" s="2"/>
      <c r="HX220" s="2"/>
      <c r="HY220" s="2"/>
      <c r="HZ220" s="2"/>
      <c r="IA220" s="2"/>
      <c r="IB220" s="2"/>
    </row>
    <row r="221" spans="1:236">
      <c r="B221" s="28" t="s">
        <v>49</v>
      </c>
      <c r="C221" s="73" t="s">
        <v>198</v>
      </c>
      <c r="D221" s="74"/>
      <c r="E221" s="75"/>
      <c r="F221" s="74"/>
      <c r="G221" s="74"/>
      <c r="H221" s="75"/>
      <c r="I221" s="136">
        <f>SUM(+I220+I216)</f>
        <v>134610.2144</v>
      </c>
      <c r="J221" s="136">
        <f>SUM(+J220+J216)</f>
        <v>134610.2144</v>
      </c>
      <c r="K221" s="136">
        <f>SUM(+K220+K216)</f>
        <v>67305.107199999999</v>
      </c>
      <c r="L221" s="123"/>
      <c r="M221" s="123"/>
      <c r="N221" s="123"/>
      <c r="O221" s="123"/>
      <c r="P221" s="123"/>
      <c r="Q221" s="123"/>
      <c r="R221" s="123"/>
      <c r="S221" s="123"/>
      <c r="T221" s="159">
        <f>K221-L221</f>
        <v>67305.107199999999</v>
      </c>
      <c r="U221" s="124"/>
    </row>
    <row r="222" spans="1:236" ht="16.149999999999999" thickBot="1">
      <c r="B222" s="28" t="s">
        <v>49</v>
      </c>
      <c r="C222" s="137" t="s">
        <v>199</v>
      </c>
      <c r="D222" s="138"/>
      <c r="E222" s="138"/>
      <c r="F222" s="138"/>
      <c r="G222" s="138"/>
      <c r="H222" s="138"/>
      <c r="I222" s="139">
        <v>500000</v>
      </c>
      <c r="J222" s="139">
        <v>500000</v>
      </c>
      <c r="K222" s="139">
        <f>SUM(K221,K208)</f>
        <v>242106.1072</v>
      </c>
      <c r="L222" s="140">
        <f>L220+L216+L70+L139+L191</f>
        <v>0</v>
      </c>
      <c r="M222" s="140">
        <f>M220+M216+M70+M139+M191</f>
        <v>21275.57</v>
      </c>
      <c r="N222" s="140">
        <f>N220+N216+N70+N139+N191</f>
        <v>27460.809999999998</v>
      </c>
      <c r="O222" s="140">
        <f>O220+O216+O70+O139+O191+O206</f>
        <v>81294.977889748319</v>
      </c>
      <c r="P222" s="140">
        <f>P220+P216+P70+P139+P191+P206</f>
        <v>67925.705247397651</v>
      </c>
      <c r="Q222" s="140">
        <f>Q220+Q216+Q70+Q139+Q191+Q206</f>
        <v>44342.266857600516</v>
      </c>
      <c r="R222" s="140">
        <f>R220+R216+R70+R139+R191+R206</f>
        <v>102506.99169077202</v>
      </c>
      <c r="S222" s="140">
        <f>S220+S216+S70+S139+S191+S206</f>
        <v>344806.32168551843</v>
      </c>
      <c r="T222" s="163">
        <f>J222-S222</f>
        <v>155193.67831448157</v>
      </c>
      <c r="U222" s="141">
        <f>SUM(U30,U42,U50,U68,U89,U138,U125,U153,U109)</f>
        <v>117151.71691972957</v>
      </c>
      <c r="V222" s="143" t="s">
        <v>200</v>
      </c>
    </row>
    <row r="223" spans="1:236">
      <c r="Q223" s="177"/>
      <c r="R223" s="177"/>
    </row>
    <row r="224" spans="1:236">
      <c r="J224" s="211"/>
      <c r="K224" s="211" t="s">
        <v>201</v>
      </c>
      <c r="L224" s="212"/>
      <c r="M224" s="212"/>
      <c r="N224" s="212"/>
      <c r="O224" s="212"/>
      <c r="P224" s="211">
        <f>P211+P212+P213+P214+P215</f>
        <v>9925.74</v>
      </c>
      <c r="Q224" s="211">
        <f>Q211+Q212+Q213+Q214+Q215</f>
        <v>12259.949999999999</v>
      </c>
      <c r="R224" s="211">
        <f>R211+R212+R213+R214+R215</f>
        <v>11160.269999999999</v>
      </c>
      <c r="S224" s="212"/>
      <c r="T224" s="213"/>
    </row>
    <row r="225" spans="7:25">
      <c r="G225" s="143"/>
      <c r="H225" s="144"/>
      <c r="I225" s="143"/>
      <c r="J225" s="214"/>
      <c r="K225" s="213" t="s">
        <v>202</v>
      </c>
      <c r="L225" s="215"/>
      <c r="M225" s="215"/>
      <c r="N225" s="215"/>
      <c r="O225" s="212"/>
      <c r="P225" s="216">
        <f>P74+P77+P78+P79+P112+P113+P119+P121+P127+P128+P129</f>
        <v>8220.9024139136236</v>
      </c>
      <c r="Q225" s="216">
        <f>Q74+Q77+Q78+Q79+Q112+Q113+Q119+Q121+Q127+Q128+Q129</f>
        <v>1979.9870791630096</v>
      </c>
      <c r="R225" s="216">
        <f>R74+R77+R78+R79+R112+R113+R119+R121+R127+R128+R129+R91+R92+R97+R98+R142+R143+R148</f>
        <v>10911.313925237513</v>
      </c>
      <c r="S225" s="212"/>
      <c r="T225" s="211"/>
      <c r="U225" s="145"/>
    </row>
    <row r="226" spans="7:25">
      <c r="J226" s="211"/>
      <c r="K226" s="211" t="s">
        <v>203</v>
      </c>
      <c r="L226" s="212"/>
      <c r="M226" s="212"/>
      <c r="N226" s="212"/>
      <c r="O226" s="212"/>
      <c r="P226" s="216">
        <f>P82+P115+P132</f>
        <v>2361.9</v>
      </c>
      <c r="Q226" s="216">
        <f>Q82+Q115+Q132</f>
        <v>967.90000000000009</v>
      </c>
      <c r="R226" s="216">
        <f>R82+R115+R132+R100+R95+R94+R146</f>
        <v>7984.1900000000005</v>
      </c>
      <c r="S226" s="212"/>
      <c r="T226" s="211"/>
    </row>
    <row r="227" spans="7:25">
      <c r="H227" s="28"/>
      <c r="J227" s="211"/>
      <c r="K227" s="211" t="s">
        <v>204</v>
      </c>
      <c r="L227" s="212"/>
      <c r="M227" s="212"/>
      <c r="N227" s="212"/>
      <c r="O227" s="212"/>
      <c r="P227" s="216">
        <f>P59+P86+P87+P111+P118+P120+P122+P123+P205</f>
        <v>7010.641559850078</v>
      </c>
      <c r="Q227" s="216">
        <f>Q59+Q86+Q87+Q111+Q118+Q120+Q122+Q123+Q205+Q136+Q66+Q27+Q135</f>
        <v>4323.1125426891304</v>
      </c>
      <c r="R227" s="216">
        <f>R59+R86+R87+R111+R118+R120+R122+R123+R205+R136+R66+R27+R135+R107+R106+R103+R102+R101+R67+R108</f>
        <v>7222.9362622452109</v>
      </c>
      <c r="S227" s="212"/>
      <c r="T227" s="211"/>
    </row>
    <row r="228" spans="7:25">
      <c r="H228" s="28"/>
      <c r="J228" s="211"/>
      <c r="K228" s="211" t="s">
        <v>30</v>
      </c>
      <c r="L228" s="212"/>
      <c r="M228" s="212"/>
      <c r="N228" s="212"/>
      <c r="O228" s="212"/>
      <c r="P228" s="216">
        <f>P44+P80+P81+P83+P114+P116+P117+P130+P131+P133</f>
        <v>5554.5180590329364</v>
      </c>
      <c r="Q228" s="216">
        <f>Q44+Q80+Q81+Q83+Q114+Q116+Q117+Q130+Q131+Q133+Q45</f>
        <v>2203.0172357483716</v>
      </c>
      <c r="R228" s="216">
        <f>R44+R80+R81+R83+R114+R116+R117+R130+R131+R133+R45+R93+R96+R99+R46+R144+R147+R145</f>
        <v>14088.090329569291</v>
      </c>
      <c r="S228" s="212"/>
      <c r="T228" s="211"/>
    </row>
    <row r="229" spans="7:25">
      <c r="H229" s="28"/>
      <c r="J229" s="217"/>
      <c r="K229" s="211" t="s">
        <v>598</v>
      </c>
      <c r="L229" s="218"/>
      <c r="M229" s="218"/>
      <c r="N229" s="218"/>
      <c r="O229" s="218"/>
      <c r="P229" s="216">
        <f>P134</f>
        <v>33600</v>
      </c>
      <c r="Q229" s="216">
        <f>Q84+Q85</f>
        <v>17563</v>
      </c>
      <c r="R229" s="216">
        <f>R104+R149</f>
        <v>45163.121173719999</v>
      </c>
      <c r="S229" s="218"/>
      <c r="T229" s="217"/>
      <c r="U229" s="143"/>
    </row>
    <row r="230" spans="7:25">
      <c r="J230" s="211"/>
      <c r="K230" s="211" t="s">
        <v>205</v>
      </c>
      <c r="L230" s="212"/>
      <c r="M230" s="212"/>
      <c r="N230" s="212"/>
      <c r="O230" s="212"/>
      <c r="P230" s="219">
        <f>P218</f>
        <v>1252.0032146010199</v>
      </c>
      <c r="Q230" s="219">
        <f>Q218</f>
        <v>5045.3</v>
      </c>
      <c r="R230" s="219">
        <f>R218</f>
        <v>5977.0699999999979</v>
      </c>
      <c r="S230" s="212"/>
      <c r="T230" s="211"/>
    </row>
    <row r="231" spans="7:25">
      <c r="J231" s="211"/>
      <c r="K231" s="211"/>
      <c r="L231" s="212"/>
      <c r="M231" s="212"/>
      <c r="N231" s="212"/>
      <c r="O231" s="212"/>
      <c r="P231" s="216">
        <f>SUM(P224:P230)</f>
        <v>67925.705247397651</v>
      </c>
      <c r="Q231" s="216">
        <f>SUM(Q224:Q230)</f>
        <v>44342.266857600509</v>
      </c>
      <c r="R231" s="216">
        <f>SUM(R224:R230)</f>
        <v>102506.991690772</v>
      </c>
      <c r="S231" s="220" t="s">
        <v>706</v>
      </c>
      <c r="T231" s="211"/>
    </row>
    <row r="232" spans="7:25">
      <c r="H232" s="28"/>
      <c r="J232" s="211"/>
      <c r="K232" s="217" t="s">
        <v>567</v>
      </c>
      <c r="L232" s="212"/>
      <c r="M232" s="212"/>
      <c r="N232" s="212"/>
      <c r="O232" s="212"/>
      <c r="P232" s="216">
        <f>P222</f>
        <v>67925.705247397651</v>
      </c>
      <c r="Q232" s="216">
        <f>Q222</f>
        <v>44342.266857600516</v>
      </c>
      <c r="R232" s="216">
        <f>R222</f>
        <v>102506.99169077202</v>
      </c>
      <c r="S232" s="212"/>
      <c r="T232" s="211"/>
      <c r="Y232" s="28" t="s">
        <v>585</v>
      </c>
    </row>
    <row r="233" spans="7:25" ht="14.65" thickBot="1">
      <c r="H233" s="28"/>
      <c r="J233" s="211"/>
      <c r="K233" s="217" t="s">
        <v>568</v>
      </c>
      <c r="L233" s="212"/>
      <c r="M233" s="212"/>
      <c r="N233" s="212"/>
      <c r="O233" s="212"/>
      <c r="P233" s="221">
        <f>P231-P232</f>
        <v>0</v>
      </c>
      <c r="Q233" s="221">
        <f>Q231-Q232</f>
        <v>0</v>
      </c>
      <c r="R233" s="221">
        <f>R231-R232</f>
        <v>0</v>
      </c>
      <c r="S233" s="220" t="s">
        <v>569</v>
      </c>
      <c r="T233" s="211"/>
    </row>
    <row r="234" spans="7:25" ht="14.65" thickTop="1">
      <c r="H234" s="28"/>
      <c r="J234" s="217"/>
      <c r="K234" s="211"/>
      <c r="L234" s="212"/>
      <c r="M234" s="212"/>
      <c r="N234" s="212"/>
      <c r="O234" s="212"/>
      <c r="P234" s="212"/>
      <c r="Q234" s="212"/>
      <c r="R234" s="212"/>
      <c r="S234" s="212"/>
      <c r="T234" s="211"/>
    </row>
  </sheetData>
  <mergeCells count="11">
    <mergeCell ref="D126:J126"/>
    <mergeCell ref="C140:J140"/>
    <mergeCell ref="D141:J141"/>
    <mergeCell ref="D154:J154"/>
    <mergeCell ref="D168:J168"/>
    <mergeCell ref="D110:J110"/>
    <mergeCell ref="C10:J10"/>
    <mergeCell ref="C72:J72"/>
    <mergeCell ref="D73:J73"/>
    <mergeCell ref="D76:J76"/>
    <mergeCell ref="D90:J9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16"/>
  <sheetViews>
    <sheetView tabSelected="1" topLeftCell="D187" zoomScaleNormal="100" workbookViewId="0">
      <selection activeCell="G199" sqref="G199"/>
    </sheetView>
  </sheetViews>
  <sheetFormatPr defaultColWidth="8.86328125" defaultRowHeight="10.5"/>
  <cols>
    <col min="1" max="1" width="8.86328125" style="225"/>
    <col min="2" max="2" width="19.1328125" style="225" customWidth="1"/>
    <col min="3" max="3" width="52.73046875" style="225" bestFit="1" customWidth="1"/>
    <col min="4" max="4" width="14.86328125" style="225" bestFit="1" customWidth="1"/>
    <col min="5" max="6" width="20.59765625" style="225" bestFit="1" customWidth="1"/>
    <col min="7" max="7" width="9.1328125" style="225" bestFit="1" customWidth="1"/>
    <col min="8" max="8" width="28.265625" style="225" bestFit="1" customWidth="1"/>
    <col min="9" max="9" width="31.265625" style="225" customWidth="1"/>
    <col min="10" max="10" width="39.265625" style="225" bestFit="1" customWidth="1"/>
    <col min="11" max="11" width="51.59765625" style="225" customWidth="1"/>
    <col min="12" max="16384" width="8.86328125" style="225"/>
  </cols>
  <sheetData>
    <row r="1" spans="1:12">
      <c r="A1" s="222"/>
      <c r="B1" s="360" t="s">
        <v>206</v>
      </c>
      <c r="C1" s="360"/>
      <c r="D1" s="360"/>
      <c r="E1" s="360"/>
      <c r="F1" s="223"/>
      <c r="G1" s="223"/>
      <c r="H1" s="222"/>
      <c r="I1" s="224"/>
      <c r="J1" s="224"/>
      <c r="K1" s="222"/>
      <c r="L1" s="222"/>
    </row>
    <row r="2" spans="1:12">
      <c r="A2" s="222"/>
      <c r="B2" s="226" t="s">
        <v>207</v>
      </c>
      <c r="C2" s="222"/>
      <c r="D2" s="222"/>
      <c r="E2" s="222"/>
      <c r="F2" s="222"/>
      <c r="G2" s="222"/>
      <c r="H2" s="222"/>
      <c r="I2" s="224"/>
      <c r="J2" s="224"/>
      <c r="K2" s="222"/>
      <c r="L2" s="222"/>
    </row>
    <row r="3" spans="1:12">
      <c r="A3" s="222"/>
      <c r="B3" s="361" t="s">
        <v>208</v>
      </c>
      <c r="C3" s="361"/>
      <c r="D3" s="361"/>
      <c r="E3" s="361"/>
      <c r="F3" s="222"/>
      <c r="G3" s="222"/>
      <c r="H3" s="222"/>
      <c r="I3" s="224"/>
      <c r="J3" s="224"/>
      <c r="K3" s="222"/>
      <c r="L3" s="222"/>
    </row>
    <row r="4" spans="1:12">
      <c r="A4" s="222"/>
      <c r="B4" s="227"/>
      <c r="C4" s="227"/>
      <c r="D4" s="227"/>
      <c r="E4" s="227"/>
      <c r="F4" s="222"/>
      <c r="G4" s="222"/>
      <c r="H4" s="222"/>
      <c r="I4" s="224"/>
      <c r="J4" s="224"/>
      <c r="K4" s="222"/>
      <c r="L4" s="222"/>
    </row>
    <row r="5" spans="1:12" ht="31.5">
      <c r="A5" s="222"/>
      <c r="B5" s="228" t="s">
        <v>586</v>
      </c>
      <c r="C5" s="228" t="s">
        <v>587</v>
      </c>
      <c r="D5" s="229" t="s">
        <v>209</v>
      </c>
      <c r="E5" s="228" t="s">
        <v>210</v>
      </c>
      <c r="F5" s="228" t="s">
        <v>211</v>
      </c>
      <c r="G5" s="228" t="s">
        <v>212</v>
      </c>
      <c r="H5" s="228" t="s">
        <v>588</v>
      </c>
      <c r="I5" s="230" t="s">
        <v>589</v>
      </c>
      <c r="J5" s="228" t="s">
        <v>590</v>
      </c>
      <c r="K5" s="228" t="s">
        <v>591</v>
      </c>
      <c r="L5" s="231"/>
    </row>
    <row r="6" spans="1:12">
      <c r="A6" s="222"/>
      <c r="B6" s="232" t="s">
        <v>213</v>
      </c>
      <c r="C6" s="362" t="s">
        <v>214</v>
      </c>
      <c r="D6" s="362"/>
      <c r="E6" s="362"/>
      <c r="F6" s="362"/>
      <c r="G6" s="362"/>
      <c r="H6" s="362"/>
      <c r="I6" s="359"/>
      <c r="J6" s="359"/>
      <c r="K6" s="362"/>
      <c r="L6" s="233"/>
    </row>
    <row r="7" spans="1:12">
      <c r="A7" s="222"/>
      <c r="B7" s="232" t="s">
        <v>215</v>
      </c>
      <c r="C7" s="363" t="s">
        <v>216</v>
      </c>
      <c r="D7" s="363"/>
      <c r="E7" s="363"/>
      <c r="F7" s="363"/>
      <c r="G7" s="363"/>
      <c r="H7" s="363"/>
      <c r="I7" s="346"/>
      <c r="J7" s="346"/>
      <c r="K7" s="363"/>
      <c r="L7" s="234"/>
    </row>
    <row r="8" spans="1:12" ht="42">
      <c r="A8" s="222"/>
      <c r="B8" s="235" t="s">
        <v>217</v>
      </c>
      <c r="C8" s="236" t="s">
        <v>21</v>
      </c>
      <c r="D8" s="237">
        <v>13180</v>
      </c>
      <c r="E8" s="237"/>
      <c r="F8" s="237"/>
      <c r="G8" s="238">
        <f>D8</f>
        <v>13180</v>
      </c>
      <c r="H8" s="239">
        <v>0.55000000000000004</v>
      </c>
      <c r="I8" s="237">
        <v>13071.839999999998</v>
      </c>
      <c r="J8" s="240" t="s">
        <v>218</v>
      </c>
      <c r="K8" s="241" t="s">
        <v>219</v>
      </c>
      <c r="L8" s="242"/>
    </row>
    <row r="9" spans="1:12" ht="21">
      <c r="A9" s="222"/>
      <c r="B9" s="235" t="s">
        <v>220</v>
      </c>
      <c r="C9" s="236" t="s">
        <v>63</v>
      </c>
      <c r="D9" s="237">
        <v>5850</v>
      </c>
      <c r="E9" s="237"/>
      <c r="F9" s="237"/>
      <c r="G9" s="238">
        <f t="shared" ref="G9:G15" si="0">D9</f>
        <v>5850</v>
      </c>
      <c r="H9" s="239">
        <v>0.65</v>
      </c>
      <c r="I9" s="237">
        <v>3538.0222214646255</v>
      </c>
      <c r="J9" s="240" t="s">
        <v>221</v>
      </c>
      <c r="K9" s="243" t="s">
        <v>222</v>
      </c>
      <c r="L9" s="242"/>
    </row>
    <row r="10" spans="1:12">
      <c r="A10" s="222"/>
      <c r="B10" s="235" t="s">
        <v>223</v>
      </c>
      <c r="C10" s="236"/>
      <c r="D10" s="237"/>
      <c r="E10" s="237"/>
      <c r="F10" s="237"/>
      <c r="G10" s="238">
        <f t="shared" si="0"/>
        <v>0</v>
      </c>
      <c r="H10" s="239"/>
      <c r="I10" s="237"/>
      <c r="J10" s="240"/>
      <c r="K10" s="243"/>
      <c r="L10" s="242"/>
    </row>
    <row r="11" spans="1:12">
      <c r="A11" s="222"/>
      <c r="B11" s="235" t="s">
        <v>224</v>
      </c>
      <c r="C11" s="236"/>
      <c r="D11" s="237"/>
      <c r="E11" s="237"/>
      <c r="F11" s="237"/>
      <c r="G11" s="238">
        <f t="shared" si="0"/>
        <v>0</v>
      </c>
      <c r="H11" s="239"/>
      <c r="I11" s="237"/>
      <c r="J11" s="240"/>
      <c r="K11" s="243"/>
      <c r="L11" s="242"/>
    </row>
    <row r="12" spans="1:12">
      <c r="A12" s="222"/>
      <c r="B12" s="235" t="s">
        <v>225</v>
      </c>
      <c r="C12" s="236"/>
      <c r="D12" s="237"/>
      <c r="E12" s="237"/>
      <c r="F12" s="237"/>
      <c r="G12" s="238">
        <f t="shared" si="0"/>
        <v>0</v>
      </c>
      <c r="H12" s="239"/>
      <c r="I12" s="237"/>
      <c r="J12" s="240"/>
      <c r="K12" s="243"/>
      <c r="L12" s="242"/>
    </row>
    <row r="13" spans="1:12">
      <c r="A13" s="222"/>
      <c r="B13" s="235" t="s">
        <v>226</v>
      </c>
      <c r="C13" s="236"/>
      <c r="D13" s="237"/>
      <c r="E13" s="237"/>
      <c r="F13" s="237"/>
      <c r="G13" s="238">
        <f t="shared" si="0"/>
        <v>0</v>
      </c>
      <c r="H13" s="239"/>
      <c r="I13" s="237"/>
      <c r="J13" s="240"/>
      <c r="K13" s="243"/>
      <c r="L13" s="242"/>
    </row>
    <row r="14" spans="1:12">
      <c r="A14" s="222"/>
      <c r="B14" s="235" t="s">
        <v>227</v>
      </c>
      <c r="C14" s="244"/>
      <c r="D14" s="240"/>
      <c r="E14" s="240"/>
      <c r="F14" s="240"/>
      <c r="G14" s="238">
        <f t="shared" si="0"/>
        <v>0</v>
      </c>
      <c r="H14" s="245"/>
      <c r="I14" s="240"/>
      <c r="J14" s="240"/>
      <c r="K14" s="246"/>
      <c r="L14" s="242"/>
    </row>
    <row r="15" spans="1:12">
      <c r="A15" s="247"/>
      <c r="B15" s="235" t="s">
        <v>228</v>
      </c>
      <c r="C15" s="244"/>
      <c r="D15" s="240"/>
      <c r="E15" s="240"/>
      <c r="F15" s="240"/>
      <c r="G15" s="238">
        <f t="shared" si="0"/>
        <v>0</v>
      </c>
      <c r="H15" s="245"/>
      <c r="I15" s="240"/>
      <c r="J15" s="240"/>
      <c r="K15" s="246"/>
      <c r="L15" s="222"/>
    </row>
    <row r="16" spans="1:12">
      <c r="A16" s="247"/>
      <c r="B16" s="222"/>
      <c r="C16" s="232" t="s">
        <v>229</v>
      </c>
      <c r="D16" s="248">
        <f>SUM(D8:D15)</f>
        <v>19030</v>
      </c>
      <c r="E16" s="248">
        <f>SUM(E8:E15)</f>
        <v>0</v>
      </c>
      <c r="F16" s="248">
        <f>SUM(F8:F15)</f>
        <v>0</v>
      </c>
      <c r="G16" s="248">
        <f>SUM(G8:G15)</f>
        <v>19030</v>
      </c>
      <c r="H16" s="248">
        <f>(H8*G8)+(H9*G9)+(H10*G10)+(H11*G11)+(H12*G12)+(H13*G13)+(H14*G14)+(H15*G15)</f>
        <v>11051.5</v>
      </c>
      <c r="I16" s="248">
        <f>SUM(I8:I15)</f>
        <v>16609.862221464624</v>
      </c>
      <c r="J16" s="249"/>
      <c r="K16" s="246"/>
      <c r="L16" s="250"/>
    </row>
    <row r="17" spans="1:12">
      <c r="A17" s="247"/>
      <c r="B17" s="232" t="s">
        <v>230</v>
      </c>
      <c r="C17" s="345" t="s">
        <v>231</v>
      </c>
      <c r="D17" s="345"/>
      <c r="E17" s="345"/>
      <c r="F17" s="345"/>
      <c r="G17" s="345"/>
      <c r="H17" s="345"/>
      <c r="I17" s="346"/>
      <c r="J17" s="346"/>
      <c r="K17" s="345"/>
      <c r="L17" s="234"/>
    </row>
    <row r="18" spans="1:12" ht="42">
      <c r="A18" s="247"/>
      <c r="B18" s="235" t="s">
        <v>232</v>
      </c>
      <c r="C18" s="236" t="s">
        <v>52</v>
      </c>
      <c r="D18" s="237">
        <v>9942</v>
      </c>
      <c r="E18" s="237"/>
      <c r="F18" s="237"/>
      <c r="G18" s="238">
        <f>D18</f>
        <v>9942</v>
      </c>
      <c r="H18" s="239">
        <v>0.65</v>
      </c>
      <c r="I18" s="237">
        <v>11772.89</v>
      </c>
      <c r="J18" s="240" t="s">
        <v>233</v>
      </c>
      <c r="K18" s="241" t="s">
        <v>234</v>
      </c>
      <c r="L18" s="242"/>
    </row>
    <row r="19" spans="1:12">
      <c r="A19" s="247"/>
      <c r="B19" s="235" t="s">
        <v>235</v>
      </c>
      <c r="C19" s="236"/>
      <c r="D19" s="237"/>
      <c r="E19" s="237"/>
      <c r="F19" s="237"/>
      <c r="G19" s="238">
        <f t="shared" ref="G19:G25" si="1">D19</f>
        <v>0</v>
      </c>
      <c r="H19" s="239"/>
      <c r="I19" s="237"/>
      <c r="J19" s="237"/>
      <c r="K19" s="243"/>
      <c r="L19" s="242"/>
    </row>
    <row r="20" spans="1:12">
      <c r="A20" s="247"/>
      <c r="B20" s="235" t="s">
        <v>236</v>
      </c>
      <c r="C20" s="236"/>
      <c r="D20" s="237"/>
      <c r="E20" s="237"/>
      <c r="F20" s="237"/>
      <c r="G20" s="238">
        <f t="shared" si="1"/>
        <v>0</v>
      </c>
      <c r="H20" s="239"/>
      <c r="I20" s="237"/>
      <c r="J20" s="237"/>
      <c r="K20" s="243"/>
      <c r="L20" s="242"/>
    </row>
    <row r="21" spans="1:12">
      <c r="A21" s="247"/>
      <c r="B21" s="235" t="s">
        <v>237</v>
      </c>
      <c r="C21" s="236"/>
      <c r="D21" s="237"/>
      <c r="E21" s="237"/>
      <c r="F21" s="237"/>
      <c r="G21" s="238">
        <f t="shared" si="1"/>
        <v>0</v>
      </c>
      <c r="H21" s="239"/>
      <c r="I21" s="237"/>
      <c r="J21" s="237"/>
      <c r="K21" s="243"/>
      <c r="L21" s="242"/>
    </row>
    <row r="22" spans="1:12">
      <c r="A22" s="247"/>
      <c r="B22" s="235" t="s">
        <v>238</v>
      </c>
      <c r="C22" s="236"/>
      <c r="D22" s="237"/>
      <c r="E22" s="237"/>
      <c r="F22" s="237"/>
      <c r="G22" s="238">
        <f t="shared" si="1"/>
        <v>0</v>
      </c>
      <c r="H22" s="239"/>
      <c r="I22" s="237"/>
      <c r="J22" s="237"/>
      <c r="K22" s="243"/>
      <c r="L22" s="242"/>
    </row>
    <row r="23" spans="1:12">
      <c r="A23" s="247"/>
      <c r="B23" s="235" t="s">
        <v>239</v>
      </c>
      <c r="C23" s="236"/>
      <c r="D23" s="237"/>
      <c r="E23" s="237"/>
      <c r="F23" s="237"/>
      <c r="G23" s="238">
        <f t="shared" si="1"/>
        <v>0</v>
      </c>
      <c r="H23" s="239"/>
      <c r="I23" s="237"/>
      <c r="J23" s="237"/>
      <c r="K23" s="243"/>
      <c r="L23" s="242"/>
    </row>
    <row r="24" spans="1:12">
      <c r="A24" s="247"/>
      <c r="B24" s="235" t="s">
        <v>240</v>
      </c>
      <c r="C24" s="244"/>
      <c r="D24" s="240"/>
      <c r="E24" s="240"/>
      <c r="F24" s="240"/>
      <c r="G24" s="238">
        <f t="shared" si="1"/>
        <v>0</v>
      </c>
      <c r="H24" s="245"/>
      <c r="I24" s="240"/>
      <c r="J24" s="240"/>
      <c r="K24" s="246"/>
      <c r="L24" s="242"/>
    </row>
    <row r="25" spans="1:12">
      <c r="A25" s="247"/>
      <c r="B25" s="235" t="s">
        <v>241</v>
      </c>
      <c r="C25" s="244"/>
      <c r="D25" s="240"/>
      <c r="E25" s="240"/>
      <c r="F25" s="240"/>
      <c r="G25" s="238">
        <f t="shared" si="1"/>
        <v>0</v>
      </c>
      <c r="H25" s="245"/>
      <c r="I25" s="240"/>
      <c r="J25" s="240"/>
      <c r="K25" s="246"/>
      <c r="L25" s="242"/>
    </row>
    <row r="26" spans="1:12">
      <c r="A26" s="247"/>
      <c r="B26" s="222"/>
      <c r="C26" s="232" t="s">
        <v>229</v>
      </c>
      <c r="D26" s="251">
        <f>SUM(D18:D25)</f>
        <v>9942</v>
      </c>
      <c r="E26" s="251">
        <f t="shared" ref="E26:G26" si="2">SUM(E18:E25)</f>
        <v>0</v>
      </c>
      <c r="F26" s="251">
        <f t="shared" si="2"/>
        <v>0</v>
      </c>
      <c r="G26" s="251">
        <f t="shared" si="2"/>
        <v>9942</v>
      </c>
      <c r="H26" s="248">
        <f>(H18*G18)+(H19*G19)+(H20*G20)+(H21*G21)+(H22*G22)+(H23*G23)+(H24*G24)+(H25*G25)</f>
        <v>6462.3</v>
      </c>
      <c r="I26" s="248">
        <f>SUM(I18:I25)</f>
        <v>11772.89</v>
      </c>
      <c r="J26" s="249"/>
      <c r="K26" s="246"/>
      <c r="L26" s="250"/>
    </row>
    <row r="27" spans="1:12">
      <c r="A27" s="247"/>
      <c r="B27" s="232" t="s">
        <v>242</v>
      </c>
      <c r="C27" s="345" t="s">
        <v>243</v>
      </c>
      <c r="D27" s="345"/>
      <c r="E27" s="345"/>
      <c r="F27" s="345"/>
      <c r="G27" s="345"/>
      <c r="H27" s="345"/>
      <c r="I27" s="346"/>
      <c r="J27" s="346"/>
      <c r="K27" s="345"/>
      <c r="L27" s="234"/>
    </row>
    <row r="28" spans="1:12" ht="42">
      <c r="A28" s="247"/>
      <c r="B28" s="235" t="s">
        <v>244</v>
      </c>
      <c r="C28" s="236" t="s">
        <v>70</v>
      </c>
      <c r="D28" s="237">
        <v>51891</v>
      </c>
      <c r="E28" s="237"/>
      <c r="F28" s="237"/>
      <c r="G28" s="238">
        <f>D28</f>
        <v>51891</v>
      </c>
      <c r="H28" s="239">
        <v>0.55000000000000004</v>
      </c>
      <c r="I28" s="237">
        <v>47365.17217801098</v>
      </c>
      <c r="J28" s="240" t="s">
        <v>245</v>
      </c>
      <c r="K28" s="241" t="s">
        <v>246</v>
      </c>
      <c r="L28" s="242"/>
    </row>
    <row r="29" spans="1:12">
      <c r="A29" s="247"/>
      <c r="B29" s="235" t="s">
        <v>247</v>
      </c>
      <c r="C29" s="236"/>
      <c r="D29" s="237"/>
      <c r="E29" s="237"/>
      <c r="F29" s="237"/>
      <c r="G29" s="238">
        <f t="shared" ref="G29:G35" si="3">D29</f>
        <v>0</v>
      </c>
      <c r="H29" s="239"/>
      <c r="I29" s="237"/>
      <c r="J29" s="237"/>
      <c r="K29" s="243"/>
      <c r="L29" s="242"/>
    </row>
    <row r="30" spans="1:12">
      <c r="A30" s="247"/>
      <c r="B30" s="235" t="s">
        <v>248</v>
      </c>
      <c r="C30" s="236"/>
      <c r="D30" s="237"/>
      <c r="E30" s="237"/>
      <c r="F30" s="237"/>
      <c r="G30" s="238">
        <f t="shared" si="3"/>
        <v>0</v>
      </c>
      <c r="H30" s="239"/>
      <c r="I30" s="237"/>
      <c r="J30" s="237"/>
      <c r="K30" s="243"/>
      <c r="L30" s="242"/>
    </row>
    <row r="31" spans="1:12">
      <c r="A31" s="247"/>
      <c r="B31" s="235" t="s">
        <v>249</v>
      </c>
      <c r="C31" s="236"/>
      <c r="D31" s="237"/>
      <c r="E31" s="237"/>
      <c r="F31" s="237"/>
      <c r="G31" s="238">
        <f t="shared" si="3"/>
        <v>0</v>
      </c>
      <c r="H31" s="239"/>
      <c r="I31" s="237"/>
      <c r="J31" s="237"/>
      <c r="K31" s="243"/>
      <c r="L31" s="242"/>
    </row>
    <row r="32" spans="1:12">
      <c r="A32" s="247"/>
      <c r="B32" s="235" t="s">
        <v>250</v>
      </c>
      <c r="C32" s="236"/>
      <c r="D32" s="237"/>
      <c r="E32" s="237"/>
      <c r="F32" s="237"/>
      <c r="G32" s="238">
        <f t="shared" si="3"/>
        <v>0</v>
      </c>
      <c r="H32" s="239"/>
      <c r="I32" s="237"/>
      <c r="J32" s="237"/>
      <c r="K32" s="243"/>
      <c r="L32" s="242"/>
    </row>
    <row r="33" spans="1:12">
      <c r="A33" s="247"/>
      <c r="B33" s="235" t="s">
        <v>251</v>
      </c>
      <c r="C33" s="236"/>
      <c r="D33" s="237"/>
      <c r="E33" s="237"/>
      <c r="F33" s="237"/>
      <c r="G33" s="238">
        <f t="shared" si="3"/>
        <v>0</v>
      </c>
      <c r="H33" s="239"/>
      <c r="I33" s="237"/>
      <c r="J33" s="237"/>
      <c r="K33" s="243"/>
      <c r="L33" s="242"/>
    </row>
    <row r="34" spans="1:12">
      <c r="A34" s="222"/>
      <c r="B34" s="235" t="s">
        <v>252</v>
      </c>
      <c r="C34" s="244"/>
      <c r="D34" s="240"/>
      <c r="E34" s="240"/>
      <c r="F34" s="240"/>
      <c r="G34" s="238">
        <f t="shared" si="3"/>
        <v>0</v>
      </c>
      <c r="H34" s="245"/>
      <c r="I34" s="240"/>
      <c r="J34" s="240"/>
      <c r="K34" s="246"/>
      <c r="L34" s="242"/>
    </row>
    <row r="35" spans="1:12">
      <c r="A35" s="222"/>
      <c r="B35" s="235" t="s">
        <v>253</v>
      </c>
      <c r="C35" s="244"/>
      <c r="D35" s="240"/>
      <c r="E35" s="240"/>
      <c r="F35" s="240"/>
      <c r="G35" s="238">
        <f t="shared" si="3"/>
        <v>0</v>
      </c>
      <c r="H35" s="245"/>
      <c r="I35" s="240"/>
      <c r="J35" s="240"/>
      <c r="K35" s="246"/>
      <c r="L35" s="242"/>
    </row>
    <row r="36" spans="1:12">
      <c r="A36" s="222"/>
      <c r="B36" s="222"/>
      <c r="C36" s="232" t="s">
        <v>229</v>
      </c>
      <c r="D36" s="251">
        <f>SUM(D28:D35)</f>
        <v>51891</v>
      </c>
      <c r="E36" s="251">
        <f t="shared" ref="E36:G36" si="4">SUM(E28:E35)</f>
        <v>0</v>
      </c>
      <c r="F36" s="251">
        <f t="shared" si="4"/>
        <v>0</v>
      </c>
      <c r="G36" s="251">
        <f t="shared" si="4"/>
        <v>51891</v>
      </c>
      <c r="H36" s="248">
        <f>(H28*G28)+(H29*G29)+(H30*G30)+(H31*G31)+(H32*G32)+(H33*G33)+(H34*G34)+(H35*G35)</f>
        <v>28540.050000000003</v>
      </c>
      <c r="I36" s="248">
        <f>SUM(I28:I35)</f>
        <v>47365.17217801098</v>
      </c>
      <c r="J36" s="249"/>
      <c r="K36" s="246"/>
      <c r="L36" s="250"/>
    </row>
    <row r="37" spans="1:12">
      <c r="A37" s="222"/>
      <c r="B37" s="232" t="s">
        <v>254</v>
      </c>
      <c r="C37" s="345"/>
      <c r="D37" s="345"/>
      <c r="E37" s="345"/>
      <c r="F37" s="345"/>
      <c r="G37" s="345"/>
      <c r="H37" s="345"/>
      <c r="I37" s="346"/>
      <c r="J37" s="346"/>
      <c r="K37" s="345"/>
      <c r="L37" s="234"/>
    </row>
    <row r="38" spans="1:12">
      <c r="A38" s="222"/>
      <c r="B38" s="235" t="s">
        <v>255</v>
      </c>
      <c r="C38" s="236"/>
      <c r="D38" s="237"/>
      <c r="E38" s="237"/>
      <c r="F38" s="237"/>
      <c r="G38" s="238">
        <f>D38</f>
        <v>0</v>
      </c>
      <c r="H38" s="239"/>
      <c r="I38" s="237">
        <v>150</v>
      </c>
      <c r="J38" s="237"/>
      <c r="K38" s="243"/>
      <c r="L38" s="242"/>
    </row>
    <row r="39" spans="1:12">
      <c r="A39" s="222"/>
      <c r="B39" s="235" t="s">
        <v>256</v>
      </c>
      <c r="C39" s="236"/>
      <c r="D39" s="237"/>
      <c r="E39" s="237"/>
      <c r="F39" s="237"/>
      <c r="G39" s="238">
        <f t="shared" ref="G39:G45" si="5">D39</f>
        <v>0</v>
      </c>
      <c r="H39" s="239"/>
      <c r="I39" s="237"/>
      <c r="J39" s="237"/>
      <c r="K39" s="243"/>
      <c r="L39" s="242"/>
    </row>
    <row r="40" spans="1:12">
      <c r="A40" s="222"/>
      <c r="B40" s="235" t="s">
        <v>257</v>
      </c>
      <c r="C40" s="236"/>
      <c r="D40" s="237"/>
      <c r="E40" s="237"/>
      <c r="F40" s="237"/>
      <c r="G40" s="238">
        <f t="shared" si="5"/>
        <v>0</v>
      </c>
      <c r="H40" s="239"/>
      <c r="I40" s="237"/>
      <c r="J40" s="237"/>
      <c r="K40" s="243"/>
      <c r="L40" s="242"/>
    </row>
    <row r="41" spans="1:12">
      <c r="A41" s="222"/>
      <c r="B41" s="235" t="s">
        <v>258</v>
      </c>
      <c r="C41" s="236"/>
      <c r="D41" s="237"/>
      <c r="E41" s="237"/>
      <c r="F41" s="237"/>
      <c r="G41" s="238">
        <f t="shared" si="5"/>
        <v>0</v>
      </c>
      <c r="H41" s="239"/>
      <c r="I41" s="237"/>
      <c r="J41" s="237"/>
      <c r="K41" s="243"/>
      <c r="L41" s="242"/>
    </row>
    <row r="42" spans="1:12">
      <c r="A42" s="222"/>
      <c r="B42" s="235" t="s">
        <v>259</v>
      </c>
      <c r="C42" s="236"/>
      <c r="D42" s="237"/>
      <c r="E42" s="237"/>
      <c r="F42" s="237"/>
      <c r="G42" s="238">
        <f t="shared" si="5"/>
        <v>0</v>
      </c>
      <c r="H42" s="239"/>
      <c r="I42" s="237"/>
      <c r="J42" s="237"/>
      <c r="K42" s="243"/>
      <c r="L42" s="242"/>
    </row>
    <row r="43" spans="1:12">
      <c r="A43" s="247"/>
      <c r="B43" s="235" t="s">
        <v>260</v>
      </c>
      <c r="C43" s="236"/>
      <c r="D43" s="237"/>
      <c r="E43" s="237"/>
      <c r="F43" s="237"/>
      <c r="G43" s="238">
        <f t="shared" si="5"/>
        <v>0</v>
      </c>
      <c r="H43" s="239"/>
      <c r="I43" s="237"/>
      <c r="J43" s="237"/>
      <c r="K43" s="243"/>
      <c r="L43" s="242"/>
    </row>
    <row r="44" spans="1:12">
      <c r="A44" s="222"/>
      <c r="B44" s="235" t="s">
        <v>261</v>
      </c>
      <c r="C44" s="244"/>
      <c r="D44" s="240"/>
      <c r="E44" s="240"/>
      <c r="F44" s="240"/>
      <c r="G44" s="238">
        <f t="shared" si="5"/>
        <v>0</v>
      </c>
      <c r="H44" s="245"/>
      <c r="I44" s="240"/>
      <c r="J44" s="240"/>
      <c r="K44" s="246"/>
      <c r="L44" s="242"/>
    </row>
    <row r="45" spans="1:12">
      <c r="A45" s="222"/>
      <c r="B45" s="235" t="s">
        <v>262</v>
      </c>
      <c r="C45" s="244"/>
      <c r="D45" s="240"/>
      <c r="E45" s="240"/>
      <c r="F45" s="240"/>
      <c r="G45" s="238">
        <f t="shared" si="5"/>
        <v>0</v>
      </c>
      <c r="H45" s="245"/>
      <c r="I45" s="240"/>
      <c r="J45" s="240"/>
      <c r="K45" s="246"/>
      <c r="L45" s="242"/>
    </row>
    <row r="46" spans="1:12">
      <c r="A46" s="222"/>
      <c r="B46" s="222"/>
      <c r="C46" s="232" t="s">
        <v>229</v>
      </c>
      <c r="D46" s="248">
        <f>SUM(D38:D45)</f>
        <v>0</v>
      </c>
      <c r="E46" s="248">
        <f t="shared" ref="E46:G46" si="6">SUM(E38:E45)</f>
        <v>0</v>
      </c>
      <c r="F46" s="248">
        <f t="shared" si="6"/>
        <v>0</v>
      </c>
      <c r="G46" s="248">
        <f t="shared" si="6"/>
        <v>0</v>
      </c>
      <c r="H46" s="248">
        <f>(H38*G38)+(H39*G39)+(H40*G40)+(H41*G41)+(H42*G42)+(H43*G43)+(H44*G44)+(H45*G45)</f>
        <v>0</v>
      </c>
      <c r="I46" s="248">
        <f>SUM(I38:I45)</f>
        <v>150</v>
      </c>
      <c r="J46" s="249"/>
      <c r="K46" s="246"/>
      <c r="L46" s="250"/>
    </row>
    <row r="47" spans="1:12">
      <c r="A47" s="222"/>
      <c r="B47" s="252"/>
      <c r="C47" s="253"/>
      <c r="D47" s="254"/>
      <c r="E47" s="254"/>
      <c r="F47" s="254"/>
      <c r="G47" s="254"/>
      <c r="H47" s="254"/>
      <c r="I47" s="254"/>
      <c r="J47" s="254"/>
      <c r="K47" s="254"/>
      <c r="L47" s="242"/>
    </row>
    <row r="48" spans="1:12">
      <c r="A48" s="222"/>
      <c r="B48" s="232" t="s">
        <v>263</v>
      </c>
      <c r="C48" s="358" t="s">
        <v>264</v>
      </c>
      <c r="D48" s="358"/>
      <c r="E48" s="358"/>
      <c r="F48" s="358"/>
      <c r="G48" s="358"/>
      <c r="H48" s="358"/>
      <c r="I48" s="359"/>
      <c r="J48" s="359"/>
      <c r="K48" s="358"/>
      <c r="L48" s="233"/>
    </row>
    <row r="49" spans="1:12">
      <c r="A49" s="222"/>
      <c r="B49" s="232" t="s">
        <v>265</v>
      </c>
      <c r="C49" s="345" t="s">
        <v>266</v>
      </c>
      <c r="D49" s="345"/>
      <c r="E49" s="345"/>
      <c r="F49" s="345"/>
      <c r="G49" s="345"/>
      <c r="H49" s="345"/>
      <c r="I49" s="346"/>
      <c r="J49" s="346"/>
      <c r="K49" s="345"/>
      <c r="L49" s="234"/>
    </row>
    <row r="50" spans="1:12">
      <c r="A50" s="222"/>
      <c r="B50" s="235" t="s">
        <v>267</v>
      </c>
      <c r="C50" s="236" t="s">
        <v>87</v>
      </c>
      <c r="D50" s="237">
        <v>1000</v>
      </c>
      <c r="E50" s="237"/>
      <c r="F50" s="237"/>
      <c r="G50" s="238">
        <f>D50</f>
        <v>1000</v>
      </c>
      <c r="H50" s="239"/>
      <c r="I50" s="237">
        <v>1016.13</v>
      </c>
      <c r="J50" s="237"/>
      <c r="K50" s="241" t="s">
        <v>268</v>
      </c>
      <c r="L50" s="242"/>
    </row>
    <row r="51" spans="1:12">
      <c r="A51" s="222"/>
      <c r="B51" s="235" t="s">
        <v>269</v>
      </c>
      <c r="C51" s="236"/>
      <c r="D51" s="237"/>
      <c r="E51" s="237"/>
      <c r="F51" s="237"/>
      <c r="G51" s="238">
        <f t="shared" ref="G51:G57" si="7">D51</f>
        <v>0</v>
      </c>
      <c r="H51" s="239"/>
      <c r="I51" s="237"/>
      <c r="J51" s="237"/>
      <c r="K51" s="243"/>
      <c r="L51" s="242"/>
    </row>
    <row r="52" spans="1:12">
      <c r="A52" s="222"/>
      <c r="B52" s="235" t="s">
        <v>270</v>
      </c>
      <c r="C52" s="236"/>
      <c r="D52" s="237"/>
      <c r="E52" s="237"/>
      <c r="F52" s="237"/>
      <c r="G52" s="238">
        <f t="shared" si="7"/>
        <v>0</v>
      </c>
      <c r="H52" s="239"/>
      <c r="I52" s="237"/>
      <c r="J52" s="237"/>
      <c r="K52" s="243"/>
      <c r="L52" s="242"/>
    </row>
    <row r="53" spans="1:12">
      <c r="A53" s="222"/>
      <c r="B53" s="235" t="s">
        <v>271</v>
      </c>
      <c r="C53" s="236"/>
      <c r="D53" s="237"/>
      <c r="E53" s="237"/>
      <c r="F53" s="237"/>
      <c r="G53" s="238">
        <f t="shared" si="7"/>
        <v>0</v>
      </c>
      <c r="H53" s="239"/>
      <c r="I53" s="237"/>
      <c r="J53" s="237"/>
      <c r="K53" s="243"/>
      <c r="L53" s="242"/>
    </row>
    <row r="54" spans="1:12">
      <c r="A54" s="222"/>
      <c r="B54" s="235" t="s">
        <v>272</v>
      </c>
      <c r="C54" s="236"/>
      <c r="D54" s="237"/>
      <c r="E54" s="237"/>
      <c r="F54" s="237"/>
      <c r="G54" s="238">
        <f t="shared" si="7"/>
        <v>0</v>
      </c>
      <c r="H54" s="239"/>
      <c r="I54" s="237"/>
      <c r="J54" s="237"/>
      <c r="K54" s="243"/>
      <c r="L54" s="242"/>
    </row>
    <row r="55" spans="1:12">
      <c r="A55" s="222"/>
      <c r="B55" s="235" t="s">
        <v>273</v>
      </c>
      <c r="C55" s="236"/>
      <c r="D55" s="237"/>
      <c r="E55" s="237"/>
      <c r="F55" s="237"/>
      <c r="G55" s="238">
        <f t="shared" si="7"/>
        <v>0</v>
      </c>
      <c r="H55" s="239"/>
      <c r="I55" s="237"/>
      <c r="J55" s="237"/>
      <c r="K55" s="243"/>
      <c r="L55" s="242"/>
    </row>
    <row r="56" spans="1:12">
      <c r="A56" s="247"/>
      <c r="B56" s="235" t="s">
        <v>274</v>
      </c>
      <c r="C56" s="244"/>
      <c r="D56" s="240"/>
      <c r="E56" s="240"/>
      <c r="F56" s="240"/>
      <c r="G56" s="238">
        <f t="shared" si="7"/>
        <v>0</v>
      </c>
      <c r="H56" s="245"/>
      <c r="I56" s="240"/>
      <c r="J56" s="240"/>
      <c r="K56" s="246"/>
      <c r="L56" s="242"/>
    </row>
    <row r="57" spans="1:12">
      <c r="A57" s="247"/>
      <c r="B57" s="235" t="s">
        <v>275</v>
      </c>
      <c r="C57" s="244"/>
      <c r="D57" s="240"/>
      <c r="E57" s="240"/>
      <c r="F57" s="240"/>
      <c r="G57" s="238">
        <f t="shared" si="7"/>
        <v>0</v>
      </c>
      <c r="H57" s="245"/>
      <c r="I57" s="240"/>
      <c r="J57" s="240"/>
      <c r="K57" s="246"/>
      <c r="L57" s="242"/>
    </row>
    <row r="58" spans="1:12">
      <c r="A58" s="222"/>
      <c r="B58" s="222"/>
      <c r="C58" s="232" t="s">
        <v>229</v>
      </c>
      <c r="D58" s="248">
        <f>SUM(D50:D57)</f>
        <v>1000</v>
      </c>
      <c r="E58" s="248">
        <f t="shared" ref="E58:G58" si="8">SUM(E50:E57)</f>
        <v>0</v>
      </c>
      <c r="F58" s="248">
        <f t="shared" si="8"/>
        <v>0</v>
      </c>
      <c r="G58" s="251">
        <f t="shared" si="8"/>
        <v>1000</v>
      </c>
      <c r="H58" s="248">
        <f>(H50*G50)+(H51*G51)+(H52*G52)+(H53*G53)+(H54*G54)+(H55*G55)+(H56*G56)+(H57*G57)</f>
        <v>0</v>
      </c>
      <c r="I58" s="248">
        <f>SUM(I50:I57)</f>
        <v>1016.13</v>
      </c>
      <c r="J58" s="249"/>
      <c r="K58" s="246"/>
      <c r="L58" s="250"/>
    </row>
    <row r="59" spans="1:12">
      <c r="A59" s="222"/>
      <c r="B59" s="232" t="s">
        <v>276</v>
      </c>
      <c r="C59" s="345" t="s">
        <v>277</v>
      </c>
      <c r="D59" s="345"/>
      <c r="E59" s="345"/>
      <c r="F59" s="345"/>
      <c r="G59" s="345"/>
      <c r="H59" s="345"/>
      <c r="I59" s="346"/>
      <c r="J59" s="346"/>
      <c r="K59" s="345"/>
      <c r="L59" s="234"/>
    </row>
    <row r="60" spans="1:12" ht="42">
      <c r="A60" s="222"/>
      <c r="B60" s="235" t="s">
        <v>278</v>
      </c>
      <c r="C60" s="236" t="s">
        <v>92</v>
      </c>
      <c r="D60" s="237">
        <v>41745</v>
      </c>
      <c r="E60" s="237"/>
      <c r="F60" s="237"/>
      <c r="G60" s="238">
        <f>D60</f>
        <v>41745</v>
      </c>
      <c r="H60" s="239">
        <v>0.5</v>
      </c>
      <c r="I60" s="237">
        <v>41686.388918084791</v>
      </c>
      <c r="J60" s="237" t="s">
        <v>279</v>
      </c>
      <c r="K60" s="243" t="s">
        <v>280</v>
      </c>
      <c r="L60" s="242"/>
    </row>
    <row r="61" spans="1:12">
      <c r="A61" s="222"/>
      <c r="B61" s="235" t="s">
        <v>281</v>
      </c>
      <c r="C61" s="236"/>
      <c r="D61" s="237"/>
      <c r="E61" s="237"/>
      <c r="F61" s="237"/>
      <c r="G61" s="238">
        <f t="shared" ref="G61:G67" si="9">D61</f>
        <v>0</v>
      </c>
      <c r="H61" s="239"/>
      <c r="I61" s="237"/>
      <c r="J61" s="237"/>
      <c r="K61" s="243"/>
      <c r="L61" s="242"/>
    </row>
    <row r="62" spans="1:12">
      <c r="A62" s="222"/>
      <c r="B62" s="235" t="s">
        <v>282</v>
      </c>
      <c r="C62" s="236"/>
      <c r="D62" s="237"/>
      <c r="E62" s="237"/>
      <c r="F62" s="237"/>
      <c r="G62" s="238">
        <f t="shared" si="9"/>
        <v>0</v>
      </c>
      <c r="H62" s="239"/>
      <c r="I62" s="237"/>
      <c r="J62" s="237"/>
      <c r="K62" s="243"/>
      <c r="L62" s="242"/>
    </row>
    <row r="63" spans="1:12">
      <c r="A63" s="222"/>
      <c r="B63" s="235" t="s">
        <v>283</v>
      </c>
      <c r="C63" s="236"/>
      <c r="D63" s="237"/>
      <c r="E63" s="237"/>
      <c r="F63" s="237"/>
      <c r="G63" s="238">
        <f t="shared" si="9"/>
        <v>0</v>
      </c>
      <c r="H63" s="239"/>
      <c r="I63" s="237"/>
      <c r="J63" s="237"/>
      <c r="K63" s="243"/>
      <c r="L63" s="242"/>
    </row>
    <row r="64" spans="1:12">
      <c r="A64" s="222"/>
      <c r="B64" s="235" t="s">
        <v>284</v>
      </c>
      <c r="C64" s="236"/>
      <c r="D64" s="237"/>
      <c r="E64" s="237"/>
      <c r="F64" s="237"/>
      <c r="G64" s="238">
        <f t="shared" si="9"/>
        <v>0</v>
      </c>
      <c r="H64" s="239"/>
      <c r="I64" s="237"/>
      <c r="J64" s="237"/>
      <c r="K64" s="243"/>
      <c r="L64" s="242"/>
    </row>
    <row r="65" spans="1:12">
      <c r="A65" s="222"/>
      <c r="B65" s="235" t="s">
        <v>285</v>
      </c>
      <c r="C65" s="236"/>
      <c r="D65" s="237"/>
      <c r="E65" s="237"/>
      <c r="F65" s="237"/>
      <c r="G65" s="238">
        <f t="shared" si="9"/>
        <v>0</v>
      </c>
      <c r="H65" s="239"/>
      <c r="I65" s="237"/>
      <c r="J65" s="237"/>
      <c r="K65" s="243"/>
      <c r="L65" s="242"/>
    </row>
    <row r="66" spans="1:12">
      <c r="A66" s="222"/>
      <c r="B66" s="235" t="s">
        <v>286</v>
      </c>
      <c r="C66" s="244"/>
      <c r="D66" s="240"/>
      <c r="E66" s="240"/>
      <c r="F66" s="240"/>
      <c r="G66" s="238">
        <f t="shared" si="9"/>
        <v>0</v>
      </c>
      <c r="H66" s="245"/>
      <c r="I66" s="240"/>
      <c r="J66" s="240"/>
      <c r="K66" s="246"/>
      <c r="L66" s="242"/>
    </row>
    <row r="67" spans="1:12">
      <c r="A67" s="222"/>
      <c r="B67" s="235" t="s">
        <v>287</v>
      </c>
      <c r="C67" s="244"/>
      <c r="D67" s="240"/>
      <c r="E67" s="240"/>
      <c r="F67" s="240"/>
      <c r="G67" s="238">
        <f t="shared" si="9"/>
        <v>0</v>
      </c>
      <c r="H67" s="245"/>
      <c r="I67" s="240"/>
      <c r="J67" s="240"/>
      <c r="K67" s="246"/>
      <c r="L67" s="242"/>
    </row>
    <row r="68" spans="1:12">
      <c r="A68" s="222"/>
      <c r="B68" s="222"/>
      <c r="C68" s="232" t="s">
        <v>229</v>
      </c>
      <c r="D68" s="251">
        <f>SUM(D60:D67)</f>
        <v>41745</v>
      </c>
      <c r="E68" s="251">
        <f t="shared" ref="E68:G68" si="10">SUM(E60:E67)</f>
        <v>0</v>
      </c>
      <c r="F68" s="251">
        <f t="shared" si="10"/>
        <v>0</v>
      </c>
      <c r="G68" s="251">
        <f t="shared" si="10"/>
        <v>41745</v>
      </c>
      <c r="H68" s="248">
        <f>(H60*G60)+(H61*G61)+(H62*G62)+(H63*G63)+(H64*G64)+(H65*G65)+(H66*G66)+(H67*G67)</f>
        <v>20872.5</v>
      </c>
      <c r="I68" s="248">
        <f>SUM(I60:I67)</f>
        <v>41686.388918084791</v>
      </c>
      <c r="J68" s="249"/>
      <c r="K68" s="246"/>
      <c r="L68" s="250"/>
    </row>
    <row r="69" spans="1:12">
      <c r="A69" s="222"/>
      <c r="B69" s="232" t="s">
        <v>288</v>
      </c>
      <c r="C69" s="345" t="s">
        <v>289</v>
      </c>
      <c r="D69" s="345"/>
      <c r="E69" s="345"/>
      <c r="F69" s="345"/>
      <c r="G69" s="345"/>
      <c r="H69" s="345"/>
      <c r="I69" s="346"/>
      <c r="J69" s="346"/>
      <c r="K69" s="345"/>
      <c r="L69" s="234"/>
    </row>
    <row r="70" spans="1:12" ht="52.5">
      <c r="A70" s="222"/>
      <c r="B70" s="235" t="s">
        <v>290</v>
      </c>
      <c r="C70" s="236" t="s">
        <v>99</v>
      </c>
      <c r="D70" s="237">
        <v>47300</v>
      </c>
      <c r="E70" s="237"/>
      <c r="F70" s="237"/>
      <c r="G70" s="238">
        <f>D70</f>
        <v>47300</v>
      </c>
      <c r="H70" s="239">
        <v>0.7</v>
      </c>
      <c r="I70" s="237">
        <v>30449.812966343379</v>
      </c>
      <c r="J70" s="237" t="s">
        <v>291</v>
      </c>
      <c r="K70" s="243" t="s">
        <v>292</v>
      </c>
      <c r="L70" s="242"/>
    </row>
    <row r="71" spans="1:12" ht="42">
      <c r="A71" s="222"/>
      <c r="B71" s="235" t="s">
        <v>293</v>
      </c>
      <c r="C71" s="236" t="s">
        <v>294</v>
      </c>
      <c r="D71" s="237">
        <v>16360</v>
      </c>
      <c r="E71" s="237"/>
      <c r="F71" s="237"/>
      <c r="G71" s="238">
        <f t="shared" ref="G71:G77" si="11">D71</f>
        <v>16360</v>
      </c>
      <c r="H71" s="239">
        <v>0.85</v>
      </c>
      <c r="I71" s="237">
        <v>12926.189476825744</v>
      </c>
      <c r="J71" s="237" t="s">
        <v>295</v>
      </c>
      <c r="K71" s="243" t="s">
        <v>296</v>
      </c>
      <c r="L71" s="242"/>
    </row>
    <row r="72" spans="1:12">
      <c r="A72" s="222"/>
      <c r="B72" s="235" t="s">
        <v>297</v>
      </c>
      <c r="C72" s="236"/>
      <c r="D72" s="237"/>
      <c r="E72" s="237"/>
      <c r="F72" s="237"/>
      <c r="G72" s="238">
        <f t="shared" si="11"/>
        <v>0</v>
      </c>
      <c r="H72" s="239"/>
      <c r="I72" s="237"/>
      <c r="J72" s="237"/>
      <c r="K72" s="243"/>
      <c r="L72" s="242"/>
    </row>
    <row r="73" spans="1:12">
      <c r="A73" s="247"/>
      <c r="B73" s="235" t="s">
        <v>298</v>
      </c>
      <c r="C73" s="236"/>
      <c r="D73" s="237"/>
      <c r="E73" s="237"/>
      <c r="F73" s="237"/>
      <c r="G73" s="238">
        <f t="shared" si="11"/>
        <v>0</v>
      </c>
      <c r="H73" s="239"/>
      <c r="I73" s="237"/>
      <c r="J73" s="237"/>
      <c r="K73" s="243"/>
      <c r="L73" s="242"/>
    </row>
    <row r="74" spans="1:12">
      <c r="A74" s="222"/>
      <c r="B74" s="235" t="s">
        <v>299</v>
      </c>
      <c r="C74" s="236"/>
      <c r="D74" s="237"/>
      <c r="E74" s="237"/>
      <c r="F74" s="237"/>
      <c r="G74" s="238">
        <f t="shared" si="11"/>
        <v>0</v>
      </c>
      <c r="H74" s="239"/>
      <c r="I74" s="237"/>
      <c r="J74" s="237"/>
      <c r="K74" s="243"/>
      <c r="L74" s="242"/>
    </row>
    <row r="75" spans="1:12">
      <c r="A75" s="222"/>
      <c r="B75" s="235" t="s">
        <v>300</v>
      </c>
      <c r="C75" s="236"/>
      <c r="D75" s="237"/>
      <c r="E75" s="237"/>
      <c r="F75" s="237"/>
      <c r="G75" s="238">
        <f t="shared" si="11"/>
        <v>0</v>
      </c>
      <c r="H75" s="239"/>
      <c r="I75" s="237"/>
      <c r="J75" s="237"/>
      <c r="K75" s="243"/>
      <c r="L75" s="242"/>
    </row>
    <row r="76" spans="1:12">
      <c r="A76" s="222"/>
      <c r="B76" s="235" t="s">
        <v>301</v>
      </c>
      <c r="C76" s="244"/>
      <c r="D76" s="240"/>
      <c r="E76" s="240"/>
      <c r="F76" s="240"/>
      <c r="G76" s="238">
        <f t="shared" si="11"/>
        <v>0</v>
      </c>
      <c r="H76" s="245"/>
      <c r="I76" s="240"/>
      <c r="J76" s="240"/>
      <c r="K76" s="246"/>
      <c r="L76" s="242"/>
    </row>
    <row r="77" spans="1:12">
      <c r="A77" s="222"/>
      <c r="B77" s="235" t="s">
        <v>302</v>
      </c>
      <c r="C77" s="244"/>
      <c r="D77" s="240"/>
      <c r="E77" s="240"/>
      <c r="F77" s="240"/>
      <c r="G77" s="238">
        <f t="shared" si="11"/>
        <v>0</v>
      </c>
      <c r="H77" s="245"/>
      <c r="I77" s="240"/>
      <c r="J77" s="240"/>
      <c r="K77" s="246"/>
      <c r="L77" s="242"/>
    </row>
    <row r="78" spans="1:12">
      <c r="A78" s="222"/>
      <c r="B78" s="222"/>
      <c r="C78" s="232" t="s">
        <v>229</v>
      </c>
      <c r="D78" s="251">
        <f>SUM(D70:D77)</f>
        <v>63660</v>
      </c>
      <c r="E78" s="251">
        <f t="shared" ref="E78:G78" si="12">SUM(E70:E77)</f>
        <v>0</v>
      </c>
      <c r="F78" s="251">
        <f t="shared" si="12"/>
        <v>0</v>
      </c>
      <c r="G78" s="251">
        <f t="shared" si="12"/>
        <v>63660</v>
      </c>
      <c r="H78" s="248">
        <f>(H70*G70)+(H71*G71)+(H72*G72)+(H73*G73)+(H74*G74)+(H75*G75)+(H76*G76)+(H77*G77)</f>
        <v>47016</v>
      </c>
      <c r="I78" s="248">
        <f>SUM(I70:I77)</f>
        <v>43376.002443169127</v>
      </c>
      <c r="J78" s="249"/>
      <c r="K78" s="246"/>
      <c r="L78" s="250"/>
    </row>
    <row r="79" spans="1:12">
      <c r="A79" s="222"/>
      <c r="B79" s="232" t="s">
        <v>303</v>
      </c>
      <c r="C79" s="345" t="s">
        <v>304</v>
      </c>
      <c r="D79" s="345"/>
      <c r="E79" s="345"/>
      <c r="F79" s="345"/>
      <c r="G79" s="345"/>
      <c r="H79" s="345"/>
      <c r="I79" s="346"/>
      <c r="J79" s="346"/>
      <c r="K79" s="345"/>
      <c r="L79" s="234"/>
    </row>
    <row r="80" spans="1:12" ht="42">
      <c r="A80" s="222"/>
      <c r="B80" s="235" t="s">
        <v>305</v>
      </c>
      <c r="C80" s="236" t="s">
        <v>130</v>
      </c>
      <c r="D80" s="237">
        <v>46750</v>
      </c>
      <c r="E80" s="237"/>
      <c r="F80" s="237"/>
      <c r="G80" s="238">
        <f>D80</f>
        <v>46750</v>
      </c>
      <c r="H80" s="239">
        <v>0.5</v>
      </c>
      <c r="I80" s="237">
        <v>45867.280167498815</v>
      </c>
      <c r="J80" s="237"/>
      <c r="K80" s="243" t="s">
        <v>306</v>
      </c>
      <c r="L80" s="242"/>
    </row>
    <row r="81" spans="1:12">
      <c r="A81" s="222"/>
      <c r="B81" s="235" t="s">
        <v>307</v>
      </c>
      <c r="C81" s="236"/>
      <c r="D81" s="237"/>
      <c r="E81" s="237"/>
      <c r="F81" s="237"/>
      <c r="G81" s="238">
        <f t="shared" ref="G81:G87" si="13">D81</f>
        <v>0</v>
      </c>
      <c r="H81" s="239"/>
      <c r="I81" s="237"/>
      <c r="J81" s="237"/>
      <c r="K81" s="243"/>
      <c r="L81" s="242"/>
    </row>
    <row r="82" spans="1:12">
      <c r="A82" s="222"/>
      <c r="B82" s="235" t="s">
        <v>308</v>
      </c>
      <c r="C82" s="236"/>
      <c r="D82" s="237"/>
      <c r="E82" s="237"/>
      <c r="F82" s="237"/>
      <c r="G82" s="238">
        <f t="shared" si="13"/>
        <v>0</v>
      </c>
      <c r="H82" s="239"/>
      <c r="I82" s="237"/>
      <c r="J82" s="237"/>
      <c r="K82" s="243"/>
      <c r="L82" s="242"/>
    </row>
    <row r="83" spans="1:12">
      <c r="A83" s="222"/>
      <c r="B83" s="235" t="s">
        <v>309</v>
      </c>
      <c r="C83" s="236"/>
      <c r="D83" s="237"/>
      <c r="E83" s="237"/>
      <c r="F83" s="237"/>
      <c r="G83" s="238">
        <f t="shared" si="13"/>
        <v>0</v>
      </c>
      <c r="H83" s="239"/>
      <c r="I83" s="237"/>
      <c r="J83" s="237"/>
      <c r="K83" s="243"/>
      <c r="L83" s="242"/>
    </row>
    <row r="84" spans="1:12">
      <c r="A84" s="222"/>
      <c r="B84" s="235" t="s">
        <v>310</v>
      </c>
      <c r="C84" s="236"/>
      <c r="D84" s="237"/>
      <c r="E84" s="237"/>
      <c r="F84" s="237"/>
      <c r="G84" s="238">
        <f t="shared" si="13"/>
        <v>0</v>
      </c>
      <c r="H84" s="239"/>
      <c r="I84" s="237"/>
      <c r="J84" s="237"/>
      <c r="K84" s="243"/>
      <c r="L84" s="242"/>
    </row>
    <row r="85" spans="1:12">
      <c r="A85" s="222"/>
      <c r="B85" s="235" t="s">
        <v>311</v>
      </c>
      <c r="C85" s="236"/>
      <c r="D85" s="237"/>
      <c r="E85" s="237"/>
      <c r="F85" s="237"/>
      <c r="G85" s="238">
        <f t="shared" si="13"/>
        <v>0</v>
      </c>
      <c r="H85" s="239"/>
      <c r="I85" s="237"/>
      <c r="J85" s="237"/>
      <c r="K85" s="243"/>
      <c r="L85" s="242"/>
    </row>
    <row r="86" spans="1:12">
      <c r="A86" s="222"/>
      <c r="B86" s="235" t="s">
        <v>312</v>
      </c>
      <c r="C86" s="244"/>
      <c r="D86" s="240"/>
      <c r="E86" s="240"/>
      <c r="F86" s="240"/>
      <c r="G86" s="238">
        <f t="shared" si="13"/>
        <v>0</v>
      </c>
      <c r="H86" s="245"/>
      <c r="I86" s="240"/>
      <c r="J86" s="240"/>
      <c r="K86" s="246"/>
      <c r="L86" s="242"/>
    </row>
    <row r="87" spans="1:12">
      <c r="A87" s="222"/>
      <c r="B87" s="235" t="s">
        <v>313</v>
      </c>
      <c r="C87" s="244"/>
      <c r="D87" s="240"/>
      <c r="E87" s="240"/>
      <c r="F87" s="240"/>
      <c r="G87" s="238">
        <f t="shared" si="13"/>
        <v>0</v>
      </c>
      <c r="H87" s="245"/>
      <c r="I87" s="240"/>
      <c r="J87" s="240"/>
      <c r="K87" s="246"/>
      <c r="L87" s="242"/>
    </row>
    <row r="88" spans="1:12">
      <c r="A88" s="222"/>
      <c r="B88" s="222"/>
      <c r="C88" s="232" t="s">
        <v>229</v>
      </c>
      <c r="D88" s="248">
        <f>SUM(D80:D87)</f>
        <v>46750</v>
      </c>
      <c r="E88" s="248">
        <f t="shared" ref="E88:G88" si="14">SUM(E80:E87)</f>
        <v>0</v>
      </c>
      <c r="F88" s="248">
        <f t="shared" si="14"/>
        <v>0</v>
      </c>
      <c r="G88" s="248">
        <f t="shared" si="14"/>
        <v>46750</v>
      </c>
      <c r="H88" s="248">
        <f>(H80*G80)+(H81*G81)+(H82*G82)+(H83*G83)+(H84*G84)+(H85*G85)+(H86*G86)+(H87*G87)</f>
        <v>23375</v>
      </c>
      <c r="I88" s="248">
        <f>SUM(I80:I87)</f>
        <v>45867.280167498815</v>
      </c>
      <c r="J88" s="249"/>
      <c r="K88" s="246"/>
      <c r="L88" s="250"/>
    </row>
    <row r="89" spans="1:12">
      <c r="A89" s="222"/>
      <c r="B89" s="255"/>
      <c r="C89" s="252"/>
      <c r="D89" s="256"/>
      <c r="E89" s="256"/>
      <c r="F89" s="256"/>
      <c r="G89" s="256"/>
      <c r="H89" s="256"/>
      <c r="I89" s="256"/>
      <c r="J89" s="256"/>
      <c r="K89" s="252"/>
      <c r="L89" s="257"/>
    </row>
    <row r="90" spans="1:12">
      <c r="A90" s="222"/>
      <c r="B90" s="232" t="s">
        <v>314</v>
      </c>
      <c r="C90" s="358" t="s">
        <v>315</v>
      </c>
      <c r="D90" s="358"/>
      <c r="E90" s="358"/>
      <c r="F90" s="358"/>
      <c r="G90" s="358"/>
      <c r="H90" s="358"/>
      <c r="I90" s="359"/>
      <c r="J90" s="359"/>
      <c r="K90" s="358"/>
      <c r="L90" s="233"/>
    </row>
    <row r="91" spans="1:12">
      <c r="A91" s="222"/>
      <c r="B91" s="232" t="s">
        <v>316</v>
      </c>
      <c r="C91" s="345" t="s">
        <v>317</v>
      </c>
      <c r="D91" s="345"/>
      <c r="E91" s="345"/>
      <c r="F91" s="345"/>
      <c r="G91" s="345"/>
      <c r="H91" s="345"/>
      <c r="I91" s="346"/>
      <c r="J91" s="346"/>
      <c r="K91" s="345"/>
      <c r="L91" s="234"/>
    </row>
    <row r="92" spans="1:12" ht="42">
      <c r="A92" s="222"/>
      <c r="B92" s="235" t="s">
        <v>318</v>
      </c>
      <c r="C92" s="236" t="s">
        <v>140</v>
      </c>
      <c r="D92" s="237">
        <v>18850</v>
      </c>
      <c r="E92" s="237"/>
      <c r="F92" s="237"/>
      <c r="G92" s="238">
        <f>D92</f>
        <v>18850</v>
      </c>
      <c r="H92" s="239">
        <v>0.55000000000000004</v>
      </c>
      <c r="I92" s="237"/>
      <c r="J92" s="240" t="s">
        <v>319</v>
      </c>
      <c r="K92" s="243" t="s">
        <v>320</v>
      </c>
      <c r="L92" s="242"/>
    </row>
    <row r="93" spans="1:12">
      <c r="A93" s="222"/>
      <c r="B93" s="235" t="s">
        <v>321</v>
      </c>
      <c r="C93" s="236"/>
      <c r="D93" s="237"/>
      <c r="E93" s="237"/>
      <c r="F93" s="237"/>
      <c r="G93" s="238">
        <f t="shared" ref="G93:G99" si="15">D93</f>
        <v>0</v>
      </c>
      <c r="H93" s="239"/>
      <c r="I93" s="237"/>
      <c r="J93" s="237"/>
      <c r="K93" s="243"/>
      <c r="L93" s="242"/>
    </row>
    <row r="94" spans="1:12">
      <c r="A94" s="222"/>
      <c r="B94" s="235" t="s">
        <v>322</v>
      </c>
      <c r="C94" s="236"/>
      <c r="D94" s="237"/>
      <c r="E94" s="237"/>
      <c r="F94" s="237"/>
      <c r="G94" s="238">
        <f t="shared" si="15"/>
        <v>0</v>
      </c>
      <c r="H94" s="239"/>
      <c r="I94" s="237"/>
      <c r="J94" s="237"/>
      <c r="K94" s="243"/>
      <c r="L94" s="242"/>
    </row>
    <row r="95" spans="1:12">
      <c r="A95" s="222"/>
      <c r="B95" s="235" t="s">
        <v>323</v>
      </c>
      <c r="C95" s="236"/>
      <c r="D95" s="237"/>
      <c r="E95" s="237"/>
      <c r="F95" s="237"/>
      <c r="G95" s="238">
        <f t="shared" si="15"/>
        <v>0</v>
      </c>
      <c r="H95" s="239"/>
      <c r="I95" s="237"/>
      <c r="J95" s="237"/>
      <c r="K95" s="243"/>
      <c r="L95" s="242"/>
    </row>
    <row r="96" spans="1:12">
      <c r="A96" s="222"/>
      <c r="B96" s="235" t="s">
        <v>324</v>
      </c>
      <c r="C96" s="236"/>
      <c r="D96" s="237"/>
      <c r="E96" s="237"/>
      <c r="F96" s="237"/>
      <c r="G96" s="238">
        <f t="shared" si="15"/>
        <v>0</v>
      </c>
      <c r="H96" s="239"/>
      <c r="I96" s="237"/>
      <c r="J96" s="237"/>
      <c r="K96" s="243"/>
      <c r="L96" s="242"/>
    </row>
    <row r="97" spans="1:12">
      <c r="A97" s="222"/>
      <c r="B97" s="235" t="s">
        <v>325</v>
      </c>
      <c r="C97" s="236"/>
      <c r="D97" s="237"/>
      <c r="E97" s="237"/>
      <c r="F97" s="237"/>
      <c r="G97" s="238">
        <f t="shared" si="15"/>
        <v>0</v>
      </c>
      <c r="H97" s="239"/>
      <c r="I97" s="237"/>
      <c r="J97" s="237"/>
      <c r="K97" s="243"/>
      <c r="L97" s="242"/>
    </row>
    <row r="98" spans="1:12">
      <c r="A98" s="222"/>
      <c r="B98" s="235" t="s">
        <v>326</v>
      </c>
      <c r="C98" s="244"/>
      <c r="D98" s="240"/>
      <c r="E98" s="240"/>
      <c r="F98" s="240"/>
      <c r="G98" s="238">
        <f t="shared" si="15"/>
        <v>0</v>
      </c>
      <c r="H98" s="245"/>
      <c r="I98" s="240"/>
      <c r="J98" s="240"/>
      <c r="K98" s="246"/>
      <c r="L98" s="242"/>
    </row>
    <row r="99" spans="1:12">
      <c r="A99" s="222"/>
      <c r="B99" s="235" t="s">
        <v>327</v>
      </c>
      <c r="C99" s="244"/>
      <c r="D99" s="240"/>
      <c r="E99" s="240"/>
      <c r="F99" s="240"/>
      <c r="G99" s="238">
        <f t="shared" si="15"/>
        <v>0</v>
      </c>
      <c r="H99" s="245"/>
      <c r="I99" s="240"/>
      <c r="J99" s="240"/>
      <c r="K99" s="246"/>
      <c r="L99" s="242"/>
    </row>
    <row r="100" spans="1:12">
      <c r="A100" s="222"/>
      <c r="B100" s="222"/>
      <c r="C100" s="232" t="s">
        <v>229</v>
      </c>
      <c r="D100" s="248">
        <f>SUM(D92:D99)</f>
        <v>18850</v>
      </c>
      <c r="E100" s="248">
        <f t="shared" ref="E100:G100" si="16">SUM(E92:E99)</f>
        <v>0</v>
      </c>
      <c r="F100" s="248">
        <f t="shared" si="16"/>
        <v>0</v>
      </c>
      <c r="G100" s="251">
        <f t="shared" si="16"/>
        <v>18850</v>
      </c>
      <c r="H100" s="248">
        <f>(H92*G92)+(H93*G93)+(H94*G94)+(H95*G95)+(H96*G96)+(H97*G97)+(H98*G98)+(H99*G99)</f>
        <v>10367.5</v>
      </c>
      <c r="I100" s="248">
        <f>SUM(I92:I99)</f>
        <v>0</v>
      </c>
      <c r="J100" s="249"/>
      <c r="K100" s="246"/>
      <c r="L100" s="250"/>
    </row>
    <row r="101" spans="1:12">
      <c r="A101" s="222"/>
      <c r="B101" s="232" t="s">
        <v>328</v>
      </c>
      <c r="C101" s="345" t="s">
        <v>329</v>
      </c>
      <c r="D101" s="345"/>
      <c r="E101" s="345"/>
      <c r="F101" s="345"/>
      <c r="G101" s="345"/>
      <c r="H101" s="345"/>
      <c r="I101" s="346"/>
      <c r="J101" s="346"/>
      <c r="K101" s="345"/>
      <c r="L101" s="234"/>
    </row>
    <row r="102" spans="1:12" ht="31.5">
      <c r="A102" s="222"/>
      <c r="B102" s="235" t="s">
        <v>330</v>
      </c>
      <c r="C102" s="236" t="s">
        <v>147</v>
      </c>
      <c r="D102" s="237">
        <v>55350</v>
      </c>
      <c r="E102" s="237"/>
      <c r="F102" s="237"/>
      <c r="G102" s="238">
        <f>D102</f>
        <v>55350</v>
      </c>
      <c r="H102" s="239">
        <v>0.5</v>
      </c>
      <c r="I102" s="237">
        <v>48888</v>
      </c>
      <c r="J102" s="237" t="s">
        <v>279</v>
      </c>
      <c r="K102" s="243" t="s">
        <v>331</v>
      </c>
      <c r="L102" s="242"/>
    </row>
    <row r="103" spans="1:12">
      <c r="A103" s="222"/>
      <c r="B103" s="235" t="s">
        <v>332</v>
      </c>
      <c r="C103" s="236"/>
      <c r="D103" s="237"/>
      <c r="E103" s="237"/>
      <c r="F103" s="237"/>
      <c r="G103" s="238">
        <f t="shared" ref="G103:G109" si="17">D103</f>
        <v>0</v>
      </c>
      <c r="H103" s="239"/>
      <c r="I103" s="237"/>
      <c r="J103" s="237"/>
      <c r="K103" s="243"/>
      <c r="L103" s="242"/>
    </row>
    <row r="104" spans="1:12">
      <c r="A104" s="222"/>
      <c r="B104" s="235" t="s">
        <v>333</v>
      </c>
      <c r="C104" s="236"/>
      <c r="D104" s="237"/>
      <c r="E104" s="237"/>
      <c r="F104" s="237"/>
      <c r="G104" s="238">
        <f t="shared" si="17"/>
        <v>0</v>
      </c>
      <c r="H104" s="239"/>
      <c r="I104" s="237"/>
      <c r="J104" s="237"/>
      <c r="K104" s="243"/>
      <c r="L104" s="242"/>
    </row>
    <row r="105" spans="1:12">
      <c r="A105" s="222"/>
      <c r="B105" s="235" t="s">
        <v>334</v>
      </c>
      <c r="C105" s="236"/>
      <c r="D105" s="237"/>
      <c r="E105" s="237"/>
      <c r="F105" s="237"/>
      <c r="G105" s="238">
        <f t="shared" si="17"/>
        <v>0</v>
      </c>
      <c r="H105" s="239"/>
      <c r="I105" s="237"/>
      <c r="J105" s="237"/>
      <c r="K105" s="243"/>
      <c r="L105" s="242"/>
    </row>
    <row r="106" spans="1:12">
      <c r="A106" s="222"/>
      <c r="B106" s="235" t="s">
        <v>335</v>
      </c>
      <c r="C106" s="236"/>
      <c r="D106" s="237"/>
      <c r="E106" s="237"/>
      <c r="F106" s="237"/>
      <c r="G106" s="238">
        <f t="shared" si="17"/>
        <v>0</v>
      </c>
      <c r="H106" s="239"/>
      <c r="I106" s="237"/>
      <c r="J106" s="237"/>
      <c r="K106" s="243"/>
      <c r="L106" s="242"/>
    </row>
    <row r="107" spans="1:12">
      <c r="A107" s="222"/>
      <c r="B107" s="235" t="s">
        <v>336</v>
      </c>
      <c r="C107" s="236"/>
      <c r="D107" s="237"/>
      <c r="E107" s="237"/>
      <c r="F107" s="237"/>
      <c r="G107" s="238">
        <f t="shared" si="17"/>
        <v>0</v>
      </c>
      <c r="H107" s="239"/>
      <c r="I107" s="237"/>
      <c r="J107" s="237"/>
      <c r="K107" s="243"/>
      <c r="L107" s="242"/>
    </row>
    <row r="108" spans="1:12">
      <c r="A108" s="222"/>
      <c r="B108" s="235" t="s">
        <v>337</v>
      </c>
      <c r="C108" s="244"/>
      <c r="D108" s="240"/>
      <c r="E108" s="240"/>
      <c r="F108" s="240"/>
      <c r="G108" s="238">
        <f t="shared" si="17"/>
        <v>0</v>
      </c>
      <c r="H108" s="245"/>
      <c r="I108" s="240"/>
      <c r="J108" s="240"/>
      <c r="K108" s="246"/>
      <c r="L108" s="242"/>
    </row>
    <row r="109" spans="1:12">
      <c r="A109" s="222"/>
      <c r="B109" s="235" t="s">
        <v>338</v>
      </c>
      <c r="C109" s="244"/>
      <c r="D109" s="240"/>
      <c r="E109" s="240"/>
      <c r="F109" s="240"/>
      <c r="G109" s="238">
        <f t="shared" si="17"/>
        <v>0</v>
      </c>
      <c r="H109" s="245"/>
      <c r="I109" s="240"/>
      <c r="J109" s="240"/>
      <c r="K109" s="246"/>
      <c r="L109" s="242"/>
    </row>
    <row r="110" spans="1:12">
      <c r="A110" s="222"/>
      <c r="B110" s="222"/>
      <c r="C110" s="232" t="s">
        <v>229</v>
      </c>
      <c r="D110" s="251">
        <f>SUM(D102:D109)</f>
        <v>55350</v>
      </c>
      <c r="E110" s="251">
        <f t="shared" ref="E110:G110" si="18">SUM(E102:E109)</f>
        <v>0</v>
      </c>
      <c r="F110" s="251">
        <f t="shared" si="18"/>
        <v>0</v>
      </c>
      <c r="G110" s="251">
        <f t="shared" si="18"/>
        <v>55350</v>
      </c>
      <c r="H110" s="248">
        <f>(H102*G102)+(H103*G103)+(H104*G104)+(H105*G105)+(H106*G106)+(H107*G107)+(H108*G108)+(H109*G109)</f>
        <v>27675</v>
      </c>
      <c r="I110" s="248">
        <f>SUM(I102:I109)</f>
        <v>48888</v>
      </c>
      <c r="J110" s="249"/>
      <c r="K110" s="246"/>
      <c r="L110" s="250"/>
    </row>
    <row r="111" spans="1:12">
      <c r="A111" s="222"/>
      <c r="B111" s="232" t="s">
        <v>339</v>
      </c>
      <c r="C111" s="345" t="s">
        <v>340</v>
      </c>
      <c r="D111" s="345"/>
      <c r="E111" s="345"/>
      <c r="F111" s="345"/>
      <c r="G111" s="345"/>
      <c r="H111" s="345"/>
      <c r="I111" s="346"/>
      <c r="J111" s="346"/>
      <c r="K111" s="345"/>
      <c r="L111" s="234"/>
    </row>
    <row r="112" spans="1:12" ht="42">
      <c r="A112" s="222"/>
      <c r="B112" s="235" t="s">
        <v>341</v>
      </c>
      <c r="C112" s="236" t="s">
        <v>158</v>
      </c>
      <c r="D112" s="237">
        <v>30790</v>
      </c>
      <c r="E112" s="237"/>
      <c r="F112" s="237"/>
      <c r="G112" s="238">
        <f>D112</f>
        <v>30790</v>
      </c>
      <c r="H112" s="239">
        <v>0.5</v>
      </c>
      <c r="I112" s="237"/>
      <c r="J112" s="237" t="s">
        <v>279</v>
      </c>
      <c r="K112" s="241" t="s">
        <v>342</v>
      </c>
      <c r="L112" s="242"/>
    </row>
    <row r="113" spans="1:12">
      <c r="A113" s="222"/>
      <c r="B113" s="235" t="s">
        <v>343</v>
      </c>
      <c r="C113" s="236"/>
      <c r="D113" s="237"/>
      <c r="E113" s="237"/>
      <c r="F113" s="237"/>
      <c r="G113" s="238">
        <f t="shared" ref="G113:G119" si="19">D113</f>
        <v>0</v>
      </c>
      <c r="H113" s="239"/>
      <c r="I113" s="237"/>
      <c r="J113" s="237"/>
      <c r="K113" s="243"/>
      <c r="L113" s="242"/>
    </row>
    <row r="114" spans="1:12">
      <c r="A114" s="222"/>
      <c r="B114" s="235" t="s">
        <v>344</v>
      </c>
      <c r="C114" s="236"/>
      <c r="D114" s="237"/>
      <c r="E114" s="237"/>
      <c r="F114" s="237"/>
      <c r="G114" s="238">
        <f t="shared" si="19"/>
        <v>0</v>
      </c>
      <c r="H114" s="239"/>
      <c r="I114" s="237"/>
      <c r="J114" s="237"/>
      <c r="K114" s="243"/>
      <c r="L114" s="242"/>
    </row>
    <row r="115" spans="1:12">
      <c r="A115" s="222"/>
      <c r="B115" s="235" t="s">
        <v>345</v>
      </c>
      <c r="C115" s="236"/>
      <c r="D115" s="237"/>
      <c r="E115" s="237"/>
      <c r="F115" s="237"/>
      <c r="G115" s="238">
        <f t="shared" si="19"/>
        <v>0</v>
      </c>
      <c r="H115" s="239"/>
      <c r="I115" s="237"/>
      <c r="J115" s="237"/>
      <c r="K115" s="243"/>
      <c r="L115" s="242"/>
    </row>
    <row r="116" spans="1:12">
      <c r="A116" s="222"/>
      <c r="B116" s="235" t="s">
        <v>346</v>
      </c>
      <c r="C116" s="236"/>
      <c r="D116" s="237"/>
      <c r="E116" s="237"/>
      <c r="F116" s="237"/>
      <c r="G116" s="238">
        <f t="shared" si="19"/>
        <v>0</v>
      </c>
      <c r="H116" s="239"/>
      <c r="I116" s="237"/>
      <c r="J116" s="237"/>
      <c r="K116" s="243"/>
      <c r="L116" s="242"/>
    </row>
    <row r="117" spans="1:12">
      <c r="A117" s="222"/>
      <c r="B117" s="235" t="s">
        <v>347</v>
      </c>
      <c r="C117" s="236"/>
      <c r="D117" s="237"/>
      <c r="E117" s="237"/>
      <c r="F117" s="237"/>
      <c r="G117" s="238">
        <f t="shared" si="19"/>
        <v>0</v>
      </c>
      <c r="H117" s="239"/>
      <c r="I117" s="237"/>
      <c r="J117" s="237"/>
      <c r="K117" s="243"/>
      <c r="L117" s="242"/>
    </row>
    <row r="118" spans="1:12">
      <c r="A118" s="222"/>
      <c r="B118" s="235" t="s">
        <v>348</v>
      </c>
      <c r="C118" s="244"/>
      <c r="D118" s="240"/>
      <c r="E118" s="240"/>
      <c r="F118" s="240"/>
      <c r="G118" s="238">
        <f t="shared" si="19"/>
        <v>0</v>
      </c>
      <c r="H118" s="245"/>
      <c r="I118" s="240"/>
      <c r="J118" s="240"/>
      <c r="K118" s="246"/>
      <c r="L118" s="242"/>
    </row>
    <row r="119" spans="1:12">
      <c r="A119" s="222"/>
      <c r="B119" s="235" t="s">
        <v>349</v>
      </c>
      <c r="C119" s="244"/>
      <c r="D119" s="240"/>
      <c r="E119" s="240"/>
      <c r="F119" s="240"/>
      <c r="G119" s="238">
        <f t="shared" si="19"/>
        <v>0</v>
      </c>
      <c r="H119" s="245"/>
      <c r="I119" s="240"/>
      <c r="J119" s="240"/>
      <c r="K119" s="246"/>
      <c r="L119" s="242"/>
    </row>
    <row r="120" spans="1:12">
      <c r="A120" s="222"/>
      <c r="B120" s="222"/>
      <c r="C120" s="232" t="s">
        <v>229</v>
      </c>
      <c r="D120" s="251">
        <f>SUM(D112:D119)</f>
        <v>30790</v>
      </c>
      <c r="E120" s="251">
        <f t="shared" ref="E120:G120" si="20">SUM(E112:E119)</f>
        <v>0</v>
      </c>
      <c r="F120" s="251">
        <f t="shared" si="20"/>
        <v>0</v>
      </c>
      <c r="G120" s="251">
        <f t="shared" si="20"/>
        <v>30790</v>
      </c>
      <c r="H120" s="248">
        <f>(H112*G112)+(H113*G113)+(H114*G114)+(H115*G115)+(H116*G116)+(H117*G117)+(H118*G118)+(H119*G119)</f>
        <v>15395</v>
      </c>
      <c r="I120" s="248">
        <f>SUM(I112:I119)</f>
        <v>0</v>
      </c>
      <c r="J120" s="249"/>
      <c r="K120" s="246"/>
      <c r="L120" s="250"/>
    </row>
    <row r="121" spans="1:12">
      <c r="A121" s="222"/>
      <c r="B121" s="232" t="s">
        <v>350</v>
      </c>
      <c r="C121" s="345"/>
      <c r="D121" s="345"/>
      <c r="E121" s="345"/>
      <c r="F121" s="345"/>
      <c r="G121" s="345"/>
      <c r="H121" s="345"/>
      <c r="I121" s="346"/>
      <c r="J121" s="346"/>
      <c r="K121" s="345"/>
      <c r="L121" s="234"/>
    </row>
    <row r="122" spans="1:12">
      <c r="A122" s="222"/>
      <c r="B122" s="235" t="s">
        <v>351</v>
      </c>
      <c r="C122" s="236"/>
      <c r="D122" s="237"/>
      <c r="E122" s="237"/>
      <c r="F122" s="237"/>
      <c r="G122" s="238">
        <f>D122</f>
        <v>0</v>
      </c>
      <c r="H122" s="239"/>
      <c r="I122" s="237"/>
      <c r="J122" s="237"/>
      <c r="K122" s="243"/>
      <c r="L122" s="242"/>
    </row>
    <row r="123" spans="1:12">
      <c r="A123" s="222"/>
      <c r="B123" s="235" t="s">
        <v>352</v>
      </c>
      <c r="C123" s="236"/>
      <c r="D123" s="237"/>
      <c r="E123" s="237"/>
      <c r="F123" s="237"/>
      <c r="G123" s="238">
        <f t="shared" ref="G123:G129" si="21">D123</f>
        <v>0</v>
      </c>
      <c r="H123" s="239"/>
      <c r="I123" s="237"/>
      <c r="J123" s="237"/>
      <c r="K123" s="243"/>
      <c r="L123" s="242"/>
    </row>
    <row r="124" spans="1:12">
      <c r="A124" s="222"/>
      <c r="B124" s="235" t="s">
        <v>353</v>
      </c>
      <c r="C124" s="236"/>
      <c r="D124" s="237"/>
      <c r="E124" s="237"/>
      <c r="F124" s="237"/>
      <c r="G124" s="238">
        <f t="shared" si="21"/>
        <v>0</v>
      </c>
      <c r="H124" s="239"/>
      <c r="I124" s="237"/>
      <c r="J124" s="237"/>
      <c r="K124" s="243"/>
      <c r="L124" s="242"/>
    </row>
    <row r="125" spans="1:12">
      <c r="A125" s="222"/>
      <c r="B125" s="235" t="s">
        <v>354</v>
      </c>
      <c r="C125" s="236"/>
      <c r="D125" s="237"/>
      <c r="E125" s="237"/>
      <c r="F125" s="237"/>
      <c r="G125" s="238">
        <f t="shared" si="21"/>
        <v>0</v>
      </c>
      <c r="H125" s="239"/>
      <c r="I125" s="237"/>
      <c r="J125" s="237"/>
      <c r="K125" s="243"/>
      <c r="L125" s="242"/>
    </row>
    <row r="126" spans="1:12">
      <c r="A126" s="222"/>
      <c r="B126" s="235" t="s">
        <v>355</v>
      </c>
      <c r="C126" s="236"/>
      <c r="D126" s="237"/>
      <c r="E126" s="237"/>
      <c r="F126" s="237"/>
      <c r="G126" s="238">
        <f t="shared" si="21"/>
        <v>0</v>
      </c>
      <c r="H126" s="239"/>
      <c r="I126" s="237"/>
      <c r="J126" s="237"/>
      <c r="K126" s="243"/>
      <c r="L126" s="242"/>
    </row>
    <row r="127" spans="1:12">
      <c r="A127" s="222"/>
      <c r="B127" s="235" t="s">
        <v>356</v>
      </c>
      <c r="C127" s="236"/>
      <c r="D127" s="237"/>
      <c r="E127" s="237"/>
      <c r="F127" s="237"/>
      <c r="G127" s="238">
        <f t="shared" si="21"/>
        <v>0</v>
      </c>
      <c r="H127" s="239"/>
      <c r="I127" s="237"/>
      <c r="J127" s="237"/>
      <c r="K127" s="243"/>
      <c r="L127" s="242"/>
    </row>
    <row r="128" spans="1:12">
      <c r="A128" s="222"/>
      <c r="B128" s="235" t="s">
        <v>357</v>
      </c>
      <c r="C128" s="244"/>
      <c r="D128" s="240"/>
      <c r="E128" s="240"/>
      <c r="F128" s="240"/>
      <c r="G128" s="238">
        <f t="shared" si="21"/>
        <v>0</v>
      </c>
      <c r="H128" s="245"/>
      <c r="I128" s="240"/>
      <c r="J128" s="240"/>
      <c r="K128" s="246"/>
      <c r="L128" s="242"/>
    </row>
    <row r="129" spans="1:12">
      <c r="A129" s="222"/>
      <c r="B129" s="235" t="s">
        <v>358</v>
      </c>
      <c r="C129" s="244"/>
      <c r="D129" s="240"/>
      <c r="E129" s="240"/>
      <c r="F129" s="240"/>
      <c r="G129" s="238">
        <f t="shared" si="21"/>
        <v>0</v>
      </c>
      <c r="H129" s="245"/>
      <c r="I129" s="240"/>
      <c r="J129" s="240"/>
      <c r="K129" s="246"/>
      <c r="L129" s="242"/>
    </row>
    <row r="130" spans="1:12">
      <c r="A130" s="222"/>
      <c r="B130" s="222"/>
      <c r="C130" s="232" t="s">
        <v>229</v>
      </c>
      <c r="D130" s="248">
        <f>SUM(D122:D129)</f>
        <v>0</v>
      </c>
      <c r="E130" s="248">
        <f t="shared" ref="E130:G130" si="22">SUM(E122:E129)</f>
        <v>0</v>
      </c>
      <c r="F130" s="248">
        <f t="shared" si="22"/>
        <v>0</v>
      </c>
      <c r="G130" s="248">
        <f t="shared" si="22"/>
        <v>0</v>
      </c>
      <c r="H130" s="248">
        <f>(H122*G122)+(H123*G123)+(H124*G124)+(H125*G125)+(H126*G126)+(H127*G127)+(H128*G128)+(H129*G129)</f>
        <v>0</v>
      </c>
      <c r="I130" s="248">
        <f>SUM(I122:I129)</f>
        <v>0</v>
      </c>
      <c r="J130" s="249"/>
      <c r="K130" s="246"/>
      <c r="L130" s="250"/>
    </row>
    <row r="131" spans="1:12">
      <c r="A131" s="222"/>
      <c r="B131" s="255"/>
      <c r="C131" s="252"/>
      <c r="D131" s="256"/>
      <c r="E131" s="256"/>
      <c r="F131" s="256"/>
      <c r="G131" s="256"/>
      <c r="H131" s="256"/>
      <c r="I131" s="256"/>
      <c r="J131" s="256"/>
      <c r="K131" s="258"/>
      <c r="L131" s="257"/>
    </row>
    <row r="132" spans="1:12">
      <c r="A132" s="222"/>
      <c r="B132" s="232" t="s">
        <v>359</v>
      </c>
      <c r="C132" s="358"/>
      <c r="D132" s="358"/>
      <c r="E132" s="358"/>
      <c r="F132" s="358"/>
      <c r="G132" s="358"/>
      <c r="H132" s="358"/>
      <c r="I132" s="359"/>
      <c r="J132" s="359"/>
      <c r="K132" s="358"/>
      <c r="L132" s="233"/>
    </row>
    <row r="133" spans="1:12">
      <c r="A133" s="222"/>
      <c r="B133" s="232" t="s">
        <v>360</v>
      </c>
      <c r="C133" s="345"/>
      <c r="D133" s="345"/>
      <c r="E133" s="345"/>
      <c r="F133" s="345"/>
      <c r="G133" s="345"/>
      <c r="H133" s="345"/>
      <c r="I133" s="346"/>
      <c r="J133" s="346"/>
      <c r="K133" s="345"/>
      <c r="L133" s="234"/>
    </row>
    <row r="134" spans="1:12">
      <c r="A134" s="222"/>
      <c r="B134" s="235" t="s">
        <v>361</v>
      </c>
      <c r="C134" s="236"/>
      <c r="D134" s="237"/>
      <c r="E134" s="237"/>
      <c r="F134" s="237"/>
      <c r="G134" s="238">
        <f>D134</f>
        <v>0</v>
      </c>
      <c r="H134" s="239"/>
      <c r="I134" s="237"/>
      <c r="J134" s="237"/>
      <c r="K134" s="243"/>
      <c r="L134" s="242"/>
    </row>
    <row r="135" spans="1:12">
      <c r="A135" s="222"/>
      <c r="B135" s="235" t="s">
        <v>362</v>
      </c>
      <c r="C135" s="236"/>
      <c r="D135" s="237"/>
      <c r="E135" s="237"/>
      <c r="F135" s="237"/>
      <c r="G135" s="238">
        <f t="shared" ref="G135:G141" si="23">D135</f>
        <v>0</v>
      </c>
      <c r="H135" s="239"/>
      <c r="I135" s="237"/>
      <c r="J135" s="237"/>
      <c r="K135" s="243"/>
      <c r="L135" s="242"/>
    </row>
    <row r="136" spans="1:12">
      <c r="A136" s="222"/>
      <c r="B136" s="235" t="s">
        <v>363</v>
      </c>
      <c r="C136" s="236"/>
      <c r="D136" s="237"/>
      <c r="E136" s="237"/>
      <c r="F136" s="237"/>
      <c r="G136" s="238">
        <f t="shared" si="23"/>
        <v>0</v>
      </c>
      <c r="H136" s="239"/>
      <c r="I136" s="237"/>
      <c r="J136" s="237"/>
      <c r="K136" s="243"/>
      <c r="L136" s="242"/>
    </row>
    <row r="137" spans="1:12">
      <c r="A137" s="222"/>
      <c r="B137" s="235" t="s">
        <v>364</v>
      </c>
      <c r="C137" s="236"/>
      <c r="D137" s="237"/>
      <c r="E137" s="237"/>
      <c r="F137" s="237"/>
      <c r="G137" s="238">
        <f t="shared" si="23"/>
        <v>0</v>
      </c>
      <c r="H137" s="239"/>
      <c r="I137" s="237"/>
      <c r="J137" s="237"/>
      <c r="K137" s="243"/>
      <c r="L137" s="242"/>
    </row>
    <row r="138" spans="1:12">
      <c r="A138" s="222"/>
      <c r="B138" s="235" t="s">
        <v>365</v>
      </c>
      <c r="C138" s="236"/>
      <c r="D138" s="237"/>
      <c r="E138" s="237"/>
      <c r="F138" s="237"/>
      <c r="G138" s="238">
        <f t="shared" si="23"/>
        <v>0</v>
      </c>
      <c r="H138" s="239"/>
      <c r="I138" s="237"/>
      <c r="J138" s="237"/>
      <c r="K138" s="243"/>
      <c r="L138" s="242"/>
    </row>
    <row r="139" spans="1:12">
      <c r="A139" s="222"/>
      <c r="B139" s="235" t="s">
        <v>366</v>
      </c>
      <c r="C139" s="236"/>
      <c r="D139" s="237"/>
      <c r="E139" s="237"/>
      <c r="F139" s="237"/>
      <c r="G139" s="238">
        <f t="shared" si="23"/>
        <v>0</v>
      </c>
      <c r="H139" s="239"/>
      <c r="I139" s="237"/>
      <c r="J139" s="237"/>
      <c r="K139" s="243"/>
      <c r="L139" s="242"/>
    </row>
    <row r="140" spans="1:12">
      <c r="A140" s="222"/>
      <c r="B140" s="235" t="s">
        <v>367</v>
      </c>
      <c r="C140" s="244"/>
      <c r="D140" s="240"/>
      <c r="E140" s="240"/>
      <c r="F140" s="240"/>
      <c r="G140" s="238">
        <f t="shared" si="23"/>
        <v>0</v>
      </c>
      <c r="H140" s="245"/>
      <c r="I140" s="240"/>
      <c r="J140" s="240"/>
      <c r="K140" s="246"/>
      <c r="L140" s="242"/>
    </row>
    <row r="141" spans="1:12">
      <c r="A141" s="222"/>
      <c r="B141" s="235" t="s">
        <v>368</v>
      </c>
      <c r="C141" s="244"/>
      <c r="D141" s="240"/>
      <c r="E141" s="240"/>
      <c r="F141" s="240"/>
      <c r="G141" s="238">
        <f t="shared" si="23"/>
        <v>0</v>
      </c>
      <c r="H141" s="245"/>
      <c r="I141" s="240"/>
      <c r="J141" s="240"/>
      <c r="K141" s="246"/>
      <c r="L141" s="242"/>
    </row>
    <row r="142" spans="1:12">
      <c r="A142" s="222"/>
      <c r="B142" s="222"/>
      <c r="C142" s="232" t="s">
        <v>229</v>
      </c>
      <c r="D142" s="248">
        <f>SUM(D134:D141)</f>
        <v>0</v>
      </c>
      <c r="E142" s="248">
        <f t="shared" ref="E142:G142" si="24">SUM(E134:E141)</f>
        <v>0</v>
      </c>
      <c r="F142" s="248">
        <f t="shared" si="24"/>
        <v>0</v>
      </c>
      <c r="G142" s="251">
        <f t="shared" si="24"/>
        <v>0</v>
      </c>
      <c r="H142" s="248">
        <f>(H134*G134)+(H135*G135)+(H136*G136)+(H137*G137)+(H138*G138)+(H139*G139)+(H140*G140)+(H141*G141)</f>
        <v>0</v>
      </c>
      <c r="I142" s="248">
        <f>SUM(I134:I141)</f>
        <v>0</v>
      </c>
      <c r="J142" s="249"/>
      <c r="K142" s="246"/>
      <c r="L142" s="250"/>
    </row>
    <row r="143" spans="1:12">
      <c r="A143" s="222"/>
      <c r="B143" s="232" t="s">
        <v>369</v>
      </c>
      <c r="C143" s="345"/>
      <c r="D143" s="345"/>
      <c r="E143" s="345"/>
      <c r="F143" s="345"/>
      <c r="G143" s="345"/>
      <c r="H143" s="345"/>
      <c r="I143" s="346"/>
      <c r="J143" s="346"/>
      <c r="K143" s="345"/>
      <c r="L143" s="234"/>
    </row>
    <row r="144" spans="1:12">
      <c r="A144" s="222"/>
      <c r="B144" s="235" t="s">
        <v>370</v>
      </c>
      <c r="C144" s="236"/>
      <c r="D144" s="237"/>
      <c r="E144" s="237"/>
      <c r="F144" s="237"/>
      <c r="G144" s="238">
        <f>D144</f>
        <v>0</v>
      </c>
      <c r="H144" s="239"/>
      <c r="I144" s="237"/>
      <c r="J144" s="237"/>
      <c r="K144" s="243"/>
      <c r="L144" s="242"/>
    </row>
    <row r="145" spans="1:12">
      <c r="A145" s="222"/>
      <c r="B145" s="235" t="s">
        <v>371</v>
      </c>
      <c r="C145" s="236"/>
      <c r="D145" s="237"/>
      <c r="E145" s="237"/>
      <c r="F145" s="237"/>
      <c r="G145" s="238">
        <f t="shared" ref="G145:G151" si="25">D145</f>
        <v>0</v>
      </c>
      <c r="H145" s="239"/>
      <c r="I145" s="237"/>
      <c r="J145" s="237"/>
      <c r="K145" s="243"/>
      <c r="L145" s="242"/>
    </row>
    <row r="146" spans="1:12">
      <c r="A146" s="222"/>
      <c r="B146" s="235" t="s">
        <v>372</v>
      </c>
      <c r="C146" s="236"/>
      <c r="D146" s="237"/>
      <c r="E146" s="237"/>
      <c r="F146" s="237"/>
      <c r="G146" s="238">
        <f t="shared" si="25"/>
        <v>0</v>
      </c>
      <c r="H146" s="239"/>
      <c r="I146" s="237"/>
      <c r="J146" s="237"/>
      <c r="K146" s="243"/>
      <c r="L146" s="242"/>
    </row>
    <row r="147" spans="1:12">
      <c r="A147" s="222"/>
      <c r="B147" s="235" t="s">
        <v>373</v>
      </c>
      <c r="C147" s="236"/>
      <c r="D147" s="237"/>
      <c r="E147" s="237"/>
      <c r="F147" s="237"/>
      <c r="G147" s="238">
        <f t="shared" si="25"/>
        <v>0</v>
      </c>
      <c r="H147" s="239"/>
      <c r="I147" s="237"/>
      <c r="J147" s="237"/>
      <c r="K147" s="243"/>
      <c r="L147" s="242"/>
    </row>
    <row r="148" spans="1:12">
      <c r="A148" s="222"/>
      <c r="B148" s="235" t="s">
        <v>374</v>
      </c>
      <c r="C148" s="236"/>
      <c r="D148" s="237"/>
      <c r="E148" s="237"/>
      <c r="F148" s="237"/>
      <c r="G148" s="238">
        <f t="shared" si="25"/>
        <v>0</v>
      </c>
      <c r="H148" s="239"/>
      <c r="I148" s="237"/>
      <c r="J148" s="237"/>
      <c r="K148" s="243"/>
      <c r="L148" s="242"/>
    </row>
    <row r="149" spans="1:12">
      <c r="A149" s="222"/>
      <c r="B149" s="235" t="s">
        <v>375</v>
      </c>
      <c r="C149" s="236"/>
      <c r="D149" s="237"/>
      <c r="E149" s="237"/>
      <c r="F149" s="237"/>
      <c r="G149" s="238">
        <f t="shared" si="25"/>
        <v>0</v>
      </c>
      <c r="H149" s="239"/>
      <c r="I149" s="237"/>
      <c r="J149" s="237"/>
      <c r="K149" s="243"/>
      <c r="L149" s="242"/>
    </row>
    <row r="150" spans="1:12">
      <c r="A150" s="222"/>
      <c r="B150" s="235" t="s">
        <v>376</v>
      </c>
      <c r="C150" s="244"/>
      <c r="D150" s="240"/>
      <c r="E150" s="240"/>
      <c r="F150" s="240"/>
      <c r="G150" s="238">
        <f t="shared" si="25"/>
        <v>0</v>
      </c>
      <c r="H150" s="245"/>
      <c r="I150" s="240"/>
      <c r="J150" s="240"/>
      <c r="K150" s="246"/>
      <c r="L150" s="242"/>
    </row>
    <row r="151" spans="1:12">
      <c r="A151" s="222"/>
      <c r="B151" s="235" t="s">
        <v>377</v>
      </c>
      <c r="C151" s="244"/>
      <c r="D151" s="240"/>
      <c r="E151" s="240"/>
      <c r="F151" s="240"/>
      <c r="G151" s="238">
        <f t="shared" si="25"/>
        <v>0</v>
      </c>
      <c r="H151" s="245"/>
      <c r="I151" s="240"/>
      <c r="J151" s="240"/>
      <c r="K151" s="246"/>
      <c r="L151" s="242"/>
    </row>
    <row r="152" spans="1:12">
      <c r="A152" s="222"/>
      <c r="B152" s="222"/>
      <c r="C152" s="232" t="s">
        <v>229</v>
      </c>
      <c r="D152" s="251">
        <f>SUM(D144:D151)</f>
        <v>0</v>
      </c>
      <c r="E152" s="251">
        <f t="shared" ref="E152:G152" si="26">SUM(E144:E151)</f>
        <v>0</v>
      </c>
      <c r="F152" s="251">
        <f t="shared" si="26"/>
        <v>0</v>
      </c>
      <c r="G152" s="251">
        <f t="shared" si="26"/>
        <v>0</v>
      </c>
      <c r="H152" s="248">
        <f>(H144*G144)+(H145*G145)+(H146*G146)+(H147*G147)+(H148*G148)+(H149*G149)+(H150*G150)+(H151*G151)</f>
        <v>0</v>
      </c>
      <c r="I152" s="248">
        <f>SUM(I144:I151)</f>
        <v>0</v>
      </c>
      <c r="J152" s="249"/>
      <c r="K152" s="246"/>
      <c r="L152" s="250"/>
    </row>
    <row r="153" spans="1:12">
      <c r="A153" s="222"/>
      <c r="B153" s="232" t="s">
        <v>378</v>
      </c>
      <c r="C153" s="345"/>
      <c r="D153" s="345"/>
      <c r="E153" s="345"/>
      <c r="F153" s="345"/>
      <c r="G153" s="345"/>
      <c r="H153" s="345"/>
      <c r="I153" s="346"/>
      <c r="J153" s="346"/>
      <c r="K153" s="345"/>
      <c r="L153" s="234"/>
    </row>
    <row r="154" spans="1:12">
      <c r="A154" s="222"/>
      <c r="B154" s="235" t="s">
        <v>379</v>
      </c>
      <c r="C154" s="236"/>
      <c r="D154" s="237"/>
      <c r="E154" s="237"/>
      <c r="F154" s="237"/>
      <c r="G154" s="238">
        <f>D154</f>
        <v>0</v>
      </c>
      <c r="H154" s="239"/>
      <c r="I154" s="237"/>
      <c r="J154" s="237"/>
      <c r="K154" s="243"/>
      <c r="L154" s="242"/>
    </row>
    <row r="155" spans="1:12">
      <c r="A155" s="222"/>
      <c r="B155" s="235" t="s">
        <v>380</v>
      </c>
      <c r="C155" s="236"/>
      <c r="D155" s="237"/>
      <c r="E155" s="237"/>
      <c r="F155" s="237"/>
      <c r="G155" s="238">
        <f t="shared" ref="G155:G161" si="27">D155</f>
        <v>0</v>
      </c>
      <c r="H155" s="239"/>
      <c r="I155" s="237"/>
      <c r="J155" s="237"/>
      <c r="K155" s="243"/>
      <c r="L155" s="242"/>
    </row>
    <row r="156" spans="1:12">
      <c r="A156" s="222"/>
      <c r="B156" s="235" t="s">
        <v>381</v>
      </c>
      <c r="C156" s="236"/>
      <c r="D156" s="237"/>
      <c r="E156" s="237"/>
      <c r="F156" s="237"/>
      <c r="G156" s="238">
        <f t="shared" si="27"/>
        <v>0</v>
      </c>
      <c r="H156" s="239"/>
      <c r="I156" s="237"/>
      <c r="J156" s="237"/>
      <c r="K156" s="243"/>
      <c r="L156" s="242"/>
    </row>
    <row r="157" spans="1:12">
      <c r="A157" s="222"/>
      <c r="B157" s="235" t="s">
        <v>382</v>
      </c>
      <c r="C157" s="236"/>
      <c r="D157" s="237"/>
      <c r="E157" s="237"/>
      <c r="F157" s="237"/>
      <c r="G157" s="238">
        <f t="shared" si="27"/>
        <v>0</v>
      </c>
      <c r="H157" s="239"/>
      <c r="I157" s="237"/>
      <c r="J157" s="237"/>
      <c r="K157" s="243"/>
      <c r="L157" s="242"/>
    </row>
    <row r="158" spans="1:12">
      <c r="A158" s="222"/>
      <c r="B158" s="235" t="s">
        <v>383</v>
      </c>
      <c r="C158" s="236"/>
      <c r="D158" s="237"/>
      <c r="E158" s="237"/>
      <c r="F158" s="237"/>
      <c r="G158" s="238">
        <f t="shared" si="27"/>
        <v>0</v>
      </c>
      <c r="H158" s="239"/>
      <c r="I158" s="237"/>
      <c r="J158" s="237"/>
      <c r="K158" s="243"/>
      <c r="L158" s="242"/>
    </row>
    <row r="159" spans="1:12">
      <c r="A159" s="222"/>
      <c r="B159" s="235" t="s">
        <v>384</v>
      </c>
      <c r="C159" s="236"/>
      <c r="D159" s="237"/>
      <c r="E159" s="237"/>
      <c r="F159" s="237"/>
      <c r="G159" s="238">
        <f t="shared" si="27"/>
        <v>0</v>
      </c>
      <c r="H159" s="239"/>
      <c r="I159" s="237"/>
      <c r="J159" s="237"/>
      <c r="K159" s="243"/>
      <c r="L159" s="242"/>
    </row>
    <row r="160" spans="1:12">
      <c r="A160" s="222"/>
      <c r="B160" s="235" t="s">
        <v>385</v>
      </c>
      <c r="C160" s="244"/>
      <c r="D160" s="240"/>
      <c r="E160" s="240"/>
      <c r="F160" s="240"/>
      <c r="G160" s="238">
        <f t="shared" si="27"/>
        <v>0</v>
      </c>
      <c r="H160" s="245"/>
      <c r="I160" s="240"/>
      <c r="J160" s="240"/>
      <c r="K160" s="246"/>
      <c r="L160" s="242"/>
    </row>
    <row r="161" spans="1:12">
      <c r="A161" s="222"/>
      <c r="B161" s="235" t="s">
        <v>386</v>
      </c>
      <c r="C161" s="244"/>
      <c r="D161" s="240"/>
      <c r="E161" s="240"/>
      <c r="F161" s="240"/>
      <c r="G161" s="238">
        <f t="shared" si="27"/>
        <v>0</v>
      </c>
      <c r="H161" s="245"/>
      <c r="I161" s="240"/>
      <c r="J161" s="240"/>
      <c r="K161" s="246"/>
      <c r="L161" s="242"/>
    </row>
    <row r="162" spans="1:12">
      <c r="A162" s="222"/>
      <c r="B162" s="222"/>
      <c r="C162" s="232" t="s">
        <v>229</v>
      </c>
      <c r="D162" s="251">
        <f>SUM(D154:D161)</f>
        <v>0</v>
      </c>
      <c r="E162" s="251">
        <f t="shared" ref="E162:G162" si="28">SUM(E154:E161)</f>
        <v>0</v>
      </c>
      <c r="F162" s="251">
        <f t="shared" si="28"/>
        <v>0</v>
      </c>
      <c r="G162" s="251">
        <f t="shared" si="28"/>
        <v>0</v>
      </c>
      <c r="H162" s="248">
        <f>(H154*G154)+(H155*G155)+(H156*G156)+(H157*G157)+(H158*G158)+(H159*G159)+(H160*G160)+(H161*G161)</f>
        <v>0</v>
      </c>
      <c r="I162" s="248">
        <f>SUM(I154:I161)</f>
        <v>0</v>
      </c>
      <c r="J162" s="249"/>
      <c r="K162" s="246"/>
      <c r="L162" s="250"/>
    </row>
    <row r="163" spans="1:12">
      <c r="A163" s="222"/>
      <c r="B163" s="232" t="s">
        <v>387</v>
      </c>
      <c r="C163" s="345"/>
      <c r="D163" s="345"/>
      <c r="E163" s="345"/>
      <c r="F163" s="345"/>
      <c r="G163" s="345"/>
      <c r="H163" s="345"/>
      <c r="I163" s="346"/>
      <c r="J163" s="346"/>
      <c r="K163" s="345"/>
      <c r="L163" s="234"/>
    </row>
    <row r="164" spans="1:12">
      <c r="A164" s="222"/>
      <c r="B164" s="235" t="s">
        <v>388</v>
      </c>
      <c r="C164" s="236"/>
      <c r="D164" s="237"/>
      <c r="E164" s="237"/>
      <c r="F164" s="237"/>
      <c r="G164" s="238">
        <f>D164</f>
        <v>0</v>
      </c>
      <c r="H164" s="239"/>
      <c r="I164" s="237"/>
      <c r="J164" s="237"/>
      <c r="K164" s="243"/>
      <c r="L164" s="242"/>
    </row>
    <row r="165" spans="1:12">
      <c r="A165" s="222"/>
      <c r="B165" s="235" t="s">
        <v>389</v>
      </c>
      <c r="C165" s="236"/>
      <c r="D165" s="237"/>
      <c r="E165" s="237"/>
      <c r="F165" s="237"/>
      <c r="G165" s="238">
        <f t="shared" ref="G165:G171" si="29">D165</f>
        <v>0</v>
      </c>
      <c r="H165" s="239"/>
      <c r="I165" s="237"/>
      <c r="J165" s="237"/>
      <c r="K165" s="243"/>
      <c r="L165" s="242"/>
    </row>
    <row r="166" spans="1:12">
      <c r="A166" s="222"/>
      <c r="B166" s="235" t="s">
        <v>390</v>
      </c>
      <c r="C166" s="236"/>
      <c r="D166" s="237"/>
      <c r="E166" s="237"/>
      <c r="F166" s="237"/>
      <c r="G166" s="238">
        <f t="shared" si="29"/>
        <v>0</v>
      </c>
      <c r="H166" s="239"/>
      <c r="I166" s="237"/>
      <c r="J166" s="237"/>
      <c r="K166" s="243"/>
      <c r="L166" s="242"/>
    </row>
    <row r="167" spans="1:12">
      <c r="A167" s="222"/>
      <c r="B167" s="235" t="s">
        <v>391</v>
      </c>
      <c r="C167" s="236"/>
      <c r="D167" s="237"/>
      <c r="E167" s="237"/>
      <c r="F167" s="237"/>
      <c r="G167" s="238">
        <f t="shared" si="29"/>
        <v>0</v>
      </c>
      <c r="H167" s="239"/>
      <c r="I167" s="237"/>
      <c r="J167" s="237"/>
      <c r="K167" s="243"/>
      <c r="L167" s="242"/>
    </row>
    <row r="168" spans="1:12">
      <c r="A168" s="222"/>
      <c r="B168" s="235" t="s">
        <v>392</v>
      </c>
      <c r="C168" s="236"/>
      <c r="D168" s="237"/>
      <c r="E168" s="237"/>
      <c r="F168" s="237"/>
      <c r="G168" s="238">
        <f t="shared" si="29"/>
        <v>0</v>
      </c>
      <c r="H168" s="239"/>
      <c r="I168" s="237"/>
      <c r="J168" s="237"/>
      <c r="K168" s="243"/>
      <c r="L168" s="242"/>
    </row>
    <row r="169" spans="1:12">
      <c r="A169" s="222"/>
      <c r="B169" s="235" t="s">
        <v>393</v>
      </c>
      <c r="C169" s="236"/>
      <c r="D169" s="237"/>
      <c r="E169" s="237"/>
      <c r="F169" s="237"/>
      <c r="G169" s="238">
        <f t="shared" si="29"/>
        <v>0</v>
      </c>
      <c r="H169" s="239"/>
      <c r="I169" s="237"/>
      <c r="J169" s="237"/>
      <c r="K169" s="243"/>
      <c r="L169" s="242"/>
    </row>
    <row r="170" spans="1:12">
      <c r="A170" s="222"/>
      <c r="B170" s="235" t="s">
        <v>394</v>
      </c>
      <c r="C170" s="244"/>
      <c r="D170" s="240"/>
      <c r="E170" s="240"/>
      <c r="F170" s="240"/>
      <c r="G170" s="238">
        <f t="shared" si="29"/>
        <v>0</v>
      </c>
      <c r="H170" s="245"/>
      <c r="I170" s="240"/>
      <c r="J170" s="240"/>
      <c r="K170" s="246"/>
      <c r="L170" s="242"/>
    </row>
    <row r="171" spans="1:12">
      <c r="A171" s="222"/>
      <c r="B171" s="235" t="s">
        <v>395</v>
      </c>
      <c r="C171" s="244"/>
      <c r="D171" s="240"/>
      <c r="E171" s="240"/>
      <c r="F171" s="240"/>
      <c r="G171" s="238">
        <f t="shared" si="29"/>
        <v>0</v>
      </c>
      <c r="H171" s="245"/>
      <c r="I171" s="240"/>
      <c r="J171" s="240"/>
      <c r="K171" s="246"/>
      <c r="L171" s="242"/>
    </row>
    <row r="172" spans="1:12">
      <c r="A172" s="222"/>
      <c r="B172" s="222"/>
      <c r="C172" s="232" t="s">
        <v>229</v>
      </c>
      <c r="D172" s="248">
        <f>SUM(D164:D171)</f>
        <v>0</v>
      </c>
      <c r="E172" s="248">
        <f t="shared" ref="E172:G172" si="30">SUM(E164:E171)</f>
        <v>0</v>
      </c>
      <c r="F172" s="248">
        <f t="shared" si="30"/>
        <v>0</v>
      </c>
      <c r="G172" s="248">
        <f t="shared" si="30"/>
        <v>0</v>
      </c>
      <c r="H172" s="248">
        <f>(H164*G164)+(H165*G165)+(H166*G166)+(H167*G167)+(H168*G168)+(H169*G169)+(H170*G170)+(H171*G171)</f>
        <v>0</v>
      </c>
      <c r="I172" s="248">
        <f>SUM(I164:I171)</f>
        <v>0</v>
      </c>
      <c r="J172" s="249"/>
      <c r="K172" s="246"/>
      <c r="L172" s="250"/>
    </row>
    <row r="173" spans="1:12">
      <c r="A173" s="222"/>
      <c r="B173" s="255"/>
      <c r="C173" s="252"/>
      <c r="D173" s="256"/>
      <c r="E173" s="256"/>
      <c r="F173" s="256"/>
      <c r="G173" s="256"/>
      <c r="H173" s="256"/>
      <c r="I173" s="256"/>
      <c r="J173" s="256"/>
      <c r="K173" s="252"/>
      <c r="L173" s="257"/>
    </row>
    <row r="174" spans="1:12">
      <c r="A174" s="222"/>
      <c r="B174" s="255"/>
      <c r="C174" s="252"/>
      <c r="D174" s="256"/>
      <c r="E174" s="256"/>
      <c r="F174" s="256"/>
      <c r="G174" s="256"/>
      <c r="H174" s="256"/>
      <c r="I174" s="256"/>
      <c r="J174" s="256"/>
      <c r="K174" s="252"/>
      <c r="L174" s="257"/>
    </row>
    <row r="175" spans="1:12">
      <c r="A175" s="222"/>
      <c r="B175" s="232" t="s">
        <v>396</v>
      </c>
      <c r="C175" s="237"/>
      <c r="D175" s="259">
        <v>140402</v>
      </c>
      <c r="E175" s="259"/>
      <c r="F175" s="259"/>
      <c r="G175" s="260">
        <f>D175</f>
        <v>140402</v>
      </c>
      <c r="H175" s="261"/>
      <c r="I175" s="259">
        <v>54874.36</v>
      </c>
      <c r="J175" s="259"/>
      <c r="K175" s="262"/>
      <c r="L175" s="250"/>
    </row>
    <row r="176" spans="1:12">
      <c r="A176" s="222"/>
      <c r="B176" s="232" t="s">
        <v>397</v>
      </c>
      <c r="C176" s="263"/>
      <c r="D176" s="259"/>
      <c r="E176" s="259"/>
      <c r="F176" s="259"/>
      <c r="G176" s="260">
        <f t="shared" ref="G176:G178" si="31">D176</f>
        <v>0</v>
      </c>
      <c r="H176" s="261"/>
      <c r="I176" s="259">
        <v>13363.213214601019</v>
      </c>
      <c r="J176" s="259"/>
      <c r="K176" s="262"/>
      <c r="L176" s="250"/>
    </row>
    <row r="177" spans="1:12">
      <c r="A177" s="222"/>
      <c r="B177" s="232" t="s">
        <v>398</v>
      </c>
      <c r="C177" s="264"/>
      <c r="D177" s="259">
        <v>25000</v>
      </c>
      <c r="E177" s="259"/>
      <c r="F177" s="259"/>
      <c r="G177" s="260">
        <f t="shared" si="31"/>
        <v>25000</v>
      </c>
      <c r="H177" s="261"/>
      <c r="I177" s="259">
        <v>730.88254268913022</v>
      </c>
      <c r="J177" s="259"/>
      <c r="K177" s="262"/>
      <c r="L177" s="250"/>
    </row>
    <row r="178" spans="1:12" ht="21">
      <c r="A178" s="222"/>
      <c r="B178" s="265" t="s">
        <v>399</v>
      </c>
      <c r="C178" s="263"/>
      <c r="D178" s="259"/>
      <c r="E178" s="259"/>
      <c r="F178" s="259"/>
      <c r="G178" s="260">
        <f t="shared" si="31"/>
        <v>0</v>
      </c>
      <c r="H178" s="261"/>
      <c r="I178" s="259"/>
      <c r="J178" s="259"/>
      <c r="K178" s="262"/>
      <c r="L178" s="250"/>
    </row>
    <row r="179" spans="1:12">
      <c r="A179" s="222"/>
      <c r="B179" s="232" t="s">
        <v>400</v>
      </c>
      <c r="C179" s="263"/>
      <c r="D179" s="259"/>
      <c r="E179" s="259"/>
      <c r="F179" s="259"/>
      <c r="G179" s="260"/>
      <c r="H179" s="261"/>
      <c r="I179" s="259"/>
      <c r="J179" s="259"/>
      <c r="K179" s="262"/>
      <c r="L179" s="250"/>
    </row>
    <row r="180" spans="1:12">
      <c r="A180" s="222"/>
      <c r="B180" s="255"/>
      <c r="C180" s="266" t="s">
        <v>401</v>
      </c>
      <c r="D180" s="267">
        <f>SUM(D175:D179)</f>
        <v>165402</v>
      </c>
      <c r="E180" s="267">
        <f>SUM(E175:E178)</f>
        <v>0</v>
      </c>
      <c r="F180" s="267">
        <f>SUM(F175:F178)</f>
        <v>0</v>
      </c>
      <c r="G180" s="267">
        <f>SUM(G175:G178)</f>
        <v>165402</v>
      </c>
      <c r="H180" s="248">
        <f>(H175*G175)+(H176*G176)+(H177*G177)+(H178*G178)+(H179*G179)</f>
        <v>0</v>
      </c>
      <c r="I180" s="248">
        <f>SUM(I175:I179)</f>
        <v>68968.455757290154</v>
      </c>
      <c r="J180" s="249"/>
      <c r="K180" s="263"/>
      <c r="L180" s="268"/>
    </row>
    <row r="181" spans="1:12">
      <c r="A181" s="222"/>
      <c r="B181" s="255"/>
      <c r="C181" s="252"/>
      <c r="D181" s="256"/>
      <c r="E181" s="256"/>
      <c r="F181" s="256"/>
      <c r="G181" s="256"/>
      <c r="H181" s="256"/>
      <c r="I181" s="256"/>
      <c r="J181" s="256"/>
      <c r="K181" s="252"/>
      <c r="L181" s="268"/>
    </row>
    <row r="182" spans="1:12">
      <c r="A182" s="222"/>
      <c r="B182" s="255"/>
      <c r="C182" s="252"/>
      <c r="D182" s="256"/>
      <c r="E182" s="256"/>
      <c r="F182" s="256"/>
      <c r="G182" s="256"/>
      <c r="H182" s="256"/>
      <c r="I182" s="256"/>
      <c r="J182" s="256">
        <f>I16+I26+I36+I46+I58+I68+I78+I88+I100+I110+I120+I130+I142+I152+I162+I172+I180-1</f>
        <v>325699.18168551847</v>
      </c>
      <c r="K182" s="252"/>
      <c r="L182" s="268"/>
    </row>
    <row r="183" spans="1:12">
      <c r="A183" s="222"/>
      <c r="B183" s="255"/>
      <c r="C183" s="252"/>
      <c r="D183" s="256"/>
      <c r="E183" s="256"/>
      <c r="F183" s="256"/>
      <c r="G183" s="256"/>
      <c r="H183" s="256"/>
      <c r="I183" s="256"/>
      <c r="J183" s="256"/>
      <c r="K183" s="252"/>
      <c r="L183" s="268"/>
    </row>
    <row r="184" spans="1:12">
      <c r="A184" s="222"/>
      <c r="B184" s="255"/>
      <c r="C184" s="347" t="s">
        <v>402</v>
      </c>
      <c r="D184" s="348"/>
      <c r="E184" s="269"/>
      <c r="H184" s="268"/>
      <c r="I184" s="270"/>
      <c r="J184" s="270"/>
      <c r="K184" s="268"/>
      <c r="L184" s="222"/>
    </row>
    <row r="185" spans="1:12">
      <c r="A185" s="222"/>
      <c r="B185" s="255"/>
      <c r="C185" s="349"/>
      <c r="D185" s="351" t="str">
        <f>D5</f>
        <v>Recipient Organization</v>
      </c>
      <c r="E185" s="353"/>
      <c r="H185" s="252"/>
      <c r="I185" s="269"/>
      <c r="J185" s="269"/>
      <c r="K185" s="269"/>
      <c r="L185" s="222"/>
    </row>
    <row r="186" spans="1:12">
      <c r="A186" s="222"/>
      <c r="B186" s="255"/>
      <c r="C186" s="350"/>
      <c r="D186" s="352"/>
      <c r="E186" s="353"/>
      <c r="H186" s="252"/>
      <c r="I186" s="250"/>
      <c r="J186" s="250"/>
      <c r="K186" s="353"/>
      <c r="L186" s="222"/>
    </row>
    <row r="187" spans="1:12">
      <c r="A187" s="222"/>
      <c r="B187" s="271"/>
      <c r="C187" s="272" t="s">
        <v>403</v>
      </c>
      <c r="D187" s="273">
        <f>SUM(D16,D26,D36,D46,D58,D68,D78,D88,D100,D110,D120,D130,D142,D152,D162,D172,D175,D176,D177,D178,D179)</f>
        <v>504410</v>
      </c>
      <c r="E187" s="274"/>
      <c r="H187" s="252"/>
      <c r="I187" s="275"/>
      <c r="J187" s="275"/>
      <c r="K187" s="353"/>
      <c r="L187" s="222"/>
    </row>
    <row r="188" spans="1:12">
      <c r="A188" s="222"/>
      <c r="B188" s="276"/>
      <c r="C188" s="272" t="s">
        <v>404</v>
      </c>
      <c r="D188" s="273">
        <f>D187*0.07</f>
        <v>35308.700000000004</v>
      </c>
      <c r="E188" s="274"/>
      <c r="H188" s="276"/>
      <c r="I188" s="274"/>
      <c r="J188" s="274"/>
      <c r="K188" s="274"/>
      <c r="L188" s="222"/>
    </row>
    <row r="189" spans="1:12" ht="10.9" thickBot="1">
      <c r="A189" s="222"/>
      <c r="B189" s="276"/>
      <c r="C189" s="277" t="s">
        <v>212</v>
      </c>
      <c r="D189" s="278">
        <f>SUM(D187:D188)</f>
        <v>539718.69999999995</v>
      </c>
      <c r="E189" s="234"/>
      <c r="H189" s="276"/>
      <c r="I189" s="274"/>
      <c r="J189" s="274"/>
      <c r="K189" s="274"/>
      <c r="L189" s="222"/>
    </row>
    <row r="190" spans="1:12">
      <c r="A190" s="222"/>
      <c r="B190" s="276"/>
      <c r="C190" s="222"/>
      <c r="D190" s="222"/>
      <c r="E190" s="222"/>
      <c r="F190" s="222"/>
      <c r="G190" s="222"/>
      <c r="H190" s="222"/>
      <c r="I190" s="234"/>
      <c r="J190" s="234"/>
      <c r="K190" s="234"/>
      <c r="L190" s="279"/>
    </row>
    <row r="191" spans="1:12">
      <c r="A191" s="222"/>
      <c r="B191" s="279"/>
      <c r="C191" s="280"/>
      <c r="D191" s="280"/>
      <c r="E191" s="280"/>
      <c r="F191" s="280"/>
      <c r="G191" s="280"/>
      <c r="H191" s="280"/>
      <c r="I191" s="281"/>
      <c r="J191" s="281"/>
      <c r="K191" s="279"/>
      <c r="L191" s="222"/>
    </row>
    <row r="192" spans="1:12">
      <c r="A192" s="222"/>
      <c r="B192" s="279"/>
      <c r="C192" s="282" t="s">
        <v>405</v>
      </c>
      <c r="D192" s="283"/>
      <c r="E192" s="283"/>
      <c r="F192" s="280"/>
      <c r="G192" s="280"/>
      <c r="H192" s="280"/>
      <c r="I192" s="281"/>
      <c r="J192" s="281"/>
      <c r="K192" s="279"/>
      <c r="L192" s="222"/>
    </row>
    <row r="193" spans="1:12">
      <c r="A193" s="222"/>
      <c r="B193" s="279"/>
      <c r="C193" s="284"/>
      <c r="D193" s="354" t="s">
        <v>406</v>
      </c>
      <c r="E193" s="356" t="s">
        <v>407</v>
      </c>
      <c r="F193" s="280"/>
      <c r="G193" s="340"/>
      <c r="H193" s="340"/>
      <c r="I193" s="281"/>
      <c r="J193" s="281"/>
      <c r="K193" s="279"/>
      <c r="L193" s="222"/>
    </row>
    <row r="194" spans="1:12">
      <c r="A194" s="222"/>
      <c r="B194" s="279"/>
      <c r="C194" s="285"/>
      <c r="D194" s="355"/>
      <c r="E194" s="357"/>
      <c r="F194" s="280"/>
      <c r="G194" s="340"/>
      <c r="H194" s="340"/>
      <c r="I194" s="281"/>
      <c r="J194" s="281"/>
      <c r="K194" s="279"/>
      <c r="L194" s="222"/>
    </row>
    <row r="195" spans="1:12">
      <c r="A195" s="222"/>
      <c r="B195" s="279"/>
      <c r="C195" s="286" t="s">
        <v>408</v>
      </c>
      <c r="D195" s="287">
        <v>175000</v>
      </c>
      <c r="E195" s="288">
        <v>0.35</v>
      </c>
      <c r="F195" s="234"/>
      <c r="G195" s="234"/>
      <c r="H195" s="289"/>
      <c r="I195" s="270"/>
      <c r="J195" s="270"/>
      <c r="K195" s="279"/>
      <c r="L195" s="222"/>
    </row>
    <row r="196" spans="1:12">
      <c r="A196" s="222"/>
      <c r="B196" s="340"/>
      <c r="C196" s="290" t="s">
        <v>409</v>
      </c>
      <c r="D196" s="291">
        <v>175000</v>
      </c>
      <c r="E196" s="292">
        <v>0.35</v>
      </c>
      <c r="F196" s="234"/>
      <c r="G196" s="234"/>
      <c r="H196" s="289"/>
      <c r="I196" s="270"/>
      <c r="J196" s="270"/>
      <c r="K196" s="222"/>
      <c r="L196" s="222"/>
    </row>
    <row r="197" spans="1:12">
      <c r="A197" s="222"/>
      <c r="B197" s="340"/>
      <c r="C197" s="290" t="s">
        <v>410</v>
      </c>
      <c r="D197" s="291">
        <v>150000</v>
      </c>
      <c r="E197" s="292">
        <v>0.3</v>
      </c>
      <c r="F197" s="234"/>
      <c r="G197" s="234"/>
      <c r="H197" s="289"/>
      <c r="I197" s="270"/>
      <c r="J197" s="270"/>
      <c r="K197" s="222"/>
      <c r="L197" s="222"/>
    </row>
    <row r="198" spans="1:12">
      <c r="A198" s="222"/>
      <c r="B198" s="340"/>
      <c r="C198" s="293" t="s">
        <v>411</v>
      </c>
      <c r="D198" s="294">
        <f>SUM(D195:D197)</f>
        <v>500000</v>
      </c>
      <c r="E198" s="295"/>
      <c r="F198" s="234"/>
      <c r="G198" s="234"/>
      <c r="H198" s="296"/>
      <c r="I198" s="297"/>
      <c r="J198" s="297"/>
      <c r="K198" s="222"/>
      <c r="L198" s="222"/>
    </row>
    <row r="199" spans="1:12" ht="10.9" thickBot="1">
      <c r="A199" s="222"/>
      <c r="B199" s="340"/>
      <c r="C199" s="269"/>
      <c r="D199" s="298"/>
      <c r="E199" s="298"/>
      <c r="F199" s="298"/>
      <c r="G199" s="298"/>
      <c r="H199" s="298"/>
      <c r="I199" s="299"/>
      <c r="J199" s="299"/>
      <c r="K199" s="222"/>
      <c r="L199" s="222"/>
    </row>
    <row r="200" spans="1:12">
      <c r="A200" s="222"/>
      <c r="B200" s="340"/>
      <c r="C200" s="300" t="s">
        <v>592</v>
      </c>
      <c r="D200" s="301">
        <f>SUM(H16,H26,H36,H46,H58,H68,H78,H88,H100,H110,H120,H130,H142,H152,H162,H172,H180)*1.07</f>
        <v>204107.68950000001</v>
      </c>
      <c r="E200" s="302" t="s">
        <v>412</v>
      </c>
      <c r="F200" s="303">
        <f>SUM(I180,I172,I162,I152,I142,I130,I120,I110,I100,I88,I78,I68,I58,I46,I36,I26,I16)-1</f>
        <v>325699.18168551853</v>
      </c>
      <c r="G200" s="304"/>
      <c r="J200" s="305"/>
      <c r="K200" s="222"/>
      <c r="L200" s="222"/>
    </row>
    <row r="201" spans="1:12" ht="10.9" thickBot="1">
      <c r="A201" s="222"/>
      <c r="B201" s="340"/>
      <c r="C201" s="306" t="s">
        <v>413</v>
      </c>
      <c r="D201" s="307">
        <f>D200/D189</f>
        <v>0.37817420352491032</v>
      </c>
      <c r="E201" s="308" t="s">
        <v>414</v>
      </c>
      <c r="F201" s="309">
        <f>F200/D187</f>
        <v>0.64570326061243544</v>
      </c>
      <c r="G201" s="310"/>
      <c r="J201" s="311"/>
      <c r="K201" s="222"/>
      <c r="L201" s="222"/>
    </row>
    <row r="202" spans="1:12">
      <c r="A202" s="222"/>
      <c r="B202" s="340"/>
      <c r="C202" s="341"/>
      <c r="D202" s="342"/>
      <c r="E202" s="312"/>
      <c r="F202" s="312"/>
      <c r="G202" s="312"/>
      <c r="H202" s="222"/>
      <c r="I202" s="224"/>
      <c r="J202" s="224"/>
      <c r="K202" s="222"/>
      <c r="L202" s="222"/>
    </row>
    <row r="203" spans="1:12">
      <c r="A203" s="222"/>
      <c r="B203" s="340"/>
      <c r="C203" s="306" t="s">
        <v>593</v>
      </c>
      <c r="D203" s="313">
        <f>SUM(D177:F179)*1.07</f>
        <v>26750</v>
      </c>
      <c r="E203" s="314"/>
      <c r="F203" s="314"/>
      <c r="G203" s="314"/>
      <c r="H203" s="222"/>
      <c r="I203" s="224"/>
      <c r="J203" s="224"/>
      <c r="K203" s="222"/>
      <c r="L203" s="222"/>
    </row>
    <row r="204" spans="1:12">
      <c r="A204" s="222"/>
      <c r="B204" s="340"/>
      <c r="C204" s="315" t="s">
        <v>415</v>
      </c>
      <c r="D204" s="316">
        <f>D203/D189</f>
        <v>4.9562855613489033E-2</v>
      </c>
      <c r="E204" s="314"/>
      <c r="F204" s="314"/>
      <c r="G204" s="314"/>
      <c r="H204" s="222"/>
      <c r="I204" s="224"/>
      <c r="J204" s="224"/>
      <c r="K204" s="222"/>
      <c r="L204" s="222"/>
    </row>
    <row r="205" spans="1:12">
      <c r="A205" s="222"/>
      <c r="B205" s="340"/>
      <c r="C205" s="343" t="s">
        <v>594</v>
      </c>
      <c r="D205" s="344"/>
      <c r="E205" s="317"/>
      <c r="F205" s="317"/>
      <c r="G205" s="317"/>
      <c r="H205" s="222"/>
      <c r="I205" s="318"/>
      <c r="J205" s="318"/>
      <c r="K205" s="222"/>
      <c r="L205" s="222"/>
    </row>
    <row r="206" spans="1:12">
      <c r="A206" s="222"/>
      <c r="B206" s="340"/>
      <c r="C206" s="222"/>
      <c r="D206" s="222"/>
      <c r="E206" s="222"/>
      <c r="F206" s="222"/>
      <c r="G206" s="222"/>
      <c r="H206" s="222"/>
      <c r="I206" s="224"/>
      <c r="J206" s="224"/>
      <c r="K206" s="222"/>
      <c r="L206" s="222"/>
    </row>
    <row r="207" spans="1:12">
      <c r="A207" s="222"/>
      <c r="B207" s="340"/>
      <c r="C207" s="222"/>
      <c r="D207" s="222"/>
      <c r="E207" s="222"/>
      <c r="F207" s="222"/>
      <c r="G207" s="222"/>
      <c r="H207" s="222"/>
      <c r="I207" s="224"/>
      <c r="J207" s="224"/>
      <c r="K207" s="222"/>
      <c r="L207" s="222"/>
    </row>
    <row r="208" spans="1:12">
      <c r="A208" s="222"/>
      <c r="B208" s="222"/>
      <c r="C208" s="222"/>
      <c r="D208" s="222"/>
      <c r="E208" s="222"/>
      <c r="F208" s="222"/>
      <c r="G208" s="222"/>
      <c r="H208" s="222"/>
      <c r="I208" s="224"/>
      <c r="J208" s="224"/>
      <c r="K208" s="222"/>
      <c r="L208" s="222"/>
    </row>
    <row r="209" spans="1:12">
      <c r="A209" s="222"/>
      <c r="B209" s="222"/>
      <c r="C209" s="222"/>
      <c r="D209" s="222"/>
      <c r="E209" s="222"/>
      <c r="F209" s="222"/>
      <c r="G209" s="222"/>
      <c r="H209" s="222"/>
      <c r="I209" s="224"/>
      <c r="J209" s="224"/>
      <c r="K209" s="222"/>
      <c r="L209" s="222"/>
    </row>
    <row r="210" spans="1:12">
      <c r="A210" s="222"/>
      <c r="B210" s="222"/>
      <c r="C210" s="222"/>
      <c r="D210" s="222"/>
      <c r="E210" s="222"/>
      <c r="F210" s="222"/>
      <c r="G210" s="222"/>
      <c r="H210" s="222"/>
      <c r="I210" s="224"/>
      <c r="J210" s="224"/>
      <c r="K210" s="222"/>
      <c r="L210" s="222"/>
    </row>
    <row r="211" spans="1:12">
      <c r="A211" s="222"/>
      <c r="B211" s="222"/>
      <c r="C211" s="222"/>
      <c r="D211" s="222"/>
      <c r="E211" s="222"/>
      <c r="F211" s="222"/>
      <c r="G211" s="222"/>
      <c r="H211" s="222"/>
      <c r="I211" s="224"/>
      <c r="J211" s="224"/>
      <c r="K211" s="222"/>
      <c r="L211" s="222"/>
    </row>
    <row r="212" spans="1:12">
      <c r="A212" s="222"/>
      <c r="B212" s="222"/>
      <c r="C212" s="222"/>
      <c r="D212" s="222"/>
      <c r="E212" s="222"/>
      <c r="F212" s="222"/>
      <c r="G212" s="222"/>
      <c r="H212" s="222"/>
      <c r="I212" s="224"/>
      <c r="J212" s="224"/>
      <c r="K212" s="222"/>
      <c r="L212" s="222"/>
    </row>
    <row r="213" spans="1:12">
      <c r="A213" s="222"/>
      <c r="B213" s="222"/>
      <c r="C213" s="222"/>
      <c r="D213" s="222"/>
      <c r="E213" s="222"/>
      <c r="F213" s="222"/>
      <c r="G213" s="222"/>
      <c r="H213" s="222"/>
      <c r="I213" s="224"/>
      <c r="J213" s="224"/>
      <c r="K213" s="222"/>
      <c r="L213" s="222"/>
    </row>
    <row r="214" spans="1:12">
      <c r="A214" s="222"/>
      <c r="B214" s="222"/>
      <c r="C214" s="222"/>
      <c r="D214" s="222"/>
      <c r="E214" s="222"/>
      <c r="F214" s="222"/>
      <c r="G214" s="222"/>
      <c r="H214" s="222"/>
      <c r="I214" s="224"/>
      <c r="J214" s="224"/>
      <c r="K214" s="222"/>
      <c r="L214" s="222"/>
    </row>
    <row r="215" spans="1:12">
      <c r="A215" s="222"/>
      <c r="B215" s="222"/>
      <c r="C215" s="222"/>
      <c r="D215" s="222"/>
      <c r="E215" s="222"/>
      <c r="F215" s="222"/>
      <c r="G215" s="222"/>
      <c r="H215" s="222"/>
      <c r="I215" s="224"/>
      <c r="J215" s="224"/>
      <c r="K215" s="222"/>
      <c r="L215" s="222"/>
    </row>
    <row r="216" spans="1:12">
      <c r="A216" s="222"/>
      <c r="B216" s="222"/>
      <c r="C216" s="222"/>
      <c r="D216" s="222"/>
      <c r="E216" s="222"/>
      <c r="F216" s="222"/>
      <c r="G216" s="222"/>
      <c r="H216" s="222"/>
      <c r="I216" s="224"/>
      <c r="J216" s="224"/>
      <c r="K216" s="222"/>
      <c r="L216" s="222"/>
    </row>
  </sheetData>
  <mergeCells count="35">
    <mergeCell ref="C27:K27"/>
    <mergeCell ref="B1:E1"/>
    <mergeCell ref="B3:E3"/>
    <mergeCell ref="C6:K6"/>
    <mergeCell ref="C7:K7"/>
    <mergeCell ref="C17:K17"/>
    <mergeCell ref="H193:H194"/>
    <mergeCell ref="C132:K132"/>
    <mergeCell ref="C37:K37"/>
    <mergeCell ref="C48:K48"/>
    <mergeCell ref="C49:K49"/>
    <mergeCell ref="C59:K59"/>
    <mergeCell ref="C69:K69"/>
    <mergeCell ref="C79:K79"/>
    <mergeCell ref="C90:K90"/>
    <mergeCell ref="C91:K91"/>
    <mergeCell ref="C101:K101"/>
    <mergeCell ref="C111:K111"/>
    <mergeCell ref="C121:K121"/>
    <mergeCell ref="B196:B198"/>
    <mergeCell ref="B199:B207"/>
    <mergeCell ref="C202:D202"/>
    <mergeCell ref="C205:D205"/>
    <mergeCell ref="C133:K133"/>
    <mergeCell ref="C143:K143"/>
    <mergeCell ref="C153:K153"/>
    <mergeCell ref="C163:K163"/>
    <mergeCell ref="C184:D184"/>
    <mergeCell ref="C185:C186"/>
    <mergeCell ref="D185:D186"/>
    <mergeCell ref="E185:E186"/>
    <mergeCell ref="K186:K187"/>
    <mergeCell ref="D193:D194"/>
    <mergeCell ref="E193:E194"/>
    <mergeCell ref="G193:G194"/>
  </mergeCells>
  <conditionalFormatting sqref="D201">
    <cfRule type="cellIs" dxfId="1" priority="2" operator="lessThan">
      <formula>0.15</formula>
    </cfRule>
  </conditionalFormatting>
  <conditionalFormatting sqref="D204">
    <cfRule type="cellIs" dxfId="0" priority="1" operator="lessThan">
      <formula>0.05</formula>
    </cfRule>
  </conditionalFormatting>
  <dataValidations count="6">
    <dataValidation allowBlank="1" showErrorMessage="1" prompt="% Towards Gender Equality and Women's Empowerment Must be Higher than 15%_x000a_" sqref="D203:G203" xr:uid="{00000000-0002-0000-0100-000000000000}"/>
    <dataValidation allowBlank="1" showInputMessage="1" showErrorMessage="1" prompt="Insert *text* description of Activity here" sqref="C8 C18 C28 C38 C50 C60 C70 C80 C92 C102 C112 C122 C134 C144 C154 C164" xr:uid="{00000000-0002-0000-0100-000001000000}"/>
    <dataValidation allowBlank="1" showInputMessage="1" showErrorMessage="1" prompt="Insert *text* description of Output here" sqref="C7 C17 C27 C37 C49 C59 C69 C79 C91 C101 C111 C121 C133 C143 C153 C163" xr:uid="{00000000-0002-0000-0100-000002000000}"/>
    <dataValidation allowBlank="1" showInputMessage="1" showErrorMessage="1" prompt="Insert *text* description of Outcome here" sqref="C6:K6 C48:K48 C90:K90 C132:K132" xr:uid="{00000000-0002-0000-0100-000003000000}"/>
    <dataValidation allowBlank="1" showInputMessage="1" showErrorMessage="1" prompt="M&amp;E Budget Cannot be Less than 5%_x000a_" sqref="D204:G204" xr:uid="{00000000-0002-0000-0100-000004000000}"/>
    <dataValidation allowBlank="1" showInputMessage="1" showErrorMessage="1" prompt="% Towards Gender Equality and Women's Empowerment Must be Higher than 15%_x000a_" sqref="D201:G201" xr:uid="{00000000-0002-0000-0100-000005000000}"/>
  </dataValidation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45"/>
  <sheetViews>
    <sheetView topLeftCell="H37" workbookViewId="0">
      <selection activeCell="P48" sqref="P48"/>
    </sheetView>
  </sheetViews>
  <sheetFormatPr defaultColWidth="9.1328125" defaultRowHeight="9.75"/>
  <cols>
    <col min="1" max="1" width="14.265625" style="319" customWidth="1"/>
    <col min="2" max="2" width="24.265625" style="319" customWidth="1"/>
    <col min="3" max="3" width="31.265625" style="319" customWidth="1"/>
    <col min="4" max="4" width="14.265625" style="319" customWidth="1"/>
    <col min="5" max="5" width="12.1328125" style="319" customWidth="1"/>
    <col min="6" max="7" width="15" style="319" customWidth="1"/>
    <col min="8" max="10" width="17.59765625" style="319" customWidth="1"/>
    <col min="11" max="11" width="44.3984375" style="319" bestFit="1" customWidth="1"/>
    <col min="12" max="12" width="11.59765625" style="319" customWidth="1"/>
    <col min="13" max="13" width="25.1328125" style="319" customWidth="1"/>
    <col min="14" max="14" width="13.1328125" style="319" customWidth="1"/>
    <col min="15" max="15" width="17.86328125" style="319" bestFit="1" customWidth="1"/>
    <col min="16" max="16384" width="9.1328125" style="319"/>
  </cols>
  <sheetData>
    <row r="1" spans="1:16">
      <c r="A1" s="319" t="s">
        <v>423</v>
      </c>
      <c r="B1" s="319" t="s">
        <v>424</v>
      </c>
      <c r="C1" s="319" t="s">
        <v>426</v>
      </c>
      <c r="D1" s="319" t="s">
        <v>427</v>
      </c>
      <c r="E1" s="319" t="s">
        <v>428</v>
      </c>
      <c r="F1" s="319" t="s">
        <v>429</v>
      </c>
      <c r="G1" s="319" t="s">
        <v>430</v>
      </c>
      <c r="H1" s="320" t="s">
        <v>570</v>
      </c>
      <c r="I1" s="320" t="s">
        <v>432</v>
      </c>
      <c r="J1" s="320" t="s">
        <v>433</v>
      </c>
      <c r="K1" s="320" t="s">
        <v>599</v>
      </c>
      <c r="L1" s="320"/>
      <c r="M1" s="320"/>
    </row>
    <row r="2" spans="1:16" ht="6.95" customHeight="1">
      <c r="A2" s="321" t="s">
        <v>434</v>
      </c>
      <c r="B2" s="321" t="s">
        <v>434</v>
      </c>
      <c r="C2" s="321" t="s">
        <v>434</v>
      </c>
      <c r="D2" s="321" t="s">
        <v>434</v>
      </c>
      <c r="E2" s="321" t="s">
        <v>434</v>
      </c>
      <c r="F2" s="321" t="s">
        <v>434</v>
      </c>
      <c r="G2" s="321" t="s">
        <v>434</v>
      </c>
      <c r="H2" s="321" t="s">
        <v>434</v>
      </c>
      <c r="I2" s="321" t="s">
        <v>434</v>
      </c>
      <c r="J2" s="321" t="s">
        <v>434</v>
      </c>
      <c r="K2" s="321" t="s">
        <v>434</v>
      </c>
      <c r="L2" s="321"/>
      <c r="M2" s="321"/>
    </row>
    <row r="3" spans="1:16" ht="22.15" customHeight="1">
      <c r="A3" s="322" t="s">
        <v>460</v>
      </c>
      <c r="B3" s="322" t="s">
        <v>461</v>
      </c>
      <c r="D3" s="323" t="s">
        <v>707</v>
      </c>
      <c r="F3" s="324">
        <v>0</v>
      </c>
      <c r="H3" s="323" t="s">
        <v>465</v>
      </c>
      <c r="I3" s="323" t="s">
        <v>465</v>
      </c>
      <c r="J3" s="323" t="s">
        <v>443</v>
      </c>
      <c r="K3" s="323" t="s">
        <v>600</v>
      </c>
      <c r="L3" s="323"/>
      <c r="M3" s="323"/>
    </row>
    <row r="4" spans="1:16" ht="22.15" customHeight="1">
      <c r="A4" s="322" t="s">
        <v>460</v>
      </c>
      <c r="B4" s="322" t="s">
        <v>461</v>
      </c>
      <c r="C4" s="322" t="s">
        <v>463</v>
      </c>
      <c r="D4" s="322" t="s">
        <v>708</v>
      </c>
      <c r="E4" s="325">
        <v>45046</v>
      </c>
      <c r="F4" s="324">
        <v>563.28</v>
      </c>
      <c r="H4" s="323" t="s">
        <v>465</v>
      </c>
      <c r="I4" s="323" t="s">
        <v>465</v>
      </c>
      <c r="J4" s="323" t="s">
        <v>443</v>
      </c>
      <c r="K4" s="323" t="s">
        <v>600</v>
      </c>
      <c r="L4" s="323"/>
      <c r="M4" s="323"/>
    </row>
    <row r="5" spans="1:16" ht="22.15" customHeight="1">
      <c r="A5" s="322" t="s">
        <v>460</v>
      </c>
      <c r="B5" s="322" t="s">
        <v>461</v>
      </c>
      <c r="C5" s="322" t="s">
        <v>467</v>
      </c>
      <c r="D5" s="322" t="s">
        <v>708</v>
      </c>
      <c r="E5" s="325">
        <v>45046</v>
      </c>
      <c r="F5" s="324">
        <v>436.8</v>
      </c>
      <c r="H5" s="323" t="s">
        <v>465</v>
      </c>
      <c r="I5" s="323" t="s">
        <v>465</v>
      </c>
      <c r="J5" s="323" t="s">
        <v>443</v>
      </c>
      <c r="K5" s="323" t="s">
        <v>600</v>
      </c>
      <c r="L5" s="323"/>
      <c r="M5" s="323"/>
      <c r="N5" s="198" t="s">
        <v>428</v>
      </c>
      <c r="O5" t="s">
        <v>941</v>
      </c>
    </row>
    <row r="6" spans="1:16" ht="22.15" customHeight="1">
      <c r="A6" s="322" t="s">
        <v>460</v>
      </c>
      <c r="B6" s="322" t="s">
        <v>461</v>
      </c>
      <c r="C6" s="322" t="s">
        <v>469</v>
      </c>
      <c r="D6" s="322" t="s">
        <v>708</v>
      </c>
      <c r="E6" s="325">
        <v>45046</v>
      </c>
      <c r="F6" s="324">
        <v>720</v>
      </c>
      <c r="H6" s="323" t="s">
        <v>465</v>
      </c>
      <c r="I6" s="323" t="s">
        <v>465</v>
      </c>
      <c r="J6" s="323" t="s">
        <v>443</v>
      </c>
      <c r="K6" s="323" t="s">
        <v>600</v>
      </c>
      <c r="L6" s="323"/>
      <c r="M6" s="323"/>
    </row>
    <row r="7" spans="1:16" ht="22.15" customHeight="1">
      <c r="A7" s="322" t="s">
        <v>709</v>
      </c>
      <c r="B7" s="322" t="s">
        <v>710</v>
      </c>
      <c r="C7" s="322" t="s">
        <v>711</v>
      </c>
      <c r="D7" s="322" t="s">
        <v>712</v>
      </c>
      <c r="E7" s="325">
        <v>45046</v>
      </c>
      <c r="F7" s="324">
        <v>65.790000000000006</v>
      </c>
      <c r="H7" s="323" t="s">
        <v>465</v>
      </c>
      <c r="I7" s="323" t="s">
        <v>442</v>
      </c>
      <c r="J7" s="323" t="s">
        <v>443</v>
      </c>
      <c r="K7" s="323" t="s">
        <v>600</v>
      </c>
      <c r="L7" s="323"/>
      <c r="M7" s="323"/>
      <c r="N7" s="198" t="s">
        <v>435</v>
      </c>
      <c r="O7" t="s">
        <v>703</v>
      </c>
      <c r="P7"/>
    </row>
    <row r="8" spans="1:16" ht="22.15" customHeight="1">
      <c r="A8" s="322" t="s">
        <v>539</v>
      </c>
      <c r="B8" s="322" t="s">
        <v>455</v>
      </c>
      <c r="C8" s="322" t="s">
        <v>713</v>
      </c>
      <c r="D8" s="322" t="s">
        <v>712</v>
      </c>
      <c r="E8" s="325">
        <v>45046</v>
      </c>
      <c r="F8" s="324">
        <v>41.12</v>
      </c>
      <c r="H8" s="323" t="s">
        <v>465</v>
      </c>
      <c r="I8" s="323" t="s">
        <v>442</v>
      </c>
      <c r="J8" s="323" t="s">
        <v>443</v>
      </c>
      <c r="K8" s="323" t="s">
        <v>600</v>
      </c>
      <c r="L8" s="323"/>
      <c r="M8" s="323"/>
      <c r="N8" s="188" t="s">
        <v>437</v>
      </c>
      <c r="O8">
        <v>4304.2800000000007</v>
      </c>
      <c r="P8"/>
    </row>
    <row r="9" spans="1:16" ht="22.15" customHeight="1">
      <c r="A9" s="322" t="s">
        <v>460</v>
      </c>
      <c r="B9" s="322" t="s">
        <v>461</v>
      </c>
      <c r="C9" s="322" t="s">
        <v>463</v>
      </c>
      <c r="D9" s="322" t="s">
        <v>714</v>
      </c>
      <c r="E9" s="325">
        <v>45077</v>
      </c>
      <c r="F9" s="324">
        <v>563.28</v>
      </c>
      <c r="H9" s="323" t="s">
        <v>465</v>
      </c>
      <c r="I9" s="323" t="s">
        <v>465</v>
      </c>
      <c r="J9" s="323" t="s">
        <v>443</v>
      </c>
      <c r="K9" s="323" t="s">
        <v>600</v>
      </c>
      <c r="L9" s="323"/>
      <c r="M9" s="323"/>
      <c r="N9" s="188" t="s">
        <v>460</v>
      </c>
      <c r="O9">
        <v>5160.24</v>
      </c>
      <c r="P9"/>
    </row>
    <row r="10" spans="1:16" ht="22.15" customHeight="1">
      <c r="A10" s="322" t="s">
        <v>460</v>
      </c>
      <c r="B10" s="322" t="s">
        <v>461</v>
      </c>
      <c r="C10" s="322" t="s">
        <v>467</v>
      </c>
      <c r="D10" s="322" t="s">
        <v>714</v>
      </c>
      <c r="E10" s="325">
        <v>45077</v>
      </c>
      <c r="F10" s="324">
        <v>436.8</v>
      </c>
      <c r="H10" s="323" t="s">
        <v>465</v>
      </c>
      <c r="I10" s="323" t="s">
        <v>465</v>
      </c>
      <c r="J10" s="323" t="s">
        <v>443</v>
      </c>
      <c r="K10" s="323" t="s">
        <v>600</v>
      </c>
      <c r="L10" s="323"/>
      <c r="M10" s="323"/>
      <c r="N10" s="188" t="s">
        <v>478</v>
      </c>
      <c r="O10">
        <v>5263.87</v>
      </c>
      <c r="P10"/>
    </row>
    <row r="11" spans="1:16" ht="22.15" customHeight="1">
      <c r="A11" s="322" t="s">
        <v>460</v>
      </c>
      <c r="B11" s="322" t="s">
        <v>461</v>
      </c>
      <c r="C11" s="322" t="s">
        <v>469</v>
      </c>
      <c r="D11" s="322" t="s">
        <v>714</v>
      </c>
      <c r="E11" s="325">
        <v>45077</v>
      </c>
      <c r="F11" s="324">
        <v>720</v>
      </c>
      <c r="H11" s="323" t="s">
        <v>465</v>
      </c>
      <c r="I11" s="323" t="s">
        <v>465</v>
      </c>
      <c r="J11" s="323" t="s">
        <v>443</v>
      </c>
      <c r="K11" s="323" t="s">
        <v>600</v>
      </c>
      <c r="L11" s="323"/>
      <c r="M11" s="323"/>
      <c r="N11" s="188" t="s">
        <v>675</v>
      </c>
      <c r="O11">
        <v>178.57</v>
      </c>
      <c r="P11"/>
    </row>
    <row r="12" spans="1:16" ht="22.15" customHeight="1">
      <c r="A12" s="322" t="s">
        <v>437</v>
      </c>
      <c r="B12" s="322" t="s">
        <v>438</v>
      </c>
      <c r="C12" s="322" t="s">
        <v>715</v>
      </c>
      <c r="D12" s="322" t="s">
        <v>716</v>
      </c>
      <c r="E12" s="325">
        <v>45077</v>
      </c>
      <c r="F12" s="324">
        <v>837.89</v>
      </c>
      <c r="H12" s="323" t="s">
        <v>465</v>
      </c>
      <c r="I12" s="323" t="s">
        <v>442</v>
      </c>
      <c r="J12" s="323" t="s">
        <v>443</v>
      </c>
      <c r="K12" s="323" t="s">
        <v>600</v>
      </c>
      <c r="L12" s="323"/>
      <c r="M12" s="323"/>
      <c r="N12" s="188" t="s">
        <v>603</v>
      </c>
      <c r="O12">
        <v>289.14</v>
      </c>
      <c r="P12"/>
    </row>
    <row r="13" spans="1:16" ht="22.15" customHeight="1">
      <c r="A13" s="322" t="s">
        <v>717</v>
      </c>
      <c r="B13" s="322" t="s">
        <v>718</v>
      </c>
      <c r="C13" s="322" t="s">
        <v>719</v>
      </c>
      <c r="D13" s="322" t="s">
        <v>716</v>
      </c>
      <c r="E13" s="325">
        <v>45077</v>
      </c>
      <c r="F13" s="324">
        <v>498.74</v>
      </c>
      <c r="H13" s="323" t="s">
        <v>465</v>
      </c>
      <c r="I13" s="323" t="s">
        <v>442</v>
      </c>
      <c r="J13" s="323" t="s">
        <v>443</v>
      </c>
      <c r="K13" s="323" t="s">
        <v>600</v>
      </c>
      <c r="L13" s="323"/>
      <c r="M13" s="323"/>
      <c r="N13" s="188" t="s">
        <v>493</v>
      </c>
      <c r="O13">
        <v>639.77</v>
      </c>
      <c r="P13"/>
    </row>
    <row r="14" spans="1:16" ht="22.15" customHeight="1">
      <c r="A14" s="322" t="s">
        <v>493</v>
      </c>
      <c r="B14" s="322" t="s">
        <v>466</v>
      </c>
      <c r="C14" s="322" t="s">
        <v>720</v>
      </c>
      <c r="D14" s="322" t="s">
        <v>716</v>
      </c>
      <c r="E14" s="325">
        <v>45077</v>
      </c>
      <c r="F14" s="324">
        <v>125.99</v>
      </c>
      <c r="H14" s="323" t="s">
        <v>465</v>
      </c>
      <c r="I14" s="323" t="s">
        <v>442</v>
      </c>
      <c r="J14" s="323" t="s">
        <v>443</v>
      </c>
      <c r="K14" s="323" t="s">
        <v>600</v>
      </c>
      <c r="L14" s="323"/>
      <c r="M14" s="323"/>
      <c r="N14" s="188" t="s">
        <v>521</v>
      </c>
      <c r="O14">
        <v>1064.8800000000001</v>
      </c>
      <c r="P14"/>
    </row>
    <row r="15" spans="1:16" ht="22.15" customHeight="1">
      <c r="A15" s="322" t="s">
        <v>493</v>
      </c>
      <c r="B15" s="322" t="s">
        <v>466</v>
      </c>
      <c r="C15" s="322" t="s">
        <v>721</v>
      </c>
      <c r="D15" s="322" t="s">
        <v>716</v>
      </c>
      <c r="E15" s="325">
        <v>45077</v>
      </c>
      <c r="F15" s="324">
        <v>113.31</v>
      </c>
      <c r="H15" s="323" t="s">
        <v>465</v>
      </c>
      <c r="I15" s="323" t="s">
        <v>442</v>
      </c>
      <c r="J15" s="323" t="s">
        <v>443</v>
      </c>
      <c r="K15" s="323" t="s">
        <v>600</v>
      </c>
      <c r="L15" s="323"/>
      <c r="M15" s="323"/>
      <c r="N15" s="188" t="s">
        <v>533</v>
      </c>
      <c r="O15">
        <v>26.180000000000003</v>
      </c>
      <c r="P15"/>
    </row>
    <row r="16" spans="1:16" ht="22.15" customHeight="1">
      <c r="A16" s="322" t="s">
        <v>493</v>
      </c>
      <c r="B16" s="322" t="s">
        <v>466</v>
      </c>
      <c r="C16" s="322" t="s">
        <v>722</v>
      </c>
      <c r="D16" s="322" t="s">
        <v>716</v>
      </c>
      <c r="E16" s="325">
        <v>45077</v>
      </c>
      <c r="F16" s="324">
        <v>75.599999999999994</v>
      </c>
      <c r="H16" s="323" t="s">
        <v>465</v>
      </c>
      <c r="I16" s="323" t="s">
        <v>442</v>
      </c>
      <c r="J16" s="323" t="s">
        <v>443</v>
      </c>
      <c r="K16" s="323" t="s">
        <v>600</v>
      </c>
      <c r="L16" s="323"/>
      <c r="M16" s="323"/>
      <c r="N16" s="188" t="s">
        <v>536</v>
      </c>
      <c r="O16">
        <v>10530.809999999998</v>
      </c>
      <c r="P16"/>
    </row>
    <row r="17" spans="1:16" ht="22.15" customHeight="1">
      <c r="A17" s="322" t="s">
        <v>723</v>
      </c>
      <c r="B17" s="322" t="s">
        <v>724</v>
      </c>
      <c r="C17" s="322" t="s">
        <v>725</v>
      </c>
      <c r="D17" s="322" t="s">
        <v>716</v>
      </c>
      <c r="E17" s="325">
        <v>45077</v>
      </c>
      <c r="F17" s="324">
        <v>999.46</v>
      </c>
      <c r="H17" s="323" t="s">
        <v>465</v>
      </c>
      <c r="I17" s="323" t="s">
        <v>442</v>
      </c>
      <c r="J17" s="323" t="s">
        <v>443</v>
      </c>
      <c r="K17" s="323" t="s">
        <v>600</v>
      </c>
      <c r="L17" s="323"/>
      <c r="M17" s="323"/>
      <c r="N17" s="188" t="s">
        <v>612</v>
      </c>
      <c r="O17">
        <v>92.419999999999987</v>
      </c>
      <c r="P17"/>
    </row>
    <row r="18" spans="1:16" ht="22.15" customHeight="1">
      <c r="A18" s="322" t="s">
        <v>539</v>
      </c>
      <c r="B18" s="322" t="s">
        <v>455</v>
      </c>
      <c r="C18" s="322" t="s">
        <v>726</v>
      </c>
      <c r="D18" s="322" t="s">
        <v>716</v>
      </c>
      <c r="E18" s="325">
        <v>45077</v>
      </c>
      <c r="F18" s="324">
        <v>33.6</v>
      </c>
      <c r="H18" s="323" t="s">
        <v>465</v>
      </c>
      <c r="I18" s="323" t="s">
        <v>442</v>
      </c>
      <c r="J18" s="323" t="s">
        <v>443</v>
      </c>
      <c r="K18" s="323" t="s">
        <v>600</v>
      </c>
      <c r="L18" s="323"/>
      <c r="M18" s="323"/>
      <c r="N18" s="188" t="s">
        <v>688</v>
      </c>
      <c r="O18">
        <v>410.41</v>
      </c>
      <c r="P18"/>
    </row>
    <row r="19" spans="1:16" ht="22.15" customHeight="1">
      <c r="A19" s="322" t="s">
        <v>539</v>
      </c>
      <c r="B19" s="322" t="s">
        <v>455</v>
      </c>
      <c r="C19" s="322" t="s">
        <v>727</v>
      </c>
      <c r="D19" s="322" t="s">
        <v>716</v>
      </c>
      <c r="E19" s="325">
        <v>45077</v>
      </c>
      <c r="F19" s="324">
        <v>604.77</v>
      </c>
      <c r="H19" s="323" t="s">
        <v>465</v>
      </c>
      <c r="I19" s="323" t="s">
        <v>442</v>
      </c>
      <c r="J19" s="323" t="s">
        <v>443</v>
      </c>
      <c r="K19" s="323" t="s">
        <v>600</v>
      </c>
      <c r="L19" s="323"/>
      <c r="M19" s="323"/>
      <c r="N19" s="188" t="s">
        <v>601</v>
      </c>
      <c r="O19">
        <v>1080.48</v>
      </c>
      <c r="P19"/>
    </row>
    <row r="20" spans="1:16" ht="22.15" customHeight="1">
      <c r="A20" s="322" t="s">
        <v>709</v>
      </c>
      <c r="B20" s="322" t="s">
        <v>710</v>
      </c>
      <c r="C20" s="322" t="s">
        <v>728</v>
      </c>
      <c r="D20" s="322" t="s">
        <v>716</v>
      </c>
      <c r="E20" s="325">
        <v>45077</v>
      </c>
      <c r="F20" s="324">
        <v>281.39</v>
      </c>
      <c r="H20" s="323" t="s">
        <v>465</v>
      </c>
      <c r="I20" s="323" t="s">
        <v>442</v>
      </c>
      <c r="J20" s="323" t="s">
        <v>443</v>
      </c>
      <c r="K20" s="323" t="s">
        <v>600</v>
      </c>
      <c r="L20" s="323"/>
      <c r="M20" s="323"/>
      <c r="N20" s="188" t="s">
        <v>574</v>
      </c>
      <c r="O20">
        <v>897.31999999999994</v>
      </c>
      <c r="P20"/>
    </row>
    <row r="21" spans="1:16" ht="22.15" customHeight="1">
      <c r="A21" s="322" t="s">
        <v>709</v>
      </c>
      <c r="B21" s="322" t="s">
        <v>710</v>
      </c>
      <c r="C21" s="322" t="s">
        <v>729</v>
      </c>
      <c r="D21" s="322" t="s">
        <v>716</v>
      </c>
      <c r="E21" s="325">
        <v>45077</v>
      </c>
      <c r="F21" s="324">
        <v>748.4</v>
      </c>
      <c r="H21" s="323" t="s">
        <v>465</v>
      </c>
      <c r="I21" s="323" t="s">
        <v>442</v>
      </c>
      <c r="J21" s="323" t="s">
        <v>443</v>
      </c>
      <c r="K21" s="323" t="s">
        <v>600</v>
      </c>
      <c r="L21" s="323"/>
      <c r="M21" s="323"/>
      <c r="N21" s="188" t="s">
        <v>638</v>
      </c>
      <c r="O21">
        <v>2439.06</v>
      </c>
      <c r="P21"/>
    </row>
    <row r="22" spans="1:16" ht="22.15" customHeight="1">
      <c r="A22" s="322" t="s">
        <v>539</v>
      </c>
      <c r="B22" s="322" t="s">
        <v>455</v>
      </c>
      <c r="C22" s="322" t="s">
        <v>730</v>
      </c>
      <c r="D22" s="322" t="s">
        <v>716</v>
      </c>
      <c r="E22" s="325">
        <v>45077</v>
      </c>
      <c r="F22" s="324">
        <v>33.6</v>
      </c>
      <c r="H22" s="323" t="s">
        <v>465</v>
      </c>
      <c r="I22" s="323" t="s">
        <v>442</v>
      </c>
      <c r="J22" s="323" t="s">
        <v>443</v>
      </c>
      <c r="K22" s="323" t="s">
        <v>600</v>
      </c>
      <c r="L22" s="323"/>
      <c r="M22" s="323"/>
      <c r="N22" s="188" t="s">
        <v>539</v>
      </c>
      <c r="O22">
        <v>5409.86</v>
      </c>
      <c r="P22"/>
    </row>
    <row r="23" spans="1:16" ht="22.15" customHeight="1">
      <c r="A23" s="322" t="s">
        <v>539</v>
      </c>
      <c r="B23" s="322" t="s">
        <v>455</v>
      </c>
      <c r="C23" s="322" t="s">
        <v>731</v>
      </c>
      <c r="D23" s="322" t="s">
        <v>716</v>
      </c>
      <c r="E23" s="325">
        <v>45077</v>
      </c>
      <c r="F23" s="324">
        <v>436.78</v>
      </c>
      <c r="H23" s="323" t="s">
        <v>465</v>
      </c>
      <c r="I23" s="323" t="s">
        <v>442</v>
      </c>
      <c r="J23" s="323" t="s">
        <v>443</v>
      </c>
      <c r="K23" s="323" t="s">
        <v>600</v>
      </c>
      <c r="L23" s="323"/>
      <c r="M23" s="323"/>
      <c r="N23" s="188" t="s">
        <v>552</v>
      </c>
      <c r="O23">
        <v>12574.46</v>
      </c>
      <c r="P23"/>
    </row>
    <row r="24" spans="1:16" ht="22.15" customHeight="1">
      <c r="A24" s="322" t="s">
        <v>539</v>
      </c>
      <c r="B24" s="322" t="s">
        <v>455</v>
      </c>
      <c r="C24" s="322" t="s">
        <v>732</v>
      </c>
      <c r="D24" s="322" t="s">
        <v>716</v>
      </c>
      <c r="E24" s="325">
        <v>45077</v>
      </c>
      <c r="F24" s="324">
        <v>33.6</v>
      </c>
      <c r="H24" s="323" t="s">
        <v>465</v>
      </c>
      <c r="I24" s="323" t="s">
        <v>442</v>
      </c>
      <c r="J24" s="323" t="s">
        <v>443</v>
      </c>
      <c r="K24" s="323" t="s">
        <v>600</v>
      </c>
      <c r="L24" s="323"/>
      <c r="M24" s="323"/>
      <c r="N24" s="188" t="s">
        <v>558</v>
      </c>
      <c r="O24">
        <v>237.04999999999998</v>
      </c>
      <c r="P24"/>
    </row>
    <row r="25" spans="1:16" ht="22.15" customHeight="1">
      <c r="A25" s="322" t="s">
        <v>539</v>
      </c>
      <c r="B25" s="322" t="s">
        <v>455</v>
      </c>
      <c r="C25" s="322" t="s">
        <v>733</v>
      </c>
      <c r="D25" s="322" t="s">
        <v>716</v>
      </c>
      <c r="E25" s="325">
        <v>45077</v>
      </c>
      <c r="F25" s="324">
        <v>67.2</v>
      </c>
      <c r="H25" s="323" t="s">
        <v>465</v>
      </c>
      <c r="I25" s="323" t="s">
        <v>442</v>
      </c>
      <c r="J25" s="323" t="s">
        <v>443</v>
      </c>
      <c r="K25" s="323" t="s">
        <v>600</v>
      </c>
      <c r="L25" s="323"/>
      <c r="M25" s="323"/>
      <c r="N25" s="188" t="s">
        <v>575</v>
      </c>
      <c r="O25">
        <v>88.69</v>
      </c>
    </row>
    <row r="26" spans="1:16" ht="22.15" customHeight="1">
      <c r="A26" s="322" t="s">
        <v>552</v>
      </c>
      <c r="B26" s="322" t="s">
        <v>457</v>
      </c>
      <c r="C26" s="322" t="s">
        <v>734</v>
      </c>
      <c r="D26" s="322" t="s">
        <v>716</v>
      </c>
      <c r="E26" s="325">
        <v>45077</v>
      </c>
      <c r="F26" s="324">
        <v>4125.2</v>
      </c>
      <c r="H26" s="323" t="s">
        <v>465</v>
      </c>
      <c r="I26" s="323" t="s">
        <v>442</v>
      </c>
      <c r="J26" s="323" t="s">
        <v>443</v>
      </c>
      <c r="K26" s="323" t="s">
        <v>600</v>
      </c>
      <c r="L26" s="323"/>
      <c r="M26" s="323"/>
      <c r="N26" s="188" t="s">
        <v>576</v>
      </c>
      <c r="O26">
        <v>152.99</v>
      </c>
    </row>
    <row r="27" spans="1:16" ht="22.15" customHeight="1">
      <c r="A27" s="322" t="s">
        <v>552</v>
      </c>
      <c r="B27" s="322" t="s">
        <v>457</v>
      </c>
      <c r="C27" s="322" t="s">
        <v>735</v>
      </c>
      <c r="D27" s="322" t="s">
        <v>716</v>
      </c>
      <c r="E27" s="325">
        <v>45077</v>
      </c>
      <c r="F27" s="324">
        <v>43.68</v>
      </c>
      <c r="H27" s="323" t="s">
        <v>465</v>
      </c>
      <c r="I27" s="323" t="s">
        <v>442</v>
      </c>
      <c r="J27" s="323" t="s">
        <v>443</v>
      </c>
      <c r="K27" s="323" t="s">
        <v>600</v>
      </c>
      <c r="L27" s="323"/>
      <c r="M27" s="323"/>
      <c r="N27" s="188" t="s">
        <v>560</v>
      </c>
      <c r="O27">
        <v>48888.490000000005</v>
      </c>
    </row>
    <row r="28" spans="1:16" ht="22.15" customHeight="1">
      <c r="A28" s="322" t="s">
        <v>552</v>
      </c>
      <c r="B28" s="322" t="s">
        <v>457</v>
      </c>
      <c r="C28" s="322" t="s">
        <v>736</v>
      </c>
      <c r="D28" s="322" t="s">
        <v>716</v>
      </c>
      <c r="E28" s="325">
        <v>45077</v>
      </c>
      <c r="F28" s="324">
        <v>1310.33</v>
      </c>
      <c r="H28" s="323" t="s">
        <v>465</v>
      </c>
      <c r="I28" s="323" t="s">
        <v>442</v>
      </c>
      <c r="J28" s="323" t="s">
        <v>443</v>
      </c>
      <c r="K28" s="323" t="s">
        <v>600</v>
      </c>
      <c r="L28" s="323"/>
      <c r="M28" s="323"/>
      <c r="N28" s="188" t="s">
        <v>477</v>
      </c>
      <c r="O28">
        <v>99728.97</v>
      </c>
    </row>
    <row r="29" spans="1:16" ht="22.15" customHeight="1" thickBot="1">
      <c r="A29" s="322" t="s">
        <v>552</v>
      </c>
      <c r="B29" s="322" t="s">
        <v>457</v>
      </c>
      <c r="C29" s="322" t="s">
        <v>737</v>
      </c>
      <c r="D29" s="322" t="s">
        <v>716</v>
      </c>
      <c r="E29" s="325">
        <v>45077</v>
      </c>
      <c r="F29" s="324">
        <v>56.45</v>
      </c>
      <c r="H29" s="323" t="s">
        <v>465</v>
      </c>
      <c r="I29" s="323" t="s">
        <v>442</v>
      </c>
      <c r="J29" s="323" t="s">
        <v>443</v>
      </c>
      <c r="K29" s="323" t="s">
        <v>600</v>
      </c>
      <c r="L29" s="323"/>
      <c r="M29" s="323"/>
      <c r="N29"/>
      <c r="O29"/>
    </row>
    <row r="30" spans="1:16" ht="22.15" customHeight="1">
      <c r="A30" s="322" t="s">
        <v>576</v>
      </c>
      <c r="B30" s="322" t="s">
        <v>583</v>
      </c>
      <c r="C30" s="322" t="s">
        <v>738</v>
      </c>
      <c r="D30" s="322" t="s">
        <v>716</v>
      </c>
      <c r="E30" s="325">
        <v>45077</v>
      </c>
      <c r="F30" s="324">
        <v>100.79</v>
      </c>
      <c r="H30" s="323" t="s">
        <v>465</v>
      </c>
      <c r="I30" s="323" t="s">
        <v>442</v>
      </c>
      <c r="J30" s="323" t="s">
        <v>443</v>
      </c>
      <c r="K30" s="323" t="s">
        <v>600</v>
      </c>
      <c r="L30" s="323"/>
      <c r="M30" s="323"/>
      <c r="N30" s="205" t="s">
        <v>482</v>
      </c>
      <c r="O30" s="207">
        <v>500000</v>
      </c>
    </row>
    <row r="31" spans="1:16" ht="22.15" customHeight="1">
      <c r="A31" s="322" t="s">
        <v>478</v>
      </c>
      <c r="B31" s="322" t="s">
        <v>449</v>
      </c>
      <c r="C31" s="322" t="s">
        <v>739</v>
      </c>
      <c r="D31" s="322" t="s">
        <v>740</v>
      </c>
      <c r="E31" s="325">
        <v>45086</v>
      </c>
      <c r="F31" s="324">
        <v>4000</v>
      </c>
      <c r="H31" s="323" t="s">
        <v>465</v>
      </c>
      <c r="I31" s="323" t="s">
        <v>442</v>
      </c>
      <c r="J31" s="323" t="s">
        <v>443</v>
      </c>
      <c r="K31" s="323" t="s">
        <v>600</v>
      </c>
      <c r="L31" s="323"/>
      <c r="M31" s="323"/>
      <c r="N31" s="206" t="s">
        <v>485</v>
      </c>
      <c r="O31" s="207">
        <f>175000*2</f>
        <v>350000</v>
      </c>
    </row>
    <row r="32" spans="1:16" ht="22.15" customHeight="1">
      <c r="A32" s="322" t="s">
        <v>460</v>
      </c>
      <c r="B32" s="322" t="s">
        <v>461</v>
      </c>
      <c r="C32" s="322" t="s">
        <v>463</v>
      </c>
      <c r="D32" s="322" t="s">
        <v>741</v>
      </c>
      <c r="E32" s="325">
        <v>45107</v>
      </c>
      <c r="F32" s="324">
        <v>563.28</v>
      </c>
      <c r="H32" s="323" t="s">
        <v>465</v>
      </c>
      <c r="I32" s="323" t="s">
        <v>465</v>
      </c>
      <c r="J32" s="323" t="s">
        <v>443</v>
      </c>
      <c r="K32" s="323" t="s">
        <v>600</v>
      </c>
      <c r="L32" s="323"/>
      <c r="M32" s="323"/>
      <c r="N32" s="206" t="s">
        <v>489</v>
      </c>
      <c r="O32" s="207">
        <f>'UNPBF_FC-3007 Y2 Q3 Report'!R225</f>
        <v>10911.313925237513</v>
      </c>
    </row>
    <row r="33" spans="1:15" ht="22.15" customHeight="1" thickBot="1">
      <c r="A33" s="322" t="s">
        <v>460</v>
      </c>
      <c r="B33" s="322" t="s">
        <v>461</v>
      </c>
      <c r="C33" s="322" t="s">
        <v>467</v>
      </c>
      <c r="D33" s="322" t="s">
        <v>741</v>
      </c>
      <c r="E33" s="325">
        <v>45107</v>
      </c>
      <c r="F33" s="324">
        <v>436.8</v>
      </c>
      <c r="H33" s="323" t="s">
        <v>465</v>
      </c>
      <c r="I33" s="323" t="s">
        <v>465</v>
      </c>
      <c r="J33" s="323" t="s">
        <v>443</v>
      </c>
      <c r="K33" s="323" t="s">
        <v>600</v>
      </c>
      <c r="L33" s="323"/>
      <c r="M33" s="323"/>
      <c r="N33" s="208" t="s">
        <v>492</v>
      </c>
      <c r="O33" s="209">
        <f>O30-O32</f>
        <v>489088.68607476249</v>
      </c>
    </row>
    <row r="34" spans="1:15" ht="22.15" customHeight="1">
      <c r="A34" s="322" t="s">
        <v>460</v>
      </c>
      <c r="B34" s="322" t="s">
        <v>461</v>
      </c>
      <c r="C34" s="322" t="s">
        <v>469</v>
      </c>
      <c r="D34" s="322" t="s">
        <v>741</v>
      </c>
      <c r="E34" s="325">
        <v>45107</v>
      </c>
      <c r="F34" s="324">
        <v>720</v>
      </c>
      <c r="H34" s="323" t="s">
        <v>465</v>
      </c>
      <c r="I34" s="323" t="s">
        <v>465</v>
      </c>
      <c r="J34" s="323" t="s">
        <v>443</v>
      </c>
      <c r="K34" s="323" t="s">
        <v>600</v>
      </c>
      <c r="L34" s="323"/>
      <c r="M34" s="323"/>
      <c r="N34"/>
      <c r="O34"/>
    </row>
    <row r="35" spans="1:15" ht="22.15" customHeight="1">
      <c r="A35" s="322" t="s">
        <v>437</v>
      </c>
      <c r="B35" s="322" t="s">
        <v>438</v>
      </c>
      <c r="C35" s="322" t="s">
        <v>742</v>
      </c>
      <c r="D35" s="322" t="s">
        <v>743</v>
      </c>
      <c r="E35" s="325">
        <v>45107</v>
      </c>
      <c r="F35" s="324">
        <v>839.01</v>
      </c>
      <c r="H35" s="323" t="s">
        <v>465</v>
      </c>
      <c r="I35" s="323" t="s">
        <v>442</v>
      </c>
      <c r="J35" s="323" t="s">
        <v>443</v>
      </c>
      <c r="K35" s="323" t="s">
        <v>600</v>
      </c>
      <c r="L35" s="323"/>
      <c r="M35" s="210" t="s">
        <v>705</v>
      </c>
      <c r="N35"/>
      <c r="O35"/>
    </row>
    <row r="36" spans="1:15" ht="22.15" customHeight="1">
      <c r="A36" s="322" t="s">
        <v>717</v>
      </c>
      <c r="B36" s="322" t="s">
        <v>718</v>
      </c>
      <c r="C36" s="322" t="s">
        <v>744</v>
      </c>
      <c r="D36" s="322" t="s">
        <v>743</v>
      </c>
      <c r="E36" s="325">
        <v>45107</v>
      </c>
      <c r="F36" s="324">
        <v>499.41</v>
      </c>
      <c r="H36" s="323" t="s">
        <v>465</v>
      </c>
      <c r="I36" s="323" t="s">
        <v>442</v>
      </c>
      <c r="J36" s="323" t="s">
        <v>443</v>
      </c>
      <c r="K36" s="323" t="s">
        <v>600</v>
      </c>
      <c r="L36" s="323"/>
      <c r="M36" s="323"/>
      <c r="N36" s="210" t="s">
        <v>704</v>
      </c>
      <c r="O36" s="327">
        <v>2000</v>
      </c>
    </row>
    <row r="37" spans="1:15" ht="22.15" customHeight="1">
      <c r="A37" s="322" t="s">
        <v>552</v>
      </c>
      <c r="B37" s="322" t="s">
        <v>457</v>
      </c>
      <c r="C37" s="322" t="s">
        <v>745</v>
      </c>
      <c r="D37" s="322" t="s">
        <v>743</v>
      </c>
      <c r="E37" s="325">
        <v>45107</v>
      </c>
      <c r="F37" s="324">
        <v>18.309999999999999</v>
      </c>
      <c r="H37" s="323" t="s">
        <v>465</v>
      </c>
      <c r="I37" s="323" t="s">
        <v>442</v>
      </c>
      <c r="J37" s="323" t="s">
        <v>443</v>
      </c>
      <c r="K37" s="323" t="s">
        <v>600</v>
      </c>
      <c r="L37" s="323"/>
      <c r="M37" s="323"/>
      <c r="N37"/>
      <c r="O37"/>
    </row>
    <row r="38" spans="1:15" ht="22.15" customHeight="1">
      <c r="A38" s="322" t="s">
        <v>539</v>
      </c>
      <c r="B38" s="322" t="s">
        <v>455</v>
      </c>
      <c r="C38" s="322" t="s">
        <v>746</v>
      </c>
      <c r="D38" s="322" t="s">
        <v>743</v>
      </c>
      <c r="E38" s="325">
        <v>45107</v>
      </c>
      <c r="F38" s="324">
        <v>25.32</v>
      </c>
      <c r="H38" s="323" t="s">
        <v>465</v>
      </c>
      <c r="I38" s="323" t="s">
        <v>442</v>
      </c>
      <c r="J38" s="323" t="s">
        <v>443</v>
      </c>
      <c r="K38" s="323" t="s">
        <v>600</v>
      </c>
      <c r="L38" s="323"/>
      <c r="M38" s="323" t="s">
        <v>942</v>
      </c>
      <c r="N38" s="323" t="s">
        <v>943</v>
      </c>
      <c r="O38" s="327">
        <f>389*2</f>
        <v>778</v>
      </c>
    </row>
    <row r="39" spans="1:15" ht="22.15" customHeight="1">
      <c r="A39" s="322" t="s">
        <v>539</v>
      </c>
      <c r="B39" s="322" t="s">
        <v>455</v>
      </c>
      <c r="C39" s="322" t="s">
        <v>747</v>
      </c>
      <c r="D39" s="322" t="s">
        <v>743</v>
      </c>
      <c r="E39" s="325">
        <v>45107</v>
      </c>
      <c r="F39" s="324">
        <v>25.32</v>
      </c>
      <c r="H39" s="323" t="s">
        <v>465</v>
      </c>
      <c r="I39" s="323" t="s">
        <v>442</v>
      </c>
      <c r="J39" s="323" t="s">
        <v>443</v>
      </c>
      <c r="K39" s="323" t="s">
        <v>600</v>
      </c>
      <c r="L39" s="323"/>
      <c r="M39" s="323"/>
      <c r="N39"/>
    </row>
    <row r="40" spans="1:15" ht="22.15" customHeight="1" thickBot="1">
      <c r="A40" s="322" t="s">
        <v>539</v>
      </c>
      <c r="B40" s="322" t="s">
        <v>455</v>
      </c>
      <c r="C40" s="322" t="s">
        <v>748</v>
      </c>
      <c r="D40" s="322" t="s">
        <v>743</v>
      </c>
      <c r="E40" s="325">
        <v>45107</v>
      </c>
      <c r="F40" s="324">
        <v>6.75</v>
      </c>
      <c r="H40" s="323" t="s">
        <v>465</v>
      </c>
      <c r="I40" s="323" t="s">
        <v>442</v>
      </c>
      <c r="J40" s="323" t="s">
        <v>443</v>
      </c>
      <c r="K40" s="323" t="s">
        <v>600</v>
      </c>
      <c r="L40" s="323"/>
      <c r="M40" s="329" t="s">
        <v>944</v>
      </c>
      <c r="N40"/>
      <c r="O40" s="328">
        <f>O38+O36+GETPIVOTDATA("Debit",$N$7)</f>
        <v>102506.97</v>
      </c>
    </row>
    <row r="41" spans="1:15" ht="22.15" customHeight="1" thickTop="1">
      <c r="A41" s="322" t="s">
        <v>539</v>
      </c>
      <c r="B41" s="322" t="s">
        <v>455</v>
      </c>
      <c r="C41" s="322" t="s">
        <v>731</v>
      </c>
      <c r="D41" s="322" t="s">
        <v>743</v>
      </c>
      <c r="E41" s="325">
        <v>45107</v>
      </c>
      <c r="F41" s="324">
        <v>42.2</v>
      </c>
      <c r="H41" s="323" t="s">
        <v>465</v>
      </c>
      <c r="I41" s="323" t="s">
        <v>442</v>
      </c>
      <c r="J41" s="323" t="s">
        <v>443</v>
      </c>
      <c r="K41" s="323" t="s">
        <v>600</v>
      </c>
      <c r="L41" s="323"/>
      <c r="M41" s="323"/>
      <c r="N41"/>
      <c r="O41"/>
    </row>
    <row r="42" spans="1:15" ht="22.15" customHeight="1" thickBot="1">
      <c r="A42" s="322" t="s">
        <v>539</v>
      </c>
      <c r="B42" s="322" t="s">
        <v>455</v>
      </c>
      <c r="C42" s="322" t="s">
        <v>731</v>
      </c>
      <c r="D42" s="322" t="s">
        <v>743</v>
      </c>
      <c r="E42" s="325">
        <v>45107</v>
      </c>
      <c r="F42" s="324">
        <v>25.32</v>
      </c>
      <c r="H42" s="323" t="s">
        <v>465</v>
      </c>
      <c r="I42" s="323" t="s">
        <v>442</v>
      </c>
      <c r="J42" s="323" t="s">
        <v>443</v>
      </c>
      <c r="K42" s="323" t="s">
        <v>600</v>
      </c>
      <c r="L42" s="323"/>
      <c r="M42" s="323"/>
      <c r="N42"/>
      <c r="O42"/>
    </row>
    <row r="43" spans="1:15" ht="30.75" customHeight="1">
      <c r="A43" s="322" t="s">
        <v>478</v>
      </c>
      <c r="B43" s="322" t="s">
        <v>449</v>
      </c>
      <c r="C43" s="322" t="s">
        <v>749</v>
      </c>
      <c r="D43" s="322" t="s">
        <v>750</v>
      </c>
      <c r="E43" s="325">
        <v>45131</v>
      </c>
      <c r="F43" s="324">
        <v>4000</v>
      </c>
      <c r="H43" s="323" t="s">
        <v>465</v>
      </c>
      <c r="I43" s="323" t="s">
        <v>442</v>
      </c>
      <c r="J43" s="323" t="s">
        <v>443</v>
      </c>
      <c r="K43" s="323" t="s">
        <v>600</v>
      </c>
      <c r="L43" s="323"/>
      <c r="M43" s="364" t="s">
        <v>945</v>
      </c>
      <c r="N43" s="365"/>
      <c r="O43" s="336">
        <f>'UNPBF_FC-3007 Y2 Q3 Report'!S222</f>
        <v>344806.32168551843</v>
      </c>
    </row>
    <row r="44" spans="1:15" ht="22.15" customHeight="1">
      <c r="A44" s="322" t="s">
        <v>460</v>
      </c>
      <c r="B44" s="322" t="s">
        <v>461</v>
      </c>
      <c r="C44" s="322" t="s">
        <v>463</v>
      </c>
      <c r="D44" s="322" t="s">
        <v>751</v>
      </c>
      <c r="E44" s="325">
        <v>45138</v>
      </c>
      <c r="F44" s="324">
        <v>563.29</v>
      </c>
      <c r="H44" s="323" t="s">
        <v>465</v>
      </c>
      <c r="I44" s="323" t="s">
        <v>465</v>
      </c>
      <c r="J44" s="323" t="s">
        <v>443</v>
      </c>
      <c r="K44" s="323" t="s">
        <v>600</v>
      </c>
      <c r="L44" s="323"/>
      <c r="M44" s="374"/>
      <c r="N44" s="375"/>
      <c r="O44" s="376"/>
    </row>
    <row r="45" spans="1:15" s="334" customFormat="1" ht="27" customHeight="1">
      <c r="A45" s="331" t="s">
        <v>460</v>
      </c>
      <c r="B45" s="331" t="s">
        <v>461</v>
      </c>
      <c r="C45" s="331" t="s">
        <v>467</v>
      </c>
      <c r="D45" s="331" t="s">
        <v>751</v>
      </c>
      <c r="E45" s="332">
        <v>45138</v>
      </c>
      <c r="F45" s="333">
        <v>436.8</v>
      </c>
      <c r="H45" s="335" t="s">
        <v>465</v>
      </c>
      <c r="I45" s="335" t="s">
        <v>465</v>
      </c>
      <c r="J45" s="335" t="s">
        <v>443</v>
      </c>
      <c r="K45" s="335" t="s">
        <v>600</v>
      </c>
      <c r="L45" s="335"/>
      <c r="M45" s="366" t="s">
        <v>946</v>
      </c>
      <c r="N45" s="367"/>
      <c r="O45" s="337">
        <f>F536</f>
        <v>342028.13</v>
      </c>
    </row>
    <row r="46" spans="1:15" ht="22.15" customHeight="1">
      <c r="A46" s="322" t="s">
        <v>460</v>
      </c>
      <c r="B46" s="322" t="s">
        <v>461</v>
      </c>
      <c r="C46" s="322" t="s">
        <v>469</v>
      </c>
      <c r="D46" s="322" t="s">
        <v>751</v>
      </c>
      <c r="E46" s="325">
        <v>45138</v>
      </c>
      <c r="F46" s="324">
        <v>720</v>
      </c>
      <c r="H46" s="323" t="s">
        <v>465</v>
      </c>
      <c r="I46" s="323" t="s">
        <v>465</v>
      </c>
      <c r="J46" s="323" t="s">
        <v>443</v>
      </c>
      <c r="K46" s="323" t="s">
        <v>600</v>
      </c>
      <c r="L46" s="323"/>
      <c r="M46" s="374"/>
      <c r="N46" s="375"/>
      <c r="O46" s="376"/>
    </row>
    <row r="47" spans="1:15" ht="22.15" customHeight="1">
      <c r="A47" s="322" t="s">
        <v>437</v>
      </c>
      <c r="B47" s="322" t="s">
        <v>438</v>
      </c>
      <c r="C47" s="322" t="s">
        <v>752</v>
      </c>
      <c r="D47" s="322" t="s">
        <v>753</v>
      </c>
      <c r="E47" s="325">
        <v>45138</v>
      </c>
      <c r="F47" s="324">
        <v>839.67</v>
      </c>
      <c r="H47" s="323" t="s">
        <v>465</v>
      </c>
      <c r="I47" s="323" t="s">
        <v>442</v>
      </c>
      <c r="J47" s="323" t="s">
        <v>443</v>
      </c>
      <c r="K47" s="323" t="s">
        <v>600</v>
      </c>
      <c r="L47" s="323"/>
      <c r="M47" s="380" t="s">
        <v>568</v>
      </c>
      <c r="N47" s="381"/>
      <c r="O47" s="330">
        <f>O43-O45</f>
        <v>2778.1916855184245</v>
      </c>
    </row>
    <row r="48" spans="1:15" ht="22.15" customHeight="1">
      <c r="A48" s="322" t="s">
        <v>493</v>
      </c>
      <c r="B48" s="322" t="s">
        <v>466</v>
      </c>
      <c r="C48" s="322" t="s">
        <v>754</v>
      </c>
      <c r="D48" s="322" t="s">
        <v>753</v>
      </c>
      <c r="E48" s="325">
        <v>45138</v>
      </c>
      <c r="F48" s="324">
        <v>63.09</v>
      </c>
      <c r="H48" s="323" t="s">
        <v>465</v>
      </c>
      <c r="I48" s="323" t="s">
        <v>442</v>
      </c>
      <c r="J48" s="323" t="s">
        <v>443</v>
      </c>
      <c r="K48" s="323" t="s">
        <v>600</v>
      </c>
      <c r="L48" s="323"/>
      <c r="M48" s="377"/>
      <c r="N48" s="378"/>
      <c r="O48" s="379"/>
    </row>
    <row r="49" spans="1:15" ht="22.15" customHeight="1">
      <c r="A49" s="322" t="s">
        <v>755</v>
      </c>
      <c r="B49" s="322" t="s">
        <v>756</v>
      </c>
      <c r="C49" s="322" t="s">
        <v>757</v>
      </c>
      <c r="D49" s="322" t="s">
        <v>753</v>
      </c>
      <c r="E49" s="325">
        <v>45138</v>
      </c>
      <c r="F49" s="324">
        <v>100.94</v>
      </c>
      <c r="H49" s="323" t="s">
        <v>465</v>
      </c>
      <c r="I49" s="323" t="s">
        <v>442</v>
      </c>
      <c r="J49" s="323" t="s">
        <v>443</v>
      </c>
      <c r="K49" s="323" t="s">
        <v>600</v>
      </c>
      <c r="L49" s="323"/>
      <c r="M49" s="368" t="s">
        <v>947</v>
      </c>
      <c r="N49" s="369"/>
      <c r="O49" s="370"/>
    </row>
    <row r="50" spans="1:15" ht="22.15" customHeight="1">
      <c r="A50" s="322" t="s">
        <v>539</v>
      </c>
      <c r="B50" s="322" t="s">
        <v>455</v>
      </c>
      <c r="C50" s="322" t="s">
        <v>758</v>
      </c>
      <c r="D50" s="322" t="s">
        <v>753</v>
      </c>
      <c r="E50" s="325">
        <v>45138</v>
      </c>
      <c r="F50" s="324">
        <v>25.24</v>
      </c>
      <c r="H50" s="323" t="s">
        <v>465</v>
      </c>
      <c r="I50" s="323" t="s">
        <v>442</v>
      </c>
      <c r="J50" s="323" t="s">
        <v>443</v>
      </c>
      <c r="K50" s="323" t="s">
        <v>600</v>
      </c>
      <c r="L50" s="323"/>
      <c r="M50" s="368"/>
      <c r="N50" s="369"/>
      <c r="O50" s="370"/>
    </row>
    <row r="51" spans="1:15" ht="22.15" customHeight="1" thickBot="1">
      <c r="A51" s="322" t="s">
        <v>539</v>
      </c>
      <c r="B51" s="322" t="s">
        <v>455</v>
      </c>
      <c r="C51" s="322" t="s">
        <v>759</v>
      </c>
      <c r="D51" s="322" t="s">
        <v>753</v>
      </c>
      <c r="E51" s="325">
        <v>45138</v>
      </c>
      <c r="F51" s="324">
        <v>8.41</v>
      </c>
      <c r="H51" s="323" t="s">
        <v>465</v>
      </c>
      <c r="I51" s="323" t="s">
        <v>442</v>
      </c>
      <c r="J51" s="323" t="s">
        <v>443</v>
      </c>
      <c r="K51" s="323" t="s">
        <v>600</v>
      </c>
      <c r="L51" s="323"/>
      <c r="M51" s="371"/>
      <c r="N51" s="372"/>
      <c r="O51" s="373"/>
    </row>
    <row r="52" spans="1:15" ht="22.15" customHeight="1">
      <c r="A52" s="322" t="s">
        <v>539</v>
      </c>
      <c r="B52" s="322" t="s">
        <v>455</v>
      </c>
      <c r="C52" s="322" t="s">
        <v>760</v>
      </c>
      <c r="D52" s="322" t="s">
        <v>753</v>
      </c>
      <c r="E52" s="325">
        <v>45138</v>
      </c>
      <c r="F52" s="324">
        <v>436.41</v>
      </c>
      <c r="H52" s="323" t="s">
        <v>465</v>
      </c>
      <c r="I52" s="323" t="s">
        <v>442</v>
      </c>
      <c r="J52" s="323" t="s">
        <v>443</v>
      </c>
      <c r="K52" s="323" t="s">
        <v>600</v>
      </c>
      <c r="L52" s="323"/>
      <c r="M52" s="323"/>
      <c r="N52"/>
      <c r="O52"/>
    </row>
    <row r="53" spans="1:15" ht="22.15" customHeight="1">
      <c r="A53" s="322" t="s">
        <v>539</v>
      </c>
      <c r="B53" s="322" t="s">
        <v>455</v>
      </c>
      <c r="C53" s="322" t="s">
        <v>748</v>
      </c>
      <c r="D53" s="322" t="s">
        <v>753</v>
      </c>
      <c r="E53" s="325">
        <v>45138</v>
      </c>
      <c r="F53" s="324">
        <v>6.73</v>
      </c>
      <c r="H53" s="323" t="s">
        <v>465</v>
      </c>
      <c r="I53" s="323" t="s">
        <v>442</v>
      </c>
      <c r="J53" s="323" t="s">
        <v>443</v>
      </c>
      <c r="K53" s="323" t="s">
        <v>600</v>
      </c>
      <c r="L53" s="323"/>
      <c r="M53" s="323"/>
      <c r="N53"/>
      <c r="O53"/>
    </row>
    <row r="54" spans="1:15" ht="22.15" customHeight="1">
      <c r="A54" s="322" t="s">
        <v>539</v>
      </c>
      <c r="B54" s="322" t="s">
        <v>455</v>
      </c>
      <c r="C54" s="322" t="s">
        <v>731</v>
      </c>
      <c r="D54" s="322" t="s">
        <v>753</v>
      </c>
      <c r="E54" s="325">
        <v>45138</v>
      </c>
      <c r="F54" s="324">
        <v>50.47</v>
      </c>
      <c r="H54" s="323" t="s">
        <v>465</v>
      </c>
      <c r="I54" s="323" t="s">
        <v>442</v>
      </c>
      <c r="J54" s="323" t="s">
        <v>443</v>
      </c>
      <c r="K54" s="323" t="s">
        <v>600</v>
      </c>
      <c r="L54" s="323"/>
      <c r="M54" s="323"/>
      <c r="N54"/>
      <c r="O54"/>
    </row>
    <row r="55" spans="1:15" ht="22.15" customHeight="1">
      <c r="A55" s="322" t="s">
        <v>539</v>
      </c>
      <c r="B55" s="322" t="s">
        <v>455</v>
      </c>
      <c r="C55" s="322" t="s">
        <v>748</v>
      </c>
      <c r="D55" s="322" t="s">
        <v>753</v>
      </c>
      <c r="E55" s="325">
        <v>45138</v>
      </c>
      <c r="F55" s="324">
        <v>3.36</v>
      </c>
      <c r="H55" s="323" t="s">
        <v>465</v>
      </c>
      <c r="I55" s="323" t="s">
        <v>442</v>
      </c>
      <c r="J55" s="323" t="s">
        <v>443</v>
      </c>
      <c r="K55" s="323" t="s">
        <v>600</v>
      </c>
      <c r="L55" s="323"/>
      <c r="M55" s="323"/>
      <c r="N55"/>
      <c r="O55"/>
    </row>
    <row r="56" spans="1:15" ht="22.15" customHeight="1">
      <c r="A56" s="322" t="s">
        <v>539</v>
      </c>
      <c r="B56" s="322" t="s">
        <v>455</v>
      </c>
      <c r="C56" s="322" t="s">
        <v>731</v>
      </c>
      <c r="D56" s="322" t="s">
        <v>753</v>
      </c>
      <c r="E56" s="325">
        <v>45138</v>
      </c>
      <c r="F56" s="324">
        <v>126.18</v>
      </c>
      <c r="H56" s="323" t="s">
        <v>465</v>
      </c>
      <c r="I56" s="323" t="s">
        <v>442</v>
      </c>
      <c r="J56" s="323" t="s">
        <v>443</v>
      </c>
      <c r="K56" s="323" t="s">
        <v>600</v>
      </c>
      <c r="L56" s="323"/>
      <c r="M56" s="323"/>
      <c r="N56"/>
      <c r="O56"/>
    </row>
    <row r="57" spans="1:15" ht="22.15" customHeight="1">
      <c r="A57" s="322" t="s">
        <v>552</v>
      </c>
      <c r="B57" s="322" t="s">
        <v>457</v>
      </c>
      <c r="C57" s="322" t="s">
        <v>761</v>
      </c>
      <c r="D57" s="322" t="s">
        <v>753</v>
      </c>
      <c r="E57" s="325">
        <v>45138</v>
      </c>
      <c r="F57" s="324">
        <v>1211.31</v>
      </c>
      <c r="H57" s="323" t="s">
        <v>465</v>
      </c>
      <c r="I57" s="323" t="s">
        <v>442</v>
      </c>
      <c r="J57" s="323" t="s">
        <v>443</v>
      </c>
      <c r="K57" s="323" t="s">
        <v>600</v>
      </c>
      <c r="L57" s="323"/>
      <c r="M57" s="323"/>
      <c r="N57"/>
      <c r="O57"/>
    </row>
    <row r="58" spans="1:15" ht="22.15" customHeight="1">
      <c r="A58" s="322" t="s">
        <v>552</v>
      </c>
      <c r="B58" s="322" t="s">
        <v>457</v>
      </c>
      <c r="C58" s="322" t="s">
        <v>745</v>
      </c>
      <c r="D58" s="322" t="s">
        <v>753</v>
      </c>
      <c r="E58" s="325">
        <v>45138</v>
      </c>
      <c r="F58" s="324">
        <v>45.42</v>
      </c>
      <c r="H58" s="323" t="s">
        <v>465</v>
      </c>
      <c r="I58" s="323" t="s">
        <v>442</v>
      </c>
      <c r="J58" s="323" t="s">
        <v>443</v>
      </c>
      <c r="K58" s="323" t="s">
        <v>600</v>
      </c>
      <c r="L58" s="323"/>
      <c r="M58" s="323"/>
      <c r="N58"/>
      <c r="O58"/>
    </row>
    <row r="59" spans="1:15" ht="22.15" customHeight="1">
      <c r="A59" s="322" t="s">
        <v>558</v>
      </c>
      <c r="B59" s="322" t="s">
        <v>468</v>
      </c>
      <c r="C59" s="322" t="s">
        <v>762</v>
      </c>
      <c r="D59" s="322" t="s">
        <v>753</v>
      </c>
      <c r="E59" s="325">
        <v>45138</v>
      </c>
      <c r="F59" s="324">
        <v>2278.6</v>
      </c>
      <c r="H59" s="323" t="s">
        <v>465</v>
      </c>
      <c r="I59" s="323" t="s">
        <v>442</v>
      </c>
      <c r="J59" s="323" t="s">
        <v>443</v>
      </c>
      <c r="K59" s="323" t="s">
        <v>600</v>
      </c>
      <c r="L59" s="323"/>
      <c r="M59" s="323"/>
      <c r="N59"/>
      <c r="O59"/>
    </row>
    <row r="60" spans="1:15" ht="22.15" customHeight="1">
      <c r="A60" s="322" t="s">
        <v>552</v>
      </c>
      <c r="B60" s="322" t="s">
        <v>457</v>
      </c>
      <c r="C60" s="322" t="s">
        <v>745</v>
      </c>
      <c r="D60" s="322" t="s">
        <v>753</v>
      </c>
      <c r="E60" s="325">
        <v>45138</v>
      </c>
      <c r="F60" s="324">
        <v>16.82</v>
      </c>
      <c r="H60" s="323" t="s">
        <v>465</v>
      </c>
      <c r="I60" s="323" t="s">
        <v>442</v>
      </c>
      <c r="J60" s="323" t="s">
        <v>443</v>
      </c>
      <c r="K60" s="323" t="s">
        <v>600</v>
      </c>
      <c r="L60" s="323"/>
      <c r="M60" s="323"/>
      <c r="N60"/>
      <c r="O60"/>
    </row>
    <row r="61" spans="1:15" ht="22.15" customHeight="1">
      <c r="A61" s="322" t="s">
        <v>478</v>
      </c>
      <c r="B61" s="322" t="s">
        <v>449</v>
      </c>
      <c r="C61" s="322" t="s">
        <v>763</v>
      </c>
      <c r="D61" s="322" t="s">
        <v>764</v>
      </c>
      <c r="E61" s="325">
        <v>45166</v>
      </c>
      <c r="F61" s="324">
        <v>1000</v>
      </c>
      <c r="H61" s="323" t="s">
        <v>465</v>
      </c>
      <c r="I61" s="323" t="s">
        <v>442</v>
      </c>
      <c r="J61" s="323" t="s">
        <v>443</v>
      </c>
      <c r="K61" s="323" t="s">
        <v>600</v>
      </c>
      <c r="L61" s="323"/>
      <c r="M61" s="323"/>
      <c r="N61"/>
      <c r="O61"/>
    </row>
    <row r="62" spans="1:15" ht="22.15" customHeight="1">
      <c r="A62" s="322" t="s">
        <v>460</v>
      </c>
      <c r="B62" s="322" t="s">
        <v>461</v>
      </c>
      <c r="C62" s="322" t="s">
        <v>463</v>
      </c>
      <c r="D62" s="322" t="s">
        <v>765</v>
      </c>
      <c r="E62" s="325">
        <v>45169</v>
      </c>
      <c r="F62" s="324">
        <v>563.29</v>
      </c>
      <c r="H62" s="323" t="s">
        <v>465</v>
      </c>
      <c r="I62" s="323" t="s">
        <v>465</v>
      </c>
      <c r="J62" s="323" t="s">
        <v>443</v>
      </c>
      <c r="K62" s="323" t="s">
        <v>600</v>
      </c>
      <c r="L62" s="323"/>
      <c r="M62" s="323"/>
      <c r="N62"/>
      <c r="O62"/>
    </row>
    <row r="63" spans="1:15" ht="22.15" customHeight="1">
      <c r="A63" s="322" t="s">
        <v>460</v>
      </c>
      <c r="B63" s="322" t="s">
        <v>461</v>
      </c>
      <c r="C63" s="322" t="s">
        <v>467</v>
      </c>
      <c r="D63" s="322" t="s">
        <v>765</v>
      </c>
      <c r="E63" s="325">
        <v>45169</v>
      </c>
      <c r="F63" s="324">
        <v>436.8</v>
      </c>
      <c r="H63" s="323" t="s">
        <v>465</v>
      </c>
      <c r="I63" s="323" t="s">
        <v>465</v>
      </c>
      <c r="J63" s="323" t="s">
        <v>443</v>
      </c>
      <c r="K63" s="323" t="s">
        <v>600</v>
      </c>
      <c r="L63" s="323"/>
      <c r="M63" s="323"/>
      <c r="N63"/>
      <c r="O63"/>
    </row>
    <row r="64" spans="1:15" ht="22.15" customHeight="1">
      <c r="A64" s="322" t="s">
        <v>460</v>
      </c>
      <c r="B64" s="322" t="s">
        <v>461</v>
      </c>
      <c r="C64" s="322" t="s">
        <v>469</v>
      </c>
      <c r="D64" s="322" t="s">
        <v>765</v>
      </c>
      <c r="E64" s="325">
        <v>45169</v>
      </c>
      <c r="F64" s="324">
        <v>720</v>
      </c>
      <c r="H64" s="323" t="s">
        <v>465</v>
      </c>
      <c r="I64" s="323" t="s">
        <v>465</v>
      </c>
      <c r="J64" s="323" t="s">
        <v>443</v>
      </c>
      <c r="K64" s="323" t="s">
        <v>600</v>
      </c>
      <c r="L64" s="323"/>
      <c r="M64" s="323"/>
      <c r="N64"/>
      <c r="O64"/>
    </row>
    <row r="65" spans="1:15" ht="22.15" customHeight="1">
      <c r="A65" s="322" t="s">
        <v>437</v>
      </c>
      <c r="B65" s="322" t="s">
        <v>438</v>
      </c>
      <c r="C65" s="322" t="s">
        <v>766</v>
      </c>
      <c r="D65" s="322" t="s">
        <v>767</v>
      </c>
      <c r="E65" s="325">
        <v>45169</v>
      </c>
      <c r="F65" s="324">
        <v>490.19</v>
      </c>
      <c r="H65" s="323" t="s">
        <v>465</v>
      </c>
      <c r="I65" s="323" t="s">
        <v>442</v>
      </c>
      <c r="J65" s="323" t="s">
        <v>443</v>
      </c>
      <c r="K65" s="323" t="s">
        <v>600</v>
      </c>
      <c r="L65" s="323"/>
      <c r="M65" s="323"/>
      <c r="N65"/>
      <c r="O65"/>
    </row>
    <row r="66" spans="1:15" ht="22.15" customHeight="1">
      <c r="A66" s="322" t="s">
        <v>437</v>
      </c>
      <c r="B66" s="322" t="s">
        <v>438</v>
      </c>
      <c r="C66" s="322" t="s">
        <v>768</v>
      </c>
      <c r="D66" s="322" t="s">
        <v>767</v>
      </c>
      <c r="E66" s="325">
        <v>45169</v>
      </c>
      <c r="F66" s="324">
        <v>837.49</v>
      </c>
      <c r="H66" s="323" t="s">
        <v>465</v>
      </c>
      <c r="I66" s="323" t="s">
        <v>442</v>
      </c>
      <c r="J66" s="323" t="s">
        <v>443</v>
      </c>
      <c r="K66" s="323" t="s">
        <v>600</v>
      </c>
      <c r="L66" s="323"/>
      <c r="M66" s="323"/>
      <c r="N66"/>
      <c r="O66"/>
    </row>
    <row r="67" spans="1:15" ht="22.15" customHeight="1">
      <c r="A67" s="322" t="s">
        <v>437</v>
      </c>
      <c r="B67" s="322" t="s">
        <v>438</v>
      </c>
      <c r="C67" s="322" t="s">
        <v>769</v>
      </c>
      <c r="D67" s="322" t="s">
        <v>767</v>
      </c>
      <c r="E67" s="325">
        <v>45169</v>
      </c>
      <c r="F67" s="324">
        <v>498.51</v>
      </c>
      <c r="H67" s="323" t="s">
        <v>465</v>
      </c>
      <c r="I67" s="323" t="s">
        <v>442</v>
      </c>
      <c r="J67" s="323" t="s">
        <v>443</v>
      </c>
      <c r="K67" s="323" t="s">
        <v>600</v>
      </c>
      <c r="L67" s="323"/>
      <c r="M67" s="323"/>
      <c r="N67"/>
      <c r="O67"/>
    </row>
    <row r="68" spans="1:15" ht="22.15" customHeight="1">
      <c r="A68" s="322" t="s">
        <v>770</v>
      </c>
      <c r="B68" s="322" t="s">
        <v>771</v>
      </c>
      <c r="C68" s="322" t="s">
        <v>772</v>
      </c>
      <c r="D68" s="322" t="s">
        <v>767</v>
      </c>
      <c r="E68" s="325">
        <v>45169</v>
      </c>
      <c r="F68" s="324">
        <v>65.97</v>
      </c>
      <c r="H68" s="323" t="s">
        <v>465</v>
      </c>
      <c r="I68" s="323" t="s">
        <v>442</v>
      </c>
      <c r="J68" s="323" t="s">
        <v>443</v>
      </c>
      <c r="K68" s="323" t="s">
        <v>600</v>
      </c>
      <c r="L68" s="323"/>
      <c r="M68" s="323"/>
      <c r="N68"/>
      <c r="O68"/>
    </row>
    <row r="69" spans="1:15" ht="22.15" customHeight="1">
      <c r="A69" s="322" t="s">
        <v>755</v>
      </c>
      <c r="B69" s="322" t="s">
        <v>756</v>
      </c>
      <c r="C69" s="322" t="s">
        <v>757</v>
      </c>
      <c r="D69" s="322" t="s">
        <v>767</v>
      </c>
      <c r="E69" s="325">
        <v>45169</v>
      </c>
      <c r="F69" s="324">
        <v>49.48</v>
      </c>
      <c r="H69" s="323" t="s">
        <v>465</v>
      </c>
      <c r="I69" s="323" t="s">
        <v>442</v>
      </c>
      <c r="J69" s="323" t="s">
        <v>443</v>
      </c>
      <c r="K69" s="323" t="s">
        <v>600</v>
      </c>
      <c r="L69" s="323"/>
      <c r="M69" s="323"/>
      <c r="N69"/>
      <c r="O69"/>
    </row>
    <row r="70" spans="1:15" ht="22.15" customHeight="1">
      <c r="A70" s="322" t="s">
        <v>558</v>
      </c>
      <c r="B70" s="322" t="s">
        <v>468</v>
      </c>
      <c r="C70" s="322" t="s">
        <v>773</v>
      </c>
      <c r="D70" s="322" t="s">
        <v>767</v>
      </c>
      <c r="E70" s="325">
        <v>45169</v>
      </c>
      <c r="F70" s="324">
        <v>164.93</v>
      </c>
      <c r="H70" s="323" t="s">
        <v>465</v>
      </c>
      <c r="I70" s="323" t="s">
        <v>442</v>
      </c>
      <c r="J70" s="323" t="s">
        <v>443</v>
      </c>
      <c r="K70" s="323" t="s">
        <v>600</v>
      </c>
      <c r="L70" s="323"/>
      <c r="M70" s="323"/>
      <c r="N70"/>
      <c r="O70"/>
    </row>
    <row r="71" spans="1:15" ht="22.15" customHeight="1">
      <c r="A71" s="322" t="s">
        <v>558</v>
      </c>
      <c r="B71" s="322" t="s">
        <v>468</v>
      </c>
      <c r="C71" s="322" t="s">
        <v>774</v>
      </c>
      <c r="D71" s="322" t="s">
        <v>767</v>
      </c>
      <c r="E71" s="325">
        <v>45169</v>
      </c>
      <c r="F71" s="324">
        <v>2307.44</v>
      </c>
      <c r="H71" s="323" t="s">
        <v>465</v>
      </c>
      <c r="I71" s="323" t="s">
        <v>442</v>
      </c>
      <c r="J71" s="323" t="s">
        <v>443</v>
      </c>
      <c r="K71" s="323" t="s">
        <v>600</v>
      </c>
      <c r="L71" s="323"/>
      <c r="M71" s="323"/>
      <c r="N71"/>
      <c r="O71"/>
    </row>
    <row r="72" spans="1:15" ht="22.15" customHeight="1">
      <c r="A72" s="322" t="s">
        <v>552</v>
      </c>
      <c r="B72" s="322" t="s">
        <v>457</v>
      </c>
      <c r="C72" s="322" t="s">
        <v>761</v>
      </c>
      <c r="D72" s="322" t="s">
        <v>767</v>
      </c>
      <c r="E72" s="325">
        <v>45169</v>
      </c>
      <c r="F72" s="324">
        <v>1055.58</v>
      </c>
      <c r="H72" s="323" t="s">
        <v>465</v>
      </c>
      <c r="I72" s="323" t="s">
        <v>442</v>
      </c>
      <c r="J72" s="323" t="s">
        <v>443</v>
      </c>
      <c r="K72" s="323" t="s">
        <v>600</v>
      </c>
      <c r="L72" s="323"/>
      <c r="M72" s="323"/>
      <c r="N72"/>
      <c r="O72"/>
    </row>
    <row r="73" spans="1:15" ht="22.15" customHeight="1">
      <c r="A73" s="322" t="s">
        <v>552</v>
      </c>
      <c r="B73" s="322" t="s">
        <v>457</v>
      </c>
      <c r="C73" s="322" t="s">
        <v>775</v>
      </c>
      <c r="D73" s="322" t="s">
        <v>767</v>
      </c>
      <c r="E73" s="325">
        <v>45169</v>
      </c>
      <c r="F73" s="324">
        <v>204.52</v>
      </c>
      <c r="H73" s="323" t="s">
        <v>465</v>
      </c>
      <c r="I73" s="323" t="s">
        <v>442</v>
      </c>
      <c r="J73" s="323" t="s">
        <v>443</v>
      </c>
      <c r="K73" s="323" t="s">
        <v>600</v>
      </c>
      <c r="L73" s="323"/>
      <c r="M73" s="323"/>
      <c r="N73"/>
      <c r="O73"/>
    </row>
    <row r="74" spans="1:15" ht="22.15" customHeight="1">
      <c r="A74" s="322" t="s">
        <v>552</v>
      </c>
      <c r="B74" s="322" t="s">
        <v>457</v>
      </c>
      <c r="C74" s="322" t="s">
        <v>776</v>
      </c>
      <c r="D74" s="322" t="s">
        <v>767</v>
      </c>
      <c r="E74" s="325">
        <v>45169</v>
      </c>
      <c r="F74" s="324">
        <v>715.82</v>
      </c>
      <c r="H74" s="323" t="s">
        <v>465</v>
      </c>
      <c r="I74" s="323" t="s">
        <v>442</v>
      </c>
      <c r="J74" s="323" t="s">
        <v>443</v>
      </c>
      <c r="K74" s="323" t="s">
        <v>600</v>
      </c>
      <c r="L74" s="323"/>
      <c r="M74" s="323"/>
      <c r="N74"/>
      <c r="O74"/>
    </row>
    <row r="75" spans="1:15" ht="22.15" customHeight="1">
      <c r="A75" s="322" t="s">
        <v>539</v>
      </c>
      <c r="B75" s="322" t="s">
        <v>455</v>
      </c>
      <c r="C75" s="322" t="s">
        <v>760</v>
      </c>
      <c r="D75" s="322" t="s">
        <v>767</v>
      </c>
      <c r="E75" s="325">
        <v>45169</v>
      </c>
      <c r="F75" s="324">
        <v>387.93</v>
      </c>
      <c r="H75" s="323" t="s">
        <v>465</v>
      </c>
      <c r="I75" s="323" t="s">
        <v>442</v>
      </c>
      <c r="J75" s="323" t="s">
        <v>443</v>
      </c>
      <c r="K75" s="323" t="s">
        <v>600</v>
      </c>
      <c r="L75" s="323"/>
      <c r="M75" s="323"/>
      <c r="N75"/>
      <c r="O75"/>
    </row>
    <row r="76" spans="1:15" ht="22.15" customHeight="1">
      <c r="A76" s="322" t="s">
        <v>539</v>
      </c>
      <c r="B76" s="322" t="s">
        <v>455</v>
      </c>
      <c r="C76" s="322" t="s">
        <v>777</v>
      </c>
      <c r="D76" s="322" t="s">
        <v>767</v>
      </c>
      <c r="E76" s="325">
        <v>45169</v>
      </c>
      <c r="F76" s="324">
        <v>49.48</v>
      </c>
      <c r="H76" s="323" t="s">
        <v>465</v>
      </c>
      <c r="I76" s="323" t="s">
        <v>442</v>
      </c>
      <c r="J76" s="323" t="s">
        <v>443</v>
      </c>
      <c r="K76" s="323" t="s">
        <v>600</v>
      </c>
      <c r="L76" s="323"/>
      <c r="M76" s="323"/>
      <c r="N76"/>
      <c r="O76"/>
    </row>
    <row r="77" spans="1:15" ht="22.15" customHeight="1">
      <c r="A77" s="322" t="s">
        <v>460</v>
      </c>
      <c r="B77" s="322" t="s">
        <v>461</v>
      </c>
      <c r="C77" s="322" t="s">
        <v>463</v>
      </c>
      <c r="D77" s="322" t="s">
        <v>778</v>
      </c>
      <c r="E77" s="325">
        <v>45199</v>
      </c>
      <c r="F77" s="324">
        <v>563.29</v>
      </c>
      <c r="H77" s="323" t="s">
        <v>465</v>
      </c>
      <c r="I77" s="323" t="s">
        <v>465</v>
      </c>
      <c r="J77" s="323" t="s">
        <v>443</v>
      </c>
      <c r="K77" s="323" t="s">
        <v>600</v>
      </c>
      <c r="L77" s="323"/>
      <c r="M77" s="323"/>
      <c r="N77"/>
      <c r="O77"/>
    </row>
    <row r="78" spans="1:15" ht="22.15" customHeight="1">
      <c r="A78" s="322" t="s">
        <v>460</v>
      </c>
      <c r="B78" s="322" t="s">
        <v>461</v>
      </c>
      <c r="C78" s="322" t="s">
        <v>467</v>
      </c>
      <c r="D78" s="322" t="s">
        <v>778</v>
      </c>
      <c r="E78" s="325">
        <v>45199</v>
      </c>
      <c r="F78" s="324">
        <v>436.8</v>
      </c>
      <c r="H78" s="323" t="s">
        <v>465</v>
      </c>
      <c r="I78" s="323" t="s">
        <v>465</v>
      </c>
      <c r="J78" s="323" t="s">
        <v>443</v>
      </c>
      <c r="K78" s="323" t="s">
        <v>600</v>
      </c>
      <c r="L78" s="323"/>
      <c r="M78" s="323"/>
      <c r="N78"/>
      <c r="O78"/>
    </row>
    <row r="79" spans="1:15" ht="22.15" customHeight="1">
      <c r="A79" s="322" t="s">
        <v>460</v>
      </c>
      <c r="B79" s="322" t="s">
        <v>461</v>
      </c>
      <c r="C79" s="322" t="s">
        <v>469</v>
      </c>
      <c r="D79" s="322" t="s">
        <v>778</v>
      </c>
      <c r="E79" s="325">
        <v>45199</v>
      </c>
      <c r="F79" s="324">
        <v>720</v>
      </c>
      <c r="H79" s="323" t="s">
        <v>465</v>
      </c>
      <c r="I79" s="323" t="s">
        <v>465</v>
      </c>
      <c r="J79" s="323" t="s">
        <v>443</v>
      </c>
      <c r="K79" s="323" t="s">
        <v>600</v>
      </c>
      <c r="L79" s="323"/>
      <c r="M79" s="323"/>
      <c r="N79"/>
      <c r="O79"/>
    </row>
    <row r="80" spans="1:15" ht="22.15" customHeight="1">
      <c r="A80" s="322" t="s">
        <v>437</v>
      </c>
      <c r="B80" s="322" t="s">
        <v>438</v>
      </c>
      <c r="C80" s="322" t="s">
        <v>779</v>
      </c>
      <c r="D80" s="322" t="s">
        <v>780</v>
      </c>
      <c r="E80" s="325">
        <v>45199</v>
      </c>
      <c r="F80" s="324">
        <v>802.26</v>
      </c>
      <c r="H80" s="323" t="s">
        <v>465</v>
      </c>
      <c r="I80" s="323" t="s">
        <v>442</v>
      </c>
      <c r="J80" s="323" t="s">
        <v>443</v>
      </c>
      <c r="K80" s="323" t="s">
        <v>600</v>
      </c>
      <c r="L80" s="323"/>
      <c r="M80" s="323"/>
      <c r="N80"/>
      <c r="O80"/>
    </row>
    <row r="81" spans="1:15" ht="22.15" customHeight="1">
      <c r="A81" s="322" t="s">
        <v>437</v>
      </c>
      <c r="B81" s="322" t="s">
        <v>438</v>
      </c>
      <c r="C81" s="322" t="s">
        <v>781</v>
      </c>
      <c r="D81" s="322" t="s">
        <v>780</v>
      </c>
      <c r="E81" s="325">
        <v>45199</v>
      </c>
      <c r="F81" s="324">
        <v>477.53</v>
      </c>
      <c r="H81" s="323" t="s">
        <v>465</v>
      </c>
      <c r="I81" s="323" t="s">
        <v>442</v>
      </c>
      <c r="J81" s="323" t="s">
        <v>443</v>
      </c>
      <c r="K81" s="323" t="s">
        <v>600</v>
      </c>
      <c r="L81" s="323"/>
      <c r="M81" s="323"/>
      <c r="N81"/>
      <c r="O81"/>
    </row>
    <row r="82" spans="1:15" ht="22.15" customHeight="1">
      <c r="A82" s="322" t="s">
        <v>437</v>
      </c>
      <c r="B82" s="322" t="s">
        <v>438</v>
      </c>
      <c r="C82" s="322" t="s">
        <v>782</v>
      </c>
      <c r="D82" s="322" t="s">
        <v>780</v>
      </c>
      <c r="E82" s="325">
        <v>45199</v>
      </c>
      <c r="F82" s="324">
        <v>764.05</v>
      </c>
      <c r="H82" s="323" t="s">
        <v>465</v>
      </c>
      <c r="I82" s="323" t="s">
        <v>442</v>
      </c>
      <c r="J82" s="323" t="s">
        <v>443</v>
      </c>
      <c r="K82" s="323" t="s">
        <v>600</v>
      </c>
      <c r="L82" s="323"/>
      <c r="M82" s="323"/>
      <c r="N82"/>
      <c r="O82"/>
    </row>
    <row r="83" spans="1:15" ht="22.15" customHeight="1">
      <c r="A83" s="322" t="s">
        <v>521</v>
      </c>
      <c r="B83" s="322" t="s">
        <v>473</v>
      </c>
      <c r="C83" s="322" t="s">
        <v>783</v>
      </c>
      <c r="D83" s="322" t="s">
        <v>780</v>
      </c>
      <c r="E83" s="325">
        <v>45199</v>
      </c>
      <c r="F83" s="324">
        <v>598.91</v>
      </c>
      <c r="H83" s="323" t="s">
        <v>465</v>
      </c>
      <c r="I83" s="323" t="s">
        <v>442</v>
      </c>
      <c r="J83" s="323" t="s">
        <v>443</v>
      </c>
      <c r="K83" s="323" t="s">
        <v>600</v>
      </c>
      <c r="L83" s="323"/>
      <c r="M83" s="323"/>
      <c r="N83"/>
      <c r="O83"/>
    </row>
    <row r="84" spans="1:15" ht="22.15" customHeight="1">
      <c r="A84" s="322" t="s">
        <v>539</v>
      </c>
      <c r="B84" s="322" t="s">
        <v>455</v>
      </c>
      <c r="C84" s="322" t="s">
        <v>760</v>
      </c>
      <c r="D84" s="322" t="s">
        <v>780</v>
      </c>
      <c r="E84" s="325">
        <v>45199</v>
      </c>
      <c r="F84" s="324">
        <v>357.48</v>
      </c>
      <c r="H84" s="323" t="s">
        <v>465</v>
      </c>
      <c r="I84" s="323" t="s">
        <v>442</v>
      </c>
      <c r="J84" s="323" t="s">
        <v>443</v>
      </c>
      <c r="K84" s="323" t="s">
        <v>600</v>
      </c>
      <c r="L84" s="323"/>
      <c r="M84" s="323"/>
      <c r="N84"/>
      <c r="O84"/>
    </row>
    <row r="85" spans="1:15" ht="22.15" customHeight="1">
      <c r="A85" s="322" t="s">
        <v>552</v>
      </c>
      <c r="B85" s="322" t="s">
        <v>457</v>
      </c>
      <c r="C85" s="322" t="s">
        <v>761</v>
      </c>
      <c r="D85" s="322" t="s">
        <v>780</v>
      </c>
      <c r="E85" s="325">
        <v>45199</v>
      </c>
      <c r="F85" s="324">
        <v>1026.71</v>
      </c>
      <c r="H85" s="323" t="s">
        <v>465</v>
      </c>
      <c r="I85" s="323" t="s">
        <v>442</v>
      </c>
      <c r="J85" s="323" t="s">
        <v>443</v>
      </c>
      <c r="K85" s="323" t="s">
        <v>600</v>
      </c>
      <c r="L85" s="323"/>
      <c r="M85" s="323"/>
      <c r="N85"/>
      <c r="O85"/>
    </row>
    <row r="86" spans="1:15" ht="22.15" customHeight="1">
      <c r="A86" s="322" t="s">
        <v>552</v>
      </c>
      <c r="B86" s="322" t="s">
        <v>457</v>
      </c>
      <c r="C86" s="322" t="s">
        <v>775</v>
      </c>
      <c r="D86" s="322" t="s">
        <v>780</v>
      </c>
      <c r="E86" s="325">
        <v>45199</v>
      </c>
      <c r="F86" s="324">
        <v>192.9</v>
      </c>
      <c r="H86" s="323" t="s">
        <v>465</v>
      </c>
      <c r="I86" s="323" t="s">
        <v>442</v>
      </c>
      <c r="J86" s="323" t="s">
        <v>443</v>
      </c>
      <c r="K86" s="323" t="s">
        <v>600</v>
      </c>
      <c r="L86" s="323"/>
      <c r="M86" s="323"/>
      <c r="N86"/>
      <c r="O86"/>
    </row>
    <row r="87" spans="1:15" ht="22.15" customHeight="1">
      <c r="A87" s="322" t="s">
        <v>552</v>
      </c>
      <c r="B87" s="322" t="s">
        <v>457</v>
      </c>
      <c r="C87" s="322" t="s">
        <v>776</v>
      </c>
      <c r="D87" s="322" t="s">
        <v>780</v>
      </c>
      <c r="E87" s="325">
        <v>45199</v>
      </c>
      <c r="F87" s="324">
        <v>675.14</v>
      </c>
      <c r="H87" s="323" t="s">
        <v>465</v>
      </c>
      <c r="I87" s="323" t="s">
        <v>442</v>
      </c>
      <c r="J87" s="323" t="s">
        <v>443</v>
      </c>
      <c r="K87" s="323" t="s">
        <v>600</v>
      </c>
      <c r="L87" s="323"/>
      <c r="M87" s="323"/>
      <c r="N87"/>
      <c r="O87"/>
    </row>
    <row r="88" spans="1:15" ht="22.15" customHeight="1">
      <c r="A88" s="322" t="s">
        <v>558</v>
      </c>
      <c r="B88" s="322" t="s">
        <v>468</v>
      </c>
      <c r="C88" s="322" t="s">
        <v>773</v>
      </c>
      <c r="D88" s="322" t="s">
        <v>780</v>
      </c>
      <c r="E88" s="325">
        <v>45199</v>
      </c>
      <c r="F88" s="324">
        <v>155.56</v>
      </c>
      <c r="H88" s="323" t="s">
        <v>465</v>
      </c>
      <c r="I88" s="323" t="s">
        <v>442</v>
      </c>
      <c r="J88" s="323" t="s">
        <v>443</v>
      </c>
      <c r="K88" s="323" t="s">
        <v>600</v>
      </c>
      <c r="L88" s="323"/>
      <c r="M88" s="323"/>
      <c r="N88"/>
      <c r="O88"/>
    </row>
    <row r="89" spans="1:15" ht="22.15" customHeight="1">
      <c r="A89" s="322" t="s">
        <v>575</v>
      </c>
      <c r="B89" s="322" t="s">
        <v>581</v>
      </c>
      <c r="C89" s="322" t="s">
        <v>757</v>
      </c>
      <c r="D89" s="322" t="s">
        <v>780</v>
      </c>
      <c r="E89" s="325">
        <v>45199</v>
      </c>
      <c r="F89" s="324">
        <v>93.34</v>
      </c>
      <c r="H89" s="323" t="s">
        <v>465</v>
      </c>
      <c r="I89" s="323" t="s">
        <v>442</v>
      </c>
      <c r="J89" s="323" t="s">
        <v>443</v>
      </c>
      <c r="K89" s="323" t="s">
        <v>600</v>
      </c>
      <c r="L89" s="323"/>
      <c r="M89" s="323"/>
      <c r="N89"/>
      <c r="O89"/>
    </row>
    <row r="90" spans="1:15" ht="22.15" customHeight="1">
      <c r="A90" s="322" t="s">
        <v>575</v>
      </c>
      <c r="B90" s="322" t="s">
        <v>581</v>
      </c>
      <c r="C90" s="322" t="s">
        <v>784</v>
      </c>
      <c r="D90" s="322" t="s">
        <v>780</v>
      </c>
      <c r="E90" s="325">
        <v>45199</v>
      </c>
      <c r="F90" s="324">
        <v>116.67</v>
      </c>
      <c r="H90" s="323" t="s">
        <v>465</v>
      </c>
      <c r="I90" s="323" t="s">
        <v>442</v>
      </c>
      <c r="J90" s="323" t="s">
        <v>443</v>
      </c>
      <c r="K90" s="323" t="s">
        <v>600</v>
      </c>
      <c r="L90" s="323"/>
      <c r="M90" s="323"/>
      <c r="N90"/>
      <c r="O90"/>
    </row>
    <row r="91" spans="1:15" ht="22.15" customHeight="1">
      <c r="A91" s="322" t="s">
        <v>478</v>
      </c>
      <c r="B91" s="322" t="s">
        <v>449</v>
      </c>
      <c r="C91" s="322" t="s">
        <v>785</v>
      </c>
      <c r="D91" s="322" t="s">
        <v>786</v>
      </c>
      <c r="E91" s="325">
        <v>45205</v>
      </c>
      <c r="F91" s="324">
        <v>2000</v>
      </c>
      <c r="H91" s="323" t="s">
        <v>465</v>
      </c>
      <c r="I91" s="323" t="s">
        <v>442</v>
      </c>
      <c r="J91" s="323" t="s">
        <v>443</v>
      </c>
      <c r="K91" s="323" t="s">
        <v>600</v>
      </c>
      <c r="L91" s="323"/>
      <c r="M91" s="323"/>
      <c r="N91"/>
      <c r="O91"/>
    </row>
    <row r="92" spans="1:15" ht="22.15" customHeight="1">
      <c r="A92" s="322" t="s">
        <v>478</v>
      </c>
      <c r="B92" s="322" t="s">
        <v>449</v>
      </c>
      <c r="C92" s="322" t="s">
        <v>787</v>
      </c>
      <c r="D92" s="322" t="s">
        <v>786</v>
      </c>
      <c r="E92" s="325">
        <v>45205</v>
      </c>
      <c r="F92" s="324">
        <v>2500</v>
      </c>
      <c r="H92" s="323" t="s">
        <v>465</v>
      </c>
      <c r="I92" s="323" t="s">
        <v>442</v>
      </c>
      <c r="J92" s="323" t="s">
        <v>443</v>
      </c>
      <c r="K92" s="323" t="s">
        <v>600</v>
      </c>
      <c r="L92" s="323"/>
      <c r="M92" s="323"/>
      <c r="N92"/>
      <c r="O92"/>
    </row>
    <row r="93" spans="1:15" ht="22.15" customHeight="1">
      <c r="A93" s="322" t="s">
        <v>460</v>
      </c>
      <c r="B93" s="322" t="s">
        <v>461</v>
      </c>
      <c r="C93" s="322" t="s">
        <v>463</v>
      </c>
      <c r="D93" s="322" t="s">
        <v>788</v>
      </c>
      <c r="E93" s="325">
        <v>45230</v>
      </c>
      <c r="F93" s="324">
        <v>563.29</v>
      </c>
      <c r="H93" s="323" t="s">
        <v>465</v>
      </c>
      <c r="I93" s="323" t="s">
        <v>465</v>
      </c>
      <c r="J93" s="323" t="s">
        <v>443</v>
      </c>
      <c r="K93" s="323" t="s">
        <v>600</v>
      </c>
      <c r="L93" s="323"/>
      <c r="M93" s="323"/>
      <c r="N93"/>
      <c r="O93"/>
    </row>
    <row r="94" spans="1:15" ht="22.15" customHeight="1">
      <c r="A94" s="322" t="s">
        <v>460</v>
      </c>
      <c r="B94" s="322" t="s">
        <v>461</v>
      </c>
      <c r="C94" s="322" t="s">
        <v>467</v>
      </c>
      <c r="D94" s="322" t="s">
        <v>788</v>
      </c>
      <c r="E94" s="325">
        <v>45230</v>
      </c>
      <c r="F94" s="324">
        <v>436.8</v>
      </c>
      <c r="H94" s="323" t="s">
        <v>465</v>
      </c>
      <c r="I94" s="323" t="s">
        <v>465</v>
      </c>
      <c r="J94" s="323" t="s">
        <v>443</v>
      </c>
      <c r="K94" s="323" t="s">
        <v>600</v>
      </c>
      <c r="L94" s="323"/>
      <c r="M94" s="323"/>
      <c r="N94"/>
      <c r="O94"/>
    </row>
    <row r="95" spans="1:15" ht="22.15" customHeight="1">
      <c r="A95" s="322" t="s">
        <v>460</v>
      </c>
      <c r="B95" s="322" t="s">
        <v>461</v>
      </c>
      <c r="C95" s="322" t="s">
        <v>469</v>
      </c>
      <c r="D95" s="322" t="s">
        <v>788</v>
      </c>
      <c r="E95" s="325">
        <v>45230</v>
      </c>
      <c r="F95" s="324">
        <v>720</v>
      </c>
      <c r="H95" s="323" t="s">
        <v>465</v>
      </c>
      <c r="I95" s="323" t="s">
        <v>465</v>
      </c>
      <c r="J95" s="323" t="s">
        <v>443</v>
      </c>
      <c r="K95" s="323" t="s">
        <v>600</v>
      </c>
      <c r="L95" s="323"/>
      <c r="M95" s="323"/>
      <c r="N95"/>
      <c r="O95"/>
    </row>
    <row r="96" spans="1:15" ht="22.15" customHeight="1">
      <c r="A96" s="322" t="s">
        <v>437</v>
      </c>
      <c r="B96" s="322" t="s">
        <v>438</v>
      </c>
      <c r="C96" s="322" t="s">
        <v>789</v>
      </c>
      <c r="D96" s="322" t="s">
        <v>790</v>
      </c>
      <c r="E96" s="325">
        <v>45230</v>
      </c>
      <c r="F96" s="324">
        <v>501.9</v>
      </c>
      <c r="H96" s="323" t="s">
        <v>465</v>
      </c>
      <c r="I96" s="323" t="s">
        <v>442</v>
      </c>
      <c r="J96" s="323" t="s">
        <v>443</v>
      </c>
      <c r="K96" s="323" t="s">
        <v>600</v>
      </c>
      <c r="L96" s="323"/>
      <c r="M96" s="323"/>
      <c r="N96"/>
      <c r="O96"/>
    </row>
    <row r="97" spans="1:15" ht="22.15" customHeight="1">
      <c r="A97" s="322" t="s">
        <v>437</v>
      </c>
      <c r="B97" s="322" t="s">
        <v>438</v>
      </c>
      <c r="C97" s="322" t="s">
        <v>791</v>
      </c>
      <c r="D97" s="322" t="s">
        <v>790</v>
      </c>
      <c r="E97" s="325">
        <v>45230</v>
      </c>
      <c r="F97" s="324">
        <v>445.69</v>
      </c>
      <c r="H97" s="323" t="s">
        <v>465</v>
      </c>
      <c r="I97" s="323" t="s">
        <v>442</v>
      </c>
      <c r="J97" s="323" t="s">
        <v>443</v>
      </c>
      <c r="K97" s="323" t="s">
        <v>600</v>
      </c>
      <c r="L97" s="323"/>
      <c r="M97" s="323"/>
      <c r="N97"/>
      <c r="O97"/>
    </row>
    <row r="98" spans="1:15" ht="22.15" customHeight="1">
      <c r="A98" s="322" t="s">
        <v>552</v>
      </c>
      <c r="B98" s="322" t="s">
        <v>457</v>
      </c>
      <c r="C98" s="322" t="s">
        <v>557</v>
      </c>
      <c r="D98" s="322" t="s">
        <v>792</v>
      </c>
      <c r="E98" s="325">
        <v>45230</v>
      </c>
      <c r="F98" s="324">
        <v>84.94</v>
      </c>
      <c r="H98" s="323" t="s">
        <v>465</v>
      </c>
      <c r="I98" s="323" t="s">
        <v>442</v>
      </c>
      <c r="J98" s="323" t="s">
        <v>443</v>
      </c>
      <c r="K98" s="323" t="s">
        <v>600</v>
      </c>
      <c r="L98" s="323"/>
      <c r="M98" s="323"/>
      <c r="N98"/>
      <c r="O98"/>
    </row>
    <row r="99" spans="1:15" ht="22.15" customHeight="1">
      <c r="A99" s="322" t="s">
        <v>539</v>
      </c>
      <c r="B99" s="322" t="s">
        <v>455</v>
      </c>
      <c r="C99" s="322" t="s">
        <v>731</v>
      </c>
      <c r="D99" s="322" t="s">
        <v>792</v>
      </c>
      <c r="E99" s="325">
        <v>45230</v>
      </c>
      <c r="F99" s="324">
        <v>60.57</v>
      </c>
      <c r="H99" s="323" t="s">
        <v>465</v>
      </c>
      <c r="I99" s="323" t="s">
        <v>442</v>
      </c>
      <c r="J99" s="323" t="s">
        <v>443</v>
      </c>
      <c r="K99" s="323" t="s">
        <v>600</v>
      </c>
      <c r="L99" s="323"/>
      <c r="M99" s="323"/>
      <c r="N99"/>
      <c r="O99"/>
    </row>
    <row r="100" spans="1:15" ht="22.15" customHeight="1">
      <c r="A100" s="322" t="s">
        <v>539</v>
      </c>
      <c r="B100" s="322" t="s">
        <v>455</v>
      </c>
      <c r="C100" s="322" t="s">
        <v>793</v>
      </c>
      <c r="D100" s="322" t="s">
        <v>792</v>
      </c>
      <c r="E100" s="325">
        <v>45230</v>
      </c>
      <c r="F100" s="324">
        <v>4.47</v>
      </c>
      <c r="H100" s="323" t="s">
        <v>465</v>
      </c>
      <c r="I100" s="323" t="s">
        <v>442</v>
      </c>
      <c r="J100" s="323" t="s">
        <v>443</v>
      </c>
      <c r="K100" s="323" t="s">
        <v>600</v>
      </c>
      <c r="L100" s="323"/>
      <c r="M100" s="323"/>
      <c r="N100"/>
      <c r="O100"/>
    </row>
    <row r="101" spans="1:15" ht="22.15" customHeight="1">
      <c r="A101" s="322" t="s">
        <v>478</v>
      </c>
      <c r="B101" s="322" t="s">
        <v>449</v>
      </c>
      <c r="C101" s="322" t="s">
        <v>794</v>
      </c>
      <c r="D101" s="322" t="s">
        <v>795</v>
      </c>
      <c r="E101" s="325">
        <v>45239</v>
      </c>
      <c r="F101" s="324">
        <v>2500</v>
      </c>
      <c r="H101" s="323" t="s">
        <v>465</v>
      </c>
      <c r="I101" s="323" t="s">
        <v>465</v>
      </c>
      <c r="J101" s="323" t="s">
        <v>443</v>
      </c>
      <c r="K101" s="323" t="s">
        <v>600</v>
      </c>
      <c r="L101" s="323"/>
      <c r="M101" s="323"/>
      <c r="N101"/>
      <c r="O101"/>
    </row>
    <row r="102" spans="1:15" ht="22.15" customHeight="1">
      <c r="A102" s="322" t="s">
        <v>560</v>
      </c>
      <c r="B102" s="322" t="s">
        <v>451</v>
      </c>
      <c r="C102" s="322" t="s">
        <v>796</v>
      </c>
      <c r="D102" s="322" t="s">
        <v>797</v>
      </c>
      <c r="E102" s="325">
        <v>45260</v>
      </c>
      <c r="F102" s="324">
        <v>14160.24</v>
      </c>
      <c r="H102" s="323" t="s">
        <v>562</v>
      </c>
      <c r="I102" s="323" t="s">
        <v>562</v>
      </c>
      <c r="J102" s="323" t="s">
        <v>443</v>
      </c>
      <c r="K102" s="323" t="s">
        <v>600</v>
      </c>
      <c r="L102" s="323"/>
      <c r="M102" s="323"/>
      <c r="N102"/>
      <c r="O102"/>
    </row>
    <row r="103" spans="1:15" ht="22.15" customHeight="1">
      <c r="A103" s="322" t="s">
        <v>560</v>
      </c>
      <c r="B103" s="322" t="s">
        <v>451</v>
      </c>
      <c r="C103" s="322" t="s">
        <v>798</v>
      </c>
      <c r="D103" s="322" t="s">
        <v>797</v>
      </c>
      <c r="E103" s="325">
        <v>45260</v>
      </c>
      <c r="F103" s="324">
        <v>14890.03</v>
      </c>
      <c r="H103" s="323" t="s">
        <v>562</v>
      </c>
      <c r="I103" s="323" t="s">
        <v>562</v>
      </c>
      <c r="J103" s="323" t="s">
        <v>443</v>
      </c>
      <c r="K103" s="323" t="s">
        <v>600</v>
      </c>
      <c r="L103" s="323"/>
      <c r="M103" s="323"/>
      <c r="N103"/>
      <c r="O103"/>
    </row>
    <row r="104" spans="1:15" ht="22.15" customHeight="1">
      <c r="A104" s="322" t="s">
        <v>560</v>
      </c>
      <c r="B104" s="322" t="s">
        <v>451</v>
      </c>
      <c r="C104" s="322" t="s">
        <v>799</v>
      </c>
      <c r="D104" s="322" t="s">
        <v>797</v>
      </c>
      <c r="E104" s="325">
        <v>45260</v>
      </c>
      <c r="F104" s="324">
        <v>13811.75</v>
      </c>
      <c r="H104" s="323" t="s">
        <v>562</v>
      </c>
      <c r="I104" s="323" t="s">
        <v>562</v>
      </c>
      <c r="J104" s="323" t="s">
        <v>443</v>
      </c>
      <c r="K104" s="323" t="s">
        <v>600</v>
      </c>
      <c r="L104" s="323"/>
      <c r="M104" s="323"/>
      <c r="N104"/>
      <c r="O104"/>
    </row>
    <row r="105" spans="1:15" ht="22.15" customHeight="1">
      <c r="A105" s="322" t="s">
        <v>560</v>
      </c>
      <c r="B105" s="322" t="s">
        <v>451</v>
      </c>
      <c r="C105" s="322" t="s">
        <v>800</v>
      </c>
      <c r="D105" s="322" t="s">
        <v>797</v>
      </c>
      <c r="E105" s="325">
        <v>45260</v>
      </c>
      <c r="F105" s="324">
        <v>15271.44</v>
      </c>
      <c r="H105" s="323" t="s">
        <v>562</v>
      </c>
      <c r="I105" s="323" t="s">
        <v>562</v>
      </c>
      <c r="J105" s="323" t="s">
        <v>443</v>
      </c>
      <c r="K105" s="323" t="s">
        <v>600</v>
      </c>
      <c r="L105" s="323"/>
      <c r="M105" s="323"/>
      <c r="N105"/>
      <c r="O105"/>
    </row>
    <row r="106" spans="1:15" ht="22.15" customHeight="1">
      <c r="A106" s="322" t="s">
        <v>460</v>
      </c>
      <c r="B106" s="322" t="s">
        <v>461</v>
      </c>
      <c r="C106" s="322" t="s">
        <v>463</v>
      </c>
      <c r="D106" s="322" t="s">
        <v>801</v>
      </c>
      <c r="E106" s="325">
        <v>45260</v>
      </c>
      <c r="F106" s="324">
        <v>563.29</v>
      </c>
      <c r="H106" s="323" t="s">
        <v>465</v>
      </c>
      <c r="I106" s="323" t="s">
        <v>465</v>
      </c>
      <c r="J106" s="323" t="s">
        <v>443</v>
      </c>
      <c r="K106" s="323" t="s">
        <v>600</v>
      </c>
      <c r="L106" s="323"/>
      <c r="M106" s="323"/>
      <c r="N106"/>
      <c r="O106"/>
    </row>
    <row r="107" spans="1:15" ht="22.15" customHeight="1">
      <c r="A107" s="322" t="s">
        <v>460</v>
      </c>
      <c r="B107" s="322" t="s">
        <v>461</v>
      </c>
      <c r="C107" s="322" t="s">
        <v>467</v>
      </c>
      <c r="D107" s="322" t="s">
        <v>801</v>
      </c>
      <c r="E107" s="325">
        <v>45260</v>
      </c>
      <c r="F107" s="324">
        <v>436.8</v>
      </c>
      <c r="H107" s="323" t="s">
        <v>465</v>
      </c>
      <c r="I107" s="323" t="s">
        <v>465</v>
      </c>
      <c r="J107" s="323" t="s">
        <v>443</v>
      </c>
      <c r="K107" s="323" t="s">
        <v>600</v>
      </c>
      <c r="L107" s="323"/>
      <c r="M107" s="323"/>
      <c r="N107"/>
      <c r="O107"/>
    </row>
    <row r="108" spans="1:15" ht="22.15" customHeight="1">
      <c r="A108" s="322" t="s">
        <v>460</v>
      </c>
      <c r="B108" s="322" t="s">
        <v>461</v>
      </c>
      <c r="C108" s="322" t="s">
        <v>469</v>
      </c>
      <c r="D108" s="322" t="s">
        <v>801</v>
      </c>
      <c r="E108" s="325">
        <v>45260</v>
      </c>
      <c r="F108" s="324">
        <v>720</v>
      </c>
      <c r="H108" s="323" t="s">
        <v>465</v>
      </c>
      <c r="I108" s="323" t="s">
        <v>465</v>
      </c>
      <c r="J108" s="323" t="s">
        <v>443</v>
      </c>
      <c r="K108" s="323" t="s">
        <v>600</v>
      </c>
      <c r="L108" s="323"/>
      <c r="M108" s="323"/>
      <c r="N108"/>
      <c r="O108"/>
    </row>
    <row r="109" spans="1:15" ht="22.15" customHeight="1">
      <c r="A109" s="322" t="s">
        <v>437</v>
      </c>
      <c r="B109" s="322" t="s">
        <v>438</v>
      </c>
      <c r="C109" s="322" t="s">
        <v>802</v>
      </c>
      <c r="D109" s="322" t="s">
        <v>797</v>
      </c>
      <c r="E109" s="325">
        <v>45260</v>
      </c>
      <c r="F109" s="324">
        <v>498.84</v>
      </c>
      <c r="H109" s="323" t="s">
        <v>465</v>
      </c>
      <c r="I109" s="323" t="s">
        <v>442</v>
      </c>
      <c r="J109" s="323" t="s">
        <v>443</v>
      </c>
      <c r="K109" s="323" t="s">
        <v>600</v>
      </c>
      <c r="L109" s="323"/>
      <c r="M109" s="323"/>
      <c r="N109"/>
      <c r="O109"/>
    </row>
    <row r="110" spans="1:15" ht="22.15" customHeight="1">
      <c r="A110" s="322" t="s">
        <v>603</v>
      </c>
      <c r="B110" s="322" t="s">
        <v>604</v>
      </c>
      <c r="C110" s="322" t="s">
        <v>803</v>
      </c>
      <c r="D110" s="322" t="s">
        <v>797</v>
      </c>
      <c r="E110" s="325">
        <v>45260</v>
      </c>
      <c r="F110" s="324">
        <v>15.02</v>
      </c>
      <c r="H110" s="323" t="s">
        <v>465</v>
      </c>
      <c r="I110" s="323" t="s">
        <v>442</v>
      </c>
      <c r="J110" s="323" t="s">
        <v>443</v>
      </c>
      <c r="K110" s="323" t="s">
        <v>600</v>
      </c>
      <c r="L110" s="323"/>
      <c r="M110" s="323"/>
      <c r="N110"/>
      <c r="O110"/>
    </row>
    <row r="111" spans="1:15" ht="22.15" customHeight="1">
      <c r="A111" s="322" t="s">
        <v>533</v>
      </c>
      <c r="B111" s="322" t="s">
        <v>447</v>
      </c>
      <c r="C111" s="322" t="s">
        <v>804</v>
      </c>
      <c r="D111" s="322" t="s">
        <v>797</v>
      </c>
      <c r="E111" s="325">
        <v>45260</v>
      </c>
      <c r="F111" s="324">
        <v>3.45</v>
      </c>
      <c r="H111" s="323" t="s">
        <v>465</v>
      </c>
      <c r="I111" s="323" t="s">
        <v>442</v>
      </c>
      <c r="J111" s="323" t="s">
        <v>443</v>
      </c>
      <c r="K111" s="323" t="s">
        <v>600</v>
      </c>
      <c r="L111" s="323"/>
      <c r="M111" s="323"/>
      <c r="N111"/>
      <c r="O111"/>
    </row>
    <row r="112" spans="1:15" ht="22.15" customHeight="1">
      <c r="A112" s="322" t="s">
        <v>533</v>
      </c>
      <c r="B112" s="322" t="s">
        <v>447</v>
      </c>
      <c r="C112" s="322" t="s">
        <v>534</v>
      </c>
      <c r="D112" s="322" t="s">
        <v>797</v>
      </c>
      <c r="E112" s="325">
        <v>45260</v>
      </c>
      <c r="F112" s="324">
        <v>3.45</v>
      </c>
      <c r="H112" s="323" t="s">
        <v>465</v>
      </c>
      <c r="I112" s="323" t="s">
        <v>442</v>
      </c>
      <c r="J112" s="323" t="s">
        <v>443</v>
      </c>
      <c r="K112" s="323" t="s">
        <v>600</v>
      </c>
      <c r="L112" s="323"/>
      <c r="M112" s="323"/>
      <c r="N112"/>
      <c r="O112"/>
    </row>
    <row r="113" spans="1:15" ht="22.15" customHeight="1">
      <c r="A113" s="322" t="s">
        <v>601</v>
      </c>
      <c r="B113" s="322" t="s">
        <v>602</v>
      </c>
      <c r="C113" s="322" t="s">
        <v>805</v>
      </c>
      <c r="D113" s="322" t="s">
        <v>797</v>
      </c>
      <c r="E113" s="325">
        <v>45260</v>
      </c>
      <c r="F113" s="324">
        <v>600.65</v>
      </c>
      <c r="H113" s="323" t="s">
        <v>465</v>
      </c>
      <c r="I113" s="323" t="s">
        <v>442</v>
      </c>
      <c r="J113" s="323" t="s">
        <v>443</v>
      </c>
      <c r="K113" s="323" t="s">
        <v>600</v>
      </c>
      <c r="L113" s="323"/>
      <c r="M113" s="323"/>
      <c r="N113"/>
      <c r="O113"/>
    </row>
    <row r="114" spans="1:15" ht="22.15" customHeight="1">
      <c r="A114" s="322" t="s">
        <v>539</v>
      </c>
      <c r="B114" s="322" t="s">
        <v>455</v>
      </c>
      <c r="C114" s="322" t="s">
        <v>547</v>
      </c>
      <c r="D114" s="322" t="s">
        <v>797</v>
      </c>
      <c r="E114" s="325">
        <v>45260</v>
      </c>
      <c r="F114" s="324">
        <v>60.06</v>
      </c>
      <c r="H114" s="323" t="s">
        <v>465</v>
      </c>
      <c r="I114" s="323" t="s">
        <v>442</v>
      </c>
      <c r="J114" s="323" t="s">
        <v>443</v>
      </c>
      <c r="K114" s="323" t="s">
        <v>600</v>
      </c>
      <c r="L114" s="323"/>
      <c r="M114" s="323"/>
      <c r="N114"/>
      <c r="O114"/>
    </row>
    <row r="115" spans="1:15" ht="22.15" customHeight="1">
      <c r="A115" s="322" t="s">
        <v>539</v>
      </c>
      <c r="B115" s="322" t="s">
        <v>455</v>
      </c>
      <c r="C115" s="322" t="s">
        <v>806</v>
      </c>
      <c r="D115" s="322" t="s">
        <v>797</v>
      </c>
      <c r="E115" s="325">
        <v>45260</v>
      </c>
      <c r="F115" s="324">
        <v>4.5</v>
      </c>
      <c r="H115" s="323" t="s">
        <v>465</v>
      </c>
      <c r="I115" s="323" t="s">
        <v>442</v>
      </c>
      <c r="J115" s="323" t="s">
        <v>443</v>
      </c>
      <c r="K115" s="323" t="s">
        <v>600</v>
      </c>
      <c r="L115" s="323"/>
      <c r="M115" s="323"/>
      <c r="N115"/>
      <c r="O115"/>
    </row>
    <row r="116" spans="1:15" ht="22.15" customHeight="1">
      <c r="A116" s="322" t="s">
        <v>552</v>
      </c>
      <c r="B116" s="322" t="s">
        <v>457</v>
      </c>
      <c r="C116" s="322" t="s">
        <v>807</v>
      </c>
      <c r="D116" s="322" t="s">
        <v>797</v>
      </c>
      <c r="E116" s="325">
        <v>45260</v>
      </c>
      <c r="F116" s="324">
        <v>60.06</v>
      </c>
      <c r="H116" s="323" t="s">
        <v>465</v>
      </c>
      <c r="I116" s="323" t="s">
        <v>442</v>
      </c>
      <c r="J116" s="323" t="s">
        <v>443</v>
      </c>
      <c r="K116" s="323" t="s">
        <v>600</v>
      </c>
      <c r="L116" s="323"/>
      <c r="M116" s="323"/>
      <c r="N116"/>
      <c r="O116"/>
    </row>
    <row r="117" spans="1:15" ht="22.15" customHeight="1">
      <c r="A117" s="322" t="s">
        <v>478</v>
      </c>
      <c r="B117" s="322" t="s">
        <v>449</v>
      </c>
      <c r="C117" s="322" t="s">
        <v>808</v>
      </c>
      <c r="D117" s="322" t="s">
        <v>809</v>
      </c>
      <c r="E117" s="325">
        <v>45290</v>
      </c>
      <c r="F117" s="324">
        <v>1000</v>
      </c>
      <c r="H117" s="323" t="s">
        <v>465</v>
      </c>
      <c r="I117" s="323" t="s">
        <v>442</v>
      </c>
      <c r="J117" s="323" t="s">
        <v>443</v>
      </c>
      <c r="K117" s="323" t="s">
        <v>600</v>
      </c>
      <c r="L117" s="323"/>
      <c r="M117" s="323"/>
      <c r="N117"/>
      <c r="O117"/>
    </row>
    <row r="118" spans="1:15" ht="22.15" customHeight="1">
      <c r="A118" s="322" t="s">
        <v>478</v>
      </c>
      <c r="B118" s="322" t="s">
        <v>449</v>
      </c>
      <c r="C118" s="322" t="s">
        <v>810</v>
      </c>
      <c r="D118" s="322" t="s">
        <v>809</v>
      </c>
      <c r="E118" s="325">
        <v>45290</v>
      </c>
      <c r="F118" s="324">
        <v>2844.12</v>
      </c>
      <c r="H118" s="323" t="s">
        <v>465</v>
      </c>
      <c r="I118" s="323" t="s">
        <v>442</v>
      </c>
      <c r="J118" s="323" t="s">
        <v>443</v>
      </c>
      <c r="K118" s="323" t="s">
        <v>600</v>
      </c>
      <c r="L118" s="323"/>
      <c r="M118" s="323"/>
      <c r="N118"/>
      <c r="O118"/>
    </row>
    <row r="119" spans="1:15" ht="22.15" customHeight="1">
      <c r="A119" s="322" t="s">
        <v>460</v>
      </c>
      <c r="B119" s="322" t="s">
        <v>461</v>
      </c>
      <c r="C119" s="322" t="s">
        <v>463</v>
      </c>
      <c r="D119" s="322" t="s">
        <v>811</v>
      </c>
      <c r="E119" s="325">
        <v>45291</v>
      </c>
      <c r="F119" s="324">
        <v>563.29</v>
      </c>
      <c r="H119" s="323" t="s">
        <v>465</v>
      </c>
      <c r="I119" s="323" t="s">
        <v>465</v>
      </c>
      <c r="J119" s="323" t="s">
        <v>443</v>
      </c>
      <c r="K119" s="323" t="s">
        <v>600</v>
      </c>
      <c r="L119" s="323"/>
      <c r="M119" s="323"/>
      <c r="N119"/>
      <c r="O119"/>
    </row>
    <row r="120" spans="1:15" ht="22.15" customHeight="1">
      <c r="A120" s="322" t="s">
        <v>460</v>
      </c>
      <c r="B120" s="322" t="s">
        <v>461</v>
      </c>
      <c r="C120" s="322" t="s">
        <v>467</v>
      </c>
      <c r="D120" s="322" t="s">
        <v>811</v>
      </c>
      <c r="E120" s="325">
        <v>45291</v>
      </c>
      <c r="F120" s="324">
        <v>436.8</v>
      </c>
      <c r="H120" s="323" t="s">
        <v>465</v>
      </c>
      <c r="I120" s="323" t="s">
        <v>465</v>
      </c>
      <c r="J120" s="323" t="s">
        <v>443</v>
      </c>
      <c r="K120" s="323" t="s">
        <v>600</v>
      </c>
      <c r="L120" s="323"/>
      <c r="M120" s="323"/>
      <c r="N120"/>
      <c r="O120"/>
    </row>
    <row r="121" spans="1:15" ht="22.15" customHeight="1">
      <c r="A121" s="322" t="s">
        <v>460</v>
      </c>
      <c r="B121" s="322" t="s">
        <v>461</v>
      </c>
      <c r="C121" s="322" t="s">
        <v>469</v>
      </c>
      <c r="D121" s="322" t="s">
        <v>811</v>
      </c>
      <c r="E121" s="325">
        <v>45291</v>
      </c>
      <c r="F121" s="324">
        <v>720</v>
      </c>
      <c r="H121" s="323" t="s">
        <v>465</v>
      </c>
      <c r="I121" s="323" t="s">
        <v>465</v>
      </c>
      <c r="J121" s="323" t="s">
        <v>443</v>
      </c>
      <c r="K121" s="323" t="s">
        <v>600</v>
      </c>
      <c r="L121" s="323"/>
      <c r="M121" s="323"/>
      <c r="N121"/>
      <c r="O121"/>
    </row>
    <row r="122" spans="1:15" ht="22.15" customHeight="1">
      <c r="A122" s="322" t="s">
        <v>812</v>
      </c>
      <c r="B122" s="322" t="s">
        <v>813</v>
      </c>
      <c r="C122" s="322" t="s">
        <v>814</v>
      </c>
      <c r="D122" s="322" t="s">
        <v>815</v>
      </c>
      <c r="E122" s="325">
        <v>45291</v>
      </c>
      <c r="F122" s="324">
        <v>35</v>
      </c>
      <c r="H122" s="323" t="s">
        <v>465</v>
      </c>
      <c r="I122" s="323" t="s">
        <v>465</v>
      </c>
      <c r="J122" s="323" t="s">
        <v>443</v>
      </c>
      <c r="K122" s="323" t="s">
        <v>600</v>
      </c>
      <c r="L122" s="323"/>
      <c r="M122" s="323"/>
      <c r="N122"/>
      <c r="O122"/>
    </row>
    <row r="123" spans="1:15" ht="22.15" customHeight="1">
      <c r="A123" s="322" t="s">
        <v>812</v>
      </c>
      <c r="B123" s="322" t="s">
        <v>813</v>
      </c>
      <c r="C123" s="322" t="s">
        <v>816</v>
      </c>
      <c r="D123" s="322" t="s">
        <v>815</v>
      </c>
      <c r="E123" s="325">
        <v>45291</v>
      </c>
      <c r="F123" s="324">
        <v>831</v>
      </c>
      <c r="H123" s="323" t="s">
        <v>465</v>
      </c>
      <c r="I123" s="323" t="s">
        <v>465</v>
      </c>
      <c r="J123" s="323" t="s">
        <v>443</v>
      </c>
      <c r="K123" s="323" t="s">
        <v>600</v>
      </c>
      <c r="L123" s="323"/>
      <c r="M123" s="323"/>
      <c r="N123"/>
      <c r="O123"/>
    </row>
    <row r="124" spans="1:15" ht="22.15" customHeight="1">
      <c r="A124" s="322" t="s">
        <v>539</v>
      </c>
      <c r="B124" s="322" t="s">
        <v>455</v>
      </c>
      <c r="C124" s="322" t="s">
        <v>817</v>
      </c>
      <c r="D124" s="322" t="s">
        <v>818</v>
      </c>
      <c r="E124" s="325">
        <v>45291</v>
      </c>
      <c r="F124" s="324">
        <v>629.85</v>
      </c>
      <c r="H124" s="323" t="s">
        <v>465</v>
      </c>
      <c r="I124" s="323" t="s">
        <v>442</v>
      </c>
      <c r="J124" s="323" t="s">
        <v>443</v>
      </c>
      <c r="K124" s="323" t="s">
        <v>600</v>
      </c>
      <c r="L124" s="323"/>
      <c r="M124" s="323"/>
      <c r="N124"/>
      <c r="O124"/>
    </row>
    <row r="125" spans="1:15" ht="22.15" customHeight="1">
      <c r="A125" s="322" t="s">
        <v>539</v>
      </c>
      <c r="B125" s="322" t="s">
        <v>455</v>
      </c>
      <c r="C125" s="322" t="s">
        <v>547</v>
      </c>
      <c r="D125" s="322" t="s">
        <v>818</v>
      </c>
      <c r="E125" s="325">
        <v>45291</v>
      </c>
      <c r="F125" s="324">
        <v>15</v>
      </c>
      <c r="H125" s="323" t="s">
        <v>465</v>
      </c>
      <c r="I125" s="323" t="s">
        <v>442</v>
      </c>
      <c r="J125" s="323" t="s">
        <v>443</v>
      </c>
      <c r="K125" s="323" t="s">
        <v>600</v>
      </c>
      <c r="L125" s="323"/>
      <c r="M125" s="323"/>
      <c r="N125"/>
      <c r="O125"/>
    </row>
    <row r="126" spans="1:15" ht="22.15" customHeight="1">
      <c r="A126" s="322" t="s">
        <v>539</v>
      </c>
      <c r="B126" s="322" t="s">
        <v>455</v>
      </c>
      <c r="C126" s="322" t="s">
        <v>819</v>
      </c>
      <c r="D126" s="322" t="s">
        <v>818</v>
      </c>
      <c r="E126" s="325">
        <v>45291</v>
      </c>
      <c r="F126" s="324">
        <v>149.96</v>
      </c>
      <c r="H126" s="323" t="s">
        <v>465</v>
      </c>
      <c r="I126" s="323" t="s">
        <v>442</v>
      </c>
      <c r="J126" s="323" t="s">
        <v>443</v>
      </c>
      <c r="K126" s="323" t="s">
        <v>600</v>
      </c>
      <c r="L126" s="323"/>
      <c r="M126" s="323"/>
      <c r="N126"/>
      <c r="O126"/>
    </row>
    <row r="127" spans="1:15" ht="22.15" customHeight="1">
      <c r="A127" s="322" t="s">
        <v>539</v>
      </c>
      <c r="B127" s="322" t="s">
        <v>455</v>
      </c>
      <c r="C127" s="322" t="s">
        <v>543</v>
      </c>
      <c r="D127" s="322" t="s">
        <v>818</v>
      </c>
      <c r="E127" s="325">
        <v>45291</v>
      </c>
      <c r="F127" s="324">
        <v>239.94</v>
      </c>
      <c r="H127" s="323" t="s">
        <v>465</v>
      </c>
      <c r="I127" s="323" t="s">
        <v>442</v>
      </c>
      <c r="J127" s="323" t="s">
        <v>443</v>
      </c>
      <c r="K127" s="323" t="s">
        <v>600</v>
      </c>
      <c r="L127" s="323"/>
      <c r="M127" s="323"/>
      <c r="N127"/>
      <c r="O127"/>
    </row>
    <row r="128" spans="1:15" ht="22.15" customHeight="1">
      <c r="A128" s="322" t="s">
        <v>539</v>
      </c>
      <c r="B128" s="322" t="s">
        <v>455</v>
      </c>
      <c r="C128" s="322" t="s">
        <v>731</v>
      </c>
      <c r="D128" s="322" t="s">
        <v>818</v>
      </c>
      <c r="E128" s="325">
        <v>45291</v>
      </c>
      <c r="F128" s="324">
        <v>749.82</v>
      </c>
      <c r="H128" s="323" t="s">
        <v>465</v>
      </c>
      <c r="I128" s="323" t="s">
        <v>442</v>
      </c>
      <c r="J128" s="323" t="s">
        <v>443</v>
      </c>
      <c r="K128" s="323" t="s">
        <v>600</v>
      </c>
      <c r="L128" s="323"/>
      <c r="M128" s="323"/>
      <c r="N128"/>
      <c r="O128"/>
    </row>
    <row r="129" spans="1:15" ht="22.15" customHeight="1">
      <c r="A129" s="322" t="s">
        <v>539</v>
      </c>
      <c r="B129" s="322" t="s">
        <v>455</v>
      </c>
      <c r="C129" s="322" t="s">
        <v>820</v>
      </c>
      <c r="D129" s="322" t="s">
        <v>818</v>
      </c>
      <c r="E129" s="325">
        <v>45291</v>
      </c>
      <c r="F129" s="324">
        <v>7.5</v>
      </c>
      <c r="H129" s="323" t="s">
        <v>465</v>
      </c>
      <c r="I129" s="323" t="s">
        <v>442</v>
      </c>
      <c r="J129" s="323" t="s">
        <v>443</v>
      </c>
      <c r="K129" s="323" t="s">
        <v>600</v>
      </c>
      <c r="L129" s="323"/>
      <c r="M129" s="323"/>
      <c r="N129"/>
      <c r="O129"/>
    </row>
    <row r="130" spans="1:15" ht="22.15" customHeight="1">
      <c r="A130" s="322" t="s">
        <v>539</v>
      </c>
      <c r="B130" s="322" t="s">
        <v>455</v>
      </c>
      <c r="C130" s="322" t="s">
        <v>821</v>
      </c>
      <c r="D130" s="322" t="s">
        <v>818</v>
      </c>
      <c r="E130" s="325">
        <v>45291</v>
      </c>
      <c r="F130" s="324">
        <v>29.99</v>
      </c>
      <c r="H130" s="323" t="s">
        <v>465</v>
      </c>
      <c r="I130" s="323" t="s">
        <v>442</v>
      </c>
      <c r="J130" s="323" t="s">
        <v>443</v>
      </c>
      <c r="K130" s="323" t="s">
        <v>600</v>
      </c>
      <c r="L130" s="323"/>
      <c r="M130" s="323"/>
      <c r="N130"/>
      <c r="O130"/>
    </row>
    <row r="131" spans="1:15" ht="22.15" customHeight="1">
      <c r="A131" s="322" t="s">
        <v>552</v>
      </c>
      <c r="B131" s="322" t="s">
        <v>457</v>
      </c>
      <c r="C131" s="322" t="s">
        <v>822</v>
      </c>
      <c r="D131" s="322" t="s">
        <v>818</v>
      </c>
      <c r="E131" s="325">
        <v>45291</v>
      </c>
      <c r="F131" s="324">
        <v>467.89</v>
      </c>
      <c r="H131" s="323" t="s">
        <v>465</v>
      </c>
      <c r="I131" s="323" t="s">
        <v>442</v>
      </c>
      <c r="J131" s="323" t="s">
        <v>443</v>
      </c>
      <c r="K131" s="323" t="s">
        <v>600</v>
      </c>
      <c r="L131" s="323"/>
      <c r="M131" s="323"/>
      <c r="N131"/>
      <c r="O131"/>
    </row>
    <row r="132" spans="1:15" ht="22.15" customHeight="1">
      <c r="A132" s="322" t="s">
        <v>552</v>
      </c>
      <c r="B132" s="322" t="s">
        <v>457</v>
      </c>
      <c r="C132" s="322" t="s">
        <v>823</v>
      </c>
      <c r="D132" s="322" t="s">
        <v>818</v>
      </c>
      <c r="E132" s="325">
        <v>45291</v>
      </c>
      <c r="F132" s="324">
        <v>779.81</v>
      </c>
      <c r="H132" s="323" t="s">
        <v>465</v>
      </c>
      <c r="I132" s="323" t="s">
        <v>442</v>
      </c>
      <c r="J132" s="323" t="s">
        <v>443</v>
      </c>
      <c r="K132" s="323" t="s">
        <v>600</v>
      </c>
      <c r="L132" s="323"/>
      <c r="M132" s="323"/>
      <c r="N132"/>
      <c r="O132"/>
    </row>
    <row r="133" spans="1:15" ht="22.15" customHeight="1">
      <c r="A133" s="322" t="s">
        <v>552</v>
      </c>
      <c r="B133" s="322" t="s">
        <v>457</v>
      </c>
      <c r="C133" s="322" t="s">
        <v>824</v>
      </c>
      <c r="D133" s="322" t="s">
        <v>818</v>
      </c>
      <c r="E133" s="325">
        <v>45291</v>
      </c>
      <c r="F133" s="324">
        <v>18</v>
      </c>
      <c r="H133" s="323" t="s">
        <v>465</v>
      </c>
      <c r="I133" s="323" t="s">
        <v>442</v>
      </c>
      <c r="J133" s="323" t="s">
        <v>443</v>
      </c>
      <c r="K133" s="323" t="s">
        <v>600</v>
      </c>
      <c r="L133" s="323"/>
      <c r="M133" s="323"/>
      <c r="N133"/>
      <c r="O133"/>
    </row>
    <row r="134" spans="1:15" ht="22.15" customHeight="1">
      <c r="A134" s="322" t="s">
        <v>552</v>
      </c>
      <c r="B134" s="322" t="s">
        <v>457</v>
      </c>
      <c r="C134" s="322" t="s">
        <v>605</v>
      </c>
      <c r="D134" s="322" t="s">
        <v>818</v>
      </c>
      <c r="E134" s="325">
        <v>45291</v>
      </c>
      <c r="F134" s="324">
        <v>25.49</v>
      </c>
      <c r="H134" s="323" t="s">
        <v>465</v>
      </c>
      <c r="I134" s="323" t="s">
        <v>442</v>
      </c>
      <c r="J134" s="323" t="s">
        <v>443</v>
      </c>
      <c r="K134" s="323" t="s">
        <v>600</v>
      </c>
      <c r="L134" s="323"/>
      <c r="M134" s="323"/>
      <c r="N134"/>
      <c r="O134"/>
    </row>
    <row r="135" spans="1:15" ht="22.15" customHeight="1">
      <c r="A135" s="322" t="s">
        <v>558</v>
      </c>
      <c r="B135" s="322" t="s">
        <v>468</v>
      </c>
      <c r="C135" s="322" t="s">
        <v>825</v>
      </c>
      <c r="D135" s="322" t="s">
        <v>818</v>
      </c>
      <c r="E135" s="325">
        <v>45291</v>
      </c>
      <c r="F135" s="324">
        <v>89.98</v>
      </c>
      <c r="H135" s="323" t="s">
        <v>465</v>
      </c>
      <c r="I135" s="323" t="s">
        <v>442</v>
      </c>
      <c r="J135" s="323" t="s">
        <v>443</v>
      </c>
      <c r="K135" s="323" t="s">
        <v>600</v>
      </c>
      <c r="L135" s="323"/>
      <c r="M135" s="323"/>
      <c r="N135"/>
      <c r="O135"/>
    </row>
    <row r="136" spans="1:15" ht="22.15" customHeight="1">
      <c r="A136" s="322" t="s">
        <v>437</v>
      </c>
      <c r="B136" s="322" t="s">
        <v>438</v>
      </c>
      <c r="C136" s="322" t="s">
        <v>826</v>
      </c>
      <c r="D136" s="322" t="s">
        <v>818</v>
      </c>
      <c r="E136" s="325">
        <v>45291</v>
      </c>
      <c r="F136" s="324">
        <v>500.8</v>
      </c>
      <c r="H136" s="323" t="s">
        <v>465</v>
      </c>
      <c r="I136" s="323" t="s">
        <v>442</v>
      </c>
      <c r="J136" s="323" t="s">
        <v>443</v>
      </c>
      <c r="K136" s="323" t="s">
        <v>600</v>
      </c>
      <c r="L136" s="323"/>
      <c r="M136" s="323"/>
      <c r="N136"/>
      <c r="O136"/>
    </row>
    <row r="137" spans="1:15" ht="22.15" customHeight="1">
      <c r="A137" s="322" t="s">
        <v>478</v>
      </c>
      <c r="B137" s="322" t="s">
        <v>449</v>
      </c>
      <c r="C137" s="322" t="s">
        <v>827</v>
      </c>
      <c r="D137" s="322" t="s">
        <v>818</v>
      </c>
      <c r="E137" s="325">
        <v>45291</v>
      </c>
      <c r="F137" s="324">
        <v>149.96</v>
      </c>
      <c r="H137" s="323" t="s">
        <v>465</v>
      </c>
      <c r="I137" s="323" t="s">
        <v>442</v>
      </c>
      <c r="J137" s="323" t="s">
        <v>443</v>
      </c>
      <c r="K137" s="323" t="s">
        <v>600</v>
      </c>
      <c r="L137" s="323"/>
      <c r="M137" s="323"/>
      <c r="N137"/>
      <c r="O137"/>
    </row>
    <row r="138" spans="1:15" ht="22.15" customHeight="1">
      <c r="A138" s="322" t="s">
        <v>493</v>
      </c>
      <c r="B138" s="322" t="s">
        <v>466</v>
      </c>
      <c r="C138" s="322" t="s">
        <v>828</v>
      </c>
      <c r="D138" s="322" t="s">
        <v>818</v>
      </c>
      <c r="E138" s="325">
        <v>45291</v>
      </c>
      <c r="F138" s="324">
        <v>34.49</v>
      </c>
      <c r="H138" s="323" t="s">
        <v>465</v>
      </c>
      <c r="I138" s="323" t="s">
        <v>442</v>
      </c>
      <c r="J138" s="323" t="s">
        <v>443</v>
      </c>
      <c r="K138" s="323" t="s">
        <v>600</v>
      </c>
      <c r="L138" s="323"/>
      <c r="M138" s="323"/>
      <c r="N138"/>
      <c r="O138"/>
    </row>
    <row r="139" spans="1:15" ht="22.15" customHeight="1">
      <c r="A139" s="322" t="s">
        <v>493</v>
      </c>
      <c r="B139" s="322" t="s">
        <v>466</v>
      </c>
      <c r="C139" s="322" t="s">
        <v>498</v>
      </c>
      <c r="D139" s="322" t="s">
        <v>818</v>
      </c>
      <c r="E139" s="325">
        <v>45291</v>
      </c>
      <c r="F139" s="324">
        <v>3.6</v>
      </c>
      <c r="H139" s="323" t="s">
        <v>465</v>
      </c>
      <c r="I139" s="323" t="s">
        <v>442</v>
      </c>
      <c r="J139" s="323" t="s">
        <v>443</v>
      </c>
      <c r="K139" s="323" t="s">
        <v>600</v>
      </c>
      <c r="L139" s="323"/>
      <c r="M139" s="323"/>
      <c r="N139"/>
      <c r="O139"/>
    </row>
    <row r="140" spans="1:15" ht="22.15" customHeight="1">
      <c r="A140" s="322" t="s">
        <v>493</v>
      </c>
      <c r="B140" s="322" t="s">
        <v>466</v>
      </c>
      <c r="C140" s="322" t="s">
        <v>829</v>
      </c>
      <c r="D140" s="322" t="s">
        <v>818</v>
      </c>
      <c r="E140" s="325">
        <v>45291</v>
      </c>
      <c r="F140" s="324">
        <v>4.3499999999999996</v>
      </c>
      <c r="H140" s="323" t="s">
        <v>465</v>
      </c>
      <c r="I140" s="323" t="s">
        <v>442</v>
      </c>
      <c r="J140" s="323" t="s">
        <v>443</v>
      </c>
      <c r="K140" s="323" t="s">
        <v>600</v>
      </c>
      <c r="L140" s="323"/>
      <c r="M140" s="323"/>
      <c r="N140"/>
      <c r="O140"/>
    </row>
    <row r="141" spans="1:15" ht="22.15" customHeight="1">
      <c r="A141" s="322" t="s">
        <v>493</v>
      </c>
      <c r="B141" s="322" t="s">
        <v>466</v>
      </c>
      <c r="C141" s="322" t="s">
        <v>502</v>
      </c>
      <c r="D141" s="322" t="s">
        <v>818</v>
      </c>
      <c r="E141" s="325">
        <v>45291</v>
      </c>
      <c r="F141" s="324">
        <v>7.0000000000000007E-2</v>
      </c>
      <c r="H141" s="323" t="s">
        <v>465</v>
      </c>
      <c r="I141" s="323" t="s">
        <v>442</v>
      </c>
      <c r="J141" s="323" t="s">
        <v>443</v>
      </c>
      <c r="K141" s="323" t="s">
        <v>600</v>
      </c>
      <c r="L141" s="323"/>
      <c r="M141" s="323"/>
      <c r="N141"/>
      <c r="O141"/>
    </row>
    <row r="142" spans="1:15" ht="22.15" customHeight="1">
      <c r="A142" s="322" t="s">
        <v>521</v>
      </c>
      <c r="B142" s="322" t="s">
        <v>473</v>
      </c>
      <c r="C142" s="322" t="s">
        <v>523</v>
      </c>
      <c r="D142" s="322" t="s">
        <v>818</v>
      </c>
      <c r="E142" s="325">
        <v>45291</v>
      </c>
      <c r="F142" s="324">
        <v>50.94</v>
      </c>
      <c r="H142" s="323" t="s">
        <v>465</v>
      </c>
      <c r="I142" s="323" t="s">
        <v>442</v>
      </c>
      <c r="J142" s="323" t="s">
        <v>443</v>
      </c>
      <c r="K142" s="323" t="s">
        <v>600</v>
      </c>
      <c r="L142" s="323"/>
      <c r="M142" s="323"/>
      <c r="N142"/>
      <c r="O142"/>
    </row>
    <row r="143" spans="1:15" ht="22.15" customHeight="1">
      <c r="A143" s="322" t="s">
        <v>478</v>
      </c>
      <c r="B143" s="322" t="s">
        <v>449</v>
      </c>
      <c r="C143" s="322" t="s">
        <v>480</v>
      </c>
      <c r="D143" s="322" t="s">
        <v>481</v>
      </c>
      <c r="E143" s="325">
        <v>45315</v>
      </c>
      <c r="F143" s="324">
        <v>500</v>
      </c>
      <c r="H143" s="323" t="s">
        <v>465</v>
      </c>
      <c r="I143" s="323" t="s">
        <v>442</v>
      </c>
      <c r="J143" s="323" t="s">
        <v>443</v>
      </c>
      <c r="K143" s="323" t="s">
        <v>600</v>
      </c>
      <c r="L143" s="323"/>
      <c r="M143" s="323"/>
      <c r="N143"/>
      <c r="O143"/>
    </row>
    <row r="144" spans="1:15" ht="22.15" customHeight="1">
      <c r="A144" s="322" t="s">
        <v>460</v>
      </c>
      <c r="B144" s="322" t="s">
        <v>461</v>
      </c>
      <c r="C144" s="322" t="s">
        <v>463</v>
      </c>
      <c r="D144" s="322" t="s">
        <v>464</v>
      </c>
      <c r="E144" s="325">
        <v>45322</v>
      </c>
      <c r="F144" s="324">
        <v>563.29</v>
      </c>
      <c r="H144" s="323" t="s">
        <v>465</v>
      </c>
      <c r="I144" s="323" t="s">
        <v>465</v>
      </c>
      <c r="J144" s="323" t="s">
        <v>443</v>
      </c>
      <c r="K144" s="323" t="s">
        <v>600</v>
      </c>
      <c r="L144" s="323"/>
      <c r="M144" s="323"/>
      <c r="N144"/>
      <c r="O144"/>
    </row>
    <row r="145" spans="1:15" ht="22.15" customHeight="1">
      <c r="A145" s="322" t="s">
        <v>460</v>
      </c>
      <c r="B145" s="322" t="s">
        <v>461</v>
      </c>
      <c r="C145" s="322" t="s">
        <v>467</v>
      </c>
      <c r="D145" s="322" t="s">
        <v>464</v>
      </c>
      <c r="E145" s="325">
        <v>45322</v>
      </c>
      <c r="F145" s="324">
        <v>436.8</v>
      </c>
      <c r="H145" s="323" t="s">
        <v>465</v>
      </c>
      <c r="I145" s="323" t="s">
        <v>465</v>
      </c>
      <c r="J145" s="323" t="s">
        <v>443</v>
      </c>
      <c r="K145" s="323" t="s">
        <v>600</v>
      </c>
      <c r="L145" s="323"/>
      <c r="M145" s="323"/>
      <c r="N145"/>
      <c r="O145"/>
    </row>
    <row r="146" spans="1:15" ht="22.15" customHeight="1">
      <c r="A146" s="322" t="s">
        <v>460</v>
      </c>
      <c r="B146" s="322" t="s">
        <v>461</v>
      </c>
      <c r="C146" s="322" t="s">
        <v>469</v>
      </c>
      <c r="D146" s="322" t="s">
        <v>464</v>
      </c>
      <c r="E146" s="325">
        <v>45322</v>
      </c>
      <c r="F146" s="324">
        <v>720</v>
      </c>
      <c r="H146" s="323" t="s">
        <v>465</v>
      </c>
      <c r="I146" s="323" t="s">
        <v>465</v>
      </c>
      <c r="J146" s="323" t="s">
        <v>443</v>
      </c>
      <c r="K146" s="323" t="s">
        <v>600</v>
      </c>
      <c r="L146" s="323"/>
      <c r="M146" s="323"/>
      <c r="N146"/>
      <c r="O146"/>
    </row>
    <row r="147" spans="1:15" ht="22.15" customHeight="1">
      <c r="A147" s="322" t="s">
        <v>437</v>
      </c>
      <c r="B147" s="322" t="s">
        <v>438</v>
      </c>
      <c r="C147" s="322" t="s">
        <v>440</v>
      </c>
      <c r="D147" s="322" t="s">
        <v>441</v>
      </c>
      <c r="E147" s="325">
        <v>45322</v>
      </c>
      <c r="F147" s="324">
        <v>497.69</v>
      </c>
      <c r="H147" s="323" t="s">
        <v>465</v>
      </c>
      <c r="I147" s="323" t="s">
        <v>442</v>
      </c>
      <c r="J147" s="323" t="s">
        <v>443</v>
      </c>
      <c r="K147" s="323" t="s">
        <v>600</v>
      </c>
      <c r="L147" s="323"/>
      <c r="M147" s="323"/>
      <c r="N147"/>
      <c r="O147"/>
    </row>
    <row r="148" spans="1:15" ht="22.15" customHeight="1">
      <c r="A148" s="322" t="s">
        <v>478</v>
      </c>
      <c r="B148" s="322" t="s">
        <v>449</v>
      </c>
      <c r="C148" s="322" t="s">
        <v>484</v>
      </c>
      <c r="D148" s="322" t="s">
        <v>441</v>
      </c>
      <c r="E148" s="325">
        <v>45322</v>
      </c>
      <c r="F148" s="324">
        <v>149.68</v>
      </c>
      <c r="H148" s="323" t="s">
        <v>465</v>
      </c>
      <c r="I148" s="323" t="s">
        <v>442</v>
      </c>
      <c r="J148" s="323" t="s">
        <v>443</v>
      </c>
      <c r="K148" s="323" t="s">
        <v>600</v>
      </c>
      <c r="L148" s="323"/>
      <c r="M148" s="323"/>
      <c r="N148"/>
      <c r="O148"/>
    </row>
    <row r="149" spans="1:15" ht="22.15" customHeight="1">
      <c r="A149" s="322" t="s">
        <v>521</v>
      </c>
      <c r="B149" s="322" t="s">
        <v>473</v>
      </c>
      <c r="C149" s="322" t="s">
        <v>528</v>
      </c>
      <c r="D149" s="322" t="s">
        <v>441</v>
      </c>
      <c r="E149" s="325">
        <v>45322</v>
      </c>
      <c r="F149" s="324">
        <v>39.9</v>
      </c>
      <c r="H149" s="323" t="s">
        <v>465</v>
      </c>
      <c r="I149" s="323" t="s">
        <v>442</v>
      </c>
      <c r="J149" s="323" t="s">
        <v>443</v>
      </c>
      <c r="K149" s="323" t="s">
        <v>600</v>
      </c>
      <c r="L149" s="323"/>
      <c r="M149" s="323"/>
      <c r="N149"/>
      <c r="O149"/>
    </row>
    <row r="150" spans="1:15" ht="22.15" customHeight="1">
      <c r="A150" s="322" t="s">
        <v>521</v>
      </c>
      <c r="B150" s="322" t="s">
        <v>473</v>
      </c>
      <c r="C150" s="322" t="s">
        <v>523</v>
      </c>
      <c r="D150" s="322" t="s">
        <v>441</v>
      </c>
      <c r="E150" s="325">
        <v>45322</v>
      </c>
      <c r="F150" s="324">
        <v>50.87</v>
      </c>
      <c r="H150" s="323" t="s">
        <v>465</v>
      </c>
      <c r="I150" s="323" t="s">
        <v>442</v>
      </c>
      <c r="J150" s="323" t="s">
        <v>443</v>
      </c>
      <c r="K150" s="323" t="s">
        <v>600</v>
      </c>
      <c r="L150" s="323"/>
      <c r="M150" s="323"/>
      <c r="N150"/>
      <c r="O150"/>
    </row>
    <row r="151" spans="1:15" ht="22.15" customHeight="1">
      <c r="A151" s="322" t="s">
        <v>521</v>
      </c>
      <c r="B151" s="322" t="s">
        <v>473</v>
      </c>
      <c r="C151" s="322" t="s">
        <v>524</v>
      </c>
      <c r="D151" s="322" t="s">
        <v>441</v>
      </c>
      <c r="E151" s="325">
        <v>45322</v>
      </c>
      <c r="F151" s="324">
        <v>39.9</v>
      </c>
      <c r="H151" s="323" t="s">
        <v>465</v>
      </c>
      <c r="I151" s="323" t="s">
        <v>442</v>
      </c>
      <c r="J151" s="323" t="s">
        <v>443</v>
      </c>
      <c r="K151" s="323" t="s">
        <v>600</v>
      </c>
      <c r="L151" s="323"/>
      <c r="M151" s="323"/>
      <c r="N151"/>
      <c r="O151"/>
    </row>
    <row r="152" spans="1:15" ht="22.15" customHeight="1">
      <c r="A152" s="322" t="s">
        <v>521</v>
      </c>
      <c r="B152" s="322" t="s">
        <v>473</v>
      </c>
      <c r="C152" s="322" t="s">
        <v>525</v>
      </c>
      <c r="D152" s="322" t="s">
        <v>441</v>
      </c>
      <c r="E152" s="325">
        <v>45322</v>
      </c>
      <c r="F152" s="324">
        <v>40.9</v>
      </c>
      <c r="H152" s="323" t="s">
        <v>465</v>
      </c>
      <c r="I152" s="323" t="s">
        <v>442</v>
      </c>
      <c r="J152" s="323" t="s">
        <v>443</v>
      </c>
      <c r="K152" s="323" t="s">
        <v>600</v>
      </c>
      <c r="L152" s="323"/>
      <c r="M152" s="323"/>
      <c r="N152"/>
      <c r="O152"/>
    </row>
    <row r="153" spans="1:15" ht="22.15" customHeight="1">
      <c r="A153" s="322" t="s">
        <v>521</v>
      </c>
      <c r="B153" s="322" t="s">
        <v>473</v>
      </c>
      <c r="C153" s="322" t="s">
        <v>526</v>
      </c>
      <c r="D153" s="322" t="s">
        <v>441</v>
      </c>
      <c r="E153" s="325">
        <v>45322</v>
      </c>
      <c r="F153" s="324">
        <v>40.9</v>
      </c>
      <c r="H153" s="323" t="s">
        <v>465</v>
      </c>
      <c r="I153" s="323" t="s">
        <v>442</v>
      </c>
      <c r="J153" s="323" t="s">
        <v>443</v>
      </c>
      <c r="K153" s="323" t="s">
        <v>600</v>
      </c>
      <c r="L153" s="323"/>
      <c r="M153" s="323"/>
      <c r="N153"/>
      <c r="O153"/>
    </row>
    <row r="154" spans="1:15" ht="22.15" customHeight="1">
      <c r="A154" s="322" t="s">
        <v>521</v>
      </c>
      <c r="B154" s="322" t="s">
        <v>473</v>
      </c>
      <c r="C154" s="322" t="s">
        <v>527</v>
      </c>
      <c r="D154" s="322" t="s">
        <v>441</v>
      </c>
      <c r="E154" s="325">
        <v>45322</v>
      </c>
      <c r="F154" s="324">
        <v>28.44</v>
      </c>
      <c r="H154" s="323" t="s">
        <v>465</v>
      </c>
      <c r="I154" s="323" t="s">
        <v>442</v>
      </c>
      <c r="J154" s="323" t="s">
        <v>443</v>
      </c>
      <c r="K154" s="323" t="s">
        <v>600</v>
      </c>
      <c r="L154" s="323"/>
      <c r="M154" s="323"/>
      <c r="N154"/>
      <c r="O154"/>
    </row>
    <row r="155" spans="1:15" ht="22.15" customHeight="1">
      <c r="A155" s="322" t="s">
        <v>521</v>
      </c>
      <c r="B155" s="322" t="s">
        <v>473</v>
      </c>
      <c r="C155" s="322" t="s">
        <v>522</v>
      </c>
      <c r="D155" s="322" t="s">
        <v>441</v>
      </c>
      <c r="E155" s="325">
        <v>45322</v>
      </c>
      <c r="F155" s="324">
        <v>7.48</v>
      </c>
      <c r="H155" s="323" t="s">
        <v>465</v>
      </c>
      <c r="I155" s="323" t="s">
        <v>442</v>
      </c>
      <c r="J155" s="323" t="s">
        <v>443</v>
      </c>
      <c r="K155" s="323" t="s">
        <v>600</v>
      </c>
      <c r="L155" s="323"/>
      <c r="M155" s="323"/>
      <c r="N155"/>
      <c r="O155"/>
    </row>
    <row r="156" spans="1:15" ht="22.15" customHeight="1">
      <c r="A156" s="322" t="s">
        <v>493</v>
      </c>
      <c r="B156" s="322" t="s">
        <v>466</v>
      </c>
      <c r="C156" s="322" t="s">
        <v>494</v>
      </c>
      <c r="D156" s="322" t="s">
        <v>441</v>
      </c>
      <c r="E156" s="325">
        <v>45322</v>
      </c>
      <c r="F156" s="324">
        <v>9.58</v>
      </c>
      <c r="H156" s="323" t="s">
        <v>465</v>
      </c>
      <c r="I156" s="323" t="s">
        <v>442</v>
      </c>
      <c r="J156" s="323" t="s">
        <v>443</v>
      </c>
      <c r="K156" s="323" t="s">
        <v>600</v>
      </c>
      <c r="L156" s="323"/>
      <c r="M156" s="323"/>
      <c r="N156"/>
      <c r="O156"/>
    </row>
    <row r="157" spans="1:15" ht="22.15" customHeight="1">
      <c r="A157" s="322" t="s">
        <v>493</v>
      </c>
      <c r="B157" s="322" t="s">
        <v>466</v>
      </c>
      <c r="C157" s="322" t="s">
        <v>496</v>
      </c>
      <c r="D157" s="322" t="s">
        <v>441</v>
      </c>
      <c r="E157" s="325">
        <v>45322</v>
      </c>
      <c r="F157" s="324">
        <v>10.4</v>
      </c>
      <c r="H157" s="323" t="s">
        <v>465</v>
      </c>
      <c r="I157" s="323" t="s">
        <v>442</v>
      </c>
      <c r="J157" s="323" t="s">
        <v>443</v>
      </c>
      <c r="K157" s="323" t="s">
        <v>600</v>
      </c>
      <c r="L157" s="323"/>
      <c r="M157" s="323"/>
      <c r="N157"/>
      <c r="O157"/>
    </row>
    <row r="158" spans="1:15" ht="22.15" customHeight="1">
      <c r="A158" s="322" t="s">
        <v>493</v>
      </c>
      <c r="B158" s="322" t="s">
        <v>466</v>
      </c>
      <c r="C158" s="322" t="s">
        <v>497</v>
      </c>
      <c r="D158" s="322" t="s">
        <v>441</v>
      </c>
      <c r="E158" s="325">
        <v>45322</v>
      </c>
      <c r="F158" s="324">
        <v>7.86</v>
      </c>
      <c r="H158" s="323" t="s">
        <v>465</v>
      </c>
      <c r="I158" s="323" t="s">
        <v>442</v>
      </c>
      <c r="J158" s="323" t="s">
        <v>443</v>
      </c>
      <c r="K158" s="323" t="s">
        <v>600</v>
      </c>
      <c r="L158" s="323"/>
      <c r="M158" s="323"/>
      <c r="N158"/>
      <c r="O158"/>
    </row>
    <row r="159" spans="1:15" ht="22.15" customHeight="1">
      <c r="A159" s="322" t="s">
        <v>493</v>
      </c>
      <c r="B159" s="322" t="s">
        <v>466</v>
      </c>
      <c r="C159" s="322" t="s">
        <v>498</v>
      </c>
      <c r="D159" s="322" t="s">
        <v>441</v>
      </c>
      <c r="E159" s="325">
        <v>45322</v>
      </c>
      <c r="F159" s="324">
        <v>0.9</v>
      </c>
      <c r="H159" s="323" t="s">
        <v>465</v>
      </c>
      <c r="I159" s="323" t="s">
        <v>442</v>
      </c>
      <c r="J159" s="323" t="s">
        <v>443</v>
      </c>
      <c r="K159" s="323" t="s">
        <v>600</v>
      </c>
      <c r="L159" s="323"/>
      <c r="M159" s="323"/>
      <c r="N159"/>
      <c r="O159"/>
    </row>
    <row r="160" spans="1:15" ht="22.15" customHeight="1">
      <c r="A160" s="322" t="s">
        <v>493</v>
      </c>
      <c r="B160" s="322" t="s">
        <v>466</v>
      </c>
      <c r="C160" s="322" t="s">
        <v>499</v>
      </c>
      <c r="D160" s="322" t="s">
        <v>441</v>
      </c>
      <c r="E160" s="325">
        <v>45322</v>
      </c>
      <c r="F160" s="324">
        <v>3.89</v>
      </c>
      <c r="H160" s="323" t="s">
        <v>465</v>
      </c>
      <c r="I160" s="323" t="s">
        <v>442</v>
      </c>
      <c r="J160" s="323" t="s">
        <v>443</v>
      </c>
      <c r="K160" s="323" t="s">
        <v>600</v>
      </c>
      <c r="L160" s="323"/>
      <c r="M160" s="323"/>
      <c r="N160"/>
      <c r="O160"/>
    </row>
    <row r="161" spans="1:15" ht="22.15" customHeight="1">
      <c r="A161" s="322" t="s">
        <v>493</v>
      </c>
      <c r="B161" s="322" t="s">
        <v>466</v>
      </c>
      <c r="C161" s="322" t="s">
        <v>500</v>
      </c>
      <c r="D161" s="322" t="s">
        <v>441</v>
      </c>
      <c r="E161" s="325">
        <v>45322</v>
      </c>
      <c r="F161" s="324">
        <v>74.84</v>
      </c>
      <c r="H161" s="323" t="s">
        <v>465</v>
      </c>
      <c r="I161" s="323" t="s">
        <v>442</v>
      </c>
      <c r="J161" s="323" t="s">
        <v>443</v>
      </c>
      <c r="K161" s="323" t="s">
        <v>600</v>
      </c>
      <c r="L161" s="323"/>
      <c r="M161" s="323"/>
      <c r="N161"/>
      <c r="O161"/>
    </row>
    <row r="162" spans="1:15" ht="22.15" customHeight="1">
      <c r="A162" s="322" t="s">
        <v>493</v>
      </c>
      <c r="B162" s="322" t="s">
        <v>466</v>
      </c>
      <c r="C162" s="322" t="s">
        <v>501</v>
      </c>
      <c r="D162" s="322" t="s">
        <v>441</v>
      </c>
      <c r="E162" s="325">
        <v>45322</v>
      </c>
      <c r="F162" s="324">
        <v>3.59</v>
      </c>
      <c r="H162" s="323" t="s">
        <v>465</v>
      </c>
      <c r="I162" s="323" t="s">
        <v>442</v>
      </c>
      <c r="J162" s="323" t="s">
        <v>443</v>
      </c>
      <c r="K162" s="323" t="s">
        <v>600</v>
      </c>
      <c r="L162" s="323"/>
      <c r="M162" s="323"/>
      <c r="N162"/>
      <c r="O162"/>
    </row>
    <row r="163" spans="1:15" ht="22.15" customHeight="1">
      <c r="A163" s="322" t="s">
        <v>493</v>
      </c>
      <c r="B163" s="322" t="s">
        <v>466</v>
      </c>
      <c r="C163" s="322" t="s">
        <v>502</v>
      </c>
      <c r="D163" s="322" t="s">
        <v>441</v>
      </c>
      <c r="E163" s="325">
        <v>45322</v>
      </c>
      <c r="F163" s="324">
        <v>7.0000000000000007E-2</v>
      </c>
      <c r="H163" s="323" t="s">
        <v>465</v>
      </c>
      <c r="I163" s="323" t="s">
        <v>442</v>
      </c>
      <c r="J163" s="323" t="s">
        <v>443</v>
      </c>
      <c r="K163" s="323" t="s">
        <v>600</v>
      </c>
      <c r="L163" s="323"/>
      <c r="M163" s="323"/>
      <c r="N163"/>
      <c r="O163"/>
    </row>
    <row r="164" spans="1:15" ht="22.15" customHeight="1">
      <c r="A164" s="322" t="s">
        <v>536</v>
      </c>
      <c r="B164" s="322" t="s">
        <v>459</v>
      </c>
      <c r="C164" s="322" t="s">
        <v>537</v>
      </c>
      <c r="D164" s="322" t="s">
        <v>441</v>
      </c>
      <c r="E164" s="325">
        <v>45322</v>
      </c>
      <c r="F164" s="324">
        <v>666.09</v>
      </c>
      <c r="H164" s="323" t="s">
        <v>465</v>
      </c>
      <c r="I164" s="323" t="s">
        <v>442</v>
      </c>
      <c r="J164" s="323" t="s">
        <v>443</v>
      </c>
      <c r="K164" s="323" t="s">
        <v>600</v>
      </c>
      <c r="L164" s="323"/>
      <c r="M164" s="323"/>
      <c r="N164"/>
      <c r="O164"/>
    </row>
    <row r="165" spans="1:15" ht="22.15" customHeight="1">
      <c r="A165" s="322" t="s">
        <v>558</v>
      </c>
      <c r="B165" s="322" t="s">
        <v>468</v>
      </c>
      <c r="C165" s="322" t="s">
        <v>559</v>
      </c>
      <c r="D165" s="322" t="s">
        <v>441</v>
      </c>
      <c r="E165" s="325">
        <v>45322</v>
      </c>
      <c r="F165" s="324">
        <v>89.81</v>
      </c>
      <c r="H165" s="323" t="s">
        <v>465</v>
      </c>
      <c r="I165" s="323" t="s">
        <v>442</v>
      </c>
      <c r="J165" s="323" t="s">
        <v>443</v>
      </c>
      <c r="K165" s="323" t="s">
        <v>600</v>
      </c>
      <c r="L165" s="323"/>
      <c r="M165" s="323"/>
      <c r="N165"/>
      <c r="O165"/>
    </row>
    <row r="166" spans="1:15" ht="22.15" customHeight="1">
      <c r="A166" s="322" t="s">
        <v>552</v>
      </c>
      <c r="B166" s="322" t="s">
        <v>457</v>
      </c>
      <c r="C166" s="322" t="s">
        <v>553</v>
      </c>
      <c r="D166" s="322" t="s">
        <v>441</v>
      </c>
      <c r="E166" s="325">
        <v>45322</v>
      </c>
      <c r="F166" s="324">
        <v>889.11</v>
      </c>
      <c r="H166" s="323" t="s">
        <v>465</v>
      </c>
      <c r="I166" s="323" t="s">
        <v>442</v>
      </c>
      <c r="J166" s="323" t="s">
        <v>443</v>
      </c>
      <c r="K166" s="323" t="s">
        <v>600</v>
      </c>
      <c r="L166" s="323"/>
      <c r="M166" s="323"/>
      <c r="N166"/>
      <c r="O166"/>
    </row>
    <row r="167" spans="1:15" ht="22.15" customHeight="1">
      <c r="A167" s="322" t="s">
        <v>552</v>
      </c>
      <c r="B167" s="322" t="s">
        <v>457</v>
      </c>
      <c r="C167" s="322" t="s">
        <v>554</v>
      </c>
      <c r="D167" s="322" t="s">
        <v>441</v>
      </c>
      <c r="E167" s="325">
        <v>45322</v>
      </c>
      <c r="F167" s="324">
        <v>74.84</v>
      </c>
      <c r="H167" s="323" t="s">
        <v>465</v>
      </c>
      <c r="I167" s="323" t="s">
        <v>442</v>
      </c>
      <c r="J167" s="323" t="s">
        <v>443</v>
      </c>
      <c r="K167" s="323" t="s">
        <v>600</v>
      </c>
      <c r="L167" s="323"/>
      <c r="M167" s="323"/>
      <c r="N167"/>
      <c r="O167"/>
    </row>
    <row r="168" spans="1:15" ht="22.15" customHeight="1">
      <c r="A168" s="322" t="s">
        <v>552</v>
      </c>
      <c r="B168" s="322" t="s">
        <v>457</v>
      </c>
      <c r="C168" s="322" t="s">
        <v>555</v>
      </c>
      <c r="D168" s="322" t="s">
        <v>441</v>
      </c>
      <c r="E168" s="325">
        <v>45322</v>
      </c>
      <c r="F168" s="324">
        <v>74.84</v>
      </c>
      <c r="H168" s="323" t="s">
        <v>465</v>
      </c>
      <c r="I168" s="323" t="s">
        <v>442</v>
      </c>
      <c r="J168" s="323" t="s">
        <v>443</v>
      </c>
      <c r="K168" s="323" t="s">
        <v>600</v>
      </c>
      <c r="L168" s="323"/>
      <c r="M168" s="323"/>
      <c r="N168"/>
      <c r="O168"/>
    </row>
    <row r="169" spans="1:15" ht="22.15" customHeight="1">
      <c r="A169" s="322" t="s">
        <v>539</v>
      </c>
      <c r="B169" s="322" t="s">
        <v>455</v>
      </c>
      <c r="C169" s="322" t="s">
        <v>542</v>
      </c>
      <c r="D169" s="322" t="s">
        <v>441</v>
      </c>
      <c r="E169" s="325">
        <v>45322</v>
      </c>
      <c r="F169" s="324">
        <v>7.48</v>
      </c>
      <c r="H169" s="323" t="s">
        <v>465</v>
      </c>
      <c r="I169" s="323" t="s">
        <v>442</v>
      </c>
      <c r="J169" s="323" t="s">
        <v>443</v>
      </c>
      <c r="K169" s="323" t="s">
        <v>600</v>
      </c>
      <c r="L169" s="323"/>
      <c r="M169" s="323"/>
      <c r="N169"/>
      <c r="O169"/>
    </row>
    <row r="170" spans="1:15" ht="22.15" customHeight="1">
      <c r="A170" s="322" t="s">
        <v>539</v>
      </c>
      <c r="B170" s="322" t="s">
        <v>455</v>
      </c>
      <c r="C170" s="322" t="s">
        <v>541</v>
      </c>
      <c r="D170" s="322" t="s">
        <v>441</v>
      </c>
      <c r="E170" s="325">
        <v>45322</v>
      </c>
      <c r="F170" s="324">
        <v>7.48</v>
      </c>
      <c r="H170" s="323" t="s">
        <v>465</v>
      </c>
      <c r="I170" s="323" t="s">
        <v>442</v>
      </c>
      <c r="J170" s="323" t="s">
        <v>443</v>
      </c>
      <c r="K170" s="323" t="s">
        <v>600</v>
      </c>
      <c r="L170" s="323"/>
      <c r="M170" s="323"/>
      <c r="N170"/>
      <c r="O170"/>
    </row>
    <row r="171" spans="1:15" ht="22.15" customHeight="1">
      <c r="A171" s="322" t="s">
        <v>539</v>
      </c>
      <c r="B171" s="322" t="s">
        <v>455</v>
      </c>
      <c r="C171" s="322" t="s">
        <v>545</v>
      </c>
      <c r="D171" s="322" t="s">
        <v>441</v>
      </c>
      <c r="E171" s="325">
        <v>45322</v>
      </c>
      <c r="F171" s="324">
        <v>763.38</v>
      </c>
      <c r="H171" s="323" t="s">
        <v>465</v>
      </c>
      <c r="I171" s="323" t="s">
        <v>442</v>
      </c>
      <c r="J171" s="323" t="s">
        <v>443</v>
      </c>
      <c r="K171" s="323" t="s">
        <v>600</v>
      </c>
      <c r="L171" s="323"/>
      <c r="M171" s="323"/>
      <c r="N171"/>
      <c r="O171"/>
    </row>
    <row r="172" spans="1:15" ht="22.15" customHeight="1">
      <c r="A172" s="322" t="s">
        <v>539</v>
      </c>
      <c r="B172" s="322" t="s">
        <v>455</v>
      </c>
      <c r="C172" s="322" t="s">
        <v>546</v>
      </c>
      <c r="D172" s="322" t="s">
        <v>441</v>
      </c>
      <c r="E172" s="325">
        <v>45322</v>
      </c>
      <c r="F172" s="324">
        <v>74.84</v>
      </c>
      <c r="H172" s="323" t="s">
        <v>465</v>
      </c>
      <c r="I172" s="323" t="s">
        <v>442</v>
      </c>
      <c r="J172" s="323" t="s">
        <v>443</v>
      </c>
      <c r="K172" s="323" t="s">
        <v>600</v>
      </c>
      <c r="L172" s="323"/>
      <c r="M172" s="323"/>
      <c r="N172"/>
      <c r="O172"/>
    </row>
    <row r="173" spans="1:15" ht="22.15" customHeight="1">
      <c r="A173" s="322" t="s">
        <v>539</v>
      </c>
      <c r="B173" s="322" t="s">
        <v>455</v>
      </c>
      <c r="C173" s="322" t="s">
        <v>543</v>
      </c>
      <c r="D173" s="322" t="s">
        <v>441</v>
      </c>
      <c r="E173" s="325">
        <v>45322</v>
      </c>
      <c r="F173" s="324">
        <v>598.73</v>
      </c>
      <c r="H173" s="323" t="s">
        <v>465</v>
      </c>
      <c r="I173" s="323" t="s">
        <v>442</v>
      </c>
      <c r="J173" s="323" t="s">
        <v>443</v>
      </c>
      <c r="K173" s="323" t="s">
        <v>600</v>
      </c>
      <c r="L173" s="323"/>
      <c r="M173" s="323"/>
      <c r="N173"/>
      <c r="O173"/>
    </row>
    <row r="174" spans="1:15" ht="22.15" customHeight="1">
      <c r="A174" s="322" t="s">
        <v>539</v>
      </c>
      <c r="B174" s="322" t="s">
        <v>455</v>
      </c>
      <c r="C174" s="322" t="s">
        <v>540</v>
      </c>
      <c r="D174" s="322" t="s">
        <v>441</v>
      </c>
      <c r="E174" s="325">
        <v>45322</v>
      </c>
      <c r="F174" s="324">
        <v>633.9</v>
      </c>
      <c r="H174" s="323" t="s">
        <v>465</v>
      </c>
      <c r="I174" s="323" t="s">
        <v>442</v>
      </c>
      <c r="J174" s="323" t="s">
        <v>443</v>
      </c>
      <c r="K174" s="323" t="s">
        <v>600</v>
      </c>
      <c r="L174" s="323"/>
      <c r="M174" s="323"/>
      <c r="N174"/>
      <c r="O174"/>
    </row>
    <row r="175" spans="1:15" ht="22.15" customHeight="1">
      <c r="A175" s="322" t="s">
        <v>539</v>
      </c>
      <c r="B175" s="322" t="s">
        <v>455</v>
      </c>
      <c r="C175" s="322" t="s">
        <v>544</v>
      </c>
      <c r="D175" s="322" t="s">
        <v>441</v>
      </c>
      <c r="E175" s="325">
        <v>45322</v>
      </c>
      <c r="F175" s="324">
        <v>296.37</v>
      </c>
      <c r="H175" s="323" t="s">
        <v>465</v>
      </c>
      <c r="I175" s="323" t="s">
        <v>442</v>
      </c>
      <c r="J175" s="323" t="s">
        <v>443</v>
      </c>
      <c r="K175" s="323" t="s">
        <v>600</v>
      </c>
      <c r="L175" s="323"/>
      <c r="M175" s="323"/>
      <c r="N175"/>
      <c r="O175"/>
    </row>
    <row r="176" spans="1:15" ht="22.15" customHeight="1">
      <c r="A176" s="322" t="s">
        <v>460</v>
      </c>
      <c r="B176" s="322" t="s">
        <v>461</v>
      </c>
      <c r="C176" s="322" t="s">
        <v>463</v>
      </c>
      <c r="D176" s="322" t="s">
        <v>471</v>
      </c>
      <c r="E176" s="325">
        <v>45351</v>
      </c>
      <c r="F176" s="324">
        <v>563.29</v>
      </c>
      <c r="H176" s="323" t="s">
        <v>465</v>
      </c>
      <c r="I176" s="323" t="s">
        <v>465</v>
      </c>
      <c r="J176" s="323" t="s">
        <v>443</v>
      </c>
      <c r="K176" s="323" t="s">
        <v>600</v>
      </c>
      <c r="L176" s="323"/>
      <c r="M176" s="323"/>
      <c r="N176"/>
      <c r="O176"/>
    </row>
    <row r="177" spans="1:15" ht="22.15" customHeight="1">
      <c r="A177" s="322" t="s">
        <v>460</v>
      </c>
      <c r="B177" s="322" t="s">
        <v>461</v>
      </c>
      <c r="C177" s="322" t="s">
        <v>467</v>
      </c>
      <c r="D177" s="322" t="s">
        <v>471</v>
      </c>
      <c r="E177" s="325">
        <v>45351</v>
      </c>
      <c r="F177" s="324">
        <v>436.8</v>
      </c>
      <c r="H177" s="323" t="s">
        <v>465</v>
      </c>
      <c r="I177" s="323" t="s">
        <v>465</v>
      </c>
      <c r="J177" s="323" t="s">
        <v>443</v>
      </c>
      <c r="K177" s="323" t="s">
        <v>600</v>
      </c>
      <c r="L177" s="323"/>
      <c r="M177" s="323"/>
      <c r="N177"/>
      <c r="O177"/>
    </row>
    <row r="178" spans="1:15" ht="22.15" customHeight="1">
      <c r="A178" s="322" t="s">
        <v>460</v>
      </c>
      <c r="B178" s="322" t="s">
        <v>461</v>
      </c>
      <c r="C178" s="322" t="s">
        <v>469</v>
      </c>
      <c r="D178" s="322" t="s">
        <v>471</v>
      </c>
      <c r="E178" s="325">
        <v>45351</v>
      </c>
      <c r="F178" s="324">
        <v>720</v>
      </c>
      <c r="H178" s="323" t="s">
        <v>465</v>
      </c>
      <c r="I178" s="323" t="s">
        <v>465</v>
      </c>
      <c r="J178" s="323" t="s">
        <v>443</v>
      </c>
      <c r="K178" s="323" t="s">
        <v>600</v>
      </c>
      <c r="L178" s="323"/>
      <c r="M178" s="323"/>
      <c r="N178"/>
      <c r="O178"/>
    </row>
    <row r="179" spans="1:15" ht="22.15" customHeight="1">
      <c r="A179" s="322" t="s">
        <v>437</v>
      </c>
      <c r="B179" s="322" t="s">
        <v>438</v>
      </c>
      <c r="C179" s="322" t="s">
        <v>445</v>
      </c>
      <c r="D179" s="322" t="s">
        <v>446</v>
      </c>
      <c r="E179" s="325">
        <v>45351</v>
      </c>
      <c r="F179" s="324">
        <v>564.84</v>
      </c>
      <c r="H179" s="323" t="s">
        <v>465</v>
      </c>
      <c r="I179" s="323" t="s">
        <v>442</v>
      </c>
      <c r="J179" s="323" t="s">
        <v>443</v>
      </c>
      <c r="K179" s="323" t="s">
        <v>600</v>
      </c>
      <c r="L179" s="323"/>
      <c r="M179" s="323"/>
      <c r="N179"/>
      <c r="O179"/>
    </row>
    <row r="180" spans="1:15" ht="22.15" customHeight="1">
      <c r="A180" s="322" t="s">
        <v>437</v>
      </c>
      <c r="B180" s="322" t="s">
        <v>438</v>
      </c>
      <c r="C180" s="322" t="s">
        <v>448</v>
      </c>
      <c r="D180" s="322" t="s">
        <v>446</v>
      </c>
      <c r="E180" s="325">
        <v>45351</v>
      </c>
      <c r="F180" s="324">
        <v>1113.32</v>
      </c>
      <c r="H180" s="323" t="s">
        <v>465</v>
      </c>
      <c r="I180" s="323" t="s">
        <v>442</v>
      </c>
      <c r="J180" s="323" t="s">
        <v>443</v>
      </c>
      <c r="K180" s="323" t="s">
        <v>600</v>
      </c>
      <c r="L180" s="323"/>
      <c r="M180" s="323"/>
      <c r="N180"/>
      <c r="O180"/>
    </row>
    <row r="181" spans="1:15" ht="22.15" customHeight="1">
      <c r="A181" s="322" t="s">
        <v>437</v>
      </c>
      <c r="B181" s="322" t="s">
        <v>438</v>
      </c>
      <c r="C181" s="322" t="s">
        <v>450</v>
      </c>
      <c r="D181" s="322" t="s">
        <v>446</v>
      </c>
      <c r="E181" s="325">
        <v>45351</v>
      </c>
      <c r="F181" s="324">
        <v>497.02</v>
      </c>
      <c r="H181" s="323" t="s">
        <v>465</v>
      </c>
      <c r="I181" s="323" t="s">
        <v>442</v>
      </c>
      <c r="J181" s="323" t="s">
        <v>443</v>
      </c>
      <c r="K181" s="323" t="s">
        <v>600</v>
      </c>
      <c r="L181" s="323"/>
      <c r="M181" s="323"/>
      <c r="N181"/>
      <c r="O181"/>
    </row>
    <row r="182" spans="1:15" ht="22.15" customHeight="1">
      <c r="A182" s="322" t="s">
        <v>493</v>
      </c>
      <c r="B182" s="322" t="s">
        <v>466</v>
      </c>
      <c r="C182" s="322" t="s">
        <v>496</v>
      </c>
      <c r="D182" s="322" t="s">
        <v>446</v>
      </c>
      <c r="E182" s="325">
        <v>45351</v>
      </c>
      <c r="F182" s="324">
        <v>10.25</v>
      </c>
      <c r="H182" s="323" t="s">
        <v>465</v>
      </c>
      <c r="I182" s="323" t="s">
        <v>442</v>
      </c>
      <c r="J182" s="323" t="s">
        <v>443</v>
      </c>
      <c r="K182" s="323" t="s">
        <v>600</v>
      </c>
      <c r="L182" s="323"/>
      <c r="M182" s="323"/>
      <c r="N182"/>
      <c r="O182"/>
    </row>
    <row r="183" spans="1:15" ht="22.15" customHeight="1">
      <c r="A183" s="322" t="s">
        <v>493</v>
      </c>
      <c r="B183" s="322" t="s">
        <v>466</v>
      </c>
      <c r="C183" s="322" t="s">
        <v>497</v>
      </c>
      <c r="D183" s="322" t="s">
        <v>446</v>
      </c>
      <c r="E183" s="325">
        <v>45351</v>
      </c>
      <c r="F183" s="324">
        <v>7.74</v>
      </c>
      <c r="H183" s="323" t="s">
        <v>465</v>
      </c>
      <c r="I183" s="323" t="s">
        <v>442</v>
      </c>
      <c r="J183" s="323" t="s">
        <v>443</v>
      </c>
      <c r="K183" s="323" t="s">
        <v>600</v>
      </c>
      <c r="L183" s="323"/>
      <c r="M183" s="323"/>
      <c r="N183"/>
      <c r="O183"/>
    </row>
    <row r="184" spans="1:15" ht="22.15" customHeight="1">
      <c r="A184" s="322" t="s">
        <v>493</v>
      </c>
      <c r="B184" s="322" t="s">
        <v>466</v>
      </c>
      <c r="C184" s="322" t="s">
        <v>498</v>
      </c>
      <c r="D184" s="322" t="s">
        <v>446</v>
      </c>
      <c r="E184" s="325">
        <v>45351</v>
      </c>
      <c r="F184" s="324">
        <v>3.54</v>
      </c>
      <c r="H184" s="323" t="s">
        <v>465</v>
      </c>
      <c r="I184" s="323" t="s">
        <v>442</v>
      </c>
      <c r="J184" s="323" t="s">
        <v>443</v>
      </c>
      <c r="K184" s="323" t="s">
        <v>600</v>
      </c>
      <c r="L184" s="323"/>
      <c r="M184" s="323"/>
      <c r="N184"/>
      <c r="O184"/>
    </row>
    <row r="185" spans="1:15" ht="22.15" customHeight="1">
      <c r="A185" s="322" t="s">
        <v>493</v>
      </c>
      <c r="B185" s="322" t="s">
        <v>466</v>
      </c>
      <c r="C185" s="322" t="s">
        <v>500</v>
      </c>
      <c r="D185" s="322" t="s">
        <v>446</v>
      </c>
      <c r="E185" s="325">
        <v>45351</v>
      </c>
      <c r="F185" s="324">
        <v>73.75</v>
      </c>
      <c r="H185" s="323" t="s">
        <v>465</v>
      </c>
      <c r="I185" s="323" t="s">
        <v>442</v>
      </c>
      <c r="J185" s="323" t="s">
        <v>443</v>
      </c>
      <c r="K185" s="323" t="s">
        <v>600</v>
      </c>
      <c r="L185" s="323"/>
      <c r="M185" s="323"/>
      <c r="N185"/>
      <c r="O185"/>
    </row>
    <row r="186" spans="1:15" ht="22.15" customHeight="1">
      <c r="A186" s="322" t="s">
        <v>493</v>
      </c>
      <c r="B186" s="322" t="s">
        <v>466</v>
      </c>
      <c r="C186" s="322" t="s">
        <v>502</v>
      </c>
      <c r="D186" s="322" t="s">
        <v>446</v>
      </c>
      <c r="E186" s="325">
        <v>45351</v>
      </c>
      <c r="F186" s="324">
        <v>7.0000000000000007E-2</v>
      </c>
      <c r="H186" s="323" t="s">
        <v>465</v>
      </c>
      <c r="I186" s="323" t="s">
        <v>442</v>
      </c>
      <c r="J186" s="323" t="s">
        <v>443</v>
      </c>
      <c r="K186" s="323" t="s">
        <v>600</v>
      </c>
      <c r="L186" s="323"/>
      <c r="M186" s="323"/>
      <c r="N186"/>
      <c r="O186"/>
    </row>
    <row r="187" spans="1:15" ht="22.15" customHeight="1">
      <c r="A187" s="322" t="s">
        <v>493</v>
      </c>
      <c r="B187" s="322" t="s">
        <v>466</v>
      </c>
      <c r="C187" s="322" t="s">
        <v>504</v>
      </c>
      <c r="D187" s="322" t="s">
        <v>446</v>
      </c>
      <c r="E187" s="325">
        <v>45351</v>
      </c>
      <c r="F187" s="324">
        <v>4.43</v>
      </c>
      <c r="H187" s="323" t="s">
        <v>465</v>
      </c>
      <c r="I187" s="323" t="s">
        <v>442</v>
      </c>
      <c r="J187" s="323" t="s">
        <v>443</v>
      </c>
      <c r="K187" s="323" t="s">
        <v>600</v>
      </c>
      <c r="L187" s="323"/>
      <c r="M187" s="323"/>
      <c r="N187"/>
      <c r="O187"/>
    </row>
    <row r="188" spans="1:15" ht="22.15" customHeight="1">
      <c r="A188" s="322" t="s">
        <v>493</v>
      </c>
      <c r="B188" s="322" t="s">
        <v>466</v>
      </c>
      <c r="C188" s="322" t="s">
        <v>505</v>
      </c>
      <c r="D188" s="322" t="s">
        <v>446</v>
      </c>
      <c r="E188" s="325">
        <v>45351</v>
      </c>
      <c r="F188" s="324">
        <v>2.95</v>
      </c>
      <c r="H188" s="323" t="s">
        <v>465</v>
      </c>
      <c r="I188" s="323" t="s">
        <v>442</v>
      </c>
      <c r="J188" s="323" t="s">
        <v>443</v>
      </c>
      <c r="K188" s="323" t="s">
        <v>600</v>
      </c>
      <c r="L188" s="323"/>
      <c r="M188" s="323"/>
      <c r="N188"/>
      <c r="O188"/>
    </row>
    <row r="189" spans="1:15" ht="22.15" customHeight="1">
      <c r="A189" s="322" t="s">
        <v>493</v>
      </c>
      <c r="B189" s="322" t="s">
        <v>466</v>
      </c>
      <c r="C189" s="322" t="s">
        <v>506</v>
      </c>
      <c r="D189" s="322" t="s">
        <v>446</v>
      </c>
      <c r="E189" s="325">
        <v>45351</v>
      </c>
      <c r="F189" s="324">
        <v>10.33</v>
      </c>
      <c r="H189" s="323" t="s">
        <v>465</v>
      </c>
      <c r="I189" s="323" t="s">
        <v>442</v>
      </c>
      <c r="J189" s="323" t="s">
        <v>443</v>
      </c>
      <c r="K189" s="323" t="s">
        <v>600</v>
      </c>
      <c r="L189" s="323"/>
      <c r="M189" s="323"/>
      <c r="N189"/>
      <c r="O189"/>
    </row>
    <row r="190" spans="1:15" ht="22.15" customHeight="1">
      <c r="A190" s="322" t="s">
        <v>493</v>
      </c>
      <c r="B190" s="322" t="s">
        <v>466</v>
      </c>
      <c r="C190" s="322" t="s">
        <v>507</v>
      </c>
      <c r="D190" s="322" t="s">
        <v>446</v>
      </c>
      <c r="E190" s="325">
        <v>45351</v>
      </c>
      <c r="F190" s="324">
        <v>17.04</v>
      </c>
      <c r="H190" s="323" t="s">
        <v>465</v>
      </c>
      <c r="I190" s="323" t="s">
        <v>442</v>
      </c>
      <c r="J190" s="323" t="s">
        <v>443</v>
      </c>
      <c r="K190" s="323" t="s">
        <v>600</v>
      </c>
      <c r="L190" s="323"/>
      <c r="M190" s="323"/>
      <c r="N190"/>
      <c r="O190"/>
    </row>
    <row r="191" spans="1:15" ht="22.15" customHeight="1">
      <c r="A191" s="322" t="s">
        <v>493</v>
      </c>
      <c r="B191" s="322" t="s">
        <v>466</v>
      </c>
      <c r="C191" s="322" t="s">
        <v>508</v>
      </c>
      <c r="D191" s="322" t="s">
        <v>446</v>
      </c>
      <c r="E191" s="325">
        <v>45351</v>
      </c>
      <c r="F191" s="324">
        <v>1.48</v>
      </c>
      <c r="H191" s="323" t="s">
        <v>465</v>
      </c>
      <c r="I191" s="323" t="s">
        <v>442</v>
      </c>
      <c r="J191" s="323" t="s">
        <v>443</v>
      </c>
      <c r="K191" s="323" t="s">
        <v>600</v>
      </c>
      <c r="L191" s="323"/>
      <c r="M191" s="323"/>
      <c r="N191"/>
      <c r="O191"/>
    </row>
    <row r="192" spans="1:15" ht="22.15" customHeight="1">
      <c r="A192" s="322" t="s">
        <v>493</v>
      </c>
      <c r="B192" s="322" t="s">
        <v>466</v>
      </c>
      <c r="C192" s="322" t="s">
        <v>509</v>
      </c>
      <c r="D192" s="322" t="s">
        <v>446</v>
      </c>
      <c r="E192" s="325">
        <v>45351</v>
      </c>
      <c r="F192" s="324">
        <v>35.4</v>
      </c>
      <c r="H192" s="323" t="s">
        <v>465</v>
      </c>
      <c r="I192" s="323" t="s">
        <v>442</v>
      </c>
      <c r="J192" s="323" t="s">
        <v>443</v>
      </c>
      <c r="K192" s="323" t="s">
        <v>600</v>
      </c>
      <c r="L192" s="323"/>
      <c r="M192" s="323"/>
      <c r="N192"/>
      <c r="O192"/>
    </row>
    <row r="193" spans="1:15" ht="22.15" customHeight="1">
      <c r="A193" s="322" t="s">
        <v>493</v>
      </c>
      <c r="B193" s="322" t="s">
        <v>466</v>
      </c>
      <c r="C193" s="322" t="s">
        <v>510</v>
      </c>
      <c r="D193" s="322" t="s">
        <v>446</v>
      </c>
      <c r="E193" s="325">
        <v>45351</v>
      </c>
      <c r="F193" s="324">
        <v>2.21</v>
      </c>
      <c r="H193" s="323" t="s">
        <v>465</v>
      </c>
      <c r="I193" s="323" t="s">
        <v>442</v>
      </c>
      <c r="J193" s="323" t="s">
        <v>443</v>
      </c>
      <c r="K193" s="323" t="s">
        <v>600</v>
      </c>
      <c r="L193" s="323"/>
      <c r="M193" s="323"/>
      <c r="N193"/>
      <c r="O193"/>
    </row>
    <row r="194" spans="1:15" ht="22.15" customHeight="1">
      <c r="A194" s="322" t="s">
        <v>493</v>
      </c>
      <c r="B194" s="322" t="s">
        <v>466</v>
      </c>
      <c r="C194" s="322" t="s">
        <v>511</v>
      </c>
      <c r="D194" s="322" t="s">
        <v>446</v>
      </c>
      <c r="E194" s="325">
        <v>45351</v>
      </c>
      <c r="F194" s="324">
        <v>10.62</v>
      </c>
      <c r="H194" s="323" t="s">
        <v>465</v>
      </c>
      <c r="I194" s="323" t="s">
        <v>442</v>
      </c>
      <c r="J194" s="323" t="s">
        <v>443</v>
      </c>
      <c r="K194" s="323" t="s">
        <v>600</v>
      </c>
      <c r="L194" s="323"/>
      <c r="M194" s="323"/>
      <c r="N194"/>
      <c r="O194"/>
    </row>
    <row r="195" spans="1:15" ht="22.15" customHeight="1">
      <c r="A195" s="322" t="s">
        <v>493</v>
      </c>
      <c r="B195" s="322" t="s">
        <v>466</v>
      </c>
      <c r="C195" s="322" t="s">
        <v>512</v>
      </c>
      <c r="D195" s="322" t="s">
        <v>446</v>
      </c>
      <c r="E195" s="325">
        <v>45351</v>
      </c>
      <c r="F195" s="324">
        <v>6.05</v>
      </c>
      <c r="H195" s="323" t="s">
        <v>465</v>
      </c>
      <c r="I195" s="323" t="s">
        <v>442</v>
      </c>
      <c r="J195" s="323" t="s">
        <v>443</v>
      </c>
      <c r="K195" s="323" t="s">
        <v>600</v>
      </c>
      <c r="L195" s="323"/>
      <c r="M195" s="323"/>
      <c r="N195"/>
      <c r="O195"/>
    </row>
    <row r="196" spans="1:15" ht="22.15" customHeight="1">
      <c r="A196" s="322" t="s">
        <v>493</v>
      </c>
      <c r="B196" s="322" t="s">
        <v>466</v>
      </c>
      <c r="C196" s="322" t="s">
        <v>513</v>
      </c>
      <c r="D196" s="322" t="s">
        <v>446</v>
      </c>
      <c r="E196" s="325">
        <v>45351</v>
      </c>
      <c r="F196" s="324">
        <v>3.54</v>
      </c>
      <c r="H196" s="323" t="s">
        <v>465</v>
      </c>
      <c r="I196" s="323" t="s">
        <v>442</v>
      </c>
      <c r="J196" s="323" t="s">
        <v>443</v>
      </c>
      <c r="K196" s="323" t="s">
        <v>600</v>
      </c>
      <c r="L196" s="323"/>
      <c r="M196" s="323"/>
      <c r="N196"/>
      <c r="O196"/>
    </row>
    <row r="197" spans="1:15" ht="22.15" customHeight="1">
      <c r="A197" s="322" t="s">
        <v>493</v>
      </c>
      <c r="B197" s="322" t="s">
        <v>466</v>
      </c>
      <c r="C197" s="322" t="s">
        <v>494</v>
      </c>
      <c r="D197" s="322" t="s">
        <v>446</v>
      </c>
      <c r="E197" s="325">
        <v>45351</v>
      </c>
      <c r="F197" s="324">
        <v>12.98</v>
      </c>
      <c r="H197" s="323" t="s">
        <v>465</v>
      </c>
      <c r="I197" s="323" t="s">
        <v>442</v>
      </c>
      <c r="J197" s="323" t="s">
        <v>443</v>
      </c>
      <c r="K197" s="323" t="s">
        <v>600</v>
      </c>
      <c r="L197" s="323"/>
      <c r="M197" s="323"/>
      <c r="N197"/>
      <c r="O197"/>
    </row>
    <row r="198" spans="1:15" ht="22.15" customHeight="1">
      <c r="A198" s="322" t="s">
        <v>521</v>
      </c>
      <c r="B198" s="322" t="s">
        <v>473</v>
      </c>
      <c r="C198" s="322" t="s">
        <v>523</v>
      </c>
      <c r="D198" s="322" t="s">
        <v>446</v>
      </c>
      <c r="E198" s="325">
        <v>45351</v>
      </c>
      <c r="F198" s="324">
        <v>50.25</v>
      </c>
      <c r="H198" s="323" t="s">
        <v>465</v>
      </c>
      <c r="I198" s="323" t="s">
        <v>442</v>
      </c>
      <c r="J198" s="323" t="s">
        <v>443</v>
      </c>
      <c r="K198" s="323" t="s">
        <v>600</v>
      </c>
      <c r="L198" s="323"/>
      <c r="M198" s="323"/>
      <c r="N198"/>
      <c r="O198"/>
    </row>
    <row r="199" spans="1:15" ht="22.15" customHeight="1">
      <c r="A199" s="322" t="s">
        <v>521</v>
      </c>
      <c r="B199" s="322" t="s">
        <v>473</v>
      </c>
      <c r="C199" s="322" t="s">
        <v>524</v>
      </c>
      <c r="D199" s="322" t="s">
        <v>446</v>
      </c>
      <c r="E199" s="325">
        <v>45351</v>
      </c>
      <c r="F199" s="324">
        <v>39.409999999999997</v>
      </c>
      <c r="H199" s="323" t="s">
        <v>465</v>
      </c>
      <c r="I199" s="323" t="s">
        <v>442</v>
      </c>
      <c r="J199" s="323" t="s">
        <v>443</v>
      </c>
      <c r="K199" s="323" t="s">
        <v>600</v>
      </c>
      <c r="L199" s="323"/>
      <c r="M199" s="323"/>
      <c r="N199"/>
      <c r="O199"/>
    </row>
    <row r="200" spans="1:15" ht="22.15" customHeight="1">
      <c r="A200" s="322" t="s">
        <v>521</v>
      </c>
      <c r="B200" s="322" t="s">
        <v>473</v>
      </c>
      <c r="C200" s="322" t="s">
        <v>529</v>
      </c>
      <c r="D200" s="322" t="s">
        <v>446</v>
      </c>
      <c r="E200" s="325">
        <v>45351</v>
      </c>
      <c r="F200" s="324">
        <v>39.409999999999997</v>
      </c>
      <c r="H200" s="323" t="s">
        <v>465</v>
      </c>
      <c r="I200" s="323" t="s">
        <v>442</v>
      </c>
      <c r="J200" s="323" t="s">
        <v>443</v>
      </c>
      <c r="K200" s="323" t="s">
        <v>600</v>
      </c>
      <c r="L200" s="323"/>
      <c r="M200" s="323"/>
      <c r="N200"/>
      <c r="O200"/>
    </row>
    <row r="201" spans="1:15" ht="22.15" customHeight="1">
      <c r="A201" s="322" t="s">
        <v>521</v>
      </c>
      <c r="B201" s="322" t="s">
        <v>473</v>
      </c>
      <c r="C201" s="322" t="s">
        <v>525</v>
      </c>
      <c r="D201" s="322" t="s">
        <v>446</v>
      </c>
      <c r="E201" s="325">
        <v>45351</v>
      </c>
      <c r="F201" s="324">
        <v>40.4</v>
      </c>
      <c r="H201" s="323" t="s">
        <v>465</v>
      </c>
      <c r="I201" s="323" t="s">
        <v>442</v>
      </c>
      <c r="J201" s="323" t="s">
        <v>443</v>
      </c>
      <c r="K201" s="323" t="s">
        <v>600</v>
      </c>
      <c r="L201" s="323"/>
      <c r="M201" s="323"/>
      <c r="N201"/>
      <c r="O201"/>
    </row>
    <row r="202" spans="1:15" ht="22.15" customHeight="1">
      <c r="A202" s="322" t="s">
        <v>521</v>
      </c>
      <c r="B202" s="322" t="s">
        <v>473</v>
      </c>
      <c r="C202" s="322" t="s">
        <v>526</v>
      </c>
      <c r="D202" s="322" t="s">
        <v>446</v>
      </c>
      <c r="E202" s="325">
        <v>45351</v>
      </c>
      <c r="F202" s="324">
        <v>40.4</v>
      </c>
      <c r="H202" s="323" t="s">
        <v>465</v>
      </c>
      <c r="I202" s="323" t="s">
        <v>442</v>
      </c>
      <c r="J202" s="323" t="s">
        <v>443</v>
      </c>
      <c r="K202" s="323" t="s">
        <v>600</v>
      </c>
      <c r="L202" s="323"/>
      <c r="M202" s="323"/>
      <c r="N202"/>
      <c r="O202"/>
    </row>
    <row r="203" spans="1:15" ht="22.15" customHeight="1">
      <c r="A203" s="322" t="s">
        <v>539</v>
      </c>
      <c r="B203" s="322" t="s">
        <v>455</v>
      </c>
      <c r="C203" s="322" t="s">
        <v>547</v>
      </c>
      <c r="D203" s="322" t="s">
        <v>446</v>
      </c>
      <c r="E203" s="325">
        <v>45351</v>
      </c>
      <c r="F203" s="324">
        <v>36.880000000000003</v>
      </c>
      <c r="H203" s="323" t="s">
        <v>465</v>
      </c>
      <c r="I203" s="323" t="s">
        <v>442</v>
      </c>
      <c r="J203" s="323" t="s">
        <v>443</v>
      </c>
      <c r="K203" s="323" t="s">
        <v>600</v>
      </c>
      <c r="L203" s="323"/>
      <c r="M203" s="323"/>
      <c r="N203"/>
      <c r="O203"/>
    </row>
    <row r="204" spans="1:15" ht="22.15" customHeight="1">
      <c r="A204" s="322" t="s">
        <v>539</v>
      </c>
      <c r="B204" s="322" t="s">
        <v>455</v>
      </c>
      <c r="C204" s="322" t="s">
        <v>548</v>
      </c>
      <c r="D204" s="322" t="s">
        <v>446</v>
      </c>
      <c r="E204" s="325">
        <v>45351</v>
      </c>
      <c r="F204" s="324">
        <v>4.43</v>
      </c>
      <c r="H204" s="323" t="s">
        <v>465</v>
      </c>
      <c r="I204" s="323" t="s">
        <v>442</v>
      </c>
      <c r="J204" s="323" t="s">
        <v>443</v>
      </c>
      <c r="K204" s="323" t="s">
        <v>600</v>
      </c>
      <c r="L204" s="323"/>
      <c r="M204" s="323"/>
      <c r="N204"/>
      <c r="O204"/>
    </row>
    <row r="205" spans="1:15" ht="22.15" customHeight="1">
      <c r="A205" s="322" t="s">
        <v>539</v>
      </c>
      <c r="B205" s="322" t="s">
        <v>455</v>
      </c>
      <c r="C205" s="322" t="s">
        <v>541</v>
      </c>
      <c r="D205" s="322" t="s">
        <v>446</v>
      </c>
      <c r="E205" s="325">
        <v>45351</v>
      </c>
      <c r="F205" s="324">
        <v>11.8</v>
      </c>
      <c r="H205" s="323" t="s">
        <v>465</v>
      </c>
      <c r="I205" s="323" t="s">
        <v>442</v>
      </c>
      <c r="J205" s="323" t="s">
        <v>443</v>
      </c>
      <c r="K205" s="323" t="s">
        <v>600</v>
      </c>
      <c r="L205" s="323"/>
      <c r="M205" s="323"/>
      <c r="N205"/>
      <c r="O205"/>
    </row>
    <row r="206" spans="1:15" ht="22.15" customHeight="1">
      <c r="A206" s="322" t="s">
        <v>539</v>
      </c>
      <c r="B206" s="322" t="s">
        <v>455</v>
      </c>
      <c r="C206" s="322" t="s">
        <v>547</v>
      </c>
      <c r="D206" s="322" t="s">
        <v>446</v>
      </c>
      <c r="E206" s="325">
        <v>45351</v>
      </c>
      <c r="F206" s="324">
        <v>59</v>
      </c>
      <c r="H206" s="323" t="s">
        <v>465</v>
      </c>
      <c r="I206" s="323" t="s">
        <v>442</v>
      </c>
      <c r="J206" s="323" t="s">
        <v>443</v>
      </c>
      <c r="K206" s="323" t="s">
        <v>600</v>
      </c>
      <c r="L206" s="323"/>
      <c r="M206" s="323"/>
      <c r="N206"/>
      <c r="O206"/>
    </row>
    <row r="207" spans="1:15" ht="22.15" customHeight="1">
      <c r="A207" s="322" t="s">
        <v>539</v>
      </c>
      <c r="B207" s="322" t="s">
        <v>455</v>
      </c>
      <c r="C207" s="322" t="s">
        <v>548</v>
      </c>
      <c r="D207" s="322" t="s">
        <v>446</v>
      </c>
      <c r="E207" s="325">
        <v>45351</v>
      </c>
      <c r="F207" s="324">
        <v>4.43</v>
      </c>
      <c r="H207" s="323" t="s">
        <v>465</v>
      </c>
      <c r="I207" s="323" t="s">
        <v>442</v>
      </c>
      <c r="J207" s="323" t="s">
        <v>443</v>
      </c>
      <c r="K207" s="323" t="s">
        <v>600</v>
      </c>
      <c r="L207" s="323"/>
      <c r="M207" s="323"/>
      <c r="N207"/>
      <c r="O207"/>
    </row>
    <row r="208" spans="1:15" ht="22.15" customHeight="1">
      <c r="A208" s="322" t="s">
        <v>552</v>
      </c>
      <c r="B208" s="322" t="s">
        <v>457</v>
      </c>
      <c r="C208" s="322" t="s">
        <v>556</v>
      </c>
      <c r="D208" s="322" t="s">
        <v>446</v>
      </c>
      <c r="E208" s="325">
        <v>45351</v>
      </c>
      <c r="F208" s="324">
        <v>44.25</v>
      </c>
      <c r="H208" s="323" t="s">
        <v>465</v>
      </c>
      <c r="I208" s="323" t="s">
        <v>442</v>
      </c>
      <c r="J208" s="323" t="s">
        <v>443</v>
      </c>
      <c r="K208" s="323" t="s">
        <v>600</v>
      </c>
      <c r="L208" s="323"/>
      <c r="M208" s="323"/>
      <c r="N208"/>
      <c r="O208"/>
    </row>
    <row r="209" spans="1:15" ht="22.15" customHeight="1">
      <c r="A209" s="322" t="s">
        <v>552</v>
      </c>
      <c r="B209" s="322" t="s">
        <v>457</v>
      </c>
      <c r="C209" s="322" t="s">
        <v>557</v>
      </c>
      <c r="D209" s="322" t="s">
        <v>446</v>
      </c>
      <c r="E209" s="325">
        <v>45351</v>
      </c>
      <c r="F209" s="324">
        <v>47.94</v>
      </c>
      <c r="H209" s="323" t="s">
        <v>465</v>
      </c>
      <c r="I209" s="323" t="s">
        <v>442</v>
      </c>
      <c r="J209" s="323" t="s">
        <v>443</v>
      </c>
      <c r="K209" s="323" t="s">
        <v>600</v>
      </c>
      <c r="L209" s="323"/>
      <c r="M209" s="323"/>
      <c r="N209"/>
      <c r="O209"/>
    </row>
    <row r="210" spans="1:15" ht="22.15" customHeight="1">
      <c r="A210" s="322" t="s">
        <v>478</v>
      </c>
      <c r="B210" s="322" t="s">
        <v>449</v>
      </c>
      <c r="C210" s="322" t="s">
        <v>487</v>
      </c>
      <c r="D210" s="322" t="s">
        <v>488</v>
      </c>
      <c r="E210" s="325">
        <v>45376</v>
      </c>
      <c r="F210" s="324">
        <v>2500</v>
      </c>
      <c r="H210" s="323" t="s">
        <v>465</v>
      </c>
      <c r="I210" s="323" t="s">
        <v>442</v>
      </c>
      <c r="J210" s="323" t="s">
        <v>443</v>
      </c>
      <c r="K210" s="323" t="s">
        <v>600</v>
      </c>
      <c r="L210" s="323"/>
      <c r="M210" s="323"/>
      <c r="N210"/>
      <c r="O210"/>
    </row>
    <row r="211" spans="1:15" ht="22.15" customHeight="1">
      <c r="A211" s="322" t="s">
        <v>560</v>
      </c>
      <c r="B211" s="322" t="s">
        <v>451</v>
      </c>
      <c r="C211" s="322" t="s">
        <v>561</v>
      </c>
      <c r="D211" s="322" t="s">
        <v>454</v>
      </c>
      <c r="E211" s="325">
        <v>45382</v>
      </c>
      <c r="F211" s="324">
        <v>11543.31</v>
      </c>
      <c r="H211" s="323" t="s">
        <v>562</v>
      </c>
      <c r="I211" s="323" t="s">
        <v>562</v>
      </c>
      <c r="J211" s="323" t="s">
        <v>443</v>
      </c>
      <c r="K211" s="323" t="s">
        <v>600</v>
      </c>
      <c r="L211" s="323"/>
      <c r="M211" s="323"/>
      <c r="N211"/>
      <c r="O211"/>
    </row>
    <row r="212" spans="1:15" ht="22.15" customHeight="1">
      <c r="A212" s="322" t="s">
        <v>560</v>
      </c>
      <c r="B212" s="322" t="s">
        <v>451</v>
      </c>
      <c r="C212" s="322" t="s">
        <v>563</v>
      </c>
      <c r="D212" s="322" t="s">
        <v>454</v>
      </c>
      <c r="E212" s="325">
        <v>45382</v>
      </c>
      <c r="F212" s="324">
        <v>12136.84</v>
      </c>
      <c r="H212" s="323" t="s">
        <v>562</v>
      </c>
      <c r="I212" s="323" t="s">
        <v>562</v>
      </c>
      <c r="J212" s="323" t="s">
        <v>443</v>
      </c>
      <c r="K212" s="323" t="s">
        <v>600</v>
      </c>
      <c r="L212" s="323"/>
      <c r="M212" s="323"/>
      <c r="N212"/>
      <c r="O212"/>
    </row>
    <row r="213" spans="1:15" ht="22.15" customHeight="1">
      <c r="A213" s="322" t="s">
        <v>560</v>
      </c>
      <c r="B213" s="322" t="s">
        <v>451</v>
      </c>
      <c r="C213" s="322" t="s">
        <v>564</v>
      </c>
      <c r="D213" s="322" t="s">
        <v>454</v>
      </c>
      <c r="E213" s="325">
        <v>45382</v>
      </c>
      <c r="F213" s="324">
        <v>12268.82</v>
      </c>
      <c r="H213" s="323" t="s">
        <v>562</v>
      </c>
      <c r="I213" s="323" t="s">
        <v>562</v>
      </c>
      <c r="J213" s="323" t="s">
        <v>443</v>
      </c>
      <c r="K213" s="323" t="s">
        <v>600</v>
      </c>
      <c r="L213" s="323"/>
      <c r="M213" s="323"/>
      <c r="N213"/>
      <c r="O213"/>
    </row>
    <row r="214" spans="1:15" ht="22.15" customHeight="1">
      <c r="A214" s="322" t="s">
        <v>560</v>
      </c>
      <c r="B214" s="322" t="s">
        <v>451</v>
      </c>
      <c r="C214" s="322" t="s">
        <v>565</v>
      </c>
      <c r="D214" s="322" t="s">
        <v>454</v>
      </c>
      <c r="E214" s="325">
        <v>45382</v>
      </c>
      <c r="F214" s="324">
        <v>12121.36</v>
      </c>
      <c r="H214" s="323" t="s">
        <v>562</v>
      </c>
      <c r="I214" s="323" t="s">
        <v>562</v>
      </c>
      <c r="J214" s="323" t="s">
        <v>443</v>
      </c>
      <c r="K214" s="323" t="s">
        <v>600</v>
      </c>
      <c r="L214" s="323"/>
      <c r="M214" s="323"/>
      <c r="N214"/>
    </row>
    <row r="215" spans="1:15" ht="22.15" customHeight="1">
      <c r="A215" s="322" t="s">
        <v>460</v>
      </c>
      <c r="B215" s="322" t="s">
        <v>461</v>
      </c>
      <c r="C215" s="322" t="s">
        <v>463</v>
      </c>
      <c r="D215" s="322" t="s">
        <v>475</v>
      </c>
      <c r="E215" s="325">
        <v>45382</v>
      </c>
      <c r="F215" s="324">
        <v>563.29</v>
      </c>
      <c r="H215" s="323" t="s">
        <v>465</v>
      </c>
      <c r="I215" s="323" t="s">
        <v>465</v>
      </c>
      <c r="J215" s="323" t="s">
        <v>443</v>
      </c>
      <c r="K215" s="323" t="s">
        <v>600</v>
      </c>
      <c r="L215" s="323"/>
      <c r="M215" s="323"/>
      <c r="N215"/>
    </row>
    <row r="216" spans="1:15" ht="22.15" customHeight="1">
      <c r="A216" s="322" t="s">
        <v>460</v>
      </c>
      <c r="B216" s="322" t="s">
        <v>461</v>
      </c>
      <c r="C216" s="322" t="s">
        <v>467</v>
      </c>
      <c r="D216" s="322" t="s">
        <v>475</v>
      </c>
      <c r="E216" s="325">
        <v>45382</v>
      </c>
      <c r="F216" s="324">
        <v>436.8</v>
      </c>
      <c r="H216" s="323" t="s">
        <v>465</v>
      </c>
      <c r="I216" s="323" t="s">
        <v>465</v>
      </c>
      <c r="J216" s="323" t="s">
        <v>443</v>
      </c>
      <c r="K216" s="323" t="s">
        <v>600</v>
      </c>
      <c r="L216" s="323"/>
      <c r="M216" s="323"/>
      <c r="N216"/>
    </row>
    <row r="217" spans="1:15" ht="22.15" customHeight="1">
      <c r="A217" s="322" t="s">
        <v>460</v>
      </c>
      <c r="B217" s="322" t="s">
        <v>461</v>
      </c>
      <c r="C217" s="322" t="s">
        <v>469</v>
      </c>
      <c r="D217" s="322" t="s">
        <v>475</v>
      </c>
      <c r="E217" s="325">
        <v>45382</v>
      </c>
      <c r="F217" s="324">
        <v>720</v>
      </c>
      <c r="H217" s="323" t="s">
        <v>465</v>
      </c>
      <c r="I217" s="323" t="s">
        <v>465</v>
      </c>
      <c r="J217" s="323" t="s">
        <v>443</v>
      </c>
      <c r="K217" s="323" t="s">
        <v>600</v>
      </c>
      <c r="L217" s="323"/>
      <c r="M217" s="323"/>
      <c r="N217"/>
    </row>
    <row r="218" spans="1:15" ht="22.15" customHeight="1">
      <c r="A218" s="322" t="s">
        <v>437</v>
      </c>
      <c r="B218" s="322" t="s">
        <v>438</v>
      </c>
      <c r="C218" s="322" t="s">
        <v>453</v>
      </c>
      <c r="D218" s="322" t="s">
        <v>454</v>
      </c>
      <c r="E218" s="325">
        <v>45382</v>
      </c>
      <c r="F218" s="324">
        <v>500.26</v>
      </c>
      <c r="H218" s="323" t="s">
        <v>465</v>
      </c>
      <c r="I218" s="323" t="s">
        <v>442</v>
      </c>
      <c r="J218" s="323" t="s">
        <v>443</v>
      </c>
      <c r="K218" s="323" t="s">
        <v>600</v>
      </c>
      <c r="L218" s="323"/>
      <c r="M218" s="323"/>
      <c r="N218"/>
    </row>
    <row r="219" spans="1:15" ht="22.15" customHeight="1">
      <c r="A219" s="322" t="s">
        <v>437</v>
      </c>
      <c r="B219" s="322" t="s">
        <v>438</v>
      </c>
      <c r="C219" s="322" t="s">
        <v>456</v>
      </c>
      <c r="D219" s="322" t="s">
        <v>454</v>
      </c>
      <c r="E219" s="325">
        <v>45382</v>
      </c>
      <c r="F219" s="324">
        <v>1200.6300000000001</v>
      </c>
      <c r="H219" s="323" t="s">
        <v>465</v>
      </c>
      <c r="I219" s="323" t="s">
        <v>442</v>
      </c>
      <c r="J219" s="323" t="s">
        <v>443</v>
      </c>
      <c r="K219" s="323" t="s">
        <v>600</v>
      </c>
      <c r="L219" s="323"/>
      <c r="M219" s="323"/>
      <c r="N219"/>
    </row>
    <row r="220" spans="1:15" ht="22.15" customHeight="1">
      <c r="A220" s="322" t="s">
        <v>437</v>
      </c>
      <c r="B220" s="322" t="s">
        <v>438</v>
      </c>
      <c r="C220" s="322" t="s">
        <v>458</v>
      </c>
      <c r="D220" s="322" t="s">
        <v>454</v>
      </c>
      <c r="E220" s="325">
        <v>45382</v>
      </c>
      <c r="F220" s="324">
        <v>1120.5899999999999</v>
      </c>
      <c r="H220" s="323" t="s">
        <v>465</v>
      </c>
      <c r="I220" s="323" t="s">
        <v>442</v>
      </c>
      <c r="J220" s="323" t="s">
        <v>443</v>
      </c>
      <c r="K220" s="323" t="s">
        <v>600</v>
      </c>
      <c r="L220" s="323"/>
      <c r="M220" s="323"/>
      <c r="N220"/>
    </row>
    <row r="221" spans="1:15" ht="22.15" customHeight="1">
      <c r="A221" s="322" t="s">
        <v>493</v>
      </c>
      <c r="B221" s="322" t="s">
        <v>466</v>
      </c>
      <c r="C221" s="322" t="s">
        <v>496</v>
      </c>
      <c r="D221" s="322" t="s">
        <v>454</v>
      </c>
      <c r="E221" s="325">
        <v>45382</v>
      </c>
      <c r="F221" s="324">
        <v>10.25</v>
      </c>
      <c r="H221" s="323" t="s">
        <v>465</v>
      </c>
      <c r="I221" s="323" t="s">
        <v>442</v>
      </c>
      <c r="J221" s="323" t="s">
        <v>443</v>
      </c>
      <c r="K221" s="323" t="s">
        <v>600</v>
      </c>
      <c r="L221" s="323"/>
      <c r="M221" s="323"/>
      <c r="N221"/>
    </row>
    <row r="222" spans="1:15" ht="22.15" customHeight="1">
      <c r="A222" s="322" t="s">
        <v>493</v>
      </c>
      <c r="B222" s="322" t="s">
        <v>466</v>
      </c>
      <c r="C222" s="322" t="s">
        <v>497</v>
      </c>
      <c r="D222" s="322" t="s">
        <v>454</v>
      </c>
      <c r="E222" s="325">
        <v>45382</v>
      </c>
      <c r="F222" s="324">
        <v>7</v>
      </c>
      <c r="H222" s="323" t="s">
        <v>465</v>
      </c>
      <c r="I222" s="323" t="s">
        <v>442</v>
      </c>
      <c r="J222" s="323" t="s">
        <v>443</v>
      </c>
      <c r="K222" s="323" t="s">
        <v>600</v>
      </c>
      <c r="L222" s="323"/>
      <c r="M222" s="323"/>
      <c r="N222"/>
    </row>
    <row r="223" spans="1:15" ht="22.15" customHeight="1">
      <c r="A223" s="322" t="s">
        <v>493</v>
      </c>
      <c r="B223" s="322" t="s">
        <v>466</v>
      </c>
      <c r="C223" s="322" t="s">
        <v>498</v>
      </c>
      <c r="D223" s="322" t="s">
        <v>454</v>
      </c>
      <c r="E223" s="325">
        <v>45382</v>
      </c>
      <c r="F223" s="324">
        <v>3.54</v>
      </c>
      <c r="H223" s="323" t="s">
        <v>465</v>
      </c>
      <c r="I223" s="323" t="s">
        <v>442</v>
      </c>
      <c r="J223" s="323" t="s">
        <v>443</v>
      </c>
      <c r="K223" s="323" t="s">
        <v>600</v>
      </c>
      <c r="L223" s="323"/>
      <c r="M223" s="323"/>
      <c r="N223"/>
    </row>
    <row r="224" spans="1:15" ht="22.15" customHeight="1">
      <c r="A224" s="322" t="s">
        <v>493</v>
      </c>
      <c r="B224" s="322" t="s">
        <v>466</v>
      </c>
      <c r="C224" s="322" t="s">
        <v>515</v>
      </c>
      <c r="D224" s="322" t="s">
        <v>454</v>
      </c>
      <c r="E224" s="325">
        <v>45382</v>
      </c>
      <c r="F224" s="324">
        <v>73.73</v>
      </c>
      <c r="H224" s="323" t="s">
        <v>465</v>
      </c>
      <c r="I224" s="323" t="s">
        <v>442</v>
      </c>
      <c r="J224" s="323" t="s">
        <v>443</v>
      </c>
      <c r="K224" s="323" t="s">
        <v>600</v>
      </c>
      <c r="L224" s="323"/>
      <c r="M224" s="323"/>
      <c r="N224"/>
    </row>
    <row r="225" spans="1:14" ht="22.15" customHeight="1">
      <c r="A225" s="322" t="s">
        <v>493</v>
      </c>
      <c r="B225" s="322" t="s">
        <v>466</v>
      </c>
      <c r="C225" s="322" t="s">
        <v>502</v>
      </c>
      <c r="D225" s="322" t="s">
        <v>454</v>
      </c>
      <c r="E225" s="325">
        <v>45382</v>
      </c>
      <c r="F225" s="324">
        <v>7.0000000000000007E-2</v>
      </c>
      <c r="H225" s="323" t="s">
        <v>465</v>
      </c>
      <c r="I225" s="323" t="s">
        <v>442</v>
      </c>
      <c r="J225" s="323" t="s">
        <v>443</v>
      </c>
      <c r="K225" s="323" t="s">
        <v>600</v>
      </c>
      <c r="L225" s="323"/>
      <c r="M225" s="323"/>
      <c r="N225"/>
    </row>
    <row r="226" spans="1:14" ht="22.15" customHeight="1">
      <c r="A226" s="322" t="s">
        <v>493</v>
      </c>
      <c r="B226" s="322" t="s">
        <v>466</v>
      </c>
      <c r="C226" s="322" t="s">
        <v>516</v>
      </c>
      <c r="D226" s="322" t="s">
        <v>454</v>
      </c>
      <c r="E226" s="325">
        <v>45382</v>
      </c>
      <c r="F226" s="324">
        <v>3.98</v>
      </c>
      <c r="H226" s="323" t="s">
        <v>465</v>
      </c>
      <c r="I226" s="323" t="s">
        <v>442</v>
      </c>
      <c r="J226" s="323" t="s">
        <v>443</v>
      </c>
      <c r="K226" s="323" t="s">
        <v>600</v>
      </c>
      <c r="L226" s="323"/>
      <c r="M226" s="323"/>
      <c r="N226"/>
    </row>
    <row r="227" spans="1:14" ht="22.15" customHeight="1">
      <c r="A227" s="322" t="s">
        <v>493</v>
      </c>
      <c r="B227" s="322" t="s">
        <v>466</v>
      </c>
      <c r="C227" s="322" t="s">
        <v>517</v>
      </c>
      <c r="D227" s="322" t="s">
        <v>454</v>
      </c>
      <c r="E227" s="325">
        <v>45382</v>
      </c>
      <c r="F227" s="324">
        <v>2.21</v>
      </c>
      <c r="H227" s="323" t="s">
        <v>465</v>
      </c>
      <c r="I227" s="323" t="s">
        <v>442</v>
      </c>
      <c r="J227" s="323" t="s">
        <v>443</v>
      </c>
      <c r="K227" s="323" t="s">
        <v>600</v>
      </c>
      <c r="L227" s="323"/>
      <c r="M227" s="323"/>
      <c r="N227"/>
    </row>
    <row r="228" spans="1:14" ht="22.15" customHeight="1">
      <c r="A228" s="322" t="s">
        <v>493</v>
      </c>
      <c r="B228" s="322" t="s">
        <v>466</v>
      </c>
      <c r="C228" s="322" t="s">
        <v>518</v>
      </c>
      <c r="D228" s="322" t="s">
        <v>454</v>
      </c>
      <c r="E228" s="325">
        <v>45382</v>
      </c>
      <c r="F228" s="324">
        <v>3.47</v>
      </c>
      <c r="H228" s="323" t="s">
        <v>465</v>
      </c>
      <c r="I228" s="323" t="s">
        <v>442</v>
      </c>
      <c r="J228" s="323" t="s">
        <v>443</v>
      </c>
      <c r="K228" s="323" t="s">
        <v>600</v>
      </c>
      <c r="L228" s="323"/>
      <c r="M228" s="323"/>
      <c r="N228"/>
    </row>
    <row r="229" spans="1:14" ht="22.15" customHeight="1">
      <c r="A229" s="322" t="s">
        <v>493</v>
      </c>
      <c r="B229" s="322" t="s">
        <v>466</v>
      </c>
      <c r="C229" s="322" t="s">
        <v>519</v>
      </c>
      <c r="D229" s="322" t="s">
        <v>454</v>
      </c>
      <c r="E229" s="325">
        <v>45382</v>
      </c>
      <c r="F229" s="324">
        <v>7.08</v>
      </c>
      <c r="H229" s="323" t="s">
        <v>465</v>
      </c>
      <c r="I229" s="323" t="s">
        <v>442</v>
      </c>
      <c r="J229" s="323" t="s">
        <v>443</v>
      </c>
      <c r="K229" s="323" t="s">
        <v>600</v>
      </c>
      <c r="L229" s="323"/>
      <c r="M229" s="323"/>
      <c r="N229"/>
    </row>
    <row r="230" spans="1:14" ht="22.15" customHeight="1">
      <c r="A230" s="322" t="s">
        <v>493</v>
      </c>
      <c r="B230" s="322" t="s">
        <v>466</v>
      </c>
      <c r="C230" s="322" t="s">
        <v>513</v>
      </c>
      <c r="D230" s="322" t="s">
        <v>454</v>
      </c>
      <c r="E230" s="325">
        <v>45382</v>
      </c>
      <c r="F230" s="324">
        <v>3.54</v>
      </c>
      <c r="H230" s="323" t="s">
        <v>465</v>
      </c>
      <c r="I230" s="323" t="s">
        <v>442</v>
      </c>
      <c r="J230" s="323" t="s">
        <v>443</v>
      </c>
      <c r="K230" s="323" t="s">
        <v>600</v>
      </c>
      <c r="L230" s="323"/>
      <c r="M230" s="323"/>
      <c r="N230"/>
    </row>
    <row r="231" spans="1:14" ht="22.15" customHeight="1">
      <c r="A231" s="322" t="s">
        <v>533</v>
      </c>
      <c r="B231" s="322" t="s">
        <v>447</v>
      </c>
      <c r="C231" s="322" t="s">
        <v>535</v>
      </c>
      <c r="D231" s="322" t="s">
        <v>454</v>
      </c>
      <c r="E231" s="325">
        <v>45382</v>
      </c>
      <c r="F231" s="324">
        <v>3.39</v>
      </c>
      <c r="H231" s="323" t="s">
        <v>465</v>
      </c>
      <c r="I231" s="323" t="s">
        <v>442</v>
      </c>
      <c r="J231" s="323" t="s">
        <v>443</v>
      </c>
      <c r="K231" s="323" t="s">
        <v>600</v>
      </c>
      <c r="L231" s="323"/>
      <c r="M231" s="323"/>
      <c r="N231"/>
    </row>
    <row r="232" spans="1:14" ht="22.15" customHeight="1">
      <c r="A232" s="322" t="s">
        <v>533</v>
      </c>
      <c r="B232" s="322" t="s">
        <v>447</v>
      </c>
      <c r="C232" s="322" t="s">
        <v>534</v>
      </c>
      <c r="D232" s="322" t="s">
        <v>454</v>
      </c>
      <c r="E232" s="325">
        <v>45382</v>
      </c>
      <c r="F232" s="324">
        <v>3.39</v>
      </c>
      <c r="H232" s="323" t="s">
        <v>465</v>
      </c>
      <c r="I232" s="323" t="s">
        <v>442</v>
      </c>
      <c r="J232" s="323" t="s">
        <v>443</v>
      </c>
      <c r="K232" s="323" t="s">
        <v>600</v>
      </c>
      <c r="L232" s="323"/>
      <c r="M232" s="323"/>
      <c r="N232"/>
    </row>
    <row r="233" spans="1:14" ht="22.15" customHeight="1">
      <c r="A233" s="322" t="s">
        <v>536</v>
      </c>
      <c r="B233" s="322" t="s">
        <v>459</v>
      </c>
      <c r="C233" s="322" t="s">
        <v>538</v>
      </c>
      <c r="D233" s="322" t="s">
        <v>454</v>
      </c>
      <c r="E233" s="325">
        <v>45382</v>
      </c>
      <c r="F233" s="324">
        <v>425.27</v>
      </c>
      <c r="H233" s="323" t="s">
        <v>465</v>
      </c>
      <c r="I233" s="323" t="s">
        <v>442</v>
      </c>
      <c r="J233" s="323" t="s">
        <v>443</v>
      </c>
      <c r="K233" s="323" t="s">
        <v>600</v>
      </c>
      <c r="L233" s="323"/>
      <c r="M233" s="323"/>
      <c r="N233"/>
    </row>
    <row r="234" spans="1:14" ht="22.15" customHeight="1">
      <c r="A234" s="322" t="s">
        <v>520</v>
      </c>
      <c r="B234" s="322" t="s">
        <v>472</v>
      </c>
      <c r="C234" s="322" t="s">
        <v>494</v>
      </c>
      <c r="D234" s="322" t="s">
        <v>454</v>
      </c>
      <c r="E234" s="325">
        <v>45382</v>
      </c>
      <c r="F234" s="324">
        <v>11.8</v>
      </c>
      <c r="H234" s="323" t="s">
        <v>465</v>
      </c>
      <c r="I234" s="323" t="s">
        <v>442</v>
      </c>
      <c r="J234" s="323" t="s">
        <v>443</v>
      </c>
      <c r="K234" s="323" t="s">
        <v>600</v>
      </c>
      <c r="L234" s="323"/>
      <c r="M234" s="323"/>
      <c r="N234"/>
    </row>
    <row r="235" spans="1:14" ht="22.15" customHeight="1">
      <c r="A235" s="322" t="s">
        <v>521</v>
      </c>
      <c r="B235" s="322" t="s">
        <v>473</v>
      </c>
      <c r="C235" s="322" t="s">
        <v>523</v>
      </c>
      <c r="D235" s="322" t="s">
        <v>454</v>
      </c>
      <c r="E235" s="325">
        <v>45382</v>
      </c>
      <c r="F235" s="324">
        <v>51.01</v>
      </c>
      <c r="H235" s="323" t="s">
        <v>465</v>
      </c>
      <c r="I235" s="323" t="s">
        <v>442</v>
      </c>
      <c r="J235" s="323" t="s">
        <v>443</v>
      </c>
      <c r="K235" s="323" t="s">
        <v>600</v>
      </c>
      <c r="L235" s="323"/>
      <c r="M235" s="323"/>
      <c r="N235"/>
    </row>
    <row r="236" spans="1:14" ht="22.15" customHeight="1">
      <c r="A236" s="322" t="s">
        <v>521</v>
      </c>
      <c r="B236" s="322" t="s">
        <v>473</v>
      </c>
      <c r="C236" s="322" t="s">
        <v>524</v>
      </c>
      <c r="D236" s="322" t="s">
        <v>454</v>
      </c>
      <c r="E236" s="325">
        <v>45382</v>
      </c>
      <c r="F236" s="324">
        <v>40.01</v>
      </c>
      <c r="H236" s="323" t="s">
        <v>465</v>
      </c>
      <c r="I236" s="323" t="s">
        <v>442</v>
      </c>
      <c r="J236" s="323" t="s">
        <v>443</v>
      </c>
      <c r="K236" s="323" t="s">
        <v>600</v>
      </c>
      <c r="L236" s="323"/>
      <c r="M236" s="323"/>
      <c r="N236"/>
    </row>
    <row r="237" spans="1:14" ht="22.15" customHeight="1">
      <c r="A237" s="322" t="s">
        <v>521</v>
      </c>
      <c r="B237" s="322" t="s">
        <v>473</v>
      </c>
      <c r="C237" s="322" t="s">
        <v>529</v>
      </c>
      <c r="D237" s="322" t="s">
        <v>454</v>
      </c>
      <c r="E237" s="325">
        <v>45382</v>
      </c>
      <c r="F237" s="324">
        <v>40.01</v>
      </c>
      <c r="H237" s="323" t="s">
        <v>465</v>
      </c>
      <c r="I237" s="323" t="s">
        <v>442</v>
      </c>
      <c r="J237" s="323" t="s">
        <v>443</v>
      </c>
      <c r="K237" s="323" t="s">
        <v>600</v>
      </c>
      <c r="L237" s="323"/>
      <c r="M237" s="323"/>
      <c r="N237"/>
    </row>
    <row r="238" spans="1:14" ht="22.15" customHeight="1">
      <c r="A238" s="322" t="s">
        <v>521</v>
      </c>
      <c r="B238" s="322" t="s">
        <v>473</v>
      </c>
      <c r="C238" s="322" t="s">
        <v>525</v>
      </c>
      <c r="D238" s="322" t="s">
        <v>454</v>
      </c>
      <c r="E238" s="325">
        <v>45382</v>
      </c>
      <c r="F238" s="324">
        <v>41.01</v>
      </c>
      <c r="H238" s="323" t="s">
        <v>465</v>
      </c>
      <c r="I238" s="323" t="s">
        <v>442</v>
      </c>
      <c r="J238" s="323" t="s">
        <v>443</v>
      </c>
      <c r="K238" s="323" t="s">
        <v>600</v>
      </c>
      <c r="L238" s="323"/>
      <c r="M238" s="323"/>
      <c r="N238"/>
    </row>
    <row r="239" spans="1:14" ht="22.15" customHeight="1">
      <c r="A239" s="322" t="s">
        <v>521</v>
      </c>
      <c r="B239" s="322" t="s">
        <v>473</v>
      </c>
      <c r="C239" s="322" t="s">
        <v>526</v>
      </c>
      <c r="D239" s="322" t="s">
        <v>454</v>
      </c>
      <c r="E239" s="325">
        <v>45382</v>
      </c>
      <c r="F239" s="324">
        <v>41.01</v>
      </c>
      <c r="H239" s="323" t="s">
        <v>465</v>
      </c>
      <c r="I239" s="323" t="s">
        <v>442</v>
      </c>
      <c r="J239" s="323" t="s">
        <v>443</v>
      </c>
      <c r="K239" s="323" t="s">
        <v>600</v>
      </c>
      <c r="L239" s="323"/>
      <c r="M239" s="323"/>
      <c r="N239"/>
    </row>
    <row r="240" spans="1:14" ht="22.15" customHeight="1">
      <c r="A240" s="322" t="s">
        <v>521</v>
      </c>
      <c r="B240" s="322" t="s">
        <v>473</v>
      </c>
      <c r="C240" s="322" t="s">
        <v>531</v>
      </c>
      <c r="D240" s="322" t="s">
        <v>532</v>
      </c>
      <c r="E240" s="325">
        <v>45382</v>
      </c>
      <c r="F240" s="324">
        <v>41.18</v>
      </c>
      <c r="H240" s="323" t="s">
        <v>465</v>
      </c>
      <c r="I240" s="323" t="s">
        <v>442</v>
      </c>
      <c r="J240" s="323" t="s">
        <v>443</v>
      </c>
      <c r="K240" s="323" t="s">
        <v>600</v>
      </c>
      <c r="L240" s="323"/>
      <c r="M240" s="323"/>
      <c r="N240"/>
    </row>
    <row r="241" spans="1:14" ht="22.15" customHeight="1">
      <c r="A241" s="322" t="s">
        <v>539</v>
      </c>
      <c r="B241" s="322" t="s">
        <v>455</v>
      </c>
      <c r="C241" s="322" t="s">
        <v>541</v>
      </c>
      <c r="D241" s="322" t="s">
        <v>454</v>
      </c>
      <c r="E241" s="325">
        <v>45382</v>
      </c>
      <c r="F241" s="324">
        <v>8.85</v>
      </c>
      <c r="H241" s="323" t="s">
        <v>465</v>
      </c>
      <c r="I241" s="323" t="s">
        <v>442</v>
      </c>
      <c r="J241" s="323" t="s">
        <v>443</v>
      </c>
      <c r="K241" s="323" t="s">
        <v>600</v>
      </c>
      <c r="L241" s="323"/>
      <c r="M241" s="323"/>
      <c r="N241"/>
    </row>
    <row r="242" spans="1:14" ht="22.15" customHeight="1">
      <c r="A242" s="322" t="s">
        <v>539</v>
      </c>
      <c r="B242" s="322" t="s">
        <v>455</v>
      </c>
      <c r="C242" s="322" t="s">
        <v>549</v>
      </c>
      <c r="D242" s="322" t="s">
        <v>454</v>
      </c>
      <c r="E242" s="325">
        <v>45382</v>
      </c>
      <c r="F242" s="324">
        <v>46.82</v>
      </c>
      <c r="H242" s="323" t="s">
        <v>465</v>
      </c>
      <c r="I242" s="323" t="s">
        <v>442</v>
      </c>
      <c r="J242" s="323" t="s">
        <v>443</v>
      </c>
      <c r="K242" s="323" t="s">
        <v>600</v>
      </c>
      <c r="L242" s="323"/>
      <c r="M242" s="323"/>
      <c r="N242"/>
    </row>
    <row r="243" spans="1:14" ht="22.15" customHeight="1">
      <c r="A243" s="322" t="s">
        <v>539</v>
      </c>
      <c r="B243" s="322" t="s">
        <v>455</v>
      </c>
      <c r="C243" s="322" t="s">
        <v>550</v>
      </c>
      <c r="D243" s="322" t="s">
        <v>454</v>
      </c>
      <c r="E243" s="325">
        <v>45382</v>
      </c>
      <c r="F243" s="324">
        <v>17.7</v>
      </c>
      <c r="H243" s="323" t="s">
        <v>465</v>
      </c>
      <c r="I243" s="323" t="s">
        <v>442</v>
      </c>
      <c r="J243" s="323" t="s">
        <v>443</v>
      </c>
      <c r="K243" s="323" t="s">
        <v>600</v>
      </c>
      <c r="L243" s="323"/>
      <c r="M243" s="323"/>
      <c r="N243"/>
    </row>
    <row r="244" spans="1:14" ht="22.15" customHeight="1">
      <c r="A244" s="322" t="s">
        <v>539</v>
      </c>
      <c r="B244" s="322" t="s">
        <v>455</v>
      </c>
      <c r="C244" s="322" t="s">
        <v>551</v>
      </c>
      <c r="D244" s="322" t="s">
        <v>454</v>
      </c>
      <c r="E244" s="325">
        <v>45382</v>
      </c>
      <c r="F244" s="324">
        <v>7.37</v>
      </c>
      <c r="H244" s="323" t="s">
        <v>465</v>
      </c>
      <c r="I244" s="323" t="s">
        <v>442</v>
      </c>
      <c r="J244" s="323" t="s">
        <v>443</v>
      </c>
      <c r="K244" s="323" t="s">
        <v>600</v>
      </c>
      <c r="L244" s="323"/>
      <c r="M244" s="323"/>
      <c r="N244"/>
    </row>
    <row r="245" spans="1:14" ht="22.15" customHeight="1">
      <c r="A245" s="322" t="s">
        <v>478</v>
      </c>
      <c r="B245" s="322" t="s">
        <v>449</v>
      </c>
      <c r="C245" s="322" t="s">
        <v>830</v>
      </c>
      <c r="D245" s="322" t="s">
        <v>831</v>
      </c>
      <c r="E245" s="325">
        <v>45411</v>
      </c>
      <c r="F245" s="324">
        <v>2000</v>
      </c>
      <c r="H245" s="323" t="s">
        <v>465</v>
      </c>
      <c r="I245" s="323" t="s">
        <v>442</v>
      </c>
      <c r="J245" s="323" t="s">
        <v>443</v>
      </c>
      <c r="K245" s="323" t="s">
        <v>600</v>
      </c>
      <c r="L245" s="323"/>
      <c r="M245" s="323"/>
      <c r="N245"/>
    </row>
    <row r="246" spans="1:14" ht="22.15" customHeight="1">
      <c r="A246" s="322" t="s">
        <v>539</v>
      </c>
      <c r="B246" s="322" t="s">
        <v>455</v>
      </c>
      <c r="C246" s="322" t="s">
        <v>832</v>
      </c>
      <c r="D246" s="322" t="s">
        <v>833</v>
      </c>
      <c r="E246" s="325">
        <v>45412</v>
      </c>
      <c r="F246" s="324">
        <v>4.43</v>
      </c>
      <c r="H246" s="323" t="s">
        <v>88</v>
      </c>
      <c r="I246" s="323" t="s">
        <v>442</v>
      </c>
      <c r="J246" s="323" t="s">
        <v>443</v>
      </c>
      <c r="K246" s="323" t="s">
        <v>600</v>
      </c>
      <c r="L246" s="323"/>
      <c r="M246" s="323"/>
      <c r="N246"/>
    </row>
    <row r="247" spans="1:14" ht="22.15" customHeight="1">
      <c r="A247" s="322" t="s">
        <v>539</v>
      </c>
      <c r="B247" s="322" t="s">
        <v>455</v>
      </c>
      <c r="C247" s="322" t="s">
        <v>834</v>
      </c>
      <c r="D247" s="322" t="s">
        <v>833</v>
      </c>
      <c r="E247" s="325">
        <v>45412</v>
      </c>
      <c r="F247" s="324">
        <v>44.25</v>
      </c>
      <c r="H247" s="323" t="s">
        <v>88</v>
      </c>
      <c r="I247" s="323" t="s">
        <v>442</v>
      </c>
      <c r="J247" s="323" t="s">
        <v>443</v>
      </c>
      <c r="K247" s="323" t="s">
        <v>600</v>
      </c>
      <c r="L247" s="323"/>
      <c r="M247" s="323"/>
      <c r="N247"/>
    </row>
    <row r="248" spans="1:14" ht="22.15" customHeight="1">
      <c r="A248" s="322" t="s">
        <v>552</v>
      </c>
      <c r="B248" s="322" t="s">
        <v>457</v>
      </c>
      <c r="C248" s="322" t="s">
        <v>835</v>
      </c>
      <c r="D248" s="322" t="s">
        <v>833</v>
      </c>
      <c r="E248" s="325">
        <v>45412</v>
      </c>
      <c r="F248" s="324">
        <v>53.1</v>
      </c>
      <c r="H248" s="323" t="s">
        <v>88</v>
      </c>
      <c r="I248" s="323" t="s">
        <v>442</v>
      </c>
      <c r="J248" s="323" t="s">
        <v>443</v>
      </c>
      <c r="K248" s="323" t="s">
        <v>600</v>
      </c>
      <c r="L248" s="323"/>
      <c r="M248" s="323"/>
      <c r="N248"/>
    </row>
    <row r="249" spans="1:14" ht="22.15" customHeight="1">
      <c r="A249" s="322" t="s">
        <v>552</v>
      </c>
      <c r="B249" s="322" t="s">
        <v>457</v>
      </c>
      <c r="C249" s="322" t="s">
        <v>580</v>
      </c>
      <c r="D249" s="322" t="s">
        <v>833</v>
      </c>
      <c r="E249" s="325">
        <v>45412</v>
      </c>
      <c r="F249" s="324">
        <v>1032.5899999999999</v>
      </c>
      <c r="H249" s="323" t="s">
        <v>117</v>
      </c>
      <c r="I249" s="323" t="s">
        <v>442</v>
      </c>
      <c r="J249" s="323" t="s">
        <v>443</v>
      </c>
      <c r="K249" s="323" t="s">
        <v>600</v>
      </c>
      <c r="L249" s="323"/>
      <c r="M249" s="323"/>
      <c r="N249"/>
    </row>
    <row r="250" spans="1:14" ht="22.15" customHeight="1">
      <c r="A250" s="322" t="s">
        <v>552</v>
      </c>
      <c r="B250" s="322" t="s">
        <v>457</v>
      </c>
      <c r="C250" s="322" t="s">
        <v>836</v>
      </c>
      <c r="D250" s="322" t="s">
        <v>833</v>
      </c>
      <c r="E250" s="325">
        <v>45412</v>
      </c>
      <c r="F250" s="324">
        <v>1567.33</v>
      </c>
      <c r="H250" s="323" t="s">
        <v>117</v>
      </c>
      <c r="I250" s="323" t="s">
        <v>442</v>
      </c>
      <c r="J250" s="323" t="s">
        <v>443</v>
      </c>
      <c r="K250" s="323" t="s">
        <v>600</v>
      </c>
      <c r="L250" s="323"/>
      <c r="M250" s="323"/>
      <c r="N250"/>
    </row>
    <row r="251" spans="1:14" ht="22.15" customHeight="1">
      <c r="A251" s="322" t="s">
        <v>558</v>
      </c>
      <c r="B251" s="322" t="s">
        <v>468</v>
      </c>
      <c r="C251" s="322" t="s">
        <v>559</v>
      </c>
      <c r="D251" s="322" t="s">
        <v>833</v>
      </c>
      <c r="E251" s="325">
        <v>45412</v>
      </c>
      <c r="F251" s="324">
        <v>36.880000000000003</v>
      </c>
      <c r="H251" s="323" t="s">
        <v>117</v>
      </c>
      <c r="I251" s="323" t="s">
        <v>442</v>
      </c>
      <c r="J251" s="323" t="s">
        <v>443</v>
      </c>
      <c r="K251" s="323" t="s">
        <v>600</v>
      </c>
      <c r="L251" s="323"/>
      <c r="M251" s="323"/>
      <c r="N251"/>
    </row>
    <row r="252" spans="1:14" ht="22.15" customHeight="1">
      <c r="A252" s="322" t="s">
        <v>539</v>
      </c>
      <c r="B252" s="322" t="s">
        <v>455</v>
      </c>
      <c r="C252" s="322" t="s">
        <v>837</v>
      </c>
      <c r="D252" s="322" t="s">
        <v>833</v>
      </c>
      <c r="E252" s="325">
        <v>45412</v>
      </c>
      <c r="F252" s="324">
        <v>11.8</v>
      </c>
      <c r="H252" s="323" t="s">
        <v>117</v>
      </c>
      <c r="I252" s="323" t="s">
        <v>442</v>
      </c>
      <c r="J252" s="323" t="s">
        <v>443</v>
      </c>
      <c r="K252" s="323" t="s">
        <v>600</v>
      </c>
      <c r="L252" s="323"/>
      <c r="M252" s="323"/>
      <c r="N252"/>
    </row>
    <row r="253" spans="1:14" ht="22.15" customHeight="1">
      <c r="A253" s="322" t="s">
        <v>539</v>
      </c>
      <c r="B253" s="322" t="s">
        <v>455</v>
      </c>
      <c r="C253" s="322" t="s">
        <v>838</v>
      </c>
      <c r="D253" s="322" t="s">
        <v>833</v>
      </c>
      <c r="E253" s="325">
        <v>45412</v>
      </c>
      <c r="F253" s="324">
        <v>44.25</v>
      </c>
      <c r="H253" s="323" t="s">
        <v>117</v>
      </c>
      <c r="I253" s="323" t="s">
        <v>442</v>
      </c>
      <c r="J253" s="323" t="s">
        <v>443</v>
      </c>
      <c r="K253" s="323" t="s">
        <v>600</v>
      </c>
      <c r="L253" s="323"/>
      <c r="M253" s="323"/>
      <c r="N253"/>
    </row>
    <row r="254" spans="1:14" ht="22.15" customHeight="1">
      <c r="A254" s="322" t="s">
        <v>709</v>
      </c>
      <c r="B254" s="322" t="s">
        <v>710</v>
      </c>
      <c r="C254" s="322" t="s">
        <v>839</v>
      </c>
      <c r="D254" s="322" t="s">
        <v>833</v>
      </c>
      <c r="E254" s="325">
        <v>45412</v>
      </c>
      <c r="F254" s="324">
        <v>162.26</v>
      </c>
      <c r="H254" s="323" t="s">
        <v>117</v>
      </c>
      <c r="I254" s="323" t="s">
        <v>442</v>
      </c>
      <c r="J254" s="323" t="s">
        <v>443</v>
      </c>
      <c r="K254" s="323" t="s">
        <v>600</v>
      </c>
      <c r="L254" s="323"/>
      <c r="M254" s="323"/>
      <c r="N254"/>
    </row>
    <row r="255" spans="1:14" ht="22.15" customHeight="1">
      <c r="A255" s="322" t="s">
        <v>539</v>
      </c>
      <c r="B255" s="322" t="s">
        <v>455</v>
      </c>
      <c r="C255" s="322" t="s">
        <v>840</v>
      </c>
      <c r="D255" s="322" t="s">
        <v>833</v>
      </c>
      <c r="E255" s="325">
        <v>45412</v>
      </c>
      <c r="F255" s="324">
        <v>147.51</v>
      </c>
      <c r="H255" s="323" t="s">
        <v>117</v>
      </c>
      <c r="I255" s="323" t="s">
        <v>442</v>
      </c>
      <c r="J255" s="323" t="s">
        <v>443</v>
      </c>
      <c r="K255" s="323" t="s">
        <v>600</v>
      </c>
      <c r="L255" s="323"/>
      <c r="M255" s="323"/>
      <c r="N255"/>
    </row>
    <row r="256" spans="1:14" ht="22.15" customHeight="1">
      <c r="A256" s="322" t="s">
        <v>575</v>
      </c>
      <c r="B256" s="322" t="s">
        <v>581</v>
      </c>
      <c r="C256" s="322" t="s">
        <v>841</v>
      </c>
      <c r="D256" s="322" t="s">
        <v>833</v>
      </c>
      <c r="E256" s="325">
        <v>45412</v>
      </c>
      <c r="F256" s="324">
        <v>1.03</v>
      </c>
      <c r="H256" s="323" t="s">
        <v>117</v>
      </c>
      <c r="I256" s="323" t="s">
        <v>442</v>
      </c>
      <c r="J256" s="323" t="s">
        <v>443</v>
      </c>
      <c r="K256" s="323" t="s">
        <v>600</v>
      </c>
      <c r="L256" s="323"/>
      <c r="M256" s="323"/>
      <c r="N256"/>
    </row>
    <row r="257" spans="1:14" ht="22.15" customHeight="1">
      <c r="A257" s="322" t="s">
        <v>575</v>
      </c>
      <c r="B257" s="322" t="s">
        <v>581</v>
      </c>
      <c r="C257" s="322" t="s">
        <v>582</v>
      </c>
      <c r="D257" s="322" t="s">
        <v>833</v>
      </c>
      <c r="E257" s="325">
        <v>45412</v>
      </c>
      <c r="F257" s="324">
        <v>22.13</v>
      </c>
      <c r="H257" s="323" t="s">
        <v>117</v>
      </c>
      <c r="I257" s="323" t="s">
        <v>442</v>
      </c>
      <c r="J257" s="323" t="s">
        <v>443</v>
      </c>
      <c r="K257" s="323" t="s">
        <v>600</v>
      </c>
      <c r="L257" s="323"/>
      <c r="M257" s="323"/>
      <c r="N257"/>
    </row>
    <row r="258" spans="1:14" ht="22.15" customHeight="1">
      <c r="A258" s="322" t="s">
        <v>478</v>
      </c>
      <c r="B258" s="322" t="s">
        <v>449</v>
      </c>
      <c r="C258" s="322" t="s">
        <v>484</v>
      </c>
      <c r="D258" s="322" t="s">
        <v>833</v>
      </c>
      <c r="E258" s="325">
        <v>45412</v>
      </c>
      <c r="F258" s="324">
        <v>295.02999999999997</v>
      </c>
      <c r="H258" s="323" t="s">
        <v>117</v>
      </c>
      <c r="I258" s="323" t="s">
        <v>442</v>
      </c>
      <c r="J258" s="323" t="s">
        <v>443</v>
      </c>
      <c r="K258" s="323" t="s">
        <v>600</v>
      </c>
      <c r="L258" s="323"/>
      <c r="M258" s="323"/>
      <c r="N258"/>
    </row>
    <row r="259" spans="1:14" ht="22.15" customHeight="1">
      <c r="A259" s="322" t="s">
        <v>574</v>
      </c>
      <c r="B259" s="322" t="s">
        <v>579</v>
      </c>
      <c r="C259" s="322" t="s">
        <v>842</v>
      </c>
      <c r="D259" s="322" t="s">
        <v>833</v>
      </c>
      <c r="E259" s="325">
        <v>45412</v>
      </c>
      <c r="F259" s="324">
        <v>221.27</v>
      </c>
      <c r="H259" s="323" t="s">
        <v>117</v>
      </c>
      <c r="I259" s="323" t="s">
        <v>442</v>
      </c>
      <c r="J259" s="323" t="s">
        <v>443</v>
      </c>
      <c r="K259" s="323" t="s">
        <v>600</v>
      </c>
      <c r="L259" s="323"/>
      <c r="M259" s="323"/>
      <c r="N259"/>
    </row>
    <row r="260" spans="1:14" ht="22.15" customHeight="1">
      <c r="A260" s="322" t="s">
        <v>437</v>
      </c>
      <c r="B260" s="322" t="s">
        <v>438</v>
      </c>
      <c r="C260" s="322" t="s">
        <v>843</v>
      </c>
      <c r="D260" s="322" t="s">
        <v>833</v>
      </c>
      <c r="E260" s="325">
        <v>45412</v>
      </c>
      <c r="F260" s="324">
        <v>1200.08</v>
      </c>
      <c r="H260" s="323" t="s">
        <v>571</v>
      </c>
      <c r="I260" s="323" t="s">
        <v>442</v>
      </c>
      <c r="J260" s="323" t="s">
        <v>443</v>
      </c>
      <c r="K260" s="323" t="s">
        <v>600</v>
      </c>
      <c r="L260" s="323"/>
      <c r="M260" s="323"/>
      <c r="N260"/>
    </row>
    <row r="261" spans="1:14" ht="22.15" customHeight="1">
      <c r="A261" s="322" t="s">
        <v>437</v>
      </c>
      <c r="B261" s="322" t="s">
        <v>438</v>
      </c>
      <c r="C261" s="322" t="s">
        <v>844</v>
      </c>
      <c r="D261" s="322" t="s">
        <v>833</v>
      </c>
      <c r="E261" s="325">
        <v>45412</v>
      </c>
      <c r="F261" s="324">
        <v>500.04</v>
      </c>
      <c r="H261" s="323" t="s">
        <v>572</v>
      </c>
      <c r="I261" s="323" t="s">
        <v>442</v>
      </c>
      <c r="J261" s="323" t="s">
        <v>443</v>
      </c>
      <c r="K261" s="323" t="s">
        <v>600</v>
      </c>
      <c r="L261" s="323"/>
      <c r="M261" s="323"/>
      <c r="N261"/>
    </row>
    <row r="262" spans="1:14" ht="22.15" customHeight="1">
      <c r="A262" s="322" t="s">
        <v>437</v>
      </c>
      <c r="B262" s="322" t="s">
        <v>438</v>
      </c>
      <c r="C262" s="322" t="s">
        <v>845</v>
      </c>
      <c r="D262" s="322" t="s">
        <v>833</v>
      </c>
      <c r="E262" s="325">
        <v>45412</v>
      </c>
      <c r="F262" s="324">
        <v>1120.07</v>
      </c>
      <c r="H262" s="323" t="s">
        <v>846</v>
      </c>
      <c r="I262" s="323" t="s">
        <v>442</v>
      </c>
      <c r="J262" s="323" t="s">
        <v>443</v>
      </c>
      <c r="K262" s="323" t="s">
        <v>600</v>
      </c>
      <c r="L262" s="323"/>
      <c r="M262" s="323"/>
      <c r="N262"/>
    </row>
    <row r="263" spans="1:14" ht="22.15" customHeight="1">
      <c r="A263" s="322" t="s">
        <v>437</v>
      </c>
      <c r="B263" s="322" t="s">
        <v>438</v>
      </c>
      <c r="C263" s="322" t="s">
        <v>847</v>
      </c>
      <c r="D263" s="322" t="s">
        <v>833</v>
      </c>
      <c r="E263" s="325">
        <v>45412</v>
      </c>
      <c r="F263" s="324">
        <v>59.01</v>
      </c>
      <c r="H263" s="323" t="s">
        <v>573</v>
      </c>
      <c r="I263" s="323" t="s">
        <v>442</v>
      </c>
      <c r="J263" s="323" t="s">
        <v>443</v>
      </c>
      <c r="K263" s="323" t="s">
        <v>600</v>
      </c>
      <c r="L263" s="323"/>
      <c r="M263" s="323"/>
      <c r="N263"/>
    </row>
    <row r="264" spans="1:14" ht="22.15" customHeight="1">
      <c r="A264" s="322" t="s">
        <v>493</v>
      </c>
      <c r="B264" s="322" t="s">
        <v>466</v>
      </c>
      <c r="C264" s="322" t="s">
        <v>496</v>
      </c>
      <c r="D264" s="322" t="s">
        <v>833</v>
      </c>
      <c r="E264" s="325">
        <v>45412</v>
      </c>
      <c r="F264" s="324">
        <v>73.760000000000005</v>
      </c>
      <c r="H264" s="323" t="s">
        <v>573</v>
      </c>
      <c r="I264" s="323" t="s">
        <v>442</v>
      </c>
      <c r="J264" s="323" t="s">
        <v>443</v>
      </c>
      <c r="K264" s="323" t="s">
        <v>600</v>
      </c>
      <c r="L264" s="323"/>
      <c r="M264" s="323"/>
      <c r="N264"/>
    </row>
    <row r="265" spans="1:14" ht="22.15" customHeight="1">
      <c r="A265" s="322" t="s">
        <v>493</v>
      </c>
      <c r="B265" s="322" t="s">
        <v>466</v>
      </c>
      <c r="C265" s="322" t="s">
        <v>497</v>
      </c>
      <c r="D265" s="322" t="s">
        <v>833</v>
      </c>
      <c r="E265" s="325">
        <v>45412</v>
      </c>
      <c r="F265" s="324">
        <v>7.0000000000000007E-2</v>
      </c>
      <c r="H265" s="323" t="s">
        <v>573</v>
      </c>
      <c r="I265" s="323" t="s">
        <v>442</v>
      </c>
      <c r="J265" s="323" t="s">
        <v>443</v>
      </c>
      <c r="K265" s="323" t="s">
        <v>600</v>
      </c>
      <c r="L265" s="323"/>
      <c r="M265" s="323"/>
      <c r="N265"/>
    </row>
    <row r="266" spans="1:14" ht="22.15" customHeight="1">
      <c r="A266" s="322" t="s">
        <v>493</v>
      </c>
      <c r="B266" s="322" t="s">
        <v>466</v>
      </c>
      <c r="C266" s="322" t="s">
        <v>498</v>
      </c>
      <c r="D266" s="322" t="s">
        <v>833</v>
      </c>
      <c r="E266" s="325">
        <v>45412</v>
      </c>
      <c r="F266" s="324">
        <v>7.82</v>
      </c>
      <c r="H266" s="323" t="s">
        <v>573</v>
      </c>
      <c r="I266" s="323" t="s">
        <v>442</v>
      </c>
      <c r="J266" s="323" t="s">
        <v>443</v>
      </c>
      <c r="K266" s="323" t="s">
        <v>600</v>
      </c>
      <c r="L266" s="323"/>
      <c r="M266" s="323"/>
      <c r="N266"/>
    </row>
    <row r="267" spans="1:14" ht="22.15" customHeight="1">
      <c r="A267" s="322" t="s">
        <v>493</v>
      </c>
      <c r="B267" s="322" t="s">
        <v>466</v>
      </c>
      <c r="C267" s="322" t="s">
        <v>515</v>
      </c>
      <c r="D267" s="322" t="s">
        <v>833</v>
      </c>
      <c r="E267" s="325">
        <v>45412</v>
      </c>
      <c r="F267" s="324">
        <v>1.84</v>
      </c>
      <c r="H267" s="323" t="s">
        <v>573</v>
      </c>
      <c r="I267" s="323" t="s">
        <v>442</v>
      </c>
      <c r="J267" s="323" t="s">
        <v>443</v>
      </c>
      <c r="K267" s="323" t="s">
        <v>600</v>
      </c>
      <c r="L267" s="323"/>
      <c r="M267" s="323"/>
      <c r="N267"/>
    </row>
    <row r="268" spans="1:14" ht="22.15" customHeight="1">
      <c r="A268" s="322" t="s">
        <v>493</v>
      </c>
      <c r="B268" s="322" t="s">
        <v>466</v>
      </c>
      <c r="C268" s="322" t="s">
        <v>502</v>
      </c>
      <c r="D268" s="322" t="s">
        <v>833</v>
      </c>
      <c r="E268" s="325">
        <v>45412</v>
      </c>
      <c r="F268" s="324">
        <v>3.54</v>
      </c>
      <c r="H268" s="323" t="s">
        <v>573</v>
      </c>
      <c r="I268" s="323" t="s">
        <v>442</v>
      </c>
      <c r="J268" s="323" t="s">
        <v>443</v>
      </c>
      <c r="K268" s="323" t="s">
        <v>600</v>
      </c>
      <c r="L268" s="323"/>
      <c r="M268" s="323"/>
      <c r="N268"/>
    </row>
    <row r="269" spans="1:14" ht="22.15" customHeight="1">
      <c r="A269" s="322" t="s">
        <v>723</v>
      </c>
      <c r="B269" s="322" t="s">
        <v>724</v>
      </c>
      <c r="C269" s="322" t="s">
        <v>848</v>
      </c>
      <c r="D269" s="322" t="s">
        <v>833</v>
      </c>
      <c r="E269" s="325">
        <v>45412</v>
      </c>
      <c r="F269" s="324">
        <v>1678.04</v>
      </c>
      <c r="H269" s="323" t="s">
        <v>573</v>
      </c>
      <c r="I269" s="323" t="s">
        <v>442</v>
      </c>
      <c r="J269" s="323" t="s">
        <v>443</v>
      </c>
      <c r="K269" s="323" t="s">
        <v>600</v>
      </c>
      <c r="L269" s="323"/>
      <c r="M269" s="323"/>
      <c r="N269"/>
    </row>
    <row r="270" spans="1:14" ht="22.15" customHeight="1">
      <c r="A270" s="322" t="s">
        <v>520</v>
      </c>
      <c r="B270" s="322" t="s">
        <v>472</v>
      </c>
      <c r="C270" s="322" t="s">
        <v>494</v>
      </c>
      <c r="D270" s="322" t="s">
        <v>833</v>
      </c>
      <c r="E270" s="325">
        <v>45412</v>
      </c>
      <c r="F270" s="324">
        <v>11.8</v>
      </c>
      <c r="H270" s="323" t="s">
        <v>573</v>
      </c>
      <c r="I270" s="323" t="s">
        <v>442</v>
      </c>
      <c r="J270" s="323" t="s">
        <v>443</v>
      </c>
      <c r="K270" s="323" t="s">
        <v>600</v>
      </c>
      <c r="L270" s="323"/>
      <c r="M270" s="323"/>
      <c r="N270"/>
    </row>
    <row r="271" spans="1:14" ht="22.15" customHeight="1">
      <c r="A271" s="322" t="s">
        <v>521</v>
      </c>
      <c r="B271" s="322" t="s">
        <v>473</v>
      </c>
      <c r="C271" s="322" t="s">
        <v>523</v>
      </c>
      <c r="D271" s="322" t="s">
        <v>833</v>
      </c>
      <c r="E271" s="325">
        <v>45412</v>
      </c>
      <c r="F271" s="324">
        <v>50.99</v>
      </c>
      <c r="H271" s="323" t="s">
        <v>573</v>
      </c>
      <c r="I271" s="323" t="s">
        <v>442</v>
      </c>
      <c r="J271" s="323" t="s">
        <v>443</v>
      </c>
      <c r="K271" s="323" t="s">
        <v>600</v>
      </c>
      <c r="L271" s="323"/>
      <c r="M271" s="323"/>
      <c r="N271"/>
    </row>
    <row r="272" spans="1:14" ht="22.15" customHeight="1">
      <c r="A272" s="322" t="s">
        <v>521</v>
      </c>
      <c r="B272" s="322" t="s">
        <v>473</v>
      </c>
      <c r="C272" s="322" t="s">
        <v>524</v>
      </c>
      <c r="D272" s="322" t="s">
        <v>833</v>
      </c>
      <c r="E272" s="325">
        <v>45412</v>
      </c>
      <c r="F272" s="324">
        <v>39.99</v>
      </c>
      <c r="H272" s="323" t="s">
        <v>573</v>
      </c>
      <c r="I272" s="323" t="s">
        <v>442</v>
      </c>
      <c r="J272" s="323" t="s">
        <v>443</v>
      </c>
      <c r="K272" s="323" t="s">
        <v>600</v>
      </c>
      <c r="L272" s="323"/>
      <c r="M272" s="323"/>
      <c r="N272"/>
    </row>
    <row r="273" spans="1:14" ht="22.15" customHeight="1">
      <c r="A273" s="322" t="s">
        <v>521</v>
      </c>
      <c r="B273" s="322" t="s">
        <v>473</v>
      </c>
      <c r="C273" s="322" t="s">
        <v>529</v>
      </c>
      <c r="D273" s="322" t="s">
        <v>833</v>
      </c>
      <c r="E273" s="325">
        <v>45412</v>
      </c>
      <c r="F273" s="324">
        <v>39.99</v>
      </c>
      <c r="H273" s="323" t="s">
        <v>573</v>
      </c>
      <c r="I273" s="323" t="s">
        <v>442</v>
      </c>
      <c r="J273" s="323" t="s">
        <v>443</v>
      </c>
      <c r="K273" s="323" t="s">
        <v>600</v>
      </c>
      <c r="L273" s="323"/>
      <c r="M273" s="323"/>
      <c r="N273"/>
    </row>
    <row r="274" spans="1:14" ht="22.15" customHeight="1">
      <c r="A274" s="322" t="s">
        <v>521</v>
      </c>
      <c r="B274" s="322" t="s">
        <v>473</v>
      </c>
      <c r="C274" s="322" t="s">
        <v>525</v>
      </c>
      <c r="D274" s="322" t="s">
        <v>833</v>
      </c>
      <c r="E274" s="325">
        <v>45412</v>
      </c>
      <c r="F274" s="324">
        <v>40.99</v>
      </c>
      <c r="H274" s="323" t="s">
        <v>573</v>
      </c>
      <c r="I274" s="323" t="s">
        <v>442</v>
      </c>
      <c r="J274" s="323" t="s">
        <v>443</v>
      </c>
      <c r="K274" s="323" t="s">
        <v>600</v>
      </c>
      <c r="L274" s="323"/>
      <c r="M274" s="323"/>
      <c r="N274"/>
    </row>
    <row r="275" spans="1:14" ht="22.15" customHeight="1">
      <c r="A275" s="322" t="s">
        <v>521</v>
      </c>
      <c r="B275" s="322" t="s">
        <v>473</v>
      </c>
      <c r="C275" s="322" t="s">
        <v>526</v>
      </c>
      <c r="D275" s="322" t="s">
        <v>833</v>
      </c>
      <c r="E275" s="325">
        <v>45412</v>
      </c>
      <c r="F275" s="324">
        <v>40.99</v>
      </c>
      <c r="H275" s="323" t="s">
        <v>573</v>
      </c>
      <c r="I275" s="323" t="s">
        <v>442</v>
      </c>
      <c r="J275" s="323" t="s">
        <v>443</v>
      </c>
      <c r="K275" s="323" t="s">
        <v>600</v>
      </c>
      <c r="L275" s="323"/>
      <c r="M275" s="323"/>
      <c r="N275"/>
    </row>
    <row r="276" spans="1:14" ht="22.15" customHeight="1">
      <c r="A276" s="322" t="s">
        <v>539</v>
      </c>
      <c r="B276" s="322" t="s">
        <v>455</v>
      </c>
      <c r="C276" s="322" t="s">
        <v>549</v>
      </c>
      <c r="D276" s="322" t="s">
        <v>833</v>
      </c>
      <c r="E276" s="325">
        <v>45412</v>
      </c>
      <c r="F276" s="324">
        <v>16.23</v>
      </c>
      <c r="H276" s="323" t="s">
        <v>573</v>
      </c>
      <c r="I276" s="323" t="s">
        <v>442</v>
      </c>
      <c r="J276" s="323" t="s">
        <v>443</v>
      </c>
      <c r="K276" s="323" t="s">
        <v>600</v>
      </c>
      <c r="L276" s="323"/>
      <c r="M276" s="323"/>
      <c r="N276"/>
    </row>
    <row r="277" spans="1:14" ht="22.15" customHeight="1">
      <c r="A277" s="322" t="s">
        <v>539</v>
      </c>
      <c r="B277" s="322" t="s">
        <v>455</v>
      </c>
      <c r="C277" s="322" t="s">
        <v>549</v>
      </c>
      <c r="D277" s="322" t="s">
        <v>833</v>
      </c>
      <c r="E277" s="325">
        <v>45412</v>
      </c>
      <c r="F277" s="324">
        <v>32.450000000000003</v>
      </c>
      <c r="H277" s="323" t="s">
        <v>573</v>
      </c>
      <c r="I277" s="323" t="s">
        <v>442</v>
      </c>
      <c r="J277" s="323" t="s">
        <v>443</v>
      </c>
      <c r="K277" s="323" t="s">
        <v>600</v>
      </c>
      <c r="L277" s="323"/>
      <c r="M277" s="323"/>
      <c r="N277"/>
    </row>
    <row r="278" spans="1:14" ht="22.15" customHeight="1">
      <c r="A278" s="322" t="s">
        <v>539</v>
      </c>
      <c r="B278" s="322" t="s">
        <v>455</v>
      </c>
      <c r="C278" s="322" t="s">
        <v>541</v>
      </c>
      <c r="D278" s="322" t="s">
        <v>833</v>
      </c>
      <c r="E278" s="325">
        <v>45412</v>
      </c>
      <c r="F278" s="324">
        <v>7.38</v>
      </c>
      <c r="H278" s="323" t="s">
        <v>573</v>
      </c>
      <c r="I278" s="323" t="s">
        <v>442</v>
      </c>
      <c r="J278" s="323" t="s">
        <v>443</v>
      </c>
      <c r="K278" s="323" t="s">
        <v>600</v>
      </c>
      <c r="L278" s="323"/>
      <c r="M278" s="323"/>
      <c r="N278"/>
    </row>
    <row r="279" spans="1:14" ht="22.15" customHeight="1">
      <c r="A279" s="322" t="s">
        <v>536</v>
      </c>
      <c r="B279" s="322" t="s">
        <v>459</v>
      </c>
      <c r="C279" s="322" t="s">
        <v>606</v>
      </c>
      <c r="D279" s="322" t="s">
        <v>849</v>
      </c>
      <c r="E279" s="325">
        <v>45412</v>
      </c>
      <c r="F279" s="324">
        <v>164</v>
      </c>
      <c r="H279" s="323" t="s">
        <v>465</v>
      </c>
      <c r="I279" s="323" t="s">
        <v>465</v>
      </c>
      <c r="J279" s="323" t="s">
        <v>443</v>
      </c>
      <c r="K279" s="323" t="s">
        <v>600</v>
      </c>
      <c r="L279" s="323"/>
      <c r="M279" s="323"/>
      <c r="N279"/>
    </row>
    <row r="280" spans="1:14" ht="22.15" customHeight="1">
      <c r="A280" s="322" t="s">
        <v>603</v>
      </c>
      <c r="B280" s="322" t="s">
        <v>604</v>
      </c>
      <c r="C280" s="322" t="s">
        <v>607</v>
      </c>
      <c r="D280" s="322" t="s">
        <v>849</v>
      </c>
      <c r="E280" s="325">
        <v>45412</v>
      </c>
      <c r="F280" s="324">
        <v>225</v>
      </c>
      <c r="H280" s="323" t="s">
        <v>465</v>
      </c>
      <c r="I280" s="323" t="s">
        <v>465</v>
      </c>
      <c r="J280" s="323" t="s">
        <v>443</v>
      </c>
      <c r="K280" s="323" t="s">
        <v>600</v>
      </c>
      <c r="L280" s="323"/>
      <c r="M280" s="323"/>
      <c r="N280"/>
    </row>
    <row r="281" spans="1:14" ht="22.15" customHeight="1">
      <c r="A281" s="322" t="s">
        <v>460</v>
      </c>
      <c r="B281" s="322" t="s">
        <v>461</v>
      </c>
      <c r="C281" s="322" t="s">
        <v>463</v>
      </c>
      <c r="D281" s="322" t="s">
        <v>850</v>
      </c>
      <c r="E281" s="325">
        <v>45412</v>
      </c>
      <c r="F281" s="324">
        <v>563.28</v>
      </c>
      <c r="H281" s="323" t="s">
        <v>465</v>
      </c>
      <c r="I281" s="323" t="s">
        <v>465</v>
      </c>
      <c r="J281" s="323" t="s">
        <v>443</v>
      </c>
      <c r="K281" s="323" t="s">
        <v>600</v>
      </c>
      <c r="L281" s="323"/>
      <c r="M281" s="323"/>
      <c r="N281"/>
    </row>
    <row r="282" spans="1:14" ht="22.15" customHeight="1">
      <c r="A282" s="322" t="s">
        <v>460</v>
      </c>
      <c r="B282" s="322" t="s">
        <v>461</v>
      </c>
      <c r="C282" s="322" t="s">
        <v>467</v>
      </c>
      <c r="D282" s="322" t="s">
        <v>850</v>
      </c>
      <c r="E282" s="325">
        <v>45412</v>
      </c>
      <c r="F282" s="324">
        <v>436.8</v>
      </c>
      <c r="H282" s="323" t="s">
        <v>465</v>
      </c>
      <c r="I282" s="323" t="s">
        <v>465</v>
      </c>
      <c r="J282" s="323" t="s">
        <v>443</v>
      </c>
      <c r="K282" s="323" t="s">
        <v>600</v>
      </c>
      <c r="L282" s="323"/>
      <c r="M282" s="323"/>
      <c r="N282"/>
    </row>
    <row r="283" spans="1:14" ht="22.15" customHeight="1">
      <c r="A283" s="322" t="s">
        <v>460</v>
      </c>
      <c r="B283" s="322" t="s">
        <v>461</v>
      </c>
      <c r="C283" s="322" t="s">
        <v>469</v>
      </c>
      <c r="D283" s="322" t="s">
        <v>850</v>
      </c>
      <c r="E283" s="325">
        <v>45412</v>
      </c>
      <c r="F283" s="324">
        <v>720</v>
      </c>
      <c r="H283" s="323" t="s">
        <v>465</v>
      </c>
      <c r="I283" s="323" t="s">
        <v>465</v>
      </c>
      <c r="J283" s="323" t="s">
        <v>443</v>
      </c>
      <c r="K283" s="323" t="s">
        <v>600</v>
      </c>
      <c r="L283" s="323"/>
      <c r="M283" s="323"/>
      <c r="N283"/>
    </row>
    <row r="284" spans="1:14" ht="22.15" customHeight="1">
      <c r="A284" s="322" t="s">
        <v>478</v>
      </c>
      <c r="B284" s="322" t="s">
        <v>449</v>
      </c>
      <c r="C284" s="322" t="s">
        <v>851</v>
      </c>
      <c r="D284" s="322" t="s">
        <v>852</v>
      </c>
      <c r="E284" s="325">
        <v>45432</v>
      </c>
      <c r="F284" s="324">
        <v>500</v>
      </c>
      <c r="H284" s="323" t="s">
        <v>465</v>
      </c>
      <c r="I284" s="323" t="s">
        <v>442</v>
      </c>
      <c r="J284" s="323" t="s">
        <v>443</v>
      </c>
      <c r="K284" s="323" t="s">
        <v>600</v>
      </c>
      <c r="L284" s="323"/>
      <c r="M284" s="323"/>
      <c r="N284"/>
    </row>
    <row r="285" spans="1:14" ht="22.15" customHeight="1">
      <c r="A285" s="322" t="s">
        <v>539</v>
      </c>
      <c r="B285" s="322" t="s">
        <v>455</v>
      </c>
      <c r="C285" s="322" t="s">
        <v>853</v>
      </c>
      <c r="D285" s="322" t="s">
        <v>854</v>
      </c>
      <c r="E285" s="325">
        <v>45443</v>
      </c>
      <c r="F285" s="324">
        <v>955.07</v>
      </c>
      <c r="H285" s="323" t="s">
        <v>117</v>
      </c>
      <c r="I285" s="323" t="s">
        <v>442</v>
      </c>
      <c r="J285" s="323" t="s">
        <v>443</v>
      </c>
      <c r="K285" s="323" t="s">
        <v>600</v>
      </c>
      <c r="L285" s="323"/>
      <c r="M285" s="323"/>
      <c r="N285"/>
    </row>
    <row r="286" spans="1:14" ht="22.15" customHeight="1">
      <c r="A286" s="322" t="s">
        <v>437</v>
      </c>
      <c r="B286" s="322" t="s">
        <v>438</v>
      </c>
      <c r="C286" s="322" t="s">
        <v>855</v>
      </c>
      <c r="D286" s="322" t="s">
        <v>854</v>
      </c>
      <c r="E286" s="325">
        <v>45443</v>
      </c>
      <c r="F286" s="324">
        <v>1199.49</v>
      </c>
      <c r="H286" s="323" t="s">
        <v>571</v>
      </c>
      <c r="I286" s="323" t="s">
        <v>442</v>
      </c>
      <c r="J286" s="323" t="s">
        <v>443</v>
      </c>
      <c r="K286" s="323" t="s">
        <v>600</v>
      </c>
      <c r="L286" s="323"/>
      <c r="M286" s="323"/>
      <c r="N286"/>
    </row>
    <row r="287" spans="1:14" ht="22.15" customHeight="1">
      <c r="A287" s="322" t="s">
        <v>437</v>
      </c>
      <c r="B287" s="322" t="s">
        <v>438</v>
      </c>
      <c r="C287" s="322" t="s">
        <v>856</v>
      </c>
      <c r="D287" s="322" t="s">
        <v>854</v>
      </c>
      <c r="E287" s="325">
        <v>45443</v>
      </c>
      <c r="F287" s="324">
        <v>499.79</v>
      </c>
      <c r="H287" s="323" t="s">
        <v>572</v>
      </c>
      <c r="I287" s="323" t="s">
        <v>442</v>
      </c>
      <c r="J287" s="323" t="s">
        <v>443</v>
      </c>
      <c r="K287" s="323" t="s">
        <v>600</v>
      </c>
      <c r="L287" s="323"/>
      <c r="M287" s="323"/>
      <c r="N287"/>
    </row>
    <row r="288" spans="1:14" ht="22.15" customHeight="1">
      <c r="A288" s="322" t="s">
        <v>437</v>
      </c>
      <c r="B288" s="322" t="s">
        <v>438</v>
      </c>
      <c r="C288" s="322" t="s">
        <v>857</v>
      </c>
      <c r="D288" s="322" t="s">
        <v>854</v>
      </c>
      <c r="E288" s="325">
        <v>45443</v>
      </c>
      <c r="F288" s="324">
        <v>1119.52</v>
      </c>
      <c r="H288" s="323" t="s">
        <v>846</v>
      </c>
      <c r="I288" s="323" t="s">
        <v>442</v>
      </c>
      <c r="J288" s="323" t="s">
        <v>443</v>
      </c>
      <c r="K288" s="323" t="s">
        <v>600</v>
      </c>
      <c r="L288" s="323"/>
      <c r="M288" s="323"/>
      <c r="N288"/>
    </row>
    <row r="289" spans="1:14" ht="22.15" customHeight="1">
      <c r="A289" s="322" t="s">
        <v>437</v>
      </c>
      <c r="B289" s="322" t="s">
        <v>438</v>
      </c>
      <c r="C289" s="322" t="s">
        <v>858</v>
      </c>
      <c r="D289" s="322" t="s">
        <v>854</v>
      </c>
      <c r="E289" s="325">
        <v>45443</v>
      </c>
      <c r="F289" s="324">
        <v>59.23</v>
      </c>
      <c r="H289" s="323" t="s">
        <v>573</v>
      </c>
      <c r="I289" s="323" t="s">
        <v>442</v>
      </c>
      <c r="J289" s="323" t="s">
        <v>443</v>
      </c>
      <c r="K289" s="323" t="s">
        <v>600</v>
      </c>
      <c r="L289" s="323"/>
      <c r="M289" s="323"/>
      <c r="N289"/>
    </row>
    <row r="290" spans="1:14" ht="22.15" customHeight="1">
      <c r="A290" s="322" t="s">
        <v>493</v>
      </c>
      <c r="B290" s="322" t="s">
        <v>466</v>
      </c>
      <c r="C290" s="322" t="s">
        <v>494</v>
      </c>
      <c r="D290" s="322" t="s">
        <v>854</v>
      </c>
      <c r="E290" s="325">
        <v>45443</v>
      </c>
      <c r="F290" s="324">
        <v>11.25</v>
      </c>
      <c r="H290" s="323" t="s">
        <v>573</v>
      </c>
      <c r="I290" s="323" t="s">
        <v>442</v>
      </c>
      <c r="J290" s="323" t="s">
        <v>443</v>
      </c>
      <c r="K290" s="323" t="s">
        <v>600</v>
      </c>
      <c r="L290" s="323"/>
      <c r="M290" s="323"/>
      <c r="N290"/>
    </row>
    <row r="291" spans="1:14" ht="22.15" customHeight="1">
      <c r="A291" s="322" t="s">
        <v>493</v>
      </c>
      <c r="B291" s="322" t="s">
        <v>466</v>
      </c>
      <c r="C291" s="322" t="s">
        <v>859</v>
      </c>
      <c r="D291" s="322" t="s">
        <v>854</v>
      </c>
      <c r="E291" s="325">
        <v>45443</v>
      </c>
      <c r="F291" s="324">
        <v>74.040000000000006</v>
      </c>
      <c r="H291" s="323" t="s">
        <v>573</v>
      </c>
      <c r="I291" s="323" t="s">
        <v>442</v>
      </c>
      <c r="J291" s="323" t="s">
        <v>443</v>
      </c>
      <c r="K291" s="323" t="s">
        <v>600</v>
      </c>
      <c r="L291" s="323"/>
      <c r="M291" s="323"/>
      <c r="N291"/>
    </row>
    <row r="292" spans="1:14" ht="22.15" customHeight="1">
      <c r="A292" s="322" t="s">
        <v>493</v>
      </c>
      <c r="B292" s="322" t="s">
        <v>466</v>
      </c>
      <c r="C292" s="322" t="s">
        <v>502</v>
      </c>
      <c r="D292" s="322" t="s">
        <v>854</v>
      </c>
      <c r="E292" s="325">
        <v>45443</v>
      </c>
      <c r="F292" s="324">
        <v>7.0000000000000007E-2</v>
      </c>
      <c r="H292" s="323" t="s">
        <v>573</v>
      </c>
      <c r="I292" s="323" t="s">
        <v>442</v>
      </c>
      <c r="J292" s="323" t="s">
        <v>443</v>
      </c>
      <c r="K292" s="323" t="s">
        <v>600</v>
      </c>
      <c r="L292" s="323"/>
      <c r="M292" s="323"/>
      <c r="N292"/>
    </row>
    <row r="293" spans="1:14" ht="22.15" customHeight="1">
      <c r="A293" s="322" t="s">
        <v>493</v>
      </c>
      <c r="B293" s="322" t="s">
        <v>466</v>
      </c>
      <c r="C293" s="322" t="s">
        <v>577</v>
      </c>
      <c r="D293" s="322" t="s">
        <v>854</v>
      </c>
      <c r="E293" s="325">
        <v>45443</v>
      </c>
      <c r="F293" s="324">
        <v>7.11</v>
      </c>
      <c r="H293" s="323" t="s">
        <v>573</v>
      </c>
      <c r="I293" s="323" t="s">
        <v>442</v>
      </c>
      <c r="J293" s="323" t="s">
        <v>443</v>
      </c>
      <c r="K293" s="323" t="s">
        <v>600</v>
      </c>
      <c r="L293" s="323"/>
      <c r="M293" s="323"/>
      <c r="N293"/>
    </row>
    <row r="294" spans="1:14" ht="22.15" customHeight="1">
      <c r="A294" s="322" t="s">
        <v>493</v>
      </c>
      <c r="B294" s="322" t="s">
        <v>466</v>
      </c>
      <c r="C294" s="322" t="s">
        <v>860</v>
      </c>
      <c r="D294" s="322" t="s">
        <v>854</v>
      </c>
      <c r="E294" s="325">
        <v>45443</v>
      </c>
      <c r="F294" s="324">
        <v>7.03</v>
      </c>
      <c r="H294" s="323" t="s">
        <v>573</v>
      </c>
      <c r="I294" s="323" t="s">
        <v>442</v>
      </c>
      <c r="J294" s="323" t="s">
        <v>443</v>
      </c>
      <c r="K294" s="323" t="s">
        <v>600</v>
      </c>
      <c r="L294" s="323"/>
      <c r="M294" s="323"/>
      <c r="N294"/>
    </row>
    <row r="295" spans="1:14" ht="22.15" customHeight="1">
      <c r="A295" s="322" t="s">
        <v>493</v>
      </c>
      <c r="B295" s="322" t="s">
        <v>466</v>
      </c>
      <c r="C295" s="322" t="s">
        <v>578</v>
      </c>
      <c r="D295" s="322" t="s">
        <v>854</v>
      </c>
      <c r="E295" s="325">
        <v>45443</v>
      </c>
      <c r="F295" s="324">
        <v>10.29</v>
      </c>
      <c r="H295" s="323" t="s">
        <v>573</v>
      </c>
      <c r="I295" s="323" t="s">
        <v>442</v>
      </c>
      <c r="J295" s="323" t="s">
        <v>443</v>
      </c>
      <c r="K295" s="323" t="s">
        <v>600</v>
      </c>
      <c r="L295" s="323"/>
      <c r="M295" s="323"/>
      <c r="N295"/>
    </row>
    <row r="296" spans="1:14" ht="22.15" customHeight="1">
      <c r="A296" s="322" t="s">
        <v>493</v>
      </c>
      <c r="B296" s="322" t="s">
        <v>466</v>
      </c>
      <c r="C296" s="322" t="s">
        <v>861</v>
      </c>
      <c r="D296" s="322" t="s">
        <v>854</v>
      </c>
      <c r="E296" s="325">
        <v>45443</v>
      </c>
      <c r="F296" s="324">
        <v>2.67</v>
      </c>
      <c r="H296" s="323" t="s">
        <v>573</v>
      </c>
      <c r="I296" s="323" t="s">
        <v>442</v>
      </c>
      <c r="J296" s="323" t="s">
        <v>443</v>
      </c>
      <c r="K296" s="323" t="s">
        <v>600</v>
      </c>
      <c r="L296" s="323"/>
      <c r="M296" s="323"/>
      <c r="N296"/>
    </row>
    <row r="297" spans="1:14" ht="22.15" customHeight="1">
      <c r="A297" s="322" t="s">
        <v>493</v>
      </c>
      <c r="B297" s="322" t="s">
        <v>466</v>
      </c>
      <c r="C297" s="322" t="s">
        <v>862</v>
      </c>
      <c r="D297" s="322" t="s">
        <v>854</v>
      </c>
      <c r="E297" s="325">
        <v>45443</v>
      </c>
      <c r="F297" s="324">
        <v>11.11</v>
      </c>
      <c r="H297" s="323" t="s">
        <v>573</v>
      </c>
      <c r="I297" s="323" t="s">
        <v>442</v>
      </c>
      <c r="J297" s="323" t="s">
        <v>443</v>
      </c>
      <c r="K297" s="323" t="s">
        <v>600</v>
      </c>
      <c r="L297" s="323"/>
      <c r="M297" s="323"/>
      <c r="N297"/>
    </row>
    <row r="298" spans="1:14" ht="22.15" customHeight="1">
      <c r="A298" s="322" t="s">
        <v>493</v>
      </c>
      <c r="B298" s="322" t="s">
        <v>466</v>
      </c>
      <c r="C298" s="322" t="s">
        <v>863</v>
      </c>
      <c r="D298" s="322" t="s">
        <v>854</v>
      </c>
      <c r="E298" s="325">
        <v>45443</v>
      </c>
      <c r="F298" s="324">
        <v>22.21</v>
      </c>
      <c r="H298" s="323" t="s">
        <v>573</v>
      </c>
      <c r="I298" s="323" t="s">
        <v>442</v>
      </c>
      <c r="J298" s="323" t="s">
        <v>443</v>
      </c>
      <c r="K298" s="323" t="s">
        <v>600</v>
      </c>
      <c r="L298" s="323"/>
      <c r="M298" s="323"/>
      <c r="N298"/>
    </row>
    <row r="299" spans="1:14" ht="22.15" customHeight="1">
      <c r="A299" s="322" t="s">
        <v>493</v>
      </c>
      <c r="B299" s="322" t="s">
        <v>466</v>
      </c>
      <c r="C299" s="322" t="s">
        <v>513</v>
      </c>
      <c r="D299" s="322" t="s">
        <v>854</v>
      </c>
      <c r="E299" s="325">
        <v>45443</v>
      </c>
      <c r="F299" s="324">
        <v>3.55</v>
      </c>
      <c r="H299" s="323" t="s">
        <v>573</v>
      </c>
      <c r="I299" s="323" t="s">
        <v>442</v>
      </c>
      <c r="J299" s="323" t="s">
        <v>443</v>
      </c>
      <c r="K299" s="323" t="s">
        <v>600</v>
      </c>
      <c r="L299" s="323"/>
      <c r="M299" s="323"/>
      <c r="N299"/>
    </row>
    <row r="300" spans="1:14" ht="22.15" customHeight="1">
      <c r="A300" s="322" t="s">
        <v>533</v>
      </c>
      <c r="B300" s="322" t="s">
        <v>447</v>
      </c>
      <c r="C300" s="322" t="s">
        <v>864</v>
      </c>
      <c r="D300" s="322" t="s">
        <v>854</v>
      </c>
      <c r="E300" s="325">
        <v>45443</v>
      </c>
      <c r="F300" s="324">
        <v>2.96</v>
      </c>
      <c r="H300" s="323" t="s">
        <v>573</v>
      </c>
      <c r="I300" s="323" t="s">
        <v>442</v>
      </c>
      <c r="J300" s="323" t="s">
        <v>443</v>
      </c>
      <c r="K300" s="323" t="s">
        <v>600</v>
      </c>
      <c r="L300" s="323"/>
      <c r="M300" s="323"/>
      <c r="N300"/>
    </row>
    <row r="301" spans="1:14" ht="22.15" customHeight="1">
      <c r="A301" s="322" t="s">
        <v>533</v>
      </c>
      <c r="B301" s="322" t="s">
        <v>447</v>
      </c>
      <c r="C301" s="322" t="s">
        <v>865</v>
      </c>
      <c r="D301" s="322" t="s">
        <v>854</v>
      </c>
      <c r="E301" s="325">
        <v>45443</v>
      </c>
      <c r="F301" s="324">
        <v>7.0000000000000007E-2</v>
      </c>
      <c r="H301" s="323" t="s">
        <v>573</v>
      </c>
      <c r="I301" s="323" t="s">
        <v>442</v>
      </c>
      <c r="J301" s="323" t="s">
        <v>443</v>
      </c>
      <c r="K301" s="323" t="s">
        <v>600</v>
      </c>
      <c r="L301" s="323"/>
      <c r="M301" s="323"/>
      <c r="N301"/>
    </row>
    <row r="302" spans="1:14" ht="22.15" customHeight="1">
      <c r="A302" s="322" t="s">
        <v>533</v>
      </c>
      <c r="B302" s="322" t="s">
        <v>447</v>
      </c>
      <c r="C302" s="322" t="s">
        <v>866</v>
      </c>
      <c r="D302" s="322" t="s">
        <v>854</v>
      </c>
      <c r="E302" s="325">
        <v>45443</v>
      </c>
      <c r="F302" s="324">
        <v>2.67</v>
      </c>
      <c r="H302" s="323" t="s">
        <v>573</v>
      </c>
      <c r="I302" s="323" t="s">
        <v>442</v>
      </c>
      <c r="J302" s="323" t="s">
        <v>443</v>
      </c>
      <c r="K302" s="323" t="s">
        <v>600</v>
      </c>
      <c r="L302" s="323"/>
      <c r="M302" s="323"/>
      <c r="N302"/>
    </row>
    <row r="303" spans="1:14" ht="22.15" customHeight="1">
      <c r="A303" s="322" t="s">
        <v>533</v>
      </c>
      <c r="B303" s="322" t="s">
        <v>447</v>
      </c>
      <c r="C303" s="322" t="s">
        <v>867</v>
      </c>
      <c r="D303" s="322" t="s">
        <v>854</v>
      </c>
      <c r="E303" s="325">
        <v>45443</v>
      </c>
      <c r="F303" s="324">
        <v>0.4</v>
      </c>
      <c r="H303" s="323" t="s">
        <v>573</v>
      </c>
      <c r="I303" s="323" t="s">
        <v>442</v>
      </c>
      <c r="J303" s="323" t="s">
        <v>443</v>
      </c>
      <c r="K303" s="323" t="s">
        <v>600</v>
      </c>
      <c r="L303" s="323"/>
      <c r="M303" s="323"/>
      <c r="N303"/>
    </row>
    <row r="304" spans="1:14" ht="22.15" customHeight="1">
      <c r="A304" s="322" t="s">
        <v>521</v>
      </c>
      <c r="B304" s="322" t="s">
        <v>473</v>
      </c>
      <c r="C304" s="322" t="s">
        <v>868</v>
      </c>
      <c r="D304" s="322" t="s">
        <v>854</v>
      </c>
      <c r="E304" s="325">
        <v>45443</v>
      </c>
      <c r="F304" s="324">
        <v>40.86</v>
      </c>
      <c r="H304" s="323" t="s">
        <v>573</v>
      </c>
      <c r="I304" s="323" t="s">
        <v>442</v>
      </c>
      <c r="J304" s="323" t="s">
        <v>443</v>
      </c>
      <c r="K304" s="323" t="s">
        <v>600</v>
      </c>
      <c r="L304" s="323"/>
      <c r="M304" s="323"/>
      <c r="N304"/>
    </row>
    <row r="305" spans="1:14" ht="22.15" customHeight="1">
      <c r="A305" s="322" t="s">
        <v>521</v>
      </c>
      <c r="B305" s="322" t="s">
        <v>473</v>
      </c>
      <c r="C305" s="322" t="s">
        <v>523</v>
      </c>
      <c r="D305" s="322" t="s">
        <v>854</v>
      </c>
      <c r="E305" s="325">
        <v>45443</v>
      </c>
      <c r="F305" s="324">
        <v>51.08</v>
      </c>
      <c r="H305" s="323" t="s">
        <v>573</v>
      </c>
      <c r="I305" s="323" t="s">
        <v>442</v>
      </c>
      <c r="J305" s="323" t="s">
        <v>443</v>
      </c>
      <c r="K305" s="323" t="s">
        <v>600</v>
      </c>
      <c r="L305" s="323"/>
      <c r="M305" s="323"/>
      <c r="N305"/>
    </row>
    <row r="306" spans="1:14" ht="22.15" customHeight="1">
      <c r="A306" s="322" t="s">
        <v>521</v>
      </c>
      <c r="B306" s="322" t="s">
        <v>473</v>
      </c>
      <c r="C306" s="322" t="s">
        <v>524</v>
      </c>
      <c r="D306" s="322" t="s">
        <v>854</v>
      </c>
      <c r="E306" s="325">
        <v>45443</v>
      </c>
      <c r="F306" s="324">
        <v>40.06</v>
      </c>
      <c r="H306" s="323" t="s">
        <v>573</v>
      </c>
      <c r="I306" s="323" t="s">
        <v>442</v>
      </c>
      <c r="J306" s="323" t="s">
        <v>443</v>
      </c>
      <c r="K306" s="323" t="s">
        <v>600</v>
      </c>
      <c r="L306" s="323"/>
      <c r="M306" s="323"/>
      <c r="N306"/>
    </row>
    <row r="307" spans="1:14" ht="22.15" customHeight="1">
      <c r="A307" s="322" t="s">
        <v>521</v>
      </c>
      <c r="B307" s="322" t="s">
        <v>473</v>
      </c>
      <c r="C307" s="322" t="s">
        <v>529</v>
      </c>
      <c r="D307" s="322" t="s">
        <v>854</v>
      </c>
      <c r="E307" s="325">
        <v>45443</v>
      </c>
      <c r="F307" s="324">
        <v>40.06</v>
      </c>
      <c r="H307" s="323" t="s">
        <v>573</v>
      </c>
      <c r="I307" s="323" t="s">
        <v>442</v>
      </c>
      <c r="J307" s="323" t="s">
        <v>443</v>
      </c>
      <c r="K307" s="323" t="s">
        <v>600</v>
      </c>
      <c r="L307" s="323"/>
      <c r="M307" s="323"/>
      <c r="N307"/>
    </row>
    <row r="308" spans="1:14" ht="22.15" customHeight="1">
      <c r="A308" s="322" t="s">
        <v>521</v>
      </c>
      <c r="B308" s="322" t="s">
        <v>473</v>
      </c>
      <c r="C308" s="322" t="s">
        <v>525</v>
      </c>
      <c r="D308" s="322" t="s">
        <v>854</v>
      </c>
      <c r="E308" s="325">
        <v>45443</v>
      </c>
      <c r="F308" s="324">
        <v>41.06</v>
      </c>
      <c r="H308" s="323" t="s">
        <v>573</v>
      </c>
      <c r="I308" s="323" t="s">
        <v>442</v>
      </c>
      <c r="J308" s="323" t="s">
        <v>443</v>
      </c>
      <c r="K308" s="323" t="s">
        <v>600</v>
      </c>
      <c r="L308" s="323"/>
      <c r="M308" s="323"/>
      <c r="N308"/>
    </row>
    <row r="309" spans="1:14" ht="22.15" customHeight="1">
      <c r="A309" s="322" t="s">
        <v>521</v>
      </c>
      <c r="B309" s="322" t="s">
        <v>473</v>
      </c>
      <c r="C309" s="322" t="s">
        <v>526</v>
      </c>
      <c r="D309" s="322" t="s">
        <v>854</v>
      </c>
      <c r="E309" s="325">
        <v>45443</v>
      </c>
      <c r="F309" s="324">
        <v>41.06</v>
      </c>
      <c r="H309" s="323" t="s">
        <v>573</v>
      </c>
      <c r="I309" s="323" t="s">
        <v>442</v>
      </c>
      <c r="J309" s="323" t="s">
        <v>443</v>
      </c>
      <c r="K309" s="323" t="s">
        <v>600</v>
      </c>
      <c r="L309" s="323"/>
      <c r="M309" s="323"/>
      <c r="N309"/>
    </row>
    <row r="310" spans="1:14" ht="22.15" customHeight="1">
      <c r="A310" s="322" t="s">
        <v>520</v>
      </c>
      <c r="B310" s="322" t="s">
        <v>472</v>
      </c>
      <c r="C310" s="322" t="s">
        <v>869</v>
      </c>
      <c r="D310" s="322" t="s">
        <v>854</v>
      </c>
      <c r="E310" s="325">
        <v>45443</v>
      </c>
      <c r="F310" s="324">
        <v>65.819999999999993</v>
      </c>
      <c r="H310" s="323" t="s">
        <v>573</v>
      </c>
      <c r="I310" s="323" t="s">
        <v>442</v>
      </c>
      <c r="J310" s="323" t="s">
        <v>443</v>
      </c>
      <c r="K310" s="323" t="s">
        <v>600</v>
      </c>
      <c r="L310" s="323"/>
      <c r="M310" s="323"/>
      <c r="N310"/>
    </row>
    <row r="311" spans="1:14" ht="22.15" customHeight="1">
      <c r="A311" s="322" t="s">
        <v>521</v>
      </c>
      <c r="B311" s="322" t="s">
        <v>473</v>
      </c>
      <c r="C311" s="322" t="s">
        <v>870</v>
      </c>
      <c r="D311" s="322" t="s">
        <v>854</v>
      </c>
      <c r="E311" s="325">
        <v>45443</v>
      </c>
      <c r="F311" s="324">
        <v>355.37</v>
      </c>
      <c r="H311" s="323" t="s">
        <v>573</v>
      </c>
      <c r="I311" s="323" t="s">
        <v>442</v>
      </c>
      <c r="J311" s="323" t="s">
        <v>443</v>
      </c>
      <c r="K311" s="323" t="s">
        <v>600</v>
      </c>
      <c r="L311" s="323"/>
      <c r="M311" s="323"/>
      <c r="N311"/>
    </row>
    <row r="312" spans="1:14" ht="22.15" customHeight="1">
      <c r="A312" s="322" t="s">
        <v>539</v>
      </c>
      <c r="B312" s="322" t="s">
        <v>455</v>
      </c>
      <c r="C312" s="322" t="s">
        <v>871</v>
      </c>
      <c r="D312" s="322" t="s">
        <v>854</v>
      </c>
      <c r="E312" s="325">
        <v>45443</v>
      </c>
      <c r="F312" s="324">
        <v>39.979999999999997</v>
      </c>
      <c r="H312" s="323" t="s">
        <v>573</v>
      </c>
      <c r="I312" s="323" t="s">
        <v>442</v>
      </c>
      <c r="J312" s="323" t="s">
        <v>443</v>
      </c>
      <c r="K312" s="323" t="s">
        <v>600</v>
      </c>
      <c r="L312" s="323"/>
      <c r="M312" s="323"/>
      <c r="N312"/>
    </row>
    <row r="313" spans="1:14" ht="22.15" customHeight="1">
      <c r="A313" s="322" t="s">
        <v>539</v>
      </c>
      <c r="B313" s="322" t="s">
        <v>455</v>
      </c>
      <c r="C313" s="322" t="s">
        <v>549</v>
      </c>
      <c r="D313" s="322" t="s">
        <v>854</v>
      </c>
      <c r="E313" s="325">
        <v>45443</v>
      </c>
      <c r="F313" s="324">
        <v>53.31</v>
      </c>
      <c r="H313" s="323" t="s">
        <v>573</v>
      </c>
      <c r="I313" s="323" t="s">
        <v>442</v>
      </c>
      <c r="J313" s="323" t="s">
        <v>443</v>
      </c>
      <c r="K313" s="323" t="s">
        <v>600</v>
      </c>
      <c r="L313" s="323"/>
      <c r="M313" s="323"/>
      <c r="N313"/>
    </row>
    <row r="314" spans="1:14" ht="22.15" customHeight="1">
      <c r="A314" s="322" t="s">
        <v>539</v>
      </c>
      <c r="B314" s="322" t="s">
        <v>455</v>
      </c>
      <c r="C314" s="322" t="s">
        <v>872</v>
      </c>
      <c r="D314" s="322" t="s">
        <v>854</v>
      </c>
      <c r="E314" s="325">
        <v>45443</v>
      </c>
      <c r="F314" s="324">
        <v>25.17</v>
      </c>
      <c r="H314" s="323" t="s">
        <v>573</v>
      </c>
      <c r="I314" s="323" t="s">
        <v>442</v>
      </c>
      <c r="J314" s="323" t="s">
        <v>443</v>
      </c>
      <c r="K314" s="323" t="s">
        <v>600</v>
      </c>
      <c r="L314" s="323"/>
      <c r="M314" s="323"/>
      <c r="N314"/>
    </row>
    <row r="315" spans="1:14" ht="22.15" customHeight="1">
      <c r="A315" s="322" t="s">
        <v>539</v>
      </c>
      <c r="B315" s="322" t="s">
        <v>455</v>
      </c>
      <c r="C315" s="322" t="s">
        <v>541</v>
      </c>
      <c r="D315" s="322" t="s">
        <v>854</v>
      </c>
      <c r="E315" s="325">
        <v>45443</v>
      </c>
      <c r="F315" s="324">
        <v>7.4</v>
      </c>
      <c r="H315" s="323" t="s">
        <v>573</v>
      </c>
      <c r="I315" s="323" t="s">
        <v>442</v>
      </c>
      <c r="J315" s="323" t="s">
        <v>443</v>
      </c>
      <c r="K315" s="323" t="s">
        <v>600</v>
      </c>
      <c r="L315" s="323"/>
      <c r="M315" s="323"/>
      <c r="N315"/>
    </row>
    <row r="316" spans="1:14" ht="22.15" customHeight="1">
      <c r="A316" s="322" t="s">
        <v>709</v>
      </c>
      <c r="B316" s="322" t="s">
        <v>710</v>
      </c>
      <c r="C316" s="322" t="s">
        <v>873</v>
      </c>
      <c r="D316" s="322" t="s">
        <v>854</v>
      </c>
      <c r="E316" s="325">
        <v>45443</v>
      </c>
      <c r="F316" s="324">
        <v>213.52</v>
      </c>
      <c r="H316" s="323" t="s">
        <v>573</v>
      </c>
      <c r="I316" s="323" t="s">
        <v>442</v>
      </c>
      <c r="J316" s="323" t="s">
        <v>443</v>
      </c>
      <c r="K316" s="323" t="s">
        <v>600</v>
      </c>
      <c r="L316" s="323"/>
      <c r="M316" s="323"/>
      <c r="N316"/>
    </row>
    <row r="317" spans="1:14" ht="22.15" customHeight="1">
      <c r="A317" s="322" t="s">
        <v>539</v>
      </c>
      <c r="B317" s="322" t="s">
        <v>455</v>
      </c>
      <c r="C317" s="322" t="s">
        <v>549</v>
      </c>
      <c r="D317" s="322" t="s">
        <v>854</v>
      </c>
      <c r="E317" s="325">
        <v>45443</v>
      </c>
      <c r="F317" s="324">
        <v>17.77</v>
      </c>
      <c r="H317" s="323" t="s">
        <v>573</v>
      </c>
      <c r="I317" s="323" t="s">
        <v>442</v>
      </c>
      <c r="J317" s="323" t="s">
        <v>443</v>
      </c>
      <c r="K317" s="323" t="s">
        <v>600</v>
      </c>
      <c r="L317" s="323"/>
      <c r="M317" s="323"/>
      <c r="N317"/>
    </row>
    <row r="318" spans="1:14" ht="22.15" customHeight="1">
      <c r="A318" s="322" t="s">
        <v>552</v>
      </c>
      <c r="B318" s="322" t="s">
        <v>457</v>
      </c>
      <c r="C318" s="322" t="s">
        <v>874</v>
      </c>
      <c r="D318" s="322" t="s">
        <v>854</v>
      </c>
      <c r="E318" s="325">
        <v>45443</v>
      </c>
      <c r="F318" s="324">
        <v>25.17</v>
      </c>
      <c r="H318" s="323" t="s">
        <v>573</v>
      </c>
      <c r="I318" s="323" t="s">
        <v>442</v>
      </c>
      <c r="J318" s="323" t="s">
        <v>443</v>
      </c>
      <c r="K318" s="323" t="s">
        <v>600</v>
      </c>
      <c r="L318" s="323"/>
      <c r="M318" s="323"/>
      <c r="N318"/>
    </row>
    <row r="319" spans="1:14" ht="22.15" customHeight="1">
      <c r="A319" s="322" t="s">
        <v>576</v>
      </c>
      <c r="B319" s="322" t="s">
        <v>583</v>
      </c>
      <c r="C319" s="322" t="s">
        <v>875</v>
      </c>
      <c r="D319" s="322" t="s">
        <v>854</v>
      </c>
      <c r="E319" s="325">
        <v>45443</v>
      </c>
      <c r="F319" s="324">
        <v>14.81</v>
      </c>
      <c r="H319" s="323" t="s">
        <v>573</v>
      </c>
      <c r="I319" s="323" t="s">
        <v>442</v>
      </c>
      <c r="J319" s="323" t="s">
        <v>443</v>
      </c>
      <c r="K319" s="323" t="s">
        <v>600</v>
      </c>
      <c r="L319" s="323"/>
      <c r="M319" s="323"/>
      <c r="N319"/>
    </row>
    <row r="320" spans="1:14" ht="22.15" customHeight="1">
      <c r="A320" s="322" t="s">
        <v>536</v>
      </c>
      <c r="B320" s="322" t="s">
        <v>459</v>
      </c>
      <c r="C320" s="322" t="s">
        <v>606</v>
      </c>
      <c r="D320" s="322" t="s">
        <v>876</v>
      </c>
      <c r="E320" s="325">
        <v>45443</v>
      </c>
      <c r="F320" s="324">
        <v>164</v>
      </c>
      <c r="H320" s="323" t="s">
        <v>465</v>
      </c>
      <c r="I320" s="323" t="s">
        <v>465</v>
      </c>
      <c r="J320" s="323" t="s">
        <v>443</v>
      </c>
      <c r="K320" s="323" t="s">
        <v>600</v>
      </c>
      <c r="L320" s="323"/>
      <c r="M320" s="323"/>
      <c r="N320"/>
    </row>
    <row r="321" spans="1:14" ht="22.15" customHeight="1">
      <c r="A321" s="322" t="s">
        <v>460</v>
      </c>
      <c r="B321" s="322" t="s">
        <v>461</v>
      </c>
      <c r="C321" s="322" t="s">
        <v>463</v>
      </c>
      <c r="D321" s="322" t="s">
        <v>877</v>
      </c>
      <c r="E321" s="325">
        <v>45443</v>
      </c>
      <c r="F321" s="324">
        <v>563.28</v>
      </c>
      <c r="H321" s="323" t="s">
        <v>465</v>
      </c>
      <c r="I321" s="323" t="s">
        <v>465</v>
      </c>
      <c r="J321" s="323" t="s">
        <v>443</v>
      </c>
      <c r="K321" s="323" t="s">
        <v>600</v>
      </c>
      <c r="L321" s="323"/>
      <c r="M321" s="323"/>
      <c r="N321"/>
    </row>
    <row r="322" spans="1:14" ht="22.15" customHeight="1">
      <c r="A322" s="322" t="s">
        <v>460</v>
      </c>
      <c r="B322" s="322" t="s">
        <v>461</v>
      </c>
      <c r="C322" s="322" t="s">
        <v>467</v>
      </c>
      <c r="D322" s="322" t="s">
        <v>877</v>
      </c>
      <c r="E322" s="325">
        <v>45443</v>
      </c>
      <c r="F322" s="324">
        <v>436.8</v>
      </c>
      <c r="H322" s="323" t="s">
        <v>465</v>
      </c>
      <c r="I322" s="323" t="s">
        <v>465</v>
      </c>
      <c r="J322" s="323" t="s">
        <v>443</v>
      </c>
      <c r="K322" s="323" t="s">
        <v>600</v>
      </c>
      <c r="L322" s="323"/>
      <c r="M322" s="323"/>
      <c r="N322"/>
    </row>
    <row r="323" spans="1:14" ht="22.15" customHeight="1">
      <c r="A323" s="322" t="s">
        <v>460</v>
      </c>
      <c r="B323" s="322" t="s">
        <v>461</v>
      </c>
      <c r="C323" s="322" t="s">
        <v>469</v>
      </c>
      <c r="D323" s="322" t="s">
        <v>877</v>
      </c>
      <c r="E323" s="325">
        <v>45443</v>
      </c>
      <c r="F323" s="324">
        <v>720</v>
      </c>
      <c r="H323" s="323" t="s">
        <v>465</v>
      </c>
      <c r="I323" s="323" t="s">
        <v>465</v>
      </c>
      <c r="J323" s="323" t="s">
        <v>443</v>
      </c>
      <c r="K323" s="323" t="s">
        <v>600</v>
      </c>
      <c r="L323" s="323"/>
      <c r="M323" s="323"/>
      <c r="N323"/>
    </row>
    <row r="324" spans="1:14" ht="22.15" customHeight="1">
      <c r="A324" s="322" t="s">
        <v>603</v>
      </c>
      <c r="B324" s="322" t="s">
        <v>604</v>
      </c>
      <c r="C324" s="322" t="s">
        <v>607</v>
      </c>
      <c r="D324" s="322" t="s">
        <v>876</v>
      </c>
      <c r="E324" s="325">
        <v>45443</v>
      </c>
      <c r="F324" s="324">
        <v>225</v>
      </c>
      <c r="H324" s="323" t="s">
        <v>465</v>
      </c>
      <c r="I324" s="323" t="s">
        <v>465</v>
      </c>
      <c r="J324" s="323" t="s">
        <v>443</v>
      </c>
      <c r="K324" s="323" t="s">
        <v>600</v>
      </c>
      <c r="L324" s="323"/>
      <c r="M324" s="323"/>
      <c r="N324"/>
    </row>
    <row r="325" spans="1:14" ht="22.15" customHeight="1">
      <c r="A325" s="322" t="s">
        <v>478</v>
      </c>
      <c r="B325" s="322" t="s">
        <v>449</v>
      </c>
      <c r="C325" s="322" t="s">
        <v>878</v>
      </c>
      <c r="D325" s="322" t="s">
        <v>879</v>
      </c>
      <c r="E325" s="325">
        <v>45457</v>
      </c>
      <c r="F325" s="324">
        <v>1000</v>
      </c>
      <c r="H325" s="323" t="s">
        <v>465</v>
      </c>
      <c r="I325" s="323" t="s">
        <v>442</v>
      </c>
      <c r="J325" s="323" t="s">
        <v>443</v>
      </c>
      <c r="K325" s="323" t="s">
        <v>600</v>
      </c>
      <c r="L325" s="323"/>
      <c r="M325" s="323"/>
      <c r="N325"/>
    </row>
    <row r="326" spans="1:14" ht="22.15" customHeight="1">
      <c r="A326" s="322" t="s">
        <v>560</v>
      </c>
      <c r="B326" s="322" t="s">
        <v>451</v>
      </c>
      <c r="C326" s="322" t="s">
        <v>880</v>
      </c>
      <c r="D326" s="322" t="s">
        <v>881</v>
      </c>
      <c r="E326" s="325">
        <v>45473</v>
      </c>
      <c r="F326" s="324">
        <v>4442.54</v>
      </c>
      <c r="H326" s="323" t="s">
        <v>562</v>
      </c>
      <c r="I326" s="323" t="s">
        <v>562</v>
      </c>
      <c r="J326" s="323" t="s">
        <v>443</v>
      </c>
      <c r="K326" s="323" t="s">
        <v>600</v>
      </c>
      <c r="L326" s="323"/>
      <c r="M326" s="323"/>
      <c r="N326"/>
    </row>
    <row r="327" spans="1:14" ht="22.15" customHeight="1">
      <c r="A327" s="322" t="s">
        <v>560</v>
      </c>
      <c r="B327" s="322" t="s">
        <v>451</v>
      </c>
      <c r="C327" s="322" t="s">
        <v>882</v>
      </c>
      <c r="D327" s="322" t="s">
        <v>881</v>
      </c>
      <c r="E327" s="325">
        <v>45473</v>
      </c>
      <c r="F327" s="324">
        <v>4509.18</v>
      </c>
      <c r="H327" s="323" t="s">
        <v>562</v>
      </c>
      <c r="I327" s="323" t="s">
        <v>562</v>
      </c>
      <c r="J327" s="323" t="s">
        <v>443</v>
      </c>
      <c r="K327" s="323" t="s">
        <v>600</v>
      </c>
      <c r="L327" s="323"/>
      <c r="M327" s="323"/>
      <c r="N327"/>
    </row>
    <row r="328" spans="1:14" ht="22.15" customHeight="1">
      <c r="A328" s="322" t="s">
        <v>560</v>
      </c>
      <c r="B328" s="322" t="s">
        <v>451</v>
      </c>
      <c r="C328" s="322" t="s">
        <v>883</v>
      </c>
      <c r="D328" s="322" t="s">
        <v>881</v>
      </c>
      <c r="E328" s="325">
        <v>45473</v>
      </c>
      <c r="F328" s="324">
        <v>4472.16</v>
      </c>
      <c r="H328" s="323" t="s">
        <v>562</v>
      </c>
      <c r="I328" s="323" t="s">
        <v>562</v>
      </c>
      <c r="J328" s="323" t="s">
        <v>443</v>
      </c>
      <c r="K328" s="323" t="s">
        <v>600</v>
      </c>
      <c r="L328" s="323"/>
      <c r="M328" s="323"/>
      <c r="N328"/>
    </row>
    <row r="329" spans="1:14" ht="22.15" customHeight="1">
      <c r="A329" s="322" t="s">
        <v>560</v>
      </c>
      <c r="B329" s="322" t="s">
        <v>451</v>
      </c>
      <c r="C329" s="322" t="s">
        <v>884</v>
      </c>
      <c r="D329" s="322" t="s">
        <v>881</v>
      </c>
      <c r="E329" s="325">
        <v>45473</v>
      </c>
      <c r="F329" s="324">
        <v>4138.97</v>
      </c>
      <c r="H329" s="323" t="s">
        <v>562</v>
      </c>
      <c r="I329" s="323" t="s">
        <v>562</v>
      </c>
      <c r="J329" s="323" t="s">
        <v>443</v>
      </c>
      <c r="K329" s="323" t="s">
        <v>600</v>
      </c>
      <c r="L329" s="323"/>
      <c r="M329" s="323"/>
      <c r="N329"/>
    </row>
    <row r="330" spans="1:14" ht="22.15" customHeight="1">
      <c r="A330" s="322" t="s">
        <v>552</v>
      </c>
      <c r="B330" s="322" t="s">
        <v>457</v>
      </c>
      <c r="C330" s="322" t="s">
        <v>885</v>
      </c>
      <c r="D330" s="322" t="s">
        <v>881</v>
      </c>
      <c r="E330" s="325">
        <v>45473</v>
      </c>
      <c r="F330" s="324">
        <v>114.95</v>
      </c>
      <c r="H330" s="323" t="s">
        <v>88</v>
      </c>
      <c r="I330" s="323" t="s">
        <v>442</v>
      </c>
      <c r="J330" s="323" t="s">
        <v>443</v>
      </c>
      <c r="K330" s="323" t="s">
        <v>600</v>
      </c>
      <c r="L330" s="323"/>
      <c r="M330" s="323"/>
      <c r="N330"/>
    </row>
    <row r="331" spans="1:14" ht="22.15" customHeight="1">
      <c r="A331" s="322" t="s">
        <v>552</v>
      </c>
      <c r="B331" s="322" t="s">
        <v>457</v>
      </c>
      <c r="C331" s="322" t="s">
        <v>886</v>
      </c>
      <c r="D331" s="322" t="s">
        <v>881</v>
      </c>
      <c r="E331" s="325">
        <v>45473</v>
      </c>
      <c r="F331" s="324">
        <v>114.95</v>
      </c>
      <c r="H331" s="323" t="s">
        <v>88</v>
      </c>
      <c r="I331" s="323" t="s">
        <v>442</v>
      </c>
      <c r="J331" s="323" t="s">
        <v>443</v>
      </c>
      <c r="K331" s="323" t="s">
        <v>600</v>
      </c>
      <c r="L331" s="323"/>
      <c r="M331" s="323"/>
      <c r="N331"/>
    </row>
    <row r="332" spans="1:14" ht="22.15" customHeight="1">
      <c r="A332" s="322" t="s">
        <v>558</v>
      </c>
      <c r="B332" s="322" t="s">
        <v>468</v>
      </c>
      <c r="C332" s="322" t="s">
        <v>887</v>
      </c>
      <c r="D332" s="322" t="s">
        <v>881</v>
      </c>
      <c r="E332" s="325">
        <v>45473</v>
      </c>
      <c r="F332" s="324">
        <v>55.53</v>
      </c>
      <c r="H332" s="323" t="s">
        <v>88</v>
      </c>
      <c r="I332" s="323" t="s">
        <v>442</v>
      </c>
      <c r="J332" s="323" t="s">
        <v>443</v>
      </c>
      <c r="K332" s="323" t="s">
        <v>600</v>
      </c>
      <c r="L332" s="323"/>
      <c r="M332" s="323"/>
      <c r="N332"/>
    </row>
    <row r="333" spans="1:14" ht="22.15" customHeight="1">
      <c r="A333" s="322" t="s">
        <v>558</v>
      </c>
      <c r="B333" s="322" t="s">
        <v>468</v>
      </c>
      <c r="C333" s="322" t="s">
        <v>888</v>
      </c>
      <c r="D333" s="322" t="s">
        <v>881</v>
      </c>
      <c r="E333" s="325">
        <v>45473</v>
      </c>
      <c r="F333" s="324">
        <v>55.53</v>
      </c>
      <c r="H333" s="323" t="s">
        <v>88</v>
      </c>
      <c r="I333" s="323" t="s">
        <v>442</v>
      </c>
      <c r="J333" s="323" t="s">
        <v>443</v>
      </c>
      <c r="K333" s="323" t="s">
        <v>600</v>
      </c>
      <c r="L333" s="323"/>
      <c r="M333" s="323"/>
      <c r="N333"/>
    </row>
    <row r="334" spans="1:14" ht="22.15" customHeight="1">
      <c r="A334" s="322" t="s">
        <v>539</v>
      </c>
      <c r="B334" s="322" t="s">
        <v>455</v>
      </c>
      <c r="C334" s="322" t="s">
        <v>889</v>
      </c>
      <c r="D334" s="322" t="s">
        <v>881</v>
      </c>
      <c r="E334" s="325">
        <v>45473</v>
      </c>
      <c r="F334" s="324">
        <v>44.43</v>
      </c>
      <c r="H334" s="323" t="s">
        <v>88</v>
      </c>
      <c r="I334" s="323" t="s">
        <v>442</v>
      </c>
      <c r="J334" s="323" t="s">
        <v>443</v>
      </c>
      <c r="K334" s="323" t="s">
        <v>600</v>
      </c>
      <c r="L334" s="323"/>
      <c r="M334" s="323"/>
      <c r="N334"/>
    </row>
    <row r="335" spans="1:14" ht="22.15" customHeight="1">
      <c r="A335" s="322" t="s">
        <v>539</v>
      </c>
      <c r="B335" s="322" t="s">
        <v>455</v>
      </c>
      <c r="C335" s="322" t="s">
        <v>889</v>
      </c>
      <c r="D335" s="322" t="s">
        <v>881</v>
      </c>
      <c r="E335" s="325">
        <v>45473</v>
      </c>
      <c r="F335" s="324">
        <v>59.23</v>
      </c>
      <c r="H335" s="323" t="s">
        <v>88</v>
      </c>
      <c r="I335" s="323" t="s">
        <v>442</v>
      </c>
      <c r="J335" s="323" t="s">
        <v>443</v>
      </c>
      <c r="K335" s="323" t="s">
        <v>600</v>
      </c>
      <c r="L335" s="323"/>
      <c r="M335" s="323"/>
      <c r="N335"/>
    </row>
    <row r="336" spans="1:14" ht="22.15" customHeight="1">
      <c r="A336" s="322" t="s">
        <v>539</v>
      </c>
      <c r="B336" s="322" t="s">
        <v>455</v>
      </c>
      <c r="C336" s="322" t="s">
        <v>890</v>
      </c>
      <c r="D336" s="322" t="s">
        <v>881</v>
      </c>
      <c r="E336" s="325">
        <v>45473</v>
      </c>
      <c r="F336" s="324">
        <v>4.4400000000000004</v>
      </c>
      <c r="H336" s="323" t="s">
        <v>88</v>
      </c>
      <c r="I336" s="323" t="s">
        <v>442</v>
      </c>
      <c r="J336" s="323" t="s">
        <v>443</v>
      </c>
      <c r="K336" s="323" t="s">
        <v>600</v>
      </c>
      <c r="L336" s="323"/>
      <c r="M336" s="323"/>
      <c r="N336"/>
    </row>
    <row r="337" spans="1:14" ht="22.15" customHeight="1">
      <c r="A337" s="322" t="s">
        <v>539</v>
      </c>
      <c r="B337" s="322" t="s">
        <v>455</v>
      </c>
      <c r="C337" s="322" t="s">
        <v>889</v>
      </c>
      <c r="D337" s="322" t="s">
        <v>881</v>
      </c>
      <c r="E337" s="325">
        <v>45473</v>
      </c>
      <c r="F337" s="324">
        <v>59.23</v>
      </c>
      <c r="H337" s="323" t="s">
        <v>88</v>
      </c>
      <c r="I337" s="323" t="s">
        <v>442</v>
      </c>
      <c r="J337" s="323" t="s">
        <v>443</v>
      </c>
      <c r="K337" s="323" t="s">
        <v>600</v>
      </c>
      <c r="L337" s="323"/>
      <c r="M337" s="323"/>
      <c r="N337"/>
    </row>
    <row r="338" spans="1:14" ht="22.15" customHeight="1">
      <c r="A338" s="322" t="s">
        <v>552</v>
      </c>
      <c r="B338" s="322" t="s">
        <v>457</v>
      </c>
      <c r="C338" s="322" t="s">
        <v>891</v>
      </c>
      <c r="D338" s="322" t="s">
        <v>881</v>
      </c>
      <c r="E338" s="325">
        <v>45473</v>
      </c>
      <c r="F338" s="324">
        <v>44.43</v>
      </c>
      <c r="H338" s="323" t="s">
        <v>88</v>
      </c>
      <c r="I338" s="323" t="s">
        <v>442</v>
      </c>
      <c r="J338" s="323" t="s">
        <v>443</v>
      </c>
      <c r="K338" s="323" t="s">
        <v>600</v>
      </c>
      <c r="L338" s="323"/>
      <c r="M338" s="323"/>
      <c r="N338"/>
    </row>
    <row r="339" spans="1:14" ht="22.15" customHeight="1">
      <c r="A339" s="322" t="s">
        <v>552</v>
      </c>
      <c r="B339" s="322" t="s">
        <v>457</v>
      </c>
      <c r="C339" s="322" t="s">
        <v>605</v>
      </c>
      <c r="D339" s="322" t="s">
        <v>881</v>
      </c>
      <c r="E339" s="325">
        <v>45473</v>
      </c>
      <c r="F339" s="324">
        <v>40.72</v>
      </c>
      <c r="H339" s="323" t="s">
        <v>88</v>
      </c>
      <c r="I339" s="323" t="s">
        <v>442</v>
      </c>
      <c r="J339" s="323" t="s">
        <v>443</v>
      </c>
      <c r="K339" s="323" t="s">
        <v>600</v>
      </c>
      <c r="L339" s="323"/>
      <c r="M339" s="323"/>
      <c r="N339"/>
    </row>
    <row r="340" spans="1:14" ht="22.15" customHeight="1">
      <c r="A340" s="322" t="s">
        <v>552</v>
      </c>
      <c r="B340" s="322" t="s">
        <v>457</v>
      </c>
      <c r="C340" s="322" t="s">
        <v>608</v>
      </c>
      <c r="D340" s="322" t="s">
        <v>881</v>
      </c>
      <c r="E340" s="325">
        <v>45473</v>
      </c>
      <c r="F340" s="324">
        <v>4.4400000000000004</v>
      </c>
      <c r="H340" s="323" t="s">
        <v>88</v>
      </c>
      <c r="I340" s="323" t="s">
        <v>442</v>
      </c>
      <c r="J340" s="323" t="s">
        <v>443</v>
      </c>
      <c r="K340" s="323" t="s">
        <v>600</v>
      </c>
      <c r="L340" s="323"/>
      <c r="M340" s="323"/>
      <c r="N340"/>
    </row>
    <row r="341" spans="1:14" ht="22.15" customHeight="1">
      <c r="A341" s="322" t="s">
        <v>552</v>
      </c>
      <c r="B341" s="322" t="s">
        <v>457</v>
      </c>
      <c r="C341" s="322" t="s">
        <v>892</v>
      </c>
      <c r="D341" s="322" t="s">
        <v>881</v>
      </c>
      <c r="E341" s="325">
        <v>45473</v>
      </c>
      <c r="F341" s="324">
        <v>42.8</v>
      </c>
      <c r="H341" s="323" t="s">
        <v>88</v>
      </c>
      <c r="I341" s="323" t="s">
        <v>442</v>
      </c>
      <c r="J341" s="323" t="s">
        <v>443</v>
      </c>
      <c r="K341" s="323" t="s">
        <v>600</v>
      </c>
      <c r="L341" s="323"/>
      <c r="M341" s="323"/>
      <c r="N341"/>
    </row>
    <row r="342" spans="1:14" ht="22.15" customHeight="1">
      <c r="A342" s="322" t="s">
        <v>552</v>
      </c>
      <c r="B342" s="322" t="s">
        <v>457</v>
      </c>
      <c r="C342" s="322" t="s">
        <v>893</v>
      </c>
      <c r="D342" s="322" t="s">
        <v>881</v>
      </c>
      <c r="E342" s="325">
        <v>45473</v>
      </c>
      <c r="F342" s="324">
        <v>49.61</v>
      </c>
      <c r="H342" s="323" t="s">
        <v>88</v>
      </c>
      <c r="I342" s="323" t="s">
        <v>442</v>
      </c>
      <c r="J342" s="323" t="s">
        <v>443</v>
      </c>
      <c r="K342" s="323" t="s">
        <v>600</v>
      </c>
      <c r="L342" s="323"/>
      <c r="M342" s="323"/>
      <c r="N342"/>
    </row>
    <row r="343" spans="1:14" ht="22.15" customHeight="1">
      <c r="A343" s="322" t="s">
        <v>539</v>
      </c>
      <c r="B343" s="322" t="s">
        <v>455</v>
      </c>
      <c r="C343" s="322" t="s">
        <v>894</v>
      </c>
      <c r="D343" s="322" t="s">
        <v>881</v>
      </c>
      <c r="E343" s="325">
        <v>45473</v>
      </c>
      <c r="F343" s="324">
        <v>29.62</v>
      </c>
      <c r="H343" s="323" t="s">
        <v>88</v>
      </c>
      <c r="I343" s="323" t="s">
        <v>442</v>
      </c>
      <c r="J343" s="323" t="s">
        <v>443</v>
      </c>
      <c r="K343" s="323" t="s">
        <v>600</v>
      </c>
      <c r="L343" s="323"/>
      <c r="M343" s="323"/>
      <c r="N343"/>
    </row>
    <row r="344" spans="1:14" ht="22.15" customHeight="1">
      <c r="A344" s="322" t="s">
        <v>552</v>
      </c>
      <c r="B344" s="322" t="s">
        <v>457</v>
      </c>
      <c r="C344" s="322" t="s">
        <v>895</v>
      </c>
      <c r="D344" s="322" t="s">
        <v>881</v>
      </c>
      <c r="E344" s="325">
        <v>45473</v>
      </c>
      <c r="F344" s="324">
        <v>192.51</v>
      </c>
      <c r="H344" s="323" t="s">
        <v>93</v>
      </c>
      <c r="I344" s="323" t="s">
        <v>442</v>
      </c>
      <c r="J344" s="323" t="s">
        <v>443</v>
      </c>
      <c r="K344" s="323" t="s">
        <v>600</v>
      </c>
      <c r="L344" s="323"/>
      <c r="M344" s="323"/>
      <c r="N344"/>
    </row>
    <row r="345" spans="1:14" ht="22.15" customHeight="1">
      <c r="A345" s="322" t="s">
        <v>552</v>
      </c>
      <c r="B345" s="322" t="s">
        <v>457</v>
      </c>
      <c r="C345" s="322" t="s">
        <v>896</v>
      </c>
      <c r="D345" s="322" t="s">
        <v>881</v>
      </c>
      <c r="E345" s="325">
        <v>45473</v>
      </c>
      <c r="F345" s="324">
        <v>8.89</v>
      </c>
      <c r="H345" s="323" t="s">
        <v>93</v>
      </c>
      <c r="I345" s="323" t="s">
        <v>442</v>
      </c>
      <c r="J345" s="323" t="s">
        <v>443</v>
      </c>
      <c r="K345" s="323" t="s">
        <v>600</v>
      </c>
      <c r="L345" s="323"/>
      <c r="M345" s="323"/>
      <c r="N345"/>
    </row>
    <row r="346" spans="1:14" ht="22.15" customHeight="1">
      <c r="A346" s="322" t="s">
        <v>539</v>
      </c>
      <c r="B346" s="322" t="s">
        <v>455</v>
      </c>
      <c r="C346" s="322" t="s">
        <v>897</v>
      </c>
      <c r="D346" s="322" t="s">
        <v>881</v>
      </c>
      <c r="E346" s="325">
        <v>45473</v>
      </c>
      <c r="F346" s="324">
        <v>74.040000000000006</v>
      </c>
      <c r="H346" s="323" t="s">
        <v>93</v>
      </c>
      <c r="I346" s="323" t="s">
        <v>442</v>
      </c>
      <c r="J346" s="323" t="s">
        <v>443</v>
      </c>
      <c r="K346" s="323" t="s">
        <v>600</v>
      </c>
      <c r="L346" s="323"/>
      <c r="M346" s="323"/>
      <c r="N346"/>
    </row>
    <row r="347" spans="1:14" ht="22.15" customHeight="1">
      <c r="A347" s="322" t="s">
        <v>539</v>
      </c>
      <c r="B347" s="322" t="s">
        <v>455</v>
      </c>
      <c r="C347" s="322" t="s">
        <v>547</v>
      </c>
      <c r="D347" s="322" t="s">
        <v>881</v>
      </c>
      <c r="E347" s="325">
        <v>45473</v>
      </c>
      <c r="F347" s="324">
        <v>177.7</v>
      </c>
      <c r="H347" s="323" t="s">
        <v>93</v>
      </c>
      <c r="I347" s="323" t="s">
        <v>442</v>
      </c>
      <c r="J347" s="323" t="s">
        <v>443</v>
      </c>
      <c r="K347" s="323" t="s">
        <v>600</v>
      </c>
      <c r="L347" s="323"/>
      <c r="M347" s="323"/>
      <c r="N347"/>
    </row>
    <row r="348" spans="1:14" ht="22.15" customHeight="1">
      <c r="A348" s="322" t="s">
        <v>437</v>
      </c>
      <c r="B348" s="322" t="s">
        <v>438</v>
      </c>
      <c r="C348" s="322" t="s">
        <v>898</v>
      </c>
      <c r="D348" s="322" t="s">
        <v>881</v>
      </c>
      <c r="E348" s="325">
        <v>45473</v>
      </c>
      <c r="F348" s="324">
        <v>1200.1099999999999</v>
      </c>
      <c r="H348" s="323" t="s">
        <v>571</v>
      </c>
      <c r="I348" s="323" t="s">
        <v>442</v>
      </c>
      <c r="J348" s="323" t="s">
        <v>443</v>
      </c>
      <c r="K348" s="323" t="s">
        <v>600</v>
      </c>
      <c r="L348" s="323"/>
      <c r="M348" s="323"/>
      <c r="N348"/>
    </row>
    <row r="349" spans="1:14" ht="22.15" customHeight="1">
      <c r="A349" s="322" t="s">
        <v>437</v>
      </c>
      <c r="B349" s="322" t="s">
        <v>438</v>
      </c>
      <c r="C349" s="322" t="s">
        <v>899</v>
      </c>
      <c r="D349" s="322" t="s">
        <v>881</v>
      </c>
      <c r="E349" s="325">
        <v>45473</v>
      </c>
      <c r="F349" s="324">
        <v>500.05</v>
      </c>
      <c r="H349" s="323" t="s">
        <v>572</v>
      </c>
      <c r="I349" s="323" t="s">
        <v>442</v>
      </c>
      <c r="J349" s="323" t="s">
        <v>443</v>
      </c>
      <c r="K349" s="323" t="s">
        <v>600</v>
      </c>
      <c r="L349" s="323"/>
      <c r="M349" s="323"/>
      <c r="N349"/>
    </row>
    <row r="350" spans="1:14" ht="22.15" customHeight="1">
      <c r="A350" s="322" t="s">
        <v>437</v>
      </c>
      <c r="B350" s="322" t="s">
        <v>438</v>
      </c>
      <c r="C350" s="322" t="s">
        <v>900</v>
      </c>
      <c r="D350" s="322" t="s">
        <v>881</v>
      </c>
      <c r="E350" s="325">
        <v>45473</v>
      </c>
      <c r="F350" s="324">
        <v>59.23</v>
      </c>
      <c r="H350" s="323" t="s">
        <v>573</v>
      </c>
      <c r="I350" s="323" t="s">
        <v>442</v>
      </c>
      <c r="J350" s="323" t="s">
        <v>443</v>
      </c>
      <c r="K350" s="323" t="s">
        <v>600</v>
      </c>
      <c r="L350" s="323"/>
      <c r="M350" s="323"/>
      <c r="N350"/>
    </row>
    <row r="351" spans="1:14" ht="22.15" customHeight="1">
      <c r="A351" s="322" t="s">
        <v>612</v>
      </c>
      <c r="B351" s="322" t="s">
        <v>613</v>
      </c>
      <c r="C351" s="322" t="s">
        <v>901</v>
      </c>
      <c r="D351" s="322" t="s">
        <v>881</v>
      </c>
      <c r="E351" s="325">
        <v>45473</v>
      </c>
      <c r="F351" s="324">
        <v>25.91</v>
      </c>
      <c r="H351" s="323" t="s">
        <v>573</v>
      </c>
      <c r="I351" s="323" t="s">
        <v>442</v>
      </c>
      <c r="J351" s="323" t="s">
        <v>443</v>
      </c>
      <c r="K351" s="323" t="s">
        <v>600</v>
      </c>
      <c r="L351" s="323"/>
      <c r="M351" s="323"/>
      <c r="N351"/>
    </row>
    <row r="352" spans="1:14" ht="22.15" customHeight="1">
      <c r="A352" s="322" t="s">
        <v>533</v>
      </c>
      <c r="B352" s="322" t="s">
        <v>447</v>
      </c>
      <c r="C352" s="322" t="s">
        <v>902</v>
      </c>
      <c r="D352" s="322" t="s">
        <v>881</v>
      </c>
      <c r="E352" s="325">
        <v>45473</v>
      </c>
      <c r="G352" s="324">
        <v>7.0000000000000007E-2</v>
      </c>
      <c r="H352" s="323" t="s">
        <v>573</v>
      </c>
      <c r="I352" s="323" t="s">
        <v>442</v>
      </c>
      <c r="J352" s="323" t="s">
        <v>443</v>
      </c>
      <c r="K352" s="323" t="s">
        <v>600</v>
      </c>
      <c r="L352" s="323"/>
      <c r="M352" s="323"/>
      <c r="N352"/>
    </row>
    <row r="353" spans="1:14" ht="22.15" customHeight="1">
      <c r="A353" s="322" t="s">
        <v>533</v>
      </c>
      <c r="B353" s="322" t="s">
        <v>447</v>
      </c>
      <c r="C353" s="322" t="s">
        <v>903</v>
      </c>
      <c r="D353" s="322" t="s">
        <v>881</v>
      </c>
      <c r="E353" s="325">
        <v>45473</v>
      </c>
      <c r="F353" s="324">
        <v>2.96</v>
      </c>
      <c r="H353" s="323" t="s">
        <v>573</v>
      </c>
      <c r="I353" s="323" t="s">
        <v>442</v>
      </c>
      <c r="J353" s="323" t="s">
        <v>443</v>
      </c>
      <c r="K353" s="323" t="s">
        <v>600</v>
      </c>
      <c r="L353" s="323"/>
      <c r="M353" s="323"/>
      <c r="N353"/>
    </row>
    <row r="354" spans="1:14" ht="22.15" customHeight="1">
      <c r="A354" s="322" t="s">
        <v>533</v>
      </c>
      <c r="B354" s="322" t="s">
        <v>447</v>
      </c>
      <c r="C354" s="322" t="s">
        <v>904</v>
      </c>
      <c r="D354" s="322" t="s">
        <v>881</v>
      </c>
      <c r="E354" s="325">
        <v>45473</v>
      </c>
      <c r="F354" s="324">
        <v>2.96</v>
      </c>
      <c r="H354" s="323" t="s">
        <v>573</v>
      </c>
      <c r="I354" s="323" t="s">
        <v>442</v>
      </c>
      <c r="J354" s="323" t="s">
        <v>443</v>
      </c>
      <c r="K354" s="323" t="s">
        <v>600</v>
      </c>
      <c r="L354" s="323"/>
      <c r="M354" s="323"/>
      <c r="N354"/>
    </row>
    <row r="355" spans="1:14" ht="22.15" customHeight="1">
      <c r="A355" s="322" t="s">
        <v>533</v>
      </c>
      <c r="B355" s="322" t="s">
        <v>447</v>
      </c>
      <c r="C355" s="322" t="s">
        <v>903</v>
      </c>
      <c r="D355" s="322" t="s">
        <v>881</v>
      </c>
      <c r="E355" s="325">
        <v>45473</v>
      </c>
      <c r="F355" s="324">
        <v>2.96</v>
      </c>
      <c r="H355" s="323" t="s">
        <v>573</v>
      </c>
      <c r="I355" s="323" t="s">
        <v>442</v>
      </c>
      <c r="J355" s="323" t="s">
        <v>443</v>
      </c>
      <c r="K355" s="323" t="s">
        <v>600</v>
      </c>
      <c r="L355" s="323"/>
      <c r="M355" s="323"/>
      <c r="N355"/>
    </row>
    <row r="356" spans="1:14" ht="22.15" customHeight="1">
      <c r="A356" s="322" t="s">
        <v>521</v>
      </c>
      <c r="B356" s="322" t="s">
        <v>473</v>
      </c>
      <c r="C356" s="322" t="s">
        <v>523</v>
      </c>
      <c r="D356" s="322" t="s">
        <v>881</v>
      </c>
      <c r="E356" s="325">
        <v>45473</v>
      </c>
      <c r="F356" s="324">
        <v>51</v>
      </c>
      <c r="H356" s="323" t="s">
        <v>573</v>
      </c>
      <c r="I356" s="323" t="s">
        <v>442</v>
      </c>
      <c r="J356" s="323" t="s">
        <v>443</v>
      </c>
      <c r="K356" s="323" t="s">
        <v>600</v>
      </c>
      <c r="L356" s="323"/>
      <c r="M356" s="323"/>
      <c r="N356"/>
    </row>
    <row r="357" spans="1:14" ht="22.15" customHeight="1">
      <c r="A357" s="322" t="s">
        <v>521</v>
      </c>
      <c r="B357" s="322" t="s">
        <v>473</v>
      </c>
      <c r="C357" s="322" t="s">
        <v>529</v>
      </c>
      <c r="D357" s="322" t="s">
        <v>881</v>
      </c>
      <c r="E357" s="325">
        <v>45473</v>
      </c>
      <c r="F357" s="324">
        <v>40</v>
      </c>
      <c r="H357" s="323" t="s">
        <v>573</v>
      </c>
      <c r="I357" s="323" t="s">
        <v>442</v>
      </c>
      <c r="J357" s="323" t="s">
        <v>443</v>
      </c>
      <c r="K357" s="323" t="s">
        <v>600</v>
      </c>
      <c r="L357" s="323"/>
      <c r="M357" s="323"/>
      <c r="N357"/>
    </row>
    <row r="358" spans="1:14" ht="22.15" customHeight="1">
      <c r="A358" s="322" t="s">
        <v>521</v>
      </c>
      <c r="B358" s="322" t="s">
        <v>473</v>
      </c>
      <c r="C358" s="322" t="s">
        <v>525</v>
      </c>
      <c r="D358" s="322" t="s">
        <v>881</v>
      </c>
      <c r="E358" s="325">
        <v>45473</v>
      </c>
      <c r="F358" s="324">
        <v>41</v>
      </c>
      <c r="H358" s="323" t="s">
        <v>573</v>
      </c>
      <c r="I358" s="323" t="s">
        <v>442</v>
      </c>
      <c r="J358" s="323" t="s">
        <v>443</v>
      </c>
      <c r="K358" s="323" t="s">
        <v>600</v>
      </c>
      <c r="L358" s="323"/>
      <c r="M358" s="323"/>
      <c r="N358"/>
    </row>
    <row r="359" spans="1:14" ht="22.15" customHeight="1">
      <c r="A359" s="322" t="s">
        <v>521</v>
      </c>
      <c r="B359" s="322" t="s">
        <v>473</v>
      </c>
      <c r="C359" s="322" t="s">
        <v>526</v>
      </c>
      <c r="D359" s="322" t="s">
        <v>881</v>
      </c>
      <c r="E359" s="325">
        <v>45473</v>
      </c>
      <c r="F359" s="324">
        <v>41</v>
      </c>
      <c r="H359" s="323" t="s">
        <v>573</v>
      </c>
      <c r="I359" s="323" t="s">
        <v>442</v>
      </c>
      <c r="J359" s="323" t="s">
        <v>443</v>
      </c>
      <c r="K359" s="323" t="s">
        <v>600</v>
      </c>
      <c r="L359" s="323"/>
      <c r="M359" s="323"/>
      <c r="N359"/>
    </row>
    <row r="360" spans="1:14" ht="22.15" customHeight="1">
      <c r="A360" s="322" t="s">
        <v>521</v>
      </c>
      <c r="B360" s="322" t="s">
        <v>473</v>
      </c>
      <c r="C360" s="322" t="s">
        <v>614</v>
      </c>
      <c r="D360" s="322" t="s">
        <v>881</v>
      </c>
      <c r="E360" s="325">
        <v>45473</v>
      </c>
      <c r="F360" s="324">
        <v>40.799999999999997</v>
      </c>
      <c r="H360" s="323" t="s">
        <v>573</v>
      </c>
      <c r="I360" s="323" t="s">
        <v>442</v>
      </c>
      <c r="J360" s="323" t="s">
        <v>443</v>
      </c>
      <c r="K360" s="323" t="s">
        <v>600</v>
      </c>
      <c r="L360" s="323"/>
      <c r="M360" s="323"/>
      <c r="N360"/>
    </row>
    <row r="361" spans="1:14" ht="22.15" customHeight="1">
      <c r="A361" s="322" t="s">
        <v>493</v>
      </c>
      <c r="B361" s="322" t="s">
        <v>466</v>
      </c>
      <c r="C361" s="322" t="s">
        <v>905</v>
      </c>
      <c r="D361" s="322" t="s">
        <v>881</v>
      </c>
      <c r="E361" s="325">
        <v>45473</v>
      </c>
      <c r="F361" s="324">
        <v>74.040000000000006</v>
      </c>
      <c r="H361" s="323" t="s">
        <v>573</v>
      </c>
      <c r="I361" s="323" t="s">
        <v>442</v>
      </c>
      <c r="J361" s="323" t="s">
        <v>443</v>
      </c>
      <c r="K361" s="323" t="s">
        <v>600</v>
      </c>
      <c r="L361" s="323"/>
      <c r="M361" s="323"/>
      <c r="N361"/>
    </row>
    <row r="362" spans="1:14" ht="22.15" customHeight="1">
      <c r="A362" s="322" t="s">
        <v>493</v>
      </c>
      <c r="B362" s="322" t="s">
        <v>466</v>
      </c>
      <c r="C362" s="322" t="s">
        <v>502</v>
      </c>
      <c r="D362" s="322" t="s">
        <v>881</v>
      </c>
      <c r="E362" s="325">
        <v>45473</v>
      </c>
      <c r="F362" s="324">
        <v>7.0000000000000007E-2</v>
      </c>
      <c r="H362" s="323" t="s">
        <v>573</v>
      </c>
      <c r="I362" s="323" t="s">
        <v>442</v>
      </c>
      <c r="J362" s="323" t="s">
        <v>443</v>
      </c>
      <c r="K362" s="323" t="s">
        <v>600</v>
      </c>
      <c r="L362" s="323"/>
      <c r="M362" s="323"/>
      <c r="N362"/>
    </row>
    <row r="363" spans="1:14" ht="22.15" customHeight="1">
      <c r="A363" s="322" t="s">
        <v>493</v>
      </c>
      <c r="B363" s="322" t="s">
        <v>466</v>
      </c>
      <c r="C363" s="322" t="s">
        <v>577</v>
      </c>
      <c r="D363" s="322" t="s">
        <v>881</v>
      </c>
      <c r="E363" s="325">
        <v>45473</v>
      </c>
      <c r="F363" s="324">
        <v>7.11</v>
      </c>
      <c r="H363" s="323" t="s">
        <v>573</v>
      </c>
      <c r="I363" s="323" t="s">
        <v>442</v>
      </c>
      <c r="J363" s="323" t="s">
        <v>443</v>
      </c>
      <c r="K363" s="323" t="s">
        <v>600</v>
      </c>
      <c r="L363" s="323"/>
      <c r="M363" s="323"/>
      <c r="N363"/>
    </row>
    <row r="364" spans="1:14" ht="22.15" customHeight="1">
      <c r="A364" s="322" t="s">
        <v>493</v>
      </c>
      <c r="B364" s="322" t="s">
        <v>466</v>
      </c>
      <c r="C364" s="322" t="s">
        <v>609</v>
      </c>
      <c r="D364" s="322" t="s">
        <v>881</v>
      </c>
      <c r="E364" s="325">
        <v>45473</v>
      </c>
      <c r="F364" s="324">
        <v>7.03</v>
      </c>
      <c r="H364" s="323" t="s">
        <v>573</v>
      </c>
      <c r="I364" s="323" t="s">
        <v>442</v>
      </c>
      <c r="J364" s="323" t="s">
        <v>443</v>
      </c>
      <c r="K364" s="323" t="s">
        <v>600</v>
      </c>
      <c r="L364" s="323"/>
      <c r="M364" s="323"/>
      <c r="N364"/>
    </row>
    <row r="365" spans="1:14" ht="22.15" customHeight="1">
      <c r="A365" s="322" t="s">
        <v>493</v>
      </c>
      <c r="B365" s="322" t="s">
        <v>466</v>
      </c>
      <c r="C365" s="322" t="s">
        <v>578</v>
      </c>
      <c r="D365" s="322" t="s">
        <v>881</v>
      </c>
      <c r="E365" s="325">
        <v>45473</v>
      </c>
      <c r="F365" s="324">
        <v>10.29</v>
      </c>
      <c r="H365" s="323" t="s">
        <v>573</v>
      </c>
      <c r="I365" s="323" t="s">
        <v>442</v>
      </c>
      <c r="J365" s="323" t="s">
        <v>443</v>
      </c>
      <c r="K365" s="323" t="s">
        <v>600</v>
      </c>
      <c r="L365" s="323"/>
      <c r="M365" s="323"/>
      <c r="N365"/>
    </row>
    <row r="366" spans="1:14" ht="22.15" customHeight="1">
      <c r="A366" s="322" t="s">
        <v>493</v>
      </c>
      <c r="B366" s="322" t="s">
        <v>466</v>
      </c>
      <c r="C366" s="322" t="s">
        <v>861</v>
      </c>
      <c r="D366" s="322" t="s">
        <v>881</v>
      </c>
      <c r="E366" s="325">
        <v>45473</v>
      </c>
      <c r="F366" s="324">
        <v>3.33</v>
      </c>
      <c r="H366" s="323" t="s">
        <v>573</v>
      </c>
      <c r="I366" s="323" t="s">
        <v>442</v>
      </c>
      <c r="J366" s="323" t="s">
        <v>443</v>
      </c>
      <c r="K366" s="323" t="s">
        <v>600</v>
      </c>
      <c r="L366" s="323"/>
      <c r="M366" s="323"/>
      <c r="N366"/>
    </row>
    <row r="367" spans="1:14" ht="22.15" customHeight="1">
      <c r="A367" s="322" t="s">
        <v>493</v>
      </c>
      <c r="B367" s="322" t="s">
        <v>466</v>
      </c>
      <c r="C367" s="322" t="s">
        <v>906</v>
      </c>
      <c r="D367" s="322" t="s">
        <v>881</v>
      </c>
      <c r="E367" s="325">
        <v>45473</v>
      </c>
      <c r="F367" s="324">
        <v>2.0699999999999998</v>
      </c>
      <c r="H367" s="323" t="s">
        <v>573</v>
      </c>
      <c r="I367" s="323" t="s">
        <v>442</v>
      </c>
      <c r="J367" s="323" t="s">
        <v>443</v>
      </c>
      <c r="K367" s="323" t="s">
        <v>600</v>
      </c>
      <c r="L367" s="323"/>
      <c r="M367" s="323"/>
      <c r="N367"/>
    </row>
    <row r="368" spans="1:14" ht="22.15" customHeight="1">
      <c r="A368" s="322" t="s">
        <v>493</v>
      </c>
      <c r="B368" s="322" t="s">
        <v>466</v>
      </c>
      <c r="C368" s="322" t="s">
        <v>610</v>
      </c>
      <c r="D368" s="322" t="s">
        <v>881</v>
      </c>
      <c r="E368" s="325">
        <v>45473</v>
      </c>
      <c r="F368" s="324">
        <v>4</v>
      </c>
      <c r="H368" s="323" t="s">
        <v>573</v>
      </c>
      <c r="I368" s="323" t="s">
        <v>442</v>
      </c>
      <c r="J368" s="323" t="s">
        <v>443</v>
      </c>
      <c r="K368" s="323" t="s">
        <v>600</v>
      </c>
      <c r="L368" s="323"/>
      <c r="M368" s="323"/>
      <c r="N368"/>
    </row>
    <row r="369" spans="1:14" ht="22.15" customHeight="1">
      <c r="A369" s="322" t="s">
        <v>493</v>
      </c>
      <c r="B369" s="322" t="s">
        <v>466</v>
      </c>
      <c r="C369" s="322" t="s">
        <v>907</v>
      </c>
      <c r="D369" s="322" t="s">
        <v>881</v>
      </c>
      <c r="E369" s="325">
        <v>45473</v>
      </c>
      <c r="F369" s="324">
        <v>5.92</v>
      </c>
      <c r="H369" s="323" t="s">
        <v>573</v>
      </c>
      <c r="I369" s="323" t="s">
        <v>442</v>
      </c>
      <c r="J369" s="323" t="s">
        <v>443</v>
      </c>
      <c r="K369" s="323" t="s">
        <v>600</v>
      </c>
      <c r="L369" s="323"/>
      <c r="M369" s="323"/>
      <c r="N369"/>
    </row>
    <row r="370" spans="1:14" ht="22.15" customHeight="1">
      <c r="A370" s="322" t="s">
        <v>493</v>
      </c>
      <c r="B370" s="322" t="s">
        <v>466</v>
      </c>
      <c r="C370" s="322" t="s">
        <v>611</v>
      </c>
      <c r="D370" s="322" t="s">
        <v>881</v>
      </c>
      <c r="E370" s="325">
        <v>45473</v>
      </c>
      <c r="F370" s="324">
        <v>2.96</v>
      </c>
      <c r="H370" s="323" t="s">
        <v>573</v>
      </c>
      <c r="I370" s="323" t="s">
        <v>442</v>
      </c>
      <c r="J370" s="323" t="s">
        <v>443</v>
      </c>
      <c r="K370" s="323" t="s">
        <v>600</v>
      </c>
      <c r="L370" s="323"/>
      <c r="M370" s="323"/>
      <c r="N370"/>
    </row>
    <row r="371" spans="1:14" ht="22.15" customHeight="1">
      <c r="A371" s="322" t="s">
        <v>493</v>
      </c>
      <c r="B371" s="322" t="s">
        <v>466</v>
      </c>
      <c r="C371" s="322" t="s">
        <v>513</v>
      </c>
      <c r="D371" s="322" t="s">
        <v>881</v>
      </c>
      <c r="E371" s="325">
        <v>45473</v>
      </c>
      <c r="F371" s="324">
        <v>2.96</v>
      </c>
      <c r="H371" s="323" t="s">
        <v>573</v>
      </c>
      <c r="I371" s="323" t="s">
        <v>442</v>
      </c>
      <c r="J371" s="323" t="s">
        <v>443</v>
      </c>
      <c r="K371" s="323" t="s">
        <v>600</v>
      </c>
      <c r="L371" s="323"/>
      <c r="M371" s="323"/>
      <c r="N371"/>
    </row>
    <row r="372" spans="1:14" ht="22.15" customHeight="1">
      <c r="A372" s="322" t="s">
        <v>493</v>
      </c>
      <c r="B372" s="322" t="s">
        <v>466</v>
      </c>
      <c r="C372" s="322" t="s">
        <v>494</v>
      </c>
      <c r="D372" s="322" t="s">
        <v>881</v>
      </c>
      <c r="E372" s="325">
        <v>45473</v>
      </c>
      <c r="F372" s="324">
        <v>12.44</v>
      </c>
      <c r="H372" s="323" t="s">
        <v>573</v>
      </c>
      <c r="I372" s="323" t="s">
        <v>442</v>
      </c>
      <c r="J372" s="323" t="s">
        <v>443</v>
      </c>
      <c r="K372" s="323" t="s">
        <v>600</v>
      </c>
      <c r="L372" s="323"/>
      <c r="M372" s="323"/>
      <c r="N372"/>
    </row>
    <row r="373" spans="1:14" ht="22.15" customHeight="1">
      <c r="A373" s="322" t="s">
        <v>539</v>
      </c>
      <c r="B373" s="322" t="s">
        <v>455</v>
      </c>
      <c r="C373" s="322" t="s">
        <v>541</v>
      </c>
      <c r="D373" s="322" t="s">
        <v>881</v>
      </c>
      <c r="E373" s="325">
        <v>45473</v>
      </c>
      <c r="F373" s="324">
        <v>8.89</v>
      </c>
      <c r="H373" s="323" t="s">
        <v>573</v>
      </c>
      <c r="I373" s="323" t="s">
        <v>442</v>
      </c>
      <c r="J373" s="323" t="s">
        <v>443</v>
      </c>
      <c r="K373" s="323" t="s">
        <v>600</v>
      </c>
      <c r="L373" s="323"/>
      <c r="M373" s="323"/>
      <c r="N373"/>
    </row>
    <row r="374" spans="1:14" ht="22.15" customHeight="1">
      <c r="A374" s="322" t="s">
        <v>536</v>
      </c>
      <c r="B374" s="322" t="s">
        <v>459</v>
      </c>
      <c r="C374" s="322" t="s">
        <v>606</v>
      </c>
      <c r="D374" s="322" t="s">
        <v>908</v>
      </c>
      <c r="E374" s="325">
        <v>45473</v>
      </c>
      <c r="F374" s="324">
        <v>164</v>
      </c>
      <c r="H374" s="323" t="s">
        <v>465</v>
      </c>
      <c r="I374" s="323" t="s">
        <v>465</v>
      </c>
      <c r="J374" s="323" t="s">
        <v>443</v>
      </c>
      <c r="K374" s="323" t="s">
        <v>600</v>
      </c>
      <c r="L374" s="323"/>
      <c r="M374" s="323"/>
      <c r="N374"/>
    </row>
    <row r="375" spans="1:14" ht="22.15" customHeight="1">
      <c r="A375" s="322" t="s">
        <v>460</v>
      </c>
      <c r="B375" s="322" t="s">
        <v>461</v>
      </c>
      <c r="C375" s="322" t="s">
        <v>463</v>
      </c>
      <c r="D375" s="322" t="s">
        <v>909</v>
      </c>
      <c r="E375" s="325">
        <v>45473</v>
      </c>
      <c r="F375" s="324">
        <v>563.28</v>
      </c>
      <c r="H375" s="323" t="s">
        <v>465</v>
      </c>
      <c r="I375" s="323" t="s">
        <v>465</v>
      </c>
      <c r="J375" s="323" t="s">
        <v>443</v>
      </c>
      <c r="K375" s="323" t="s">
        <v>600</v>
      </c>
      <c r="L375" s="323"/>
      <c r="M375" s="323"/>
      <c r="N375"/>
    </row>
    <row r="376" spans="1:14" ht="22.15" customHeight="1">
      <c r="A376" s="322" t="s">
        <v>460</v>
      </c>
      <c r="B376" s="322" t="s">
        <v>461</v>
      </c>
      <c r="C376" s="322" t="s">
        <v>467</v>
      </c>
      <c r="D376" s="322" t="s">
        <v>909</v>
      </c>
      <c r="E376" s="325">
        <v>45473</v>
      </c>
      <c r="F376" s="324">
        <v>436.8</v>
      </c>
      <c r="H376" s="323" t="s">
        <v>465</v>
      </c>
      <c r="I376" s="323" t="s">
        <v>465</v>
      </c>
      <c r="J376" s="323" t="s">
        <v>443</v>
      </c>
      <c r="K376" s="323" t="s">
        <v>600</v>
      </c>
      <c r="L376" s="323"/>
      <c r="M376" s="323"/>
      <c r="N376"/>
    </row>
    <row r="377" spans="1:14" ht="22.15" customHeight="1">
      <c r="A377" s="322" t="s">
        <v>460</v>
      </c>
      <c r="B377" s="322" t="s">
        <v>461</v>
      </c>
      <c r="C377" s="322" t="s">
        <v>469</v>
      </c>
      <c r="D377" s="322" t="s">
        <v>909</v>
      </c>
      <c r="E377" s="325">
        <v>45473</v>
      </c>
      <c r="F377" s="324">
        <v>720</v>
      </c>
      <c r="H377" s="323" t="s">
        <v>465</v>
      </c>
      <c r="I377" s="323" t="s">
        <v>465</v>
      </c>
      <c r="J377" s="323" t="s">
        <v>443</v>
      </c>
      <c r="K377" s="323" t="s">
        <v>600</v>
      </c>
      <c r="L377" s="323"/>
      <c r="M377" s="323"/>
      <c r="N377"/>
    </row>
    <row r="378" spans="1:14" ht="22.15" customHeight="1">
      <c r="A378" s="322" t="s">
        <v>603</v>
      </c>
      <c r="B378" s="322" t="s">
        <v>604</v>
      </c>
      <c r="C378" s="322" t="s">
        <v>607</v>
      </c>
      <c r="D378" s="322" t="s">
        <v>908</v>
      </c>
      <c r="E378" s="325">
        <v>45473</v>
      </c>
      <c r="F378" s="324">
        <v>225</v>
      </c>
      <c r="H378" s="323" t="s">
        <v>465</v>
      </c>
      <c r="I378" s="323" t="s">
        <v>465</v>
      </c>
      <c r="J378" s="323" t="s">
        <v>443</v>
      </c>
      <c r="K378" s="323" t="s">
        <v>600</v>
      </c>
      <c r="L378" s="323"/>
      <c r="M378" s="323"/>
      <c r="N378"/>
    </row>
    <row r="379" spans="1:14" ht="22.15" customHeight="1">
      <c r="A379" s="322" t="s">
        <v>478</v>
      </c>
      <c r="B379" s="322" t="s">
        <v>449</v>
      </c>
      <c r="C379" s="322" t="s">
        <v>615</v>
      </c>
      <c r="D379" s="322" t="s">
        <v>616</v>
      </c>
      <c r="E379" s="325">
        <v>45481</v>
      </c>
      <c r="F379" s="324">
        <v>2000</v>
      </c>
      <c r="H379" s="323" t="s">
        <v>465</v>
      </c>
      <c r="I379" s="323" t="s">
        <v>442</v>
      </c>
      <c r="J379" s="323" t="s">
        <v>443</v>
      </c>
      <c r="K379" s="323" t="s">
        <v>600</v>
      </c>
      <c r="L379" s="323"/>
      <c r="M379" s="323"/>
      <c r="N379"/>
    </row>
    <row r="380" spans="1:14" ht="22.15" customHeight="1">
      <c r="A380" s="322" t="s">
        <v>536</v>
      </c>
      <c r="B380" s="322" t="s">
        <v>459</v>
      </c>
      <c r="C380" s="322" t="s">
        <v>617</v>
      </c>
      <c r="D380" s="322" t="s">
        <v>618</v>
      </c>
      <c r="E380" s="325">
        <v>45504</v>
      </c>
      <c r="F380" s="324">
        <v>44.35</v>
      </c>
      <c r="H380" s="323" t="s">
        <v>88</v>
      </c>
      <c r="I380" s="323" t="s">
        <v>442</v>
      </c>
      <c r="J380" s="323" t="s">
        <v>443</v>
      </c>
      <c r="K380" s="323" t="s">
        <v>600</v>
      </c>
      <c r="L380" s="323"/>
      <c r="M380" s="323"/>
      <c r="N380"/>
    </row>
    <row r="381" spans="1:14" ht="22.15" customHeight="1">
      <c r="A381" s="322" t="s">
        <v>536</v>
      </c>
      <c r="B381" s="322" t="s">
        <v>459</v>
      </c>
      <c r="C381" s="322" t="s">
        <v>619</v>
      </c>
      <c r="D381" s="322" t="s">
        <v>618</v>
      </c>
      <c r="E381" s="325">
        <v>45504</v>
      </c>
      <c r="F381" s="324">
        <v>177.39</v>
      </c>
      <c r="H381" s="323" t="s">
        <v>88</v>
      </c>
      <c r="I381" s="323" t="s">
        <v>442</v>
      </c>
      <c r="J381" s="323" t="s">
        <v>443</v>
      </c>
      <c r="K381" s="323" t="s">
        <v>600</v>
      </c>
      <c r="L381" s="323"/>
      <c r="M381" s="323"/>
      <c r="N381"/>
    </row>
    <row r="382" spans="1:14" ht="22.15" customHeight="1">
      <c r="A382" s="322" t="s">
        <v>552</v>
      </c>
      <c r="B382" s="322" t="s">
        <v>457</v>
      </c>
      <c r="C382" s="322" t="s">
        <v>620</v>
      </c>
      <c r="D382" s="322" t="s">
        <v>618</v>
      </c>
      <c r="E382" s="325">
        <v>45504</v>
      </c>
      <c r="F382" s="324">
        <v>642.34</v>
      </c>
      <c r="H382" s="323" t="s">
        <v>93</v>
      </c>
      <c r="I382" s="323" t="s">
        <v>442</v>
      </c>
      <c r="J382" s="323" t="s">
        <v>443</v>
      </c>
      <c r="K382" s="323" t="s">
        <v>600</v>
      </c>
      <c r="L382" s="323"/>
      <c r="M382" s="323"/>
      <c r="N382"/>
    </row>
    <row r="383" spans="1:14" ht="22.15" customHeight="1">
      <c r="A383" s="322" t="s">
        <v>539</v>
      </c>
      <c r="B383" s="322" t="s">
        <v>455</v>
      </c>
      <c r="C383" s="322" t="s">
        <v>621</v>
      </c>
      <c r="D383" s="322" t="s">
        <v>618</v>
      </c>
      <c r="E383" s="325">
        <v>45504</v>
      </c>
      <c r="F383" s="324">
        <v>248.34</v>
      </c>
      <c r="H383" s="323" t="s">
        <v>93</v>
      </c>
      <c r="I383" s="323" t="s">
        <v>442</v>
      </c>
      <c r="J383" s="323" t="s">
        <v>443</v>
      </c>
      <c r="K383" s="323" t="s">
        <v>600</v>
      </c>
      <c r="L383" s="323"/>
      <c r="M383" s="323"/>
      <c r="N383"/>
    </row>
    <row r="384" spans="1:14" ht="22.15" customHeight="1">
      <c r="A384" s="322" t="s">
        <v>575</v>
      </c>
      <c r="B384" s="322" t="s">
        <v>581</v>
      </c>
      <c r="C384" s="322" t="s">
        <v>582</v>
      </c>
      <c r="D384" s="322" t="s">
        <v>618</v>
      </c>
      <c r="E384" s="325">
        <v>45504</v>
      </c>
      <c r="F384" s="324">
        <v>22.17</v>
      </c>
      <c r="H384" s="323" t="s">
        <v>93</v>
      </c>
      <c r="I384" s="323" t="s">
        <v>442</v>
      </c>
      <c r="J384" s="323" t="s">
        <v>443</v>
      </c>
      <c r="K384" s="323" t="s">
        <v>600</v>
      </c>
      <c r="L384" s="323"/>
      <c r="M384" s="323"/>
      <c r="N384"/>
    </row>
    <row r="385" spans="1:14" ht="22.15" customHeight="1">
      <c r="A385" s="322" t="s">
        <v>575</v>
      </c>
      <c r="B385" s="322" t="s">
        <v>581</v>
      </c>
      <c r="C385" s="322" t="s">
        <v>628</v>
      </c>
      <c r="D385" s="322" t="s">
        <v>618</v>
      </c>
      <c r="E385" s="325">
        <v>45504</v>
      </c>
      <c r="F385" s="324">
        <v>66.52</v>
      </c>
      <c r="H385" s="323" t="s">
        <v>100</v>
      </c>
      <c r="I385" s="323" t="s">
        <v>442</v>
      </c>
      <c r="J385" s="323" t="s">
        <v>443</v>
      </c>
      <c r="K385" s="323" t="s">
        <v>600</v>
      </c>
      <c r="L385" s="323"/>
      <c r="M385" s="323"/>
      <c r="N385"/>
    </row>
    <row r="386" spans="1:14" ht="22.15" customHeight="1">
      <c r="A386" s="322" t="s">
        <v>576</v>
      </c>
      <c r="B386" s="322" t="s">
        <v>583</v>
      </c>
      <c r="C386" s="322" t="s">
        <v>629</v>
      </c>
      <c r="D386" s="322" t="s">
        <v>618</v>
      </c>
      <c r="E386" s="325">
        <v>45504</v>
      </c>
      <c r="F386" s="324">
        <v>64.3</v>
      </c>
      <c r="H386" s="323" t="s">
        <v>100</v>
      </c>
      <c r="I386" s="323" t="s">
        <v>442</v>
      </c>
      <c r="J386" s="323" t="s">
        <v>443</v>
      </c>
      <c r="K386" s="323" t="s">
        <v>600</v>
      </c>
      <c r="L386" s="323"/>
      <c r="M386" s="323"/>
      <c r="N386"/>
    </row>
    <row r="387" spans="1:14" ht="22.15" customHeight="1">
      <c r="A387" s="322" t="s">
        <v>539</v>
      </c>
      <c r="B387" s="322" t="s">
        <v>455</v>
      </c>
      <c r="C387" s="322" t="s">
        <v>622</v>
      </c>
      <c r="D387" s="322" t="s">
        <v>618</v>
      </c>
      <c r="E387" s="325">
        <v>45504</v>
      </c>
      <c r="F387" s="324">
        <v>451.67</v>
      </c>
      <c r="H387" s="323" t="s">
        <v>100</v>
      </c>
      <c r="I387" s="323" t="s">
        <v>442</v>
      </c>
      <c r="J387" s="323" t="s">
        <v>443</v>
      </c>
      <c r="K387" s="323" t="s">
        <v>600</v>
      </c>
      <c r="L387" s="323"/>
      <c r="M387" s="323"/>
      <c r="N387"/>
    </row>
    <row r="388" spans="1:14" ht="22.15" customHeight="1">
      <c r="A388" s="322" t="s">
        <v>539</v>
      </c>
      <c r="B388" s="322" t="s">
        <v>455</v>
      </c>
      <c r="C388" s="322" t="s">
        <v>623</v>
      </c>
      <c r="D388" s="322" t="s">
        <v>618</v>
      </c>
      <c r="E388" s="325">
        <v>45504</v>
      </c>
      <c r="F388" s="324">
        <v>67.48</v>
      </c>
      <c r="H388" s="323" t="s">
        <v>100</v>
      </c>
      <c r="I388" s="323" t="s">
        <v>442</v>
      </c>
      <c r="J388" s="323" t="s">
        <v>443</v>
      </c>
      <c r="K388" s="323" t="s">
        <v>600</v>
      </c>
      <c r="L388" s="323"/>
      <c r="M388" s="323"/>
      <c r="N388"/>
    </row>
    <row r="389" spans="1:14" ht="22.15" customHeight="1">
      <c r="A389" s="322" t="s">
        <v>539</v>
      </c>
      <c r="B389" s="322" t="s">
        <v>455</v>
      </c>
      <c r="C389" s="322" t="s">
        <v>624</v>
      </c>
      <c r="D389" s="322" t="s">
        <v>618</v>
      </c>
      <c r="E389" s="325">
        <v>45504</v>
      </c>
      <c r="F389" s="324">
        <v>88.69</v>
      </c>
      <c r="H389" s="323" t="s">
        <v>100</v>
      </c>
      <c r="I389" s="323" t="s">
        <v>442</v>
      </c>
      <c r="J389" s="323" t="s">
        <v>443</v>
      </c>
      <c r="K389" s="323" t="s">
        <v>600</v>
      </c>
      <c r="L389" s="323"/>
      <c r="M389" s="323"/>
      <c r="N389"/>
    </row>
    <row r="390" spans="1:14" ht="22.15" customHeight="1">
      <c r="A390" s="322" t="s">
        <v>539</v>
      </c>
      <c r="B390" s="322" t="s">
        <v>455</v>
      </c>
      <c r="C390" s="322" t="s">
        <v>625</v>
      </c>
      <c r="D390" s="322" t="s">
        <v>618</v>
      </c>
      <c r="E390" s="325">
        <v>45504</v>
      </c>
      <c r="F390" s="324">
        <v>724.33</v>
      </c>
      <c r="H390" s="323" t="s">
        <v>100</v>
      </c>
      <c r="I390" s="323" t="s">
        <v>442</v>
      </c>
      <c r="J390" s="323" t="s">
        <v>443</v>
      </c>
      <c r="K390" s="323" t="s">
        <v>600</v>
      </c>
      <c r="L390" s="323"/>
      <c r="M390" s="323"/>
      <c r="N390"/>
    </row>
    <row r="391" spans="1:14" ht="22.15" customHeight="1">
      <c r="A391" s="322" t="s">
        <v>539</v>
      </c>
      <c r="B391" s="322" t="s">
        <v>455</v>
      </c>
      <c r="C391" s="322" t="s">
        <v>626</v>
      </c>
      <c r="D391" s="322" t="s">
        <v>618</v>
      </c>
      <c r="E391" s="325">
        <v>45504</v>
      </c>
      <c r="F391" s="324">
        <v>2660.8</v>
      </c>
      <c r="H391" s="323" t="s">
        <v>100</v>
      </c>
      <c r="I391" s="323" t="s">
        <v>442</v>
      </c>
      <c r="J391" s="323" t="s">
        <v>443</v>
      </c>
      <c r="K391" s="323" t="s">
        <v>600</v>
      </c>
      <c r="L391" s="323"/>
      <c r="M391" s="323"/>
      <c r="N391"/>
    </row>
    <row r="392" spans="1:14" ht="22.15" customHeight="1">
      <c r="A392" s="322" t="s">
        <v>638</v>
      </c>
      <c r="B392" s="322" t="s">
        <v>639</v>
      </c>
      <c r="C392" s="322" t="s">
        <v>640</v>
      </c>
      <c r="D392" s="322" t="s">
        <v>618</v>
      </c>
      <c r="E392" s="325">
        <v>45504</v>
      </c>
      <c r="F392" s="324">
        <v>1219.53</v>
      </c>
      <c r="H392" s="323" t="s">
        <v>100</v>
      </c>
      <c r="I392" s="323" t="s">
        <v>442</v>
      </c>
      <c r="J392" s="323" t="s">
        <v>443</v>
      </c>
      <c r="K392" s="323" t="s">
        <v>600</v>
      </c>
      <c r="L392" s="323"/>
      <c r="M392" s="323"/>
      <c r="N392"/>
    </row>
    <row r="393" spans="1:14" ht="22.15" customHeight="1">
      <c r="A393" s="322" t="s">
        <v>638</v>
      </c>
      <c r="B393" s="322" t="s">
        <v>639</v>
      </c>
      <c r="C393" s="322" t="s">
        <v>641</v>
      </c>
      <c r="D393" s="322" t="s">
        <v>618</v>
      </c>
      <c r="E393" s="325">
        <v>45504</v>
      </c>
      <c r="F393" s="324">
        <v>1219.53</v>
      </c>
      <c r="H393" s="323" t="s">
        <v>100</v>
      </c>
      <c r="I393" s="323" t="s">
        <v>442</v>
      </c>
      <c r="J393" s="323" t="s">
        <v>443</v>
      </c>
      <c r="K393" s="323" t="s">
        <v>600</v>
      </c>
      <c r="L393" s="323"/>
      <c r="M393" s="323"/>
      <c r="N393"/>
    </row>
    <row r="394" spans="1:14" ht="22.15" customHeight="1">
      <c r="A394" s="322" t="s">
        <v>539</v>
      </c>
      <c r="B394" s="322" t="s">
        <v>455</v>
      </c>
      <c r="C394" s="322" t="s">
        <v>608</v>
      </c>
      <c r="D394" s="322" t="s">
        <v>618</v>
      </c>
      <c r="E394" s="325">
        <v>45504</v>
      </c>
      <c r="F394" s="324">
        <v>65.040000000000006</v>
      </c>
      <c r="H394" s="323" t="s">
        <v>100</v>
      </c>
      <c r="I394" s="323" t="s">
        <v>442</v>
      </c>
      <c r="J394" s="323" t="s">
        <v>443</v>
      </c>
      <c r="K394" s="323" t="s">
        <v>600</v>
      </c>
      <c r="L394" s="323"/>
      <c r="M394" s="323"/>
      <c r="N394"/>
    </row>
    <row r="395" spans="1:14" ht="22.15" customHeight="1">
      <c r="A395" s="322" t="s">
        <v>539</v>
      </c>
      <c r="B395" s="322" t="s">
        <v>455</v>
      </c>
      <c r="C395" s="322" t="s">
        <v>627</v>
      </c>
      <c r="D395" s="322" t="s">
        <v>618</v>
      </c>
      <c r="E395" s="325">
        <v>45504</v>
      </c>
      <c r="F395" s="324">
        <v>88.69</v>
      </c>
      <c r="H395" s="323" t="s">
        <v>100</v>
      </c>
      <c r="I395" s="323" t="s">
        <v>442</v>
      </c>
      <c r="J395" s="323" t="s">
        <v>443</v>
      </c>
      <c r="K395" s="323" t="s">
        <v>600</v>
      </c>
      <c r="L395" s="323"/>
      <c r="M395" s="323"/>
      <c r="N395"/>
    </row>
    <row r="396" spans="1:14" ht="22.15" customHeight="1">
      <c r="A396" s="322" t="s">
        <v>552</v>
      </c>
      <c r="B396" s="322" t="s">
        <v>457</v>
      </c>
      <c r="C396" s="322" t="s">
        <v>580</v>
      </c>
      <c r="D396" s="322" t="s">
        <v>618</v>
      </c>
      <c r="E396" s="325">
        <v>45504</v>
      </c>
      <c r="F396" s="324">
        <v>7243.28</v>
      </c>
      <c r="H396" s="323" t="s">
        <v>100</v>
      </c>
      <c r="I396" s="323" t="s">
        <v>442</v>
      </c>
      <c r="J396" s="323" t="s">
        <v>443</v>
      </c>
      <c r="K396" s="323" t="s">
        <v>600</v>
      </c>
      <c r="L396" s="323"/>
      <c r="M396" s="323"/>
      <c r="N396"/>
    </row>
    <row r="397" spans="1:14" ht="22.15" customHeight="1">
      <c r="A397" s="322" t="s">
        <v>552</v>
      </c>
      <c r="B397" s="322" t="s">
        <v>457</v>
      </c>
      <c r="C397" s="322" t="s">
        <v>630</v>
      </c>
      <c r="D397" s="322" t="s">
        <v>618</v>
      </c>
      <c r="E397" s="325">
        <v>45504</v>
      </c>
      <c r="F397" s="324">
        <v>214.42</v>
      </c>
      <c r="H397" s="323" t="s">
        <v>100</v>
      </c>
      <c r="I397" s="323" t="s">
        <v>442</v>
      </c>
      <c r="J397" s="323" t="s">
        <v>443</v>
      </c>
      <c r="K397" s="323" t="s">
        <v>600</v>
      </c>
      <c r="L397" s="323"/>
      <c r="M397" s="323"/>
      <c r="N397"/>
    </row>
    <row r="398" spans="1:14" ht="22.15" customHeight="1">
      <c r="A398" s="322" t="s">
        <v>552</v>
      </c>
      <c r="B398" s="322" t="s">
        <v>457</v>
      </c>
      <c r="C398" s="322" t="s">
        <v>631</v>
      </c>
      <c r="D398" s="322" t="s">
        <v>618</v>
      </c>
      <c r="E398" s="325">
        <v>45504</v>
      </c>
      <c r="F398" s="324">
        <v>2635.82</v>
      </c>
      <c r="H398" s="323" t="s">
        <v>100</v>
      </c>
      <c r="I398" s="323" t="s">
        <v>442</v>
      </c>
      <c r="J398" s="323" t="s">
        <v>443</v>
      </c>
      <c r="K398" s="323" t="s">
        <v>600</v>
      </c>
      <c r="L398" s="323"/>
      <c r="M398" s="323"/>
      <c r="N398"/>
    </row>
    <row r="399" spans="1:14" ht="22.15" customHeight="1">
      <c r="A399" s="322" t="s">
        <v>536</v>
      </c>
      <c r="B399" s="322" t="s">
        <v>459</v>
      </c>
      <c r="C399" s="322" t="s">
        <v>632</v>
      </c>
      <c r="D399" s="322" t="s">
        <v>618</v>
      </c>
      <c r="E399" s="325">
        <v>45504</v>
      </c>
      <c r="F399" s="324">
        <v>975.63</v>
      </c>
      <c r="H399" s="323" t="s">
        <v>100</v>
      </c>
      <c r="I399" s="323" t="s">
        <v>442</v>
      </c>
      <c r="J399" s="323" t="s">
        <v>443</v>
      </c>
      <c r="K399" s="323" t="s">
        <v>600</v>
      </c>
      <c r="L399" s="323"/>
      <c r="M399" s="323"/>
      <c r="N399"/>
    </row>
    <row r="400" spans="1:14" ht="22.15" customHeight="1">
      <c r="A400" s="322" t="s">
        <v>536</v>
      </c>
      <c r="B400" s="322" t="s">
        <v>459</v>
      </c>
      <c r="C400" s="322" t="s">
        <v>633</v>
      </c>
      <c r="D400" s="322" t="s">
        <v>618</v>
      </c>
      <c r="E400" s="325">
        <v>45504</v>
      </c>
      <c r="F400" s="324">
        <v>4251.95</v>
      </c>
      <c r="H400" s="323" t="s">
        <v>100</v>
      </c>
      <c r="I400" s="323" t="s">
        <v>442</v>
      </c>
      <c r="J400" s="323" t="s">
        <v>443</v>
      </c>
      <c r="K400" s="323" t="s">
        <v>600</v>
      </c>
      <c r="L400" s="323"/>
      <c r="M400" s="323"/>
      <c r="N400"/>
    </row>
    <row r="401" spans="1:14" ht="22.15" customHeight="1">
      <c r="A401" s="322" t="s">
        <v>536</v>
      </c>
      <c r="B401" s="322" t="s">
        <v>459</v>
      </c>
      <c r="C401" s="322" t="s">
        <v>637</v>
      </c>
      <c r="D401" s="322" t="s">
        <v>618</v>
      </c>
      <c r="E401" s="325">
        <v>45504</v>
      </c>
      <c r="F401" s="324">
        <v>581.09</v>
      </c>
      <c r="H401" s="323" t="s">
        <v>100</v>
      </c>
      <c r="I401" s="323" t="s">
        <v>442</v>
      </c>
      <c r="J401" s="323" t="s">
        <v>443</v>
      </c>
      <c r="K401" s="323" t="s">
        <v>600</v>
      </c>
      <c r="L401" s="323"/>
      <c r="M401" s="323"/>
      <c r="N401"/>
    </row>
    <row r="402" spans="1:14" ht="22.15" customHeight="1">
      <c r="A402" s="322" t="s">
        <v>536</v>
      </c>
      <c r="B402" s="322" t="s">
        <v>459</v>
      </c>
      <c r="C402" s="322" t="s">
        <v>634</v>
      </c>
      <c r="D402" s="322" t="s">
        <v>618</v>
      </c>
      <c r="E402" s="325">
        <v>45504</v>
      </c>
      <c r="F402" s="324">
        <v>2834.64</v>
      </c>
      <c r="H402" s="323" t="s">
        <v>100</v>
      </c>
      <c r="I402" s="323" t="s">
        <v>442</v>
      </c>
      <c r="J402" s="323" t="s">
        <v>443</v>
      </c>
      <c r="K402" s="323" t="s">
        <v>600</v>
      </c>
      <c r="L402" s="323"/>
      <c r="M402" s="323"/>
      <c r="N402"/>
    </row>
    <row r="403" spans="1:14" ht="22.15" customHeight="1">
      <c r="A403" s="322" t="s">
        <v>536</v>
      </c>
      <c r="B403" s="322" t="s">
        <v>459</v>
      </c>
      <c r="C403" s="322" t="s">
        <v>635</v>
      </c>
      <c r="D403" s="322" t="s">
        <v>618</v>
      </c>
      <c r="E403" s="325">
        <v>45504</v>
      </c>
      <c r="F403" s="324">
        <v>975.63</v>
      </c>
      <c r="H403" s="323" t="s">
        <v>100</v>
      </c>
      <c r="I403" s="323" t="s">
        <v>442</v>
      </c>
      <c r="J403" s="323" t="s">
        <v>443</v>
      </c>
      <c r="K403" s="323" t="s">
        <v>600</v>
      </c>
      <c r="L403" s="323"/>
      <c r="M403" s="323"/>
      <c r="N403"/>
    </row>
    <row r="404" spans="1:14" ht="22.15" customHeight="1">
      <c r="A404" s="322" t="s">
        <v>536</v>
      </c>
      <c r="B404" s="322" t="s">
        <v>459</v>
      </c>
      <c r="C404" s="322" t="s">
        <v>636</v>
      </c>
      <c r="D404" s="322" t="s">
        <v>618</v>
      </c>
      <c r="E404" s="325">
        <v>45504</v>
      </c>
      <c r="F404" s="324">
        <v>221.73</v>
      </c>
      <c r="H404" s="323" t="s">
        <v>100</v>
      </c>
      <c r="I404" s="323" t="s">
        <v>442</v>
      </c>
      <c r="J404" s="323" t="s">
        <v>443</v>
      </c>
      <c r="K404" s="323" t="s">
        <v>600</v>
      </c>
      <c r="L404" s="323"/>
      <c r="M404" s="323"/>
      <c r="N404"/>
    </row>
    <row r="405" spans="1:14" ht="22.15" customHeight="1">
      <c r="A405" s="322" t="s">
        <v>478</v>
      </c>
      <c r="B405" s="322" t="s">
        <v>449</v>
      </c>
      <c r="C405" s="322" t="s">
        <v>642</v>
      </c>
      <c r="D405" s="322" t="s">
        <v>618</v>
      </c>
      <c r="E405" s="325">
        <v>45504</v>
      </c>
      <c r="F405" s="324">
        <v>229.12</v>
      </c>
      <c r="H405" s="323" t="s">
        <v>100</v>
      </c>
      <c r="I405" s="323" t="s">
        <v>442</v>
      </c>
      <c r="J405" s="323" t="s">
        <v>443</v>
      </c>
      <c r="K405" s="323" t="s">
        <v>600</v>
      </c>
      <c r="L405" s="323"/>
      <c r="M405" s="323"/>
      <c r="N405"/>
    </row>
    <row r="406" spans="1:14" ht="22.15" customHeight="1">
      <c r="A406" s="322" t="s">
        <v>478</v>
      </c>
      <c r="B406" s="322" t="s">
        <v>449</v>
      </c>
      <c r="C406" s="322" t="s">
        <v>643</v>
      </c>
      <c r="D406" s="322" t="s">
        <v>618</v>
      </c>
      <c r="E406" s="325">
        <v>45504</v>
      </c>
      <c r="F406" s="324">
        <v>886.93</v>
      </c>
      <c r="H406" s="323" t="s">
        <v>100</v>
      </c>
      <c r="I406" s="323" t="s">
        <v>442</v>
      </c>
      <c r="J406" s="323" t="s">
        <v>443</v>
      </c>
      <c r="K406" s="323" t="s">
        <v>600</v>
      </c>
      <c r="L406" s="323"/>
      <c r="M406" s="323"/>
      <c r="N406"/>
    </row>
    <row r="407" spans="1:14" ht="22.15" customHeight="1">
      <c r="A407" s="322" t="s">
        <v>478</v>
      </c>
      <c r="B407" s="322" t="s">
        <v>449</v>
      </c>
      <c r="C407" s="322" t="s">
        <v>449</v>
      </c>
      <c r="D407" s="322" t="s">
        <v>618</v>
      </c>
      <c r="E407" s="325">
        <v>45504</v>
      </c>
      <c r="F407" s="324">
        <v>147.82</v>
      </c>
      <c r="H407" s="323" t="s">
        <v>131</v>
      </c>
      <c r="I407" s="323" t="s">
        <v>442</v>
      </c>
      <c r="J407" s="323" t="s">
        <v>443</v>
      </c>
      <c r="K407" s="323" t="s">
        <v>600</v>
      </c>
      <c r="L407" s="323"/>
      <c r="M407" s="323"/>
      <c r="N407"/>
    </row>
    <row r="408" spans="1:14" ht="22.15" customHeight="1">
      <c r="A408" s="322" t="s">
        <v>558</v>
      </c>
      <c r="B408" s="322" t="s">
        <v>468</v>
      </c>
      <c r="C408" s="322" t="s">
        <v>468</v>
      </c>
      <c r="D408" s="322" t="s">
        <v>618</v>
      </c>
      <c r="E408" s="325">
        <v>45504</v>
      </c>
      <c r="F408" s="324">
        <v>177.39</v>
      </c>
      <c r="H408" s="323" t="s">
        <v>131</v>
      </c>
      <c r="I408" s="323" t="s">
        <v>442</v>
      </c>
      <c r="J408" s="323" t="s">
        <v>443</v>
      </c>
      <c r="K408" s="323" t="s">
        <v>600</v>
      </c>
      <c r="L408" s="323"/>
      <c r="M408" s="323"/>
      <c r="N408"/>
    </row>
    <row r="409" spans="1:14" ht="22.15" customHeight="1">
      <c r="A409" s="322" t="s">
        <v>552</v>
      </c>
      <c r="B409" s="322" t="s">
        <v>457</v>
      </c>
      <c r="C409" s="322" t="s">
        <v>457</v>
      </c>
      <c r="D409" s="322" t="s">
        <v>618</v>
      </c>
      <c r="E409" s="325">
        <v>45504</v>
      </c>
      <c r="F409" s="324">
        <v>191.43</v>
      </c>
      <c r="H409" s="323" t="s">
        <v>131</v>
      </c>
      <c r="I409" s="323" t="s">
        <v>442</v>
      </c>
      <c r="J409" s="323" t="s">
        <v>443</v>
      </c>
      <c r="K409" s="323" t="s">
        <v>600</v>
      </c>
      <c r="L409" s="323"/>
      <c r="M409" s="323"/>
      <c r="N409"/>
    </row>
    <row r="410" spans="1:14" ht="22.15" customHeight="1">
      <c r="A410" s="322" t="s">
        <v>552</v>
      </c>
      <c r="B410" s="322" t="s">
        <v>457</v>
      </c>
      <c r="C410" s="322" t="s">
        <v>457</v>
      </c>
      <c r="D410" s="322" t="s">
        <v>618</v>
      </c>
      <c r="E410" s="325">
        <v>45504</v>
      </c>
      <c r="F410" s="324">
        <v>321.17</v>
      </c>
      <c r="H410" s="323" t="s">
        <v>131</v>
      </c>
      <c r="I410" s="323" t="s">
        <v>442</v>
      </c>
      <c r="J410" s="323" t="s">
        <v>443</v>
      </c>
      <c r="K410" s="323" t="s">
        <v>600</v>
      </c>
      <c r="L410" s="323"/>
      <c r="M410" s="323"/>
      <c r="N410"/>
    </row>
    <row r="411" spans="1:14" ht="22.15" customHeight="1">
      <c r="A411" s="322" t="s">
        <v>552</v>
      </c>
      <c r="B411" s="322" t="s">
        <v>457</v>
      </c>
      <c r="C411" s="322" t="s">
        <v>457</v>
      </c>
      <c r="D411" s="322" t="s">
        <v>618</v>
      </c>
      <c r="E411" s="325">
        <v>45504</v>
      </c>
      <c r="F411" s="324">
        <v>886.93</v>
      </c>
      <c r="H411" s="323" t="s">
        <v>131</v>
      </c>
      <c r="I411" s="323" t="s">
        <v>442</v>
      </c>
      <c r="J411" s="323" t="s">
        <v>443</v>
      </c>
      <c r="K411" s="323" t="s">
        <v>600</v>
      </c>
      <c r="L411" s="323"/>
      <c r="M411" s="323"/>
      <c r="N411"/>
    </row>
    <row r="412" spans="1:14" ht="22.15" customHeight="1">
      <c r="A412" s="322" t="s">
        <v>539</v>
      </c>
      <c r="B412" s="322" t="s">
        <v>455</v>
      </c>
      <c r="C412" s="322" t="s">
        <v>455</v>
      </c>
      <c r="D412" s="322" t="s">
        <v>618</v>
      </c>
      <c r="E412" s="325">
        <v>45504</v>
      </c>
      <c r="F412" s="324">
        <v>266.08</v>
      </c>
      <c r="H412" s="323" t="s">
        <v>131</v>
      </c>
      <c r="I412" s="323" t="s">
        <v>442</v>
      </c>
      <c r="J412" s="323" t="s">
        <v>443</v>
      </c>
      <c r="K412" s="323" t="s">
        <v>600</v>
      </c>
      <c r="L412" s="323"/>
      <c r="M412" s="323"/>
      <c r="N412"/>
    </row>
    <row r="413" spans="1:14" ht="22.15" customHeight="1">
      <c r="A413" s="322" t="s">
        <v>576</v>
      </c>
      <c r="B413" s="322" t="s">
        <v>583</v>
      </c>
      <c r="C413" s="322" t="s">
        <v>583</v>
      </c>
      <c r="D413" s="322" t="s">
        <v>618</v>
      </c>
      <c r="E413" s="325">
        <v>45504</v>
      </c>
      <c r="F413" s="324">
        <v>88.69</v>
      </c>
      <c r="H413" s="323" t="s">
        <v>131</v>
      </c>
      <c r="I413" s="323" t="s">
        <v>442</v>
      </c>
      <c r="J413" s="323" t="s">
        <v>443</v>
      </c>
      <c r="K413" s="323" t="s">
        <v>600</v>
      </c>
      <c r="L413" s="323"/>
      <c r="M413" s="323"/>
      <c r="N413"/>
    </row>
    <row r="414" spans="1:14" ht="22.15" customHeight="1">
      <c r="A414" s="322" t="s">
        <v>437</v>
      </c>
      <c r="B414" s="322" t="s">
        <v>438</v>
      </c>
      <c r="C414" s="322" t="s">
        <v>644</v>
      </c>
      <c r="D414" s="322" t="s">
        <v>618</v>
      </c>
      <c r="E414" s="325">
        <v>45504</v>
      </c>
      <c r="F414" s="324">
        <v>1199.03</v>
      </c>
      <c r="H414" s="323" t="s">
        <v>571</v>
      </c>
      <c r="I414" s="323" t="s">
        <v>442</v>
      </c>
      <c r="J414" s="323" t="s">
        <v>443</v>
      </c>
      <c r="K414" s="323" t="s">
        <v>600</v>
      </c>
      <c r="L414" s="323"/>
      <c r="M414" s="323"/>
      <c r="N414"/>
    </row>
    <row r="415" spans="1:14" ht="22.15" customHeight="1">
      <c r="A415" s="322" t="s">
        <v>437</v>
      </c>
      <c r="B415" s="322" t="s">
        <v>438</v>
      </c>
      <c r="C415" s="322" t="s">
        <v>645</v>
      </c>
      <c r="D415" s="322" t="s">
        <v>618</v>
      </c>
      <c r="E415" s="325">
        <v>45504</v>
      </c>
      <c r="F415" s="324">
        <v>499.6</v>
      </c>
      <c r="H415" s="323" t="s">
        <v>572</v>
      </c>
      <c r="I415" s="323" t="s">
        <v>442</v>
      </c>
      <c r="J415" s="323" t="s">
        <v>443</v>
      </c>
      <c r="K415" s="323" t="s">
        <v>600</v>
      </c>
      <c r="L415" s="323"/>
      <c r="M415" s="323"/>
      <c r="N415"/>
    </row>
    <row r="416" spans="1:14" ht="22.15" customHeight="1">
      <c r="A416" s="322" t="s">
        <v>437</v>
      </c>
      <c r="B416" s="322" t="s">
        <v>438</v>
      </c>
      <c r="C416" s="322" t="s">
        <v>646</v>
      </c>
      <c r="D416" s="322" t="s">
        <v>618</v>
      </c>
      <c r="E416" s="325">
        <v>45504</v>
      </c>
      <c r="F416" s="324">
        <v>59.13</v>
      </c>
      <c r="H416" s="323" t="s">
        <v>573</v>
      </c>
      <c r="I416" s="323" t="s">
        <v>442</v>
      </c>
      <c r="J416" s="323" t="s">
        <v>443</v>
      </c>
      <c r="K416" s="323" t="s">
        <v>600</v>
      </c>
      <c r="L416" s="323"/>
      <c r="M416" s="323"/>
      <c r="N416"/>
    </row>
    <row r="417" spans="1:14" ht="22.15" customHeight="1">
      <c r="A417" s="322" t="s">
        <v>533</v>
      </c>
      <c r="B417" s="322" t="s">
        <v>447</v>
      </c>
      <c r="C417" s="322" t="s">
        <v>648</v>
      </c>
      <c r="D417" s="322" t="s">
        <v>618</v>
      </c>
      <c r="E417" s="325">
        <v>45504</v>
      </c>
      <c r="F417" s="324">
        <v>2.96</v>
      </c>
      <c r="H417" s="323" t="s">
        <v>573</v>
      </c>
      <c r="I417" s="323" t="s">
        <v>442</v>
      </c>
      <c r="J417" s="323" t="s">
        <v>443</v>
      </c>
      <c r="K417" s="323" t="s">
        <v>600</v>
      </c>
      <c r="L417" s="323"/>
      <c r="M417" s="323"/>
      <c r="N417"/>
    </row>
    <row r="418" spans="1:14" ht="22.15" customHeight="1">
      <c r="A418" s="322" t="s">
        <v>533</v>
      </c>
      <c r="B418" s="322" t="s">
        <v>447</v>
      </c>
      <c r="C418" s="322" t="s">
        <v>648</v>
      </c>
      <c r="D418" s="322" t="s">
        <v>618</v>
      </c>
      <c r="E418" s="325">
        <v>45504</v>
      </c>
      <c r="F418" s="324">
        <v>2.96</v>
      </c>
      <c r="H418" s="323" t="s">
        <v>573</v>
      </c>
      <c r="I418" s="323" t="s">
        <v>442</v>
      </c>
      <c r="J418" s="323" t="s">
        <v>443</v>
      </c>
      <c r="K418" s="323" t="s">
        <v>600</v>
      </c>
      <c r="L418" s="323"/>
      <c r="M418" s="323"/>
      <c r="N418"/>
    </row>
    <row r="419" spans="1:14" ht="22.15" customHeight="1">
      <c r="A419" s="322" t="s">
        <v>521</v>
      </c>
      <c r="B419" s="322" t="s">
        <v>473</v>
      </c>
      <c r="C419" s="322" t="s">
        <v>523</v>
      </c>
      <c r="D419" s="322" t="s">
        <v>618</v>
      </c>
      <c r="E419" s="325">
        <v>45504</v>
      </c>
      <c r="F419" s="324">
        <v>51</v>
      </c>
      <c r="H419" s="323" t="s">
        <v>573</v>
      </c>
      <c r="I419" s="323" t="s">
        <v>442</v>
      </c>
      <c r="J419" s="323" t="s">
        <v>443</v>
      </c>
      <c r="K419" s="323" t="s">
        <v>600</v>
      </c>
      <c r="L419" s="323"/>
      <c r="M419" s="323"/>
      <c r="N419"/>
    </row>
    <row r="420" spans="1:14" ht="22.15" customHeight="1">
      <c r="A420" s="322" t="s">
        <v>521</v>
      </c>
      <c r="B420" s="322" t="s">
        <v>473</v>
      </c>
      <c r="C420" s="322" t="s">
        <v>529</v>
      </c>
      <c r="D420" s="322" t="s">
        <v>618</v>
      </c>
      <c r="E420" s="325">
        <v>45504</v>
      </c>
      <c r="F420" s="324">
        <v>40.96</v>
      </c>
      <c r="H420" s="323" t="s">
        <v>573</v>
      </c>
      <c r="I420" s="323" t="s">
        <v>442</v>
      </c>
      <c r="J420" s="323" t="s">
        <v>443</v>
      </c>
      <c r="K420" s="323" t="s">
        <v>600</v>
      </c>
      <c r="L420" s="323"/>
      <c r="M420" s="323"/>
      <c r="N420"/>
    </row>
    <row r="421" spans="1:14" ht="22.15" customHeight="1">
      <c r="A421" s="322" t="s">
        <v>521</v>
      </c>
      <c r="B421" s="322" t="s">
        <v>473</v>
      </c>
      <c r="C421" s="322" t="s">
        <v>525</v>
      </c>
      <c r="D421" s="322" t="s">
        <v>618</v>
      </c>
      <c r="E421" s="325">
        <v>45504</v>
      </c>
      <c r="F421" s="324">
        <v>40.96</v>
      </c>
      <c r="H421" s="323" t="s">
        <v>573</v>
      </c>
      <c r="I421" s="323" t="s">
        <v>442</v>
      </c>
      <c r="J421" s="323" t="s">
        <v>443</v>
      </c>
      <c r="K421" s="323" t="s">
        <v>600</v>
      </c>
      <c r="L421" s="323"/>
      <c r="M421" s="323"/>
      <c r="N421"/>
    </row>
    <row r="422" spans="1:14" ht="22.15" customHeight="1">
      <c r="A422" s="322" t="s">
        <v>521</v>
      </c>
      <c r="B422" s="322" t="s">
        <v>473</v>
      </c>
      <c r="C422" s="322" t="s">
        <v>526</v>
      </c>
      <c r="D422" s="322" t="s">
        <v>618</v>
      </c>
      <c r="E422" s="325">
        <v>45504</v>
      </c>
      <c r="F422" s="324">
        <v>40.96</v>
      </c>
      <c r="H422" s="323" t="s">
        <v>573</v>
      </c>
      <c r="I422" s="323" t="s">
        <v>442</v>
      </c>
      <c r="J422" s="323" t="s">
        <v>443</v>
      </c>
      <c r="K422" s="323" t="s">
        <v>600</v>
      </c>
      <c r="L422" s="323"/>
      <c r="M422" s="323"/>
      <c r="N422"/>
    </row>
    <row r="423" spans="1:14" ht="22.15" customHeight="1">
      <c r="A423" s="322" t="s">
        <v>521</v>
      </c>
      <c r="B423" s="322" t="s">
        <v>473</v>
      </c>
      <c r="C423" s="322" t="s">
        <v>614</v>
      </c>
      <c r="D423" s="322" t="s">
        <v>618</v>
      </c>
      <c r="E423" s="325">
        <v>45504</v>
      </c>
      <c r="F423" s="324">
        <v>40.72</v>
      </c>
      <c r="H423" s="323" t="s">
        <v>573</v>
      </c>
      <c r="I423" s="323" t="s">
        <v>442</v>
      </c>
      <c r="J423" s="323" t="s">
        <v>443</v>
      </c>
      <c r="K423" s="323" t="s">
        <v>600</v>
      </c>
      <c r="L423" s="323"/>
      <c r="M423" s="323"/>
      <c r="N423"/>
    </row>
    <row r="424" spans="1:14" ht="22.15" customHeight="1">
      <c r="A424" s="322" t="s">
        <v>493</v>
      </c>
      <c r="B424" s="322" t="s">
        <v>466</v>
      </c>
      <c r="C424" s="322" t="s">
        <v>494</v>
      </c>
      <c r="D424" s="322" t="s">
        <v>618</v>
      </c>
      <c r="E424" s="325">
        <v>45504</v>
      </c>
      <c r="F424" s="324">
        <v>11.23</v>
      </c>
      <c r="H424" s="323" t="s">
        <v>573</v>
      </c>
      <c r="I424" s="323" t="s">
        <v>442</v>
      </c>
      <c r="J424" s="323" t="s">
        <v>443</v>
      </c>
      <c r="K424" s="323" t="s">
        <v>600</v>
      </c>
      <c r="L424" s="323"/>
      <c r="M424" s="323"/>
      <c r="N424"/>
    </row>
    <row r="425" spans="1:14" ht="22.15" customHeight="1">
      <c r="A425" s="322" t="s">
        <v>493</v>
      </c>
      <c r="B425" s="322" t="s">
        <v>466</v>
      </c>
      <c r="C425" s="322" t="s">
        <v>502</v>
      </c>
      <c r="D425" s="322" t="s">
        <v>618</v>
      </c>
      <c r="E425" s="325">
        <v>45504</v>
      </c>
      <c r="F425" s="324">
        <v>7.0000000000000007E-2</v>
      </c>
      <c r="H425" s="323" t="s">
        <v>573</v>
      </c>
      <c r="I425" s="323" t="s">
        <v>442</v>
      </c>
      <c r="J425" s="323" t="s">
        <v>443</v>
      </c>
      <c r="K425" s="323" t="s">
        <v>600</v>
      </c>
      <c r="L425" s="323"/>
      <c r="M425" s="323"/>
      <c r="N425"/>
    </row>
    <row r="426" spans="1:14" ht="22.15" customHeight="1">
      <c r="A426" s="322" t="s">
        <v>493</v>
      </c>
      <c r="B426" s="322" t="s">
        <v>466</v>
      </c>
      <c r="C426" s="322" t="s">
        <v>649</v>
      </c>
      <c r="D426" s="322" t="s">
        <v>618</v>
      </c>
      <c r="E426" s="325">
        <v>45504</v>
      </c>
      <c r="F426" s="324">
        <v>73.91</v>
      </c>
      <c r="H426" s="323" t="s">
        <v>573</v>
      </c>
      <c r="I426" s="323" t="s">
        <v>442</v>
      </c>
      <c r="J426" s="323" t="s">
        <v>443</v>
      </c>
      <c r="K426" s="323" t="s">
        <v>600</v>
      </c>
      <c r="L426" s="323"/>
      <c r="M426" s="323"/>
      <c r="N426"/>
    </row>
    <row r="427" spans="1:14" ht="22.15" customHeight="1">
      <c r="A427" s="322" t="s">
        <v>493</v>
      </c>
      <c r="B427" s="322" t="s">
        <v>466</v>
      </c>
      <c r="C427" s="322" t="s">
        <v>577</v>
      </c>
      <c r="D427" s="322" t="s">
        <v>618</v>
      </c>
      <c r="E427" s="325">
        <v>45504</v>
      </c>
      <c r="F427" s="324">
        <v>7.1</v>
      </c>
      <c r="H427" s="323" t="s">
        <v>573</v>
      </c>
      <c r="I427" s="323" t="s">
        <v>442</v>
      </c>
      <c r="J427" s="323" t="s">
        <v>443</v>
      </c>
      <c r="K427" s="323" t="s">
        <v>600</v>
      </c>
      <c r="L427" s="323"/>
      <c r="M427" s="323"/>
      <c r="N427"/>
    </row>
    <row r="428" spans="1:14" ht="22.15" customHeight="1">
      <c r="A428" s="322" t="s">
        <v>493</v>
      </c>
      <c r="B428" s="322" t="s">
        <v>466</v>
      </c>
      <c r="C428" s="322" t="s">
        <v>609</v>
      </c>
      <c r="D428" s="322" t="s">
        <v>618</v>
      </c>
      <c r="E428" s="325">
        <v>45504</v>
      </c>
      <c r="F428" s="324">
        <v>7.02</v>
      </c>
      <c r="H428" s="323" t="s">
        <v>573</v>
      </c>
      <c r="I428" s="323" t="s">
        <v>442</v>
      </c>
      <c r="J428" s="323" t="s">
        <v>443</v>
      </c>
      <c r="K428" s="323" t="s">
        <v>600</v>
      </c>
      <c r="L428" s="323"/>
      <c r="M428" s="323"/>
      <c r="N428"/>
    </row>
    <row r="429" spans="1:14" ht="22.15" customHeight="1">
      <c r="A429" s="322" t="s">
        <v>493</v>
      </c>
      <c r="B429" s="322" t="s">
        <v>466</v>
      </c>
      <c r="C429" s="322" t="s">
        <v>578</v>
      </c>
      <c r="D429" s="322" t="s">
        <v>618</v>
      </c>
      <c r="E429" s="325">
        <v>45504</v>
      </c>
      <c r="F429" s="324">
        <v>10.27</v>
      </c>
      <c r="H429" s="323" t="s">
        <v>573</v>
      </c>
      <c r="I429" s="323" t="s">
        <v>442</v>
      </c>
      <c r="J429" s="323" t="s">
        <v>443</v>
      </c>
      <c r="K429" s="323" t="s">
        <v>600</v>
      </c>
      <c r="L429" s="323"/>
      <c r="M429" s="323"/>
    </row>
    <row r="430" spans="1:14" ht="22.15" customHeight="1">
      <c r="A430" s="322" t="s">
        <v>493</v>
      </c>
      <c r="B430" s="322" t="s">
        <v>466</v>
      </c>
      <c r="C430" s="322" t="s">
        <v>650</v>
      </c>
      <c r="D430" s="322" t="s">
        <v>618</v>
      </c>
      <c r="E430" s="325">
        <v>45504</v>
      </c>
      <c r="F430" s="324">
        <v>4.43</v>
      </c>
      <c r="H430" s="323" t="s">
        <v>573</v>
      </c>
      <c r="I430" s="323" t="s">
        <v>442</v>
      </c>
      <c r="J430" s="323" t="s">
        <v>443</v>
      </c>
      <c r="K430" s="323" t="s">
        <v>600</v>
      </c>
      <c r="L430" s="323"/>
      <c r="M430" s="323"/>
    </row>
    <row r="431" spans="1:14" ht="22.15" customHeight="1">
      <c r="A431" s="322" t="s">
        <v>493</v>
      </c>
      <c r="B431" s="322" t="s">
        <v>466</v>
      </c>
      <c r="C431" s="322" t="s">
        <v>610</v>
      </c>
      <c r="D431" s="322" t="s">
        <v>618</v>
      </c>
      <c r="E431" s="325">
        <v>45504</v>
      </c>
      <c r="F431" s="324">
        <v>3.99</v>
      </c>
      <c r="H431" s="323" t="s">
        <v>573</v>
      </c>
      <c r="I431" s="323" t="s">
        <v>442</v>
      </c>
      <c r="J431" s="323" t="s">
        <v>443</v>
      </c>
      <c r="K431" s="323" t="s">
        <v>600</v>
      </c>
      <c r="L431" s="323"/>
      <c r="M431" s="323"/>
    </row>
    <row r="432" spans="1:14" ht="22.15" customHeight="1">
      <c r="A432" s="322" t="s">
        <v>493</v>
      </c>
      <c r="B432" s="322" t="s">
        <v>466</v>
      </c>
      <c r="C432" s="322" t="s">
        <v>513</v>
      </c>
      <c r="D432" s="322" t="s">
        <v>618</v>
      </c>
      <c r="E432" s="325">
        <v>45504</v>
      </c>
      <c r="F432" s="324">
        <v>3.55</v>
      </c>
      <c r="H432" s="323" t="s">
        <v>573</v>
      </c>
      <c r="I432" s="323" t="s">
        <v>442</v>
      </c>
      <c r="J432" s="323" t="s">
        <v>443</v>
      </c>
      <c r="K432" s="323" t="s">
        <v>600</v>
      </c>
      <c r="L432" s="323"/>
      <c r="M432" s="323"/>
    </row>
    <row r="433" spans="1:13" ht="22.15" customHeight="1">
      <c r="A433" s="322" t="s">
        <v>493</v>
      </c>
      <c r="B433" s="322" t="s">
        <v>466</v>
      </c>
      <c r="C433" s="322" t="s">
        <v>651</v>
      </c>
      <c r="D433" s="322" t="s">
        <v>618</v>
      </c>
      <c r="E433" s="325">
        <v>45504</v>
      </c>
      <c r="F433" s="324">
        <v>5.91</v>
      </c>
      <c r="H433" s="323" t="s">
        <v>573</v>
      </c>
      <c r="I433" s="323" t="s">
        <v>442</v>
      </c>
      <c r="J433" s="323" t="s">
        <v>443</v>
      </c>
      <c r="K433" s="323" t="s">
        <v>600</v>
      </c>
      <c r="L433" s="323"/>
      <c r="M433" s="323"/>
    </row>
    <row r="434" spans="1:13" ht="22.15" customHeight="1">
      <c r="A434" s="322" t="s">
        <v>493</v>
      </c>
      <c r="B434" s="322" t="s">
        <v>466</v>
      </c>
      <c r="C434" s="322" t="s">
        <v>611</v>
      </c>
      <c r="D434" s="322" t="s">
        <v>618</v>
      </c>
      <c r="E434" s="325">
        <v>45504</v>
      </c>
      <c r="F434" s="324">
        <v>8.8699999999999992</v>
      </c>
      <c r="H434" s="323" t="s">
        <v>573</v>
      </c>
      <c r="I434" s="323" t="s">
        <v>442</v>
      </c>
      <c r="J434" s="323" t="s">
        <v>443</v>
      </c>
      <c r="K434" s="323" t="s">
        <v>600</v>
      </c>
      <c r="L434" s="323"/>
      <c r="M434" s="323"/>
    </row>
    <row r="435" spans="1:13" ht="22.15" customHeight="1">
      <c r="A435" s="322" t="s">
        <v>493</v>
      </c>
      <c r="B435" s="322" t="s">
        <v>466</v>
      </c>
      <c r="C435" s="322" t="s">
        <v>652</v>
      </c>
      <c r="D435" s="322" t="s">
        <v>618</v>
      </c>
      <c r="E435" s="325">
        <v>45504</v>
      </c>
      <c r="F435" s="324">
        <v>38.43</v>
      </c>
      <c r="H435" s="323" t="s">
        <v>573</v>
      </c>
      <c r="I435" s="323" t="s">
        <v>442</v>
      </c>
      <c r="J435" s="323" t="s">
        <v>443</v>
      </c>
      <c r="K435" s="323" t="s">
        <v>600</v>
      </c>
      <c r="L435" s="323"/>
      <c r="M435" s="323"/>
    </row>
    <row r="436" spans="1:13" ht="22.15" customHeight="1">
      <c r="A436" s="322" t="s">
        <v>493</v>
      </c>
      <c r="B436" s="322" t="s">
        <v>466</v>
      </c>
      <c r="C436" s="322" t="s">
        <v>653</v>
      </c>
      <c r="D436" s="322" t="s">
        <v>618</v>
      </c>
      <c r="E436" s="325">
        <v>45504</v>
      </c>
      <c r="F436" s="324">
        <v>17.739999999999998</v>
      </c>
      <c r="H436" s="323" t="s">
        <v>573</v>
      </c>
      <c r="I436" s="323" t="s">
        <v>442</v>
      </c>
      <c r="J436" s="323" t="s">
        <v>443</v>
      </c>
      <c r="K436" s="323" t="s">
        <v>600</v>
      </c>
      <c r="L436" s="323"/>
      <c r="M436" s="323"/>
    </row>
    <row r="437" spans="1:13" ht="22.15" customHeight="1">
      <c r="A437" s="322" t="s">
        <v>493</v>
      </c>
      <c r="B437" s="322" t="s">
        <v>466</v>
      </c>
      <c r="C437" s="322" t="s">
        <v>654</v>
      </c>
      <c r="D437" s="322" t="s">
        <v>618</v>
      </c>
      <c r="E437" s="325">
        <v>45504</v>
      </c>
      <c r="F437" s="324">
        <v>2.96</v>
      </c>
      <c r="H437" s="323" t="s">
        <v>573</v>
      </c>
      <c r="I437" s="323" t="s">
        <v>442</v>
      </c>
      <c r="J437" s="323" t="s">
        <v>443</v>
      </c>
      <c r="K437" s="323" t="s">
        <v>600</v>
      </c>
      <c r="L437" s="323"/>
      <c r="M437" s="323"/>
    </row>
    <row r="438" spans="1:13" ht="22.15" customHeight="1">
      <c r="A438" s="322" t="s">
        <v>493</v>
      </c>
      <c r="B438" s="322" t="s">
        <v>466</v>
      </c>
      <c r="C438" s="322" t="s">
        <v>655</v>
      </c>
      <c r="D438" s="322" t="s">
        <v>618</v>
      </c>
      <c r="E438" s="325">
        <v>45504</v>
      </c>
      <c r="F438" s="324">
        <v>5.91</v>
      </c>
      <c r="H438" s="323" t="s">
        <v>573</v>
      </c>
      <c r="I438" s="323" t="s">
        <v>442</v>
      </c>
      <c r="J438" s="323" t="s">
        <v>443</v>
      </c>
      <c r="K438" s="323" t="s">
        <v>600</v>
      </c>
      <c r="L438" s="323"/>
      <c r="M438" s="323"/>
    </row>
    <row r="439" spans="1:13" ht="22.15" customHeight="1">
      <c r="A439" s="322" t="s">
        <v>493</v>
      </c>
      <c r="B439" s="322" t="s">
        <v>466</v>
      </c>
      <c r="C439" s="322" t="s">
        <v>656</v>
      </c>
      <c r="D439" s="322" t="s">
        <v>618</v>
      </c>
      <c r="E439" s="325">
        <v>45504</v>
      </c>
      <c r="F439" s="324">
        <v>17.739999999999998</v>
      </c>
      <c r="H439" s="323" t="s">
        <v>573</v>
      </c>
      <c r="I439" s="323" t="s">
        <v>442</v>
      </c>
      <c r="J439" s="323" t="s">
        <v>443</v>
      </c>
      <c r="K439" s="323" t="s">
        <v>600</v>
      </c>
      <c r="L439" s="323"/>
      <c r="M439" s="323"/>
    </row>
    <row r="440" spans="1:13" ht="22.15" customHeight="1">
      <c r="A440" s="322" t="s">
        <v>493</v>
      </c>
      <c r="B440" s="322" t="s">
        <v>466</v>
      </c>
      <c r="C440" s="322" t="s">
        <v>657</v>
      </c>
      <c r="D440" s="322" t="s">
        <v>618</v>
      </c>
      <c r="E440" s="325">
        <v>45504</v>
      </c>
      <c r="F440" s="324">
        <v>29.56</v>
      </c>
      <c r="H440" s="323" t="s">
        <v>573</v>
      </c>
      <c r="I440" s="323" t="s">
        <v>442</v>
      </c>
      <c r="J440" s="323" t="s">
        <v>443</v>
      </c>
      <c r="K440" s="323" t="s">
        <v>600</v>
      </c>
      <c r="L440" s="323"/>
      <c r="M440" s="323"/>
    </row>
    <row r="441" spans="1:13" ht="22.15" customHeight="1">
      <c r="A441" s="322" t="s">
        <v>493</v>
      </c>
      <c r="B441" s="322" t="s">
        <v>466</v>
      </c>
      <c r="C441" s="322" t="s">
        <v>658</v>
      </c>
      <c r="D441" s="322" t="s">
        <v>618</v>
      </c>
      <c r="E441" s="325">
        <v>45504</v>
      </c>
      <c r="F441" s="324">
        <v>20.7</v>
      </c>
      <c r="H441" s="323" t="s">
        <v>573</v>
      </c>
      <c r="I441" s="323" t="s">
        <v>442</v>
      </c>
      <c r="J441" s="323" t="s">
        <v>443</v>
      </c>
      <c r="K441" s="323" t="s">
        <v>600</v>
      </c>
      <c r="L441" s="323"/>
      <c r="M441" s="323"/>
    </row>
    <row r="442" spans="1:13" ht="22.15" customHeight="1">
      <c r="A442" s="322" t="s">
        <v>493</v>
      </c>
      <c r="B442" s="322" t="s">
        <v>466</v>
      </c>
      <c r="C442" s="322" t="s">
        <v>659</v>
      </c>
      <c r="D442" s="322" t="s">
        <v>618</v>
      </c>
      <c r="E442" s="325">
        <v>45504</v>
      </c>
      <c r="F442" s="324">
        <v>5.17</v>
      </c>
      <c r="H442" s="323" t="s">
        <v>573</v>
      </c>
      <c r="I442" s="323" t="s">
        <v>442</v>
      </c>
      <c r="J442" s="323" t="s">
        <v>443</v>
      </c>
      <c r="K442" s="323" t="s">
        <v>600</v>
      </c>
      <c r="L442" s="323"/>
      <c r="M442" s="323"/>
    </row>
    <row r="443" spans="1:13" ht="22.15" customHeight="1">
      <c r="A443" s="322" t="s">
        <v>493</v>
      </c>
      <c r="B443" s="322" t="s">
        <v>466</v>
      </c>
      <c r="C443" s="322" t="s">
        <v>660</v>
      </c>
      <c r="D443" s="322" t="s">
        <v>618</v>
      </c>
      <c r="E443" s="325">
        <v>45504</v>
      </c>
      <c r="F443" s="324">
        <v>3.55</v>
      </c>
      <c r="H443" s="323" t="s">
        <v>573</v>
      </c>
      <c r="I443" s="323" t="s">
        <v>442</v>
      </c>
      <c r="J443" s="323" t="s">
        <v>443</v>
      </c>
      <c r="K443" s="323" t="s">
        <v>600</v>
      </c>
      <c r="L443" s="323"/>
      <c r="M443" s="323"/>
    </row>
    <row r="444" spans="1:13" ht="22.15" customHeight="1">
      <c r="A444" s="322" t="s">
        <v>574</v>
      </c>
      <c r="B444" s="322" t="s">
        <v>579</v>
      </c>
      <c r="C444" s="322" t="s">
        <v>647</v>
      </c>
      <c r="D444" s="322" t="s">
        <v>618</v>
      </c>
      <c r="E444" s="325">
        <v>45504</v>
      </c>
      <c r="F444" s="324">
        <v>407.51</v>
      </c>
      <c r="H444" s="323" t="s">
        <v>573</v>
      </c>
      <c r="I444" s="323" t="s">
        <v>442</v>
      </c>
      <c r="J444" s="323" t="s">
        <v>443</v>
      </c>
      <c r="K444" s="323" t="s">
        <v>600</v>
      </c>
      <c r="L444" s="323"/>
      <c r="M444" s="323"/>
    </row>
    <row r="445" spans="1:13" ht="22.15" customHeight="1">
      <c r="A445" s="322" t="s">
        <v>539</v>
      </c>
      <c r="B445" s="322" t="s">
        <v>455</v>
      </c>
      <c r="C445" s="322" t="s">
        <v>541</v>
      </c>
      <c r="D445" s="322" t="s">
        <v>618</v>
      </c>
      <c r="E445" s="325">
        <v>45504</v>
      </c>
      <c r="F445" s="324">
        <v>10.35</v>
      </c>
      <c r="H445" s="323" t="s">
        <v>573</v>
      </c>
      <c r="I445" s="323" t="s">
        <v>442</v>
      </c>
      <c r="J445" s="323" t="s">
        <v>443</v>
      </c>
      <c r="K445" s="323" t="s">
        <v>600</v>
      </c>
      <c r="L445" s="323"/>
      <c r="M445" s="323"/>
    </row>
    <row r="446" spans="1:13" ht="22.15" customHeight="1">
      <c r="A446" s="322" t="s">
        <v>539</v>
      </c>
      <c r="B446" s="322" t="s">
        <v>455</v>
      </c>
      <c r="C446" s="322" t="s">
        <v>661</v>
      </c>
      <c r="D446" s="322" t="s">
        <v>618</v>
      </c>
      <c r="E446" s="325">
        <v>45504</v>
      </c>
      <c r="F446" s="324">
        <v>14.78</v>
      </c>
      <c r="H446" s="323" t="s">
        <v>573</v>
      </c>
      <c r="I446" s="323" t="s">
        <v>442</v>
      </c>
      <c r="J446" s="323" t="s">
        <v>443</v>
      </c>
      <c r="K446" s="323" t="s">
        <v>600</v>
      </c>
      <c r="L446" s="323"/>
      <c r="M446" s="323"/>
    </row>
    <row r="447" spans="1:13" ht="22.15" customHeight="1">
      <c r="A447" s="322" t="s">
        <v>539</v>
      </c>
      <c r="B447" s="322" t="s">
        <v>455</v>
      </c>
      <c r="C447" s="322" t="s">
        <v>661</v>
      </c>
      <c r="D447" s="322" t="s">
        <v>618</v>
      </c>
      <c r="E447" s="325">
        <v>45504</v>
      </c>
      <c r="F447" s="324">
        <v>29.56</v>
      </c>
      <c r="H447" s="323" t="s">
        <v>573</v>
      </c>
      <c r="I447" s="323" t="s">
        <v>442</v>
      </c>
      <c r="J447" s="323" t="s">
        <v>443</v>
      </c>
      <c r="K447" s="323" t="s">
        <v>600</v>
      </c>
      <c r="L447" s="323"/>
      <c r="M447" s="323"/>
    </row>
    <row r="448" spans="1:13" ht="22.15" customHeight="1">
      <c r="A448" s="322" t="s">
        <v>539</v>
      </c>
      <c r="B448" s="322" t="s">
        <v>455</v>
      </c>
      <c r="C448" s="322" t="s">
        <v>661</v>
      </c>
      <c r="D448" s="322" t="s">
        <v>618</v>
      </c>
      <c r="E448" s="325">
        <v>45504</v>
      </c>
      <c r="F448" s="324">
        <v>29.56</v>
      </c>
      <c r="H448" s="323" t="s">
        <v>573</v>
      </c>
      <c r="I448" s="323" t="s">
        <v>442</v>
      </c>
      <c r="J448" s="323" t="s">
        <v>443</v>
      </c>
      <c r="K448" s="323" t="s">
        <v>600</v>
      </c>
      <c r="L448" s="323"/>
      <c r="M448" s="323"/>
    </row>
    <row r="449" spans="1:13" ht="22.15" customHeight="1">
      <c r="A449" s="322" t="s">
        <v>539</v>
      </c>
      <c r="B449" s="322" t="s">
        <v>455</v>
      </c>
      <c r="C449" s="322" t="s">
        <v>661</v>
      </c>
      <c r="D449" s="322" t="s">
        <v>618</v>
      </c>
      <c r="E449" s="325">
        <v>45504</v>
      </c>
      <c r="F449" s="324">
        <v>29.56</v>
      </c>
      <c r="H449" s="323" t="s">
        <v>573</v>
      </c>
      <c r="I449" s="323" t="s">
        <v>442</v>
      </c>
      <c r="J449" s="323" t="s">
        <v>443</v>
      </c>
      <c r="K449" s="323" t="s">
        <v>600</v>
      </c>
      <c r="L449" s="323"/>
      <c r="M449" s="323"/>
    </row>
    <row r="450" spans="1:13" ht="22.15" customHeight="1">
      <c r="A450" s="322" t="s">
        <v>536</v>
      </c>
      <c r="B450" s="322" t="s">
        <v>459</v>
      </c>
      <c r="C450" s="322" t="s">
        <v>606</v>
      </c>
      <c r="D450" s="322" t="s">
        <v>662</v>
      </c>
      <c r="E450" s="325">
        <v>45504</v>
      </c>
      <c r="F450" s="324">
        <v>164</v>
      </c>
      <c r="H450" s="323" t="s">
        <v>465</v>
      </c>
      <c r="I450" s="323" t="s">
        <v>465</v>
      </c>
      <c r="J450" s="323" t="s">
        <v>443</v>
      </c>
      <c r="K450" s="323" t="s">
        <v>600</v>
      </c>
      <c r="L450" s="323"/>
      <c r="M450" s="323"/>
    </row>
    <row r="451" spans="1:13" ht="22.15" customHeight="1">
      <c r="A451" s="322" t="s">
        <v>460</v>
      </c>
      <c r="B451" s="322" t="s">
        <v>461</v>
      </c>
      <c r="C451" s="322" t="s">
        <v>463</v>
      </c>
      <c r="D451" s="322" t="s">
        <v>663</v>
      </c>
      <c r="E451" s="325">
        <v>45504</v>
      </c>
      <c r="F451" s="324">
        <v>563.28</v>
      </c>
      <c r="H451" s="323" t="s">
        <v>465</v>
      </c>
      <c r="I451" s="323" t="s">
        <v>465</v>
      </c>
      <c r="J451" s="323" t="s">
        <v>443</v>
      </c>
      <c r="K451" s="323" t="s">
        <v>600</v>
      </c>
      <c r="L451" s="323"/>
      <c r="M451" s="323"/>
    </row>
    <row r="452" spans="1:13" ht="22.15" customHeight="1">
      <c r="A452" s="322" t="s">
        <v>460</v>
      </c>
      <c r="B452" s="322" t="s">
        <v>461</v>
      </c>
      <c r="C452" s="322" t="s">
        <v>467</v>
      </c>
      <c r="D452" s="322" t="s">
        <v>663</v>
      </c>
      <c r="E452" s="325">
        <v>45504</v>
      </c>
      <c r="F452" s="324">
        <v>436.8</v>
      </c>
      <c r="H452" s="323" t="s">
        <v>465</v>
      </c>
      <c r="I452" s="323" t="s">
        <v>465</v>
      </c>
      <c r="J452" s="323" t="s">
        <v>443</v>
      </c>
      <c r="K452" s="323" t="s">
        <v>600</v>
      </c>
      <c r="L452" s="323"/>
      <c r="M452" s="323"/>
    </row>
    <row r="453" spans="1:13" ht="22.15" customHeight="1">
      <c r="A453" s="322" t="s">
        <v>460</v>
      </c>
      <c r="B453" s="322" t="s">
        <v>461</v>
      </c>
      <c r="C453" s="322" t="s">
        <v>469</v>
      </c>
      <c r="D453" s="322" t="s">
        <v>663</v>
      </c>
      <c r="E453" s="325">
        <v>45504</v>
      </c>
      <c r="F453" s="324">
        <v>720</v>
      </c>
      <c r="H453" s="323" t="s">
        <v>465</v>
      </c>
      <c r="I453" s="323" t="s">
        <v>465</v>
      </c>
      <c r="J453" s="323" t="s">
        <v>443</v>
      </c>
      <c r="K453" s="323" t="s">
        <v>600</v>
      </c>
      <c r="L453" s="323"/>
      <c r="M453" s="323"/>
    </row>
    <row r="454" spans="1:13" ht="22.15" customHeight="1">
      <c r="A454" s="322" t="s">
        <v>603</v>
      </c>
      <c r="B454" s="322" t="s">
        <v>604</v>
      </c>
      <c r="C454" s="322" t="s">
        <v>607</v>
      </c>
      <c r="D454" s="322" t="s">
        <v>662</v>
      </c>
      <c r="E454" s="325">
        <v>45504</v>
      </c>
      <c r="F454" s="324">
        <v>225</v>
      </c>
      <c r="H454" s="323" t="s">
        <v>465</v>
      </c>
      <c r="I454" s="323" t="s">
        <v>465</v>
      </c>
      <c r="J454" s="323" t="s">
        <v>443</v>
      </c>
      <c r="K454" s="323" t="s">
        <v>600</v>
      </c>
      <c r="L454" s="323"/>
      <c r="M454" s="323"/>
    </row>
    <row r="455" spans="1:13" ht="22.15" customHeight="1">
      <c r="A455" s="322" t="s">
        <v>478</v>
      </c>
      <c r="B455" s="322" t="s">
        <v>449</v>
      </c>
      <c r="C455" s="322" t="s">
        <v>664</v>
      </c>
      <c r="D455" s="322" t="s">
        <v>665</v>
      </c>
      <c r="E455" s="325">
        <v>45511</v>
      </c>
      <c r="F455" s="324">
        <v>2000</v>
      </c>
      <c r="H455" s="323" t="s">
        <v>465</v>
      </c>
      <c r="I455" s="323" t="s">
        <v>442</v>
      </c>
      <c r="J455" s="323" t="s">
        <v>443</v>
      </c>
      <c r="K455" s="323" t="s">
        <v>600</v>
      </c>
      <c r="L455" s="323"/>
      <c r="M455" s="323"/>
    </row>
    <row r="456" spans="1:13" ht="22.15" customHeight="1">
      <c r="A456" s="322" t="s">
        <v>552</v>
      </c>
      <c r="B456" s="322" t="s">
        <v>457</v>
      </c>
      <c r="C456" s="322" t="s">
        <v>605</v>
      </c>
      <c r="D456" s="322" t="s">
        <v>667</v>
      </c>
      <c r="E456" s="325">
        <v>45535</v>
      </c>
      <c r="F456" s="324">
        <v>47.54</v>
      </c>
      <c r="H456" s="323" t="s">
        <v>88</v>
      </c>
      <c r="I456" s="323" t="s">
        <v>442</v>
      </c>
      <c r="J456" s="323" t="s">
        <v>443</v>
      </c>
      <c r="K456" s="323" t="s">
        <v>600</v>
      </c>
      <c r="L456" s="323"/>
      <c r="M456" s="323"/>
    </row>
    <row r="457" spans="1:13" ht="22.15" customHeight="1">
      <c r="A457" s="322" t="s">
        <v>539</v>
      </c>
      <c r="B457" s="322" t="s">
        <v>455</v>
      </c>
      <c r="C457" s="322" t="s">
        <v>666</v>
      </c>
      <c r="D457" s="322" t="s">
        <v>667</v>
      </c>
      <c r="E457" s="325">
        <v>45535</v>
      </c>
      <c r="F457" s="324">
        <v>50.42</v>
      </c>
      <c r="H457" s="323" t="s">
        <v>88</v>
      </c>
      <c r="I457" s="323" t="s">
        <v>442</v>
      </c>
      <c r="J457" s="323" t="s">
        <v>443</v>
      </c>
      <c r="K457" s="323" t="s">
        <v>600</v>
      </c>
      <c r="L457" s="323"/>
      <c r="M457" s="323"/>
    </row>
    <row r="458" spans="1:13" ht="22.15" customHeight="1">
      <c r="A458" s="322" t="s">
        <v>539</v>
      </c>
      <c r="B458" s="322" t="s">
        <v>455</v>
      </c>
      <c r="C458" s="322" t="s">
        <v>668</v>
      </c>
      <c r="D458" s="322" t="s">
        <v>667</v>
      </c>
      <c r="E458" s="325">
        <v>45535</v>
      </c>
      <c r="F458" s="324">
        <v>97.96</v>
      </c>
      <c r="H458" s="323" t="s">
        <v>100</v>
      </c>
      <c r="I458" s="323" t="s">
        <v>442</v>
      </c>
      <c r="J458" s="323" t="s">
        <v>443</v>
      </c>
      <c r="K458" s="323" t="s">
        <v>600</v>
      </c>
      <c r="L458" s="323"/>
      <c r="M458" s="323"/>
    </row>
    <row r="459" spans="1:13" ht="22.15" customHeight="1">
      <c r="A459" s="322" t="s">
        <v>536</v>
      </c>
      <c r="B459" s="322" t="s">
        <v>459</v>
      </c>
      <c r="C459" s="322" t="s">
        <v>669</v>
      </c>
      <c r="D459" s="322" t="s">
        <v>667</v>
      </c>
      <c r="E459" s="325">
        <v>45535</v>
      </c>
      <c r="F459" s="324">
        <v>43.22</v>
      </c>
      <c r="H459" s="323" t="s">
        <v>100</v>
      </c>
      <c r="I459" s="323" t="s">
        <v>442</v>
      </c>
      <c r="J459" s="323" t="s">
        <v>443</v>
      </c>
      <c r="K459" s="323" t="s">
        <v>600</v>
      </c>
      <c r="L459" s="323"/>
      <c r="M459" s="323"/>
    </row>
    <row r="460" spans="1:13" ht="22.15" customHeight="1">
      <c r="A460" s="322" t="s">
        <v>536</v>
      </c>
      <c r="B460" s="322" t="s">
        <v>459</v>
      </c>
      <c r="C460" s="322" t="s">
        <v>670</v>
      </c>
      <c r="D460" s="322" t="s">
        <v>667</v>
      </c>
      <c r="E460" s="325">
        <v>45535</v>
      </c>
      <c r="F460" s="324">
        <v>46.1</v>
      </c>
      <c r="H460" s="323" t="s">
        <v>100</v>
      </c>
      <c r="I460" s="323" t="s">
        <v>442</v>
      </c>
      <c r="J460" s="323" t="s">
        <v>443</v>
      </c>
      <c r="K460" s="323" t="s">
        <v>600</v>
      </c>
      <c r="L460" s="323"/>
      <c r="M460" s="323"/>
    </row>
    <row r="461" spans="1:13" ht="22.15" customHeight="1">
      <c r="A461" s="322" t="s">
        <v>437</v>
      </c>
      <c r="B461" s="322" t="s">
        <v>438</v>
      </c>
      <c r="C461" s="322" t="s">
        <v>671</v>
      </c>
      <c r="D461" s="322" t="s">
        <v>667</v>
      </c>
      <c r="E461" s="325">
        <v>45535</v>
      </c>
      <c r="F461" s="324">
        <v>491.25</v>
      </c>
      <c r="H461" s="323" t="s">
        <v>572</v>
      </c>
      <c r="I461" s="323" t="s">
        <v>442</v>
      </c>
      <c r="J461" s="323" t="s">
        <v>443</v>
      </c>
      <c r="K461" s="323" t="s">
        <v>600</v>
      </c>
      <c r="L461" s="323"/>
      <c r="M461" s="323"/>
    </row>
    <row r="462" spans="1:13" ht="22.15" customHeight="1">
      <c r="A462" s="322" t="s">
        <v>437</v>
      </c>
      <c r="B462" s="322" t="s">
        <v>438</v>
      </c>
      <c r="C462" s="322" t="s">
        <v>672</v>
      </c>
      <c r="D462" s="322" t="s">
        <v>667</v>
      </c>
      <c r="E462" s="325">
        <v>45535</v>
      </c>
      <c r="F462" s="324">
        <v>562.71</v>
      </c>
      <c r="H462" s="323" t="s">
        <v>673</v>
      </c>
      <c r="I462" s="323" t="s">
        <v>442</v>
      </c>
      <c r="J462" s="323" t="s">
        <v>443</v>
      </c>
      <c r="K462" s="323" t="s">
        <v>600</v>
      </c>
      <c r="L462" s="323"/>
      <c r="M462" s="323"/>
    </row>
    <row r="463" spans="1:13" ht="22.15" customHeight="1">
      <c r="A463" s="322" t="s">
        <v>437</v>
      </c>
      <c r="B463" s="322" t="s">
        <v>438</v>
      </c>
      <c r="C463" s="322" t="s">
        <v>674</v>
      </c>
      <c r="D463" s="322" t="s">
        <v>667</v>
      </c>
      <c r="E463" s="325">
        <v>45535</v>
      </c>
      <c r="F463" s="324">
        <v>57.63</v>
      </c>
      <c r="H463" s="323" t="s">
        <v>573</v>
      </c>
      <c r="I463" s="323" t="s">
        <v>442</v>
      </c>
      <c r="J463" s="323" t="s">
        <v>443</v>
      </c>
      <c r="K463" s="323" t="s">
        <v>600</v>
      </c>
      <c r="L463" s="323"/>
      <c r="M463" s="323"/>
    </row>
    <row r="464" spans="1:13" ht="22.15" customHeight="1">
      <c r="A464" s="322" t="s">
        <v>675</v>
      </c>
      <c r="B464" s="322" t="s">
        <v>676</v>
      </c>
      <c r="C464" s="322" t="s">
        <v>677</v>
      </c>
      <c r="D464" s="322" t="s">
        <v>667</v>
      </c>
      <c r="E464" s="325">
        <v>45535</v>
      </c>
      <c r="F464" s="324">
        <v>178.57</v>
      </c>
      <c r="H464" s="323" t="s">
        <v>573</v>
      </c>
      <c r="I464" s="323" t="s">
        <v>442</v>
      </c>
      <c r="J464" s="323" t="s">
        <v>443</v>
      </c>
      <c r="K464" s="323" t="s">
        <v>600</v>
      </c>
      <c r="L464" s="323"/>
      <c r="M464" s="323"/>
    </row>
    <row r="465" spans="1:13" ht="22.15" customHeight="1">
      <c r="A465" s="322" t="s">
        <v>493</v>
      </c>
      <c r="B465" s="322" t="s">
        <v>466</v>
      </c>
      <c r="C465" s="322" t="s">
        <v>494</v>
      </c>
      <c r="D465" s="322" t="s">
        <v>667</v>
      </c>
      <c r="E465" s="325">
        <v>45535</v>
      </c>
      <c r="F465" s="324">
        <v>12.68</v>
      </c>
      <c r="H465" s="323" t="s">
        <v>573</v>
      </c>
      <c r="I465" s="323" t="s">
        <v>442</v>
      </c>
      <c r="J465" s="323" t="s">
        <v>443</v>
      </c>
      <c r="K465" s="323" t="s">
        <v>600</v>
      </c>
      <c r="L465" s="323"/>
      <c r="M465" s="323"/>
    </row>
    <row r="466" spans="1:13" ht="22.15" customHeight="1">
      <c r="A466" s="322" t="s">
        <v>533</v>
      </c>
      <c r="B466" s="322" t="s">
        <v>447</v>
      </c>
      <c r="C466" s="322" t="s">
        <v>683</v>
      </c>
      <c r="D466" s="322" t="s">
        <v>667</v>
      </c>
      <c r="E466" s="325">
        <v>45535</v>
      </c>
      <c r="F466" s="324">
        <v>2.88</v>
      </c>
      <c r="H466" s="323" t="s">
        <v>573</v>
      </c>
      <c r="I466" s="323" t="s">
        <v>442</v>
      </c>
      <c r="J466" s="323" t="s">
        <v>443</v>
      </c>
      <c r="K466" s="323" t="s">
        <v>600</v>
      </c>
      <c r="L466" s="323"/>
      <c r="M466" s="323"/>
    </row>
    <row r="467" spans="1:13" ht="22.15" customHeight="1">
      <c r="A467" s="322" t="s">
        <v>612</v>
      </c>
      <c r="B467" s="322" t="s">
        <v>613</v>
      </c>
      <c r="C467" s="322" t="s">
        <v>685</v>
      </c>
      <c r="D467" s="322" t="s">
        <v>667</v>
      </c>
      <c r="E467" s="325">
        <v>45535</v>
      </c>
      <c r="F467" s="324">
        <v>15.85</v>
      </c>
      <c r="H467" s="323" t="s">
        <v>573</v>
      </c>
      <c r="I467" s="323" t="s">
        <v>442</v>
      </c>
      <c r="J467" s="323" t="s">
        <v>443</v>
      </c>
      <c r="K467" s="323" t="s">
        <v>600</v>
      </c>
      <c r="L467" s="323"/>
      <c r="M467" s="323"/>
    </row>
    <row r="468" spans="1:13" ht="22.15" customHeight="1">
      <c r="A468" s="322" t="s">
        <v>612</v>
      </c>
      <c r="B468" s="322" t="s">
        <v>613</v>
      </c>
      <c r="C468" s="322" t="s">
        <v>686</v>
      </c>
      <c r="D468" s="322" t="s">
        <v>667</v>
      </c>
      <c r="E468" s="325">
        <v>45535</v>
      </c>
      <c r="F468" s="324">
        <v>52.08</v>
      </c>
      <c r="H468" s="323" t="s">
        <v>573</v>
      </c>
      <c r="I468" s="323" t="s">
        <v>442</v>
      </c>
      <c r="J468" s="323" t="s">
        <v>443</v>
      </c>
      <c r="K468" s="323" t="s">
        <v>600</v>
      </c>
      <c r="L468" s="323"/>
      <c r="M468" s="323"/>
    </row>
    <row r="469" spans="1:13" ht="22.15" customHeight="1">
      <c r="A469" s="322" t="s">
        <v>612</v>
      </c>
      <c r="B469" s="322" t="s">
        <v>613</v>
      </c>
      <c r="C469" s="322" t="s">
        <v>687</v>
      </c>
      <c r="D469" s="322" t="s">
        <v>667</v>
      </c>
      <c r="E469" s="325">
        <v>45535</v>
      </c>
      <c r="F469" s="324">
        <v>24.49</v>
      </c>
      <c r="H469" s="323" t="s">
        <v>573</v>
      </c>
      <c r="I469" s="323" t="s">
        <v>442</v>
      </c>
      <c r="J469" s="323" t="s">
        <v>443</v>
      </c>
      <c r="K469" s="323" t="s">
        <v>600</v>
      </c>
      <c r="L469" s="323"/>
      <c r="M469" s="323"/>
    </row>
    <row r="470" spans="1:13" ht="22.15" customHeight="1">
      <c r="A470" s="322" t="s">
        <v>688</v>
      </c>
      <c r="B470" s="322" t="s">
        <v>689</v>
      </c>
      <c r="C470" s="322" t="s">
        <v>690</v>
      </c>
      <c r="D470" s="322" t="s">
        <v>667</v>
      </c>
      <c r="E470" s="325">
        <v>45535</v>
      </c>
      <c r="F470" s="324">
        <v>122.45</v>
      </c>
      <c r="H470" s="323" t="s">
        <v>573</v>
      </c>
      <c r="I470" s="323" t="s">
        <v>442</v>
      </c>
      <c r="J470" s="323" t="s">
        <v>443</v>
      </c>
      <c r="K470" s="323" t="s">
        <v>600</v>
      </c>
      <c r="L470" s="323"/>
      <c r="M470" s="323"/>
    </row>
    <row r="471" spans="1:13" ht="22.15" customHeight="1">
      <c r="A471" s="322" t="s">
        <v>574</v>
      </c>
      <c r="B471" s="322" t="s">
        <v>579</v>
      </c>
      <c r="C471" s="322" t="s">
        <v>684</v>
      </c>
      <c r="D471" s="322" t="s">
        <v>667</v>
      </c>
      <c r="E471" s="325">
        <v>45535</v>
      </c>
      <c r="F471" s="324">
        <v>489.81</v>
      </c>
      <c r="H471" s="323" t="s">
        <v>573</v>
      </c>
      <c r="I471" s="323" t="s">
        <v>442</v>
      </c>
      <c r="J471" s="323" t="s">
        <v>443</v>
      </c>
      <c r="K471" s="323" t="s">
        <v>600</v>
      </c>
      <c r="L471" s="323"/>
      <c r="M471" s="323"/>
    </row>
    <row r="472" spans="1:13" ht="22.15" customHeight="1">
      <c r="A472" s="322" t="s">
        <v>601</v>
      </c>
      <c r="B472" s="322" t="s">
        <v>602</v>
      </c>
      <c r="C472" s="322" t="s">
        <v>691</v>
      </c>
      <c r="D472" s="322" t="s">
        <v>667</v>
      </c>
      <c r="E472" s="325">
        <v>45535</v>
      </c>
      <c r="F472" s="324">
        <v>288.13</v>
      </c>
      <c r="H472" s="323" t="s">
        <v>573</v>
      </c>
      <c r="I472" s="323" t="s">
        <v>442</v>
      </c>
      <c r="J472" s="323" t="s">
        <v>443</v>
      </c>
      <c r="K472" s="323" t="s">
        <v>600</v>
      </c>
      <c r="L472" s="323"/>
      <c r="M472" s="323"/>
    </row>
    <row r="473" spans="1:13" ht="22.15" customHeight="1">
      <c r="A473" s="322" t="s">
        <v>601</v>
      </c>
      <c r="B473" s="322" t="s">
        <v>602</v>
      </c>
      <c r="C473" s="322" t="s">
        <v>692</v>
      </c>
      <c r="D473" s="322" t="s">
        <v>667</v>
      </c>
      <c r="E473" s="325">
        <v>45535</v>
      </c>
      <c r="F473" s="324">
        <v>792.35</v>
      </c>
      <c r="H473" s="323" t="s">
        <v>573</v>
      </c>
      <c r="I473" s="323" t="s">
        <v>442</v>
      </c>
      <c r="J473" s="323" t="s">
        <v>443</v>
      </c>
      <c r="K473" s="323" t="s">
        <v>600</v>
      </c>
      <c r="L473" s="323"/>
      <c r="M473" s="323"/>
    </row>
    <row r="474" spans="1:13" ht="22.15" customHeight="1">
      <c r="A474" s="322" t="s">
        <v>521</v>
      </c>
      <c r="B474" s="322" t="s">
        <v>473</v>
      </c>
      <c r="C474" s="322" t="s">
        <v>680</v>
      </c>
      <c r="D474" s="322" t="s">
        <v>667</v>
      </c>
      <c r="E474" s="325">
        <v>45535</v>
      </c>
      <c r="F474" s="324">
        <v>345.75</v>
      </c>
      <c r="H474" s="323" t="s">
        <v>573</v>
      </c>
      <c r="I474" s="323" t="s">
        <v>442</v>
      </c>
      <c r="J474" s="323" t="s">
        <v>443</v>
      </c>
      <c r="K474" s="323" t="s">
        <v>600</v>
      </c>
      <c r="L474" s="323"/>
      <c r="M474" s="323"/>
    </row>
    <row r="475" spans="1:13" ht="22.15" customHeight="1">
      <c r="A475" s="322" t="s">
        <v>521</v>
      </c>
      <c r="B475" s="322" t="s">
        <v>473</v>
      </c>
      <c r="C475" s="322" t="s">
        <v>523</v>
      </c>
      <c r="D475" s="322" t="s">
        <v>667</v>
      </c>
      <c r="E475" s="325">
        <v>45535</v>
      </c>
      <c r="F475" s="324">
        <v>50.64</v>
      </c>
      <c r="H475" s="323" t="s">
        <v>573</v>
      </c>
      <c r="I475" s="323" t="s">
        <v>442</v>
      </c>
      <c r="J475" s="323" t="s">
        <v>443</v>
      </c>
      <c r="K475" s="323" t="s">
        <v>600</v>
      </c>
      <c r="L475" s="323"/>
      <c r="M475" s="323"/>
    </row>
    <row r="476" spans="1:13" ht="22.15" customHeight="1">
      <c r="A476" s="322" t="s">
        <v>521</v>
      </c>
      <c r="B476" s="322" t="s">
        <v>473</v>
      </c>
      <c r="C476" s="322" t="s">
        <v>529</v>
      </c>
      <c r="D476" s="322" t="s">
        <v>667</v>
      </c>
      <c r="E476" s="325">
        <v>45535</v>
      </c>
      <c r="F476" s="324">
        <v>40.71</v>
      </c>
      <c r="H476" s="323" t="s">
        <v>573</v>
      </c>
      <c r="I476" s="323" t="s">
        <v>442</v>
      </c>
      <c r="J476" s="323" t="s">
        <v>443</v>
      </c>
      <c r="K476" s="323" t="s">
        <v>600</v>
      </c>
      <c r="L476" s="323"/>
      <c r="M476" s="323"/>
    </row>
    <row r="477" spans="1:13" ht="22.15" customHeight="1">
      <c r="A477" s="322" t="s">
        <v>521</v>
      </c>
      <c r="B477" s="322" t="s">
        <v>473</v>
      </c>
      <c r="C477" s="322" t="s">
        <v>525</v>
      </c>
      <c r="D477" s="322" t="s">
        <v>667</v>
      </c>
      <c r="E477" s="325">
        <v>45535</v>
      </c>
      <c r="F477" s="324">
        <v>40.71</v>
      </c>
      <c r="H477" s="323" t="s">
        <v>573</v>
      </c>
      <c r="I477" s="323" t="s">
        <v>442</v>
      </c>
      <c r="J477" s="323" t="s">
        <v>443</v>
      </c>
      <c r="K477" s="323" t="s">
        <v>600</v>
      </c>
      <c r="L477" s="323"/>
      <c r="M477" s="323"/>
    </row>
    <row r="478" spans="1:13" ht="22.15" customHeight="1">
      <c r="A478" s="322" t="s">
        <v>521</v>
      </c>
      <c r="B478" s="322" t="s">
        <v>473</v>
      </c>
      <c r="C478" s="322" t="s">
        <v>526</v>
      </c>
      <c r="D478" s="322" t="s">
        <v>667</v>
      </c>
      <c r="E478" s="325">
        <v>45535</v>
      </c>
      <c r="F478" s="324">
        <v>40.71</v>
      </c>
      <c r="H478" s="323" t="s">
        <v>573</v>
      </c>
      <c r="I478" s="323" t="s">
        <v>442</v>
      </c>
      <c r="J478" s="323" t="s">
        <v>443</v>
      </c>
      <c r="K478" s="323" t="s">
        <v>600</v>
      </c>
      <c r="L478" s="323"/>
      <c r="M478" s="323"/>
    </row>
    <row r="479" spans="1:13" ht="22.15" customHeight="1">
      <c r="A479" s="322" t="s">
        <v>521</v>
      </c>
      <c r="B479" s="322" t="s">
        <v>473</v>
      </c>
      <c r="C479" s="322" t="s">
        <v>614</v>
      </c>
      <c r="D479" s="322" t="s">
        <v>667</v>
      </c>
      <c r="E479" s="325">
        <v>45535</v>
      </c>
      <c r="F479" s="324">
        <v>39.69</v>
      </c>
      <c r="H479" s="323" t="s">
        <v>573</v>
      </c>
      <c r="I479" s="323" t="s">
        <v>442</v>
      </c>
      <c r="J479" s="323" t="s">
        <v>443</v>
      </c>
      <c r="K479" s="323" t="s">
        <v>600</v>
      </c>
      <c r="L479" s="323"/>
      <c r="M479" s="323"/>
    </row>
    <row r="480" spans="1:13" ht="22.15" customHeight="1">
      <c r="A480" s="322" t="s">
        <v>533</v>
      </c>
      <c r="B480" s="322" t="s">
        <v>447</v>
      </c>
      <c r="C480" s="322" t="s">
        <v>681</v>
      </c>
      <c r="D480" s="322" t="s">
        <v>667</v>
      </c>
      <c r="E480" s="325">
        <v>45535</v>
      </c>
      <c r="F480" s="324">
        <v>2.16</v>
      </c>
      <c r="H480" s="323" t="s">
        <v>573</v>
      </c>
      <c r="I480" s="323" t="s">
        <v>442</v>
      </c>
      <c r="J480" s="323" t="s">
        <v>443</v>
      </c>
      <c r="K480" s="323" t="s">
        <v>600</v>
      </c>
      <c r="L480" s="323"/>
      <c r="M480" s="323"/>
    </row>
    <row r="481" spans="1:13" ht="22.15" customHeight="1">
      <c r="A481" s="322" t="s">
        <v>533</v>
      </c>
      <c r="B481" s="322" t="s">
        <v>447</v>
      </c>
      <c r="C481" s="322" t="s">
        <v>682</v>
      </c>
      <c r="D481" s="322" t="s">
        <v>667</v>
      </c>
      <c r="E481" s="325">
        <v>45535</v>
      </c>
      <c r="F481" s="324">
        <v>0.32</v>
      </c>
      <c r="H481" s="323" t="s">
        <v>573</v>
      </c>
      <c r="I481" s="323" t="s">
        <v>442</v>
      </c>
      <c r="J481" s="323" t="s">
        <v>443</v>
      </c>
      <c r="K481" s="323" t="s">
        <v>600</v>
      </c>
      <c r="L481" s="323"/>
      <c r="M481" s="323"/>
    </row>
    <row r="482" spans="1:13" ht="22.15" customHeight="1">
      <c r="A482" s="322" t="s">
        <v>493</v>
      </c>
      <c r="B482" s="322" t="s">
        <v>466</v>
      </c>
      <c r="C482" s="322" t="s">
        <v>649</v>
      </c>
      <c r="D482" s="322" t="s">
        <v>667</v>
      </c>
      <c r="E482" s="325">
        <v>45535</v>
      </c>
      <c r="F482" s="324">
        <v>72.03</v>
      </c>
      <c r="H482" s="323" t="s">
        <v>573</v>
      </c>
      <c r="I482" s="323" t="s">
        <v>442</v>
      </c>
      <c r="J482" s="323" t="s">
        <v>443</v>
      </c>
      <c r="K482" s="323" t="s">
        <v>600</v>
      </c>
      <c r="L482" s="323"/>
      <c r="M482" s="323"/>
    </row>
    <row r="483" spans="1:13" ht="22.15" customHeight="1">
      <c r="A483" s="322" t="s">
        <v>493</v>
      </c>
      <c r="B483" s="322" t="s">
        <v>466</v>
      </c>
      <c r="C483" s="322" t="s">
        <v>678</v>
      </c>
      <c r="D483" s="322" t="s">
        <v>667</v>
      </c>
      <c r="E483" s="325">
        <v>45535</v>
      </c>
      <c r="F483" s="324">
        <v>10.08</v>
      </c>
      <c r="H483" s="323" t="s">
        <v>573</v>
      </c>
      <c r="I483" s="323" t="s">
        <v>442</v>
      </c>
      <c r="J483" s="323" t="s">
        <v>443</v>
      </c>
      <c r="K483" s="323" t="s">
        <v>600</v>
      </c>
      <c r="L483" s="323"/>
      <c r="M483" s="323"/>
    </row>
    <row r="484" spans="1:13" ht="22.15" customHeight="1">
      <c r="A484" s="322" t="s">
        <v>493</v>
      </c>
      <c r="B484" s="322" t="s">
        <v>466</v>
      </c>
      <c r="C484" s="322" t="s">
        <v>650</v>
      </c>
      <c r="D484" s="322" t="s">
        <v>667</v>
      </c>
      <c r="E484" s="325">
        <v>45535</v>
      </c>
      <c r="F484" s="324">
        <v>2.88</v>
      </c>
      <c r="H484" s="323" t="s">
        <v>573</v>
      </c>
      <c r="I484" s="323" t="s">
        <v>442</v>
      </c>
      <c r="J484" s="323" t="s">
        <v>443</v>
      </c>
      <c r="K484" s="323" t="s">
        <v>600</v>
      </c>
      <c r="L484" s="323"/>
      <c r="M484" s="323"/>
    </row>
    <row r="485" spans="1:13" ht="22.15" customHeight="1">
      <c r="A485" s="322" t="s">
        <v>493</v>
      </c>
      <c r="B485" s="322" t="s">
        <v>466</v>
      </c>
      <c r="C485" s="322" t="s">
        <v>679</v>
      </c>
      <c r="D485" s="322" t="s">
        <v>667</v>
      </c>
      <c r="E485" s="325">
        <v>45535</v>
      </c>
      <c r="F485" s="324">
        <v>5.04</v>
      </c>
      <c r="H485" s="323" t="s">
        <v>573</v>
      </c>
      <c r="I485" s="323" t="s">
        <v>442</v>
      </c>
      <c r="J485" s="323" t="s">
        <v>443</v>
      </c>
      <c r="K485" s="323" t="s">
        <v>600</v>
      </c>
      <c r="L485" s="323"/>
      <c r="M485" s="323"/>
    </row>
    <row r="486" spans="1:13" ht="22.15" customHeight="1">
      <c r="A486" s="322" t="s">
        <v>539</v>
      </c>
      <c r="B486" s="322" t="s">
        <v>455</v>
      </c>
      <c r="C486" s="322" t="s">
        <v>693</v>
      </c>
      <c r="D486" s="322" t="s">
        <v>667</v>
      </c>
      <c r="E486" s="325">
        <v>45535</v>
      </c>
      <c r="F486" s="324">
        <v>31.69</v>
      </c>
      <c r="H486" s="323" t="s">
        <v>573</v>
      </c>
      <c r="I486" s="323" t="s">
        <v>442</v>
      </c>
      <c r="J486" s="323" t="s">
        <v>443</v>
      </c>
      <c r="K486" s="323" t="s">
        <v>600</v>
      </c>
      <c r="L486" s="323"/>
      <c r="M486" s="323"/>
    </row>
    <row r="487" spans="1:13" ht="22.15" customHeight="1">
      <c r="A487" s="322" t="s">
        <v>539</v>
      </c>
      <c r="B487" s="322" t="s">
        <v>455</v>
      </c>
      <c r="C487" s="322" t="s">
        <v>694</v>
      </c>
      <c r="D487" s="322" t="s">
        <v>667</v>
      </c>
      <c r="E487" s="325">
        <v>45535</v>
      </c>
      <c r="F487" s="324">
        <v>34.58</v>
      </c>
      <c r="H487" s="323" t="s">
        <v>573</v>
      </c>
      <c r="I487" s="323" t="s">
        <v>442</v>
      </c>
      <c r="J487" s="323" t="s">
        <v>443</v>
      </c>
      <c r="K487" s="323" t="s">
        <v>600</v>
      </c>
      <c r="L487" s="323"/>
      <c r="M487" s="323"/>
    </row>
    <row r="488" spans="1:13" ht="22.15" customHeight="1">
      <c r="A488" s="322" t="s">
        <v>539</v>
      </c>
      <c r="B488" s="322" t="s">
        <v>455</v>
      </c>
      <c r="C488" s="322" t="s">
        <v>695</v>
      </c>
      <c r="D488" s="322" t="s">
        <v>667</v>
      </c>
      <c r="E488" s="325">
        <v>45535</v>
      </c>
      <c r="F488" s="324">
        <v>36.020000000000003</v>
      </c>
      <c r="H488" s="323" t="s">
        <v>573</v>
      </c>
      <c r="I488" s="323" t="s">
        <v>442</v>
      </c>
      <c r="J488" s="323" t="s">
        <v>443</v>
      </c>
      <c r="K488" s="323" t="s">
        <v>600</v>
      </c>
      <c r="L488" s="323"/>
      <c r="M488" s="323"/>
    </row>
    <row r="489" spans="1:13" ht="22.15" customHeight="1">
      <c r="A489" s="322" t="s">
        <v>539</v>
      </c>
      <c r="B489" s="322" t="s">
        <v>455</v>
      </c>
      <c r="C489" s="322" t="s">
        <v>695</v>
      </c>
      <c r="D489" s="322" t="s">
        <v>667</v>
      </c>
      <c r="E489" s="325">
        <v>45535</v>
      </c>
      <c r="F489" s="324">
        <v>48.98</v>
      </c>
      <c r="H489" s="323" t="s">
        <v>573</v>
      </c>
      <c r="I489" s="323" t="s">
        <v>442</v>
      </c>
      <c r="J489" s="323" t="s">
        <v>443</v>
      </c>
      <c r="K489" s="323" t="s">
        <v>600</v>
      </c>
      <c r="L489" s="323"/>
      <c r="M489" s="323"/>
    </row>
    <row r="490" spans="1:13" ht="22.15" customHeight="1">
      <c r="A490" s="322" t="s">
        <v>539</v>
      </c>
      <c r="B490" s="322" t="s">
        <v>455</v>
      </c>
      <c r="C490" s="322" t="s">
        <v>541</v>
      </c>
      <c r="D490" s="322" t="s">
        <v>667</v>
      </c>
      <c r="E490" s="325">
        <v>45535</v>
      </c>
      <c r="F490" s="324">
        <v>8.64</v>
      </c>
      <c r="H490" s="323" t="s">
        <v>573</v>
      </c>
      <c r="I490" s="323" t="s">
        <v>442</v>
      </c>
      <c r="J490" s="323" t="s">
        <v>443</v>
      </c>
      <c r="K490" s="323" t="s">
        <v>600</v>
      </c>
      <c r="L490" s="323"/>
      <c r="M490" s="323"/>
    </row>
    <row r="491" spans="1:13" ht="22.15" customHeight="1">
      <c r="A491" s="322" t="s">
        <v>493</v>
      </c>
      <c r="B491" s="322" t="s">
        <v>466</v>
      </c>
      <c r="C491" s="322" t="s">
        <v>910</v>
      </c>
      <c r="D491" s="322" t="s">
        <v>667</v>
      </c>
      <c r="E491" s="325">
        <v>45535</v>
      </c>
      <c r="F491" s="324">
        <v>73.180000000000007</v>
      </c>
      <c r="H491" s="323" t="s">
        <v>911</v>
      </c>
      <c r="I491" s="323" t="s">
        <v>442</v>
      </c>
      <c r="J491" s="323" t="s">
        <v>443</v>
      </c>
      <c r="K491" s="323" t="s">
        <v>600</v>
      </c>
      <c r="L491" s="323"/>
      <c r="M491" s="323"/>
    </row>
    <row r="492" spans="1:13" ht="22.15" customHeight="1">
      <c r="A492" s="322" t="s">
        <v>688</v>
      </c>
      <c r="B492" s="322" t="s">
        <v>689</v>
      </c>
      <c r="C492" s="322" t="s">
        <v>912</v>
      </c>
      <c r="D492" s="322" t="s">
        <v>667</v>
      </c>
      <c r="E492" s="325">
        <v>45535</v>
      </c>
      <c r="F492" s="324">
        <v>187.28</v>
      </c>
      <c r="H492" s="323" t="s">
        <v>911</v>
      </c>
      <c r="I492" s="323" t="s">
        <v>442</v>
      </c>
      <c r="J492" s="323" t="s">
        <v>443</v>
      </c>
      <c r="K492" s="323" t="s">
        <v>600</v>
      </c>
      <c r="L492" s="323"/>
      <c r="M492" s="323"/>
    </row>
    <row r="493" spans="1:13" ht="22.15" customHeight="1">
      <c r="A493" s="322" t="s">
        <v>460</v>
      </c>
      <c r="B493" s="322" t="s">
        <v>461</v>
      </c>
      <c r="C493" s="322" t="s">
        <v>463</v>
      </c>
      <c r="D493" s="322" t="s">
        <v>696</v>
      </c>
      <c r="E493" s="325">
        <v>45535</v>
      </c>
      <c r="F493" s="324">
        <v>563.28</v>
      </c>
      <c r="H493" s="323" t="s">
        <v>465</v>
      </c>
      <c r="I493" s="323" t="s">
        <v>465</v>
      </c>
      <c r="J493" s="323" t="s">
        <v>443</v>
      </c>
      <c r="K493" s="323" t="s">
        <v>600</v>
      </c>
      <c r="L493" s="323"/>
      <c r="M493" s="323"/>
    </row>
    <row r="494" spans="1:13" ht="22.15" customHeight="1">
      <c r="A494" s="322" t="s">
        <v>460</v>
      </c>
      <c r="B494" s="322" t="s">
        <v>461</v>
      </c>
      <c r="C494" s="322" t="s">
        <v>467</v>
      </c>
      <c r="D494" s="322" t="s">
        <v>696</v>
      </c>
      <c r="E494" s="325">
        <v>45535</v>
      </c>
      <c r="F494" s="324">
        <v>436.8</v>
      </c>
      <c r="H494" s="323" t="s">
        <v>465</v>
      </c>
      <c r="I494" s="323" t="s">
        <v>465</v>
      </c>
      <c r="J494" s="323" t="s">
        <v>443</v>
      </c>
      <c r="K494" s="323" t="s">
        <v>600</v>
      </c>
      <c r="L494" s="323"/>
      <c r="M494" s="323"/>
    </row>
    <row r="495" spans="1:13" ht="22.15" customHeight="1">
      <c r="A495" s="322" t="s">
        <v>460</v>
      </c>
      <c r="B495" s="322" t="s">
        <v>461</v>
      </c>
      <c r="C495" s="322" t="s">
        <v>469</v>
      </c>
      <c r="D495" s="322" t="s">
        <v>696</v>
      </c>
      <c r="E495" s="325">
        <v>45535</v>
      </c>
      <c r="F495" s="324">
        <v>720</v>
      </c>
      <c r="H495" s="323" t="s">
        <v>465</v>
      </c>
      <c r="I495" s="323" t="s">
        <v>465</v>
      </c>
      <c r="J495" s="323" t="s">
        <v>443</v>
      </c>
      <c r="K495" s="323" t="s">
        <v>600</v>
      </c>
      <c r="L495" s="323"/>
      <c r="M495" s="323"/>
    </row>
    <row r="496" spans="1:13" ht="22.15" customHeight="1">
      <c r="A496" s="322" t="s">
        <v>560</v>
      </c>
      <c r="B496" s="322" t="s">
        <v>451</v>
      </c>
      <c r="C496" s="322" t="s">
        <v>913</v>
      </c>
      <c r="D496" s="322" t="s">
        <v>914</v>
      </c>
      <c r="E496" s="325">
        <v>45565</v>
      </c>
      <c r="F496" s="324">
        <v>12245.47</v>
      </c>
      <c r="H496" s="323" t="s">
        <v>562</v>
      </c>
      <c r="I496" s="323" t="s">
        <v>562</v>
      </c>
      <c r="J496" s="323" t="s">
        <v>443</v>
      </c>
      <c r="K496" s="323" t="s">
        <v>600</v>
      </c>
      <c r="L496" s="323"/>
      <c r="M496" s="323"/>
    </row>
    <row r="497" spans="1:13" ht="22.15" customHeight="1">
      <c r="A497" s="322" t="s">
        <v>560</v>
      </c>
      <c r="B497" s="322" t="s">
        <v>451</v>
      </c>
      <c r="C497" s="322" t="s">
        <v>915</v>
      </c>
      <c r="D497" s="322" t="s">
        <v>914</v>
      </c>
      <c r="E497" s="325">
        <v>45565</v>
      </c>
      <c r="F497" s="324">
        <v>12163.44</v>
      </c>
      <c r="H497" s="323" t="s">
        <v>562</v>
      </c>
      <c r="I497" s="323" t="s">
        <v>562</v>
      </c>
      <c r="J497" s="323" t="s">
        <v>443</v>
      </c>
      <c r="K497" s="323" t="s">
        <v>600</v>
      </c>
      <c r="L497" s="323"/>
      <c r="M497" s="323"/>
    </row>
    <row r="498" spans="1:13" ht="22.15" customHeight="1">
      <c r="A498" s="322" t="s">
        <v>560</v>
      </c>
      <c r="B498" s="322" t="s">
        <v>451</v>
      </c>
      <c r="C498" s="322" t="s">
        <v>916</v>
      </c>
      <c r="D498" s="322" t="s">
        <v>914</v>
      </c>
      <c r="E498" s="325">
        <v>45565</v>
      </c>
      <c r="F498" s="324">
        <v>12252.93</v>
      </c>
      <c r="H498" s="323" t="s">
        <v>562</v>
      </c>
      <c r="I498" s="323" t="s">
        <v>562</v>
      </c>
      <c r="J498" s="323" t="s">
        <v>443</v>
      </c>
      <c r="K498" s="323" t="s">
        <v>600</v>
      </c>
      <c r="L498" s="323"/>
      <c r="M498" s="323"/>
    </row>
    <row r="499" spans="1:13" ht="22.15" customHeight="1">
      <c r="A499" s="322" t="s">
        <v>560</v>
      </c>
      <c r="B499" s="322" t="s">
        <v>451</v>
      </c>
      <c r="C499" s="322" t="s">
        <v>917</v>
      </c>
      <c r="D499" s="322" t="s">
        <v>914</v>
      </c>
      <c r="E499" s="325">
        <v>45565</v>
      </c>
      <c r="F499" s="324">
        <v>12226.65</v>
      </c>
      <c r="H499" s="323" t="s">
        <v>562</v>
      </c>
      <c r="I499" s="323" t="s">
        <v>562</v>
      </c>
      <c r="J499" s="323" t="s">
        <v>443</v>
      </c>
      <c r="K499" s="323" t="s">
        <v>600</v>
      </c>
      <c r="L499" s="323"/>
      <c r="M499" s="323"/>
    </row>
    <row r="500" spans="1:13" ht="22.15" customHeight="1">
      <c r="A500" s="322" t="s">
        <v>552</v>
      </c>
      <c r="B500" s="322" t="s">
        <v>457</v>
      </c>
      <c r="C500" s="322" t="s">
        <v>918</v>
      </c>
      <c r="D500" s="322" t="s">
        <v>914</v>
      </c>
      <c r="E500" s="325">
        <v>45565</v>
      </c>
      <c r="F500" s="324">
        <v>100.68</v>
      </c>
      <c r="H500" s="323" t="s">
        <v>88</v>
      </c>
      <c r="I500" s="323" t="s">
        <v>442</v>
      </c>
      <c r="J500" s="323" t="s">
        <v>443</v>
      </c>
      <c r="K500" s="323" t="s">
        <v>600</v>
      </c>
      <c r="L500" s="323"/>
      <c r="M500" s="323"/>
    </row>
    <row r="501" spans="1:13" ht="22.15" customHeight="1">
      <c r="A501" s="322" t="s">
        <v>558</v>
      </c>
      <c r="B501" s="322" t="s">
        <v>468</v>
      </c>
      <c r="C501" s="322" t="s">
        <v>919</v>
      </c>
      <c r="D501" s="322" t="s">
        <v>914</v>
      </c>
      <c r="E501" s="325">
        <v>45565</v>
      </c>
      <c r="F501" s="324">
        <v>59.66</v>
      </c>
      <c r="H501" s="323" t="s">
        <v>88</v>
      </c>
      <c r="I501" s="323" t="s">
        <v>442</v>
      </c>
      <c r="J501" s="323" t="s">
        <v>443</v>
      </c>
      <c r="K501" s="323" t="s">
        <v>600</v>
      </c>
      <c r="L501" s="323"/>
      <c r="M501" s="323"/>
    </row>
    <row r="502" spans="1:13" ht="22.15" customHeight="1">
      <c r="A502" s="322" t="s">
        <v>552</v>
      </c>
      <c r="B502" s="322" t="s">
        <v>457</v>
      </c>
      <c r="C502" s="322" t="s">
        <v>920</v>
      </c>
      <c r="D502" s="322" t="s">
        <v>914</v>
      </c>
      <c r="E502" s="325">
        <v>45565</v>
      </c>
      <c r="F502" s="324">
        <v>290.85000000000002</v>
      </c>
      <c r="H502" s="323" t="s">
        <v>921</v>
      </c>
      <c r="I502" s="323" t="s">
        <v>442</v>
      </c>
      <c r="J502" s="323" t="s">
        <v>443</v>
      </c>
      <c r="K502" s="323" t="s">
        <v>600</v>
      </c>
      <c r="L502" s="323"/>
      <c r="M502" s="323"/>
    </row>
    <row r="503" spans="1:13" ht="22.15" customHeight="1">
      <c r="A503" s="322" t="s">
        <v>539</v>
      </c>
      <c r="B503" s="322" t="s">
        <v>455</v>
      </c>
      <c r="C503" s="322" t="s">
        <v>922</v>
      </c>
      <c r="D503" s="322" t="s">
        <v>914</v>
      </c>
      <c r="E503" s="325">
        <v>45565</v>
      </c>
      <c r="F503" s="324">
        <v>111.86</v>
      </c>
      <c r="H503" s="323" t="s">
        <v>921</v>
      </c>
      <c r="I503" s="323" t="s">
        <v>442</v>
      </c>
      <c r="J503" s="323" t="s">
        <v>443</v>
      </c>
      <c r="K503" s="323" t="s">
        <v>600</v>
      </c>
      <c r="L503" s="323"/>
      <c r="M503" s="323"/>
    </row>
    <row r="504" spans="1:13" ht="22.15" customHeight="1">
      <c r="A504" s="322" t="s">
        <v>539</v>
      </c>
      <c r="B504" s="322" t="s">
        <v>455</v>
      </c>
      <c r="C504" s="322" t="s">
        <v>923</v>
      </c>
      <c r="D504" s="322" t="s">
        <v>914</v>
      </c>
      <c r="E504" s="325">
        <v>45565</v>
      </c>
      <c r="F504" s="324">
        <v>164.07</v>
      </c>
      <c r="H504" s="323" t="s">
        <v>924</v>
      </c>
      <c r="I504" s="323" t="s">
        <v>442</v>
      </c>
      <c r="J504" s="323" t="s">
        <v>443</v>
      </c>
      <c r="K504" s="323" t="s">
        <v>600</v>
      </c>
      <c r="L504" s="323"/>
      <c r="M504" s="323"/>
    </row>
    <row r="505" spans="1:13" ht="22.15" customHeight="1">
      <c r="A505" s="322" t="s">
        <v>437</v>
      </c>
      <c r="B505" s="322" t="s">
        <v>438</v>
      </c>
      <c r="C505" s="322" t="s">
        <v>925</v>
      </c>
      <c r="D505" s="322" t="s">
        <v>914</v>
      </c>
      <c r="E505" s="325">
        <v>45565</v>
      </c>
      <c r="F505" s="324">
        <v>507.59</v>
      </c>
      <c r="H505" s="323" t="s">
        <v>572</v>
      </c>
      <c r="I505" s="323" t="s">
        <v>442</v>
      </c>
      <c r="J505" s="323" t="s">
        <v>443</v>
      </c>
      <c r="K505" s="323" t="s">
        <v>600</v>
      </c>
      <c r="L505" s="323"/>
      <c r="M505" s="323"/>
    </row>
    <row r="506" spans="1:13" ht="22.15" customHeight="1">
      <c r="A506" s="322" t="s">
        <v>437</v>
      </c>
      <c r="B506" s="322" t="s">
        <v>438</v>
      </c>
      <c r="C506" s="322" t="s">
        <v>926</v>
      </c>
      <c r="D506" s="322" t="s">
        <v>914</v>
      </c>
      <c r="E506" s="325">
        <v>45565</v>
      </c>
      <c r="F506" s="324">
        <v>852.76</v>
      </c>
      <c r="H506" s="323" t="s">
        <v>673</v>
      </c>
      <c r="I506" s="323" t="s">
        <v>442</v>
      </c>
      <c r="J506" s="323" t="s">
        <v>443</v>
      </c>
      <c r="K506" s="323" t="s">
        <v>600</v>
      </c>
      <c r="L506" s="323"/>
      <c r="M506" s="323"/>
    </row>
    <row r="507" spans="1:13" ht="22.15" customHeight="1">
      <c r="A507" s="322" t="s">
        <v>437</v>
      </c>
      <c r="B507" s="322" t="s">
        <v>438</v>
      </c>
      <c r="C507" s="322" t="s">
        <v>927</v>
      </c>
      <c r="D507" s="322" t="s">
        <v>914</v>
      </c>
      <c r="E507" s="325">
        <v>45565</v>
      </c>
      <c r="F507" s="324">
        <v>74.58</v>
      </c>
      <c r="H507" s="323" t="s">
        <v>573</v>
      </c>
      <c r="I507" s="323" t="s">
        <v>442</v>
      </c>
      <c r="J507" s="323" t="s">
        <v>443</v>
      </c>
      <c r="K507" s="323" t="s">
        <v>600</v>
      </c>
      <c r="L507" s="323"/>
      <c r="M507" s="323"/>
    </row>
    <row r="508" spans="1:13" ht="22.15" customHeight="1">
      <c r="A508" s="322" t="s">
        <v>603</v>
      </c>
      <c r="B508" s="322" t="s">
        <v>604</v>
      </c>
      <c r="C508" s="322" t="s">
        <v>928</v>
      </c>
      <c r="D508" s="322" t="s">
        <v>914</v>
      </c>
      <c r="E508" s="325">
        <v>45565</v>
      </c>
      <c r="F508" s="324">
        <v>64.14</v>
      </c>
      <c r="H508" s="323" t="s">
        <v>573</v>
      </c>
      <c r="I508" s="323" t="s">
        <v>442</v>
      </c>
      <c r="J508" s="323" t="s">
        <v>443</v>
      </c>
      <c r="K508" s="323" t="s">
        <v>600</v>
      </c>
      <c r="L508" s="323"/>
      <c r="M508" s="323"/>
    </row>
    <row r="509" spans="1:13" ht="22.15" customHeight="1">
      <c r="A509" s="322" t="s">
        <v>536</v>
      </c>
      <c r="B509" s="322" t="s">
        <v>459</v>
      </c>
      <c r="C509" s="322" t="s">
        <v>929</v>
      </c>
      <c r="D509" s="322" t="s">
        <v>914</v>
      </c>
      <c r="E509" s="325">
        <v>45565</v>
      </c>
      <c r="F509" s="324">
        <v>215.08</v>
      </c>
      <c r="H509" s="323" t="s">
        <v>573</v>
      </c>
      <c r="I509" s="323" t="s">
        <v>442</v>
      </c>
      <c r="J509" s="323" t="s">
        <v>443</v>
      </c>
      <c r="K509" s="323" t="s">
        <v>600</v>
      </c>
      <c r="L509" s="323"/>
      <c r="M509" s="323"/>
    </row>
    <row r="510" spans="1:13" ht="22.15" customHeight="1">
      <c r="A510" s="322" t="s">
        <v>533</v>
      </c>
      <c r="B510" s="322" t="s">
        <v>447</v>
      </c>
      <c r="C510" s="322" t="s">
        <v>930</v>
      </c>
      <c r="D510" s="322" t="s">
        <v>914</v>
      </c>
      <c r="E510" s="325">
        <v>45565</v>
      </c>
      <c r="F510" s="324">
        <v>2.98</v>
      </c>
      <c r="H510" s="323" t="s">
        <v>573</v>
      </c>
      <c r="I510" s="323" t="s">
        <v>442</v>
      </c>
      <c r="J510" s="323" t="s">
        <v>443</v>
      </c>
      <c r="K510" s="323" t="s">
        <v>600</v>
      </c>
      <c r="L510" s="323"/>
      <c r="M510" s="323"/>
    </row>
    <row r="511" spans="1:13" ht="22.15" customHeight="1">
      <c r="A511" s="322" t="s">
        <v>533</v>
      </c>
      <c r="B511" s="322" t="s">
        <v>447</v>
      </c>
      <c r="C511" s="322" t="s">
        <v>931</v>
      </c>
      <c r="D511" s="322" t="s">
        <v>914</v>
      </c>
      <c r="E511" s="325">
        <v>45565</v>
      </c>
      <c r="F511" s="324">
        <v>2.98</v>
      </c>
      <c r="H511" s="323" t="s">
        <v>573</v>
      </c>
      <c r="I511" s="323" t="s">
        <v>442</v>
      </c>
      <c r="J511" s="323" t="s">
        <v>443</v>
      </c>
      <c r="K511" s="323" t="s">
        <v>600</v>
      </c>
      <c r="L511" s="323"/>
      <c r="M511" s="323"/>
    </row>
    <row r="512" spans="1:13" ht="22.15" customHeight="1">
      <c r="A512" s="322" t="s">
        <v>521</v>
      </c>
      <c r="B512" s="322" t="s">
        <v>473</v>
      </c>
      <c r="C512" s="322" t="s">
        <v>523</v>
      </c>
      <c r="D512" s="322" t="s">
        <v>914</v>
      </c>
      <c r="E512" s="325">
        <v>45565</v>
      </c>
      <c r="F512" s="324">
        <v>52.58</v>
      </c>
      <c r="H512" s="323" t="s">
        <v>573</v>
      </c>
      <c r="I512" s="323" t="s">
        <v>442</v>
      </c>
      <c r="J512" s="323" t="s">
        <v>443</v>
      </c>
      <c r="K512" s="323" t="s">
        <v>600</v>
      </c>
      <c r="L512" s="323"/>
      <c r="M512" s="323"/>
    </row>
    <row r="513" spans="1:13" ht="22.15" customHeight="1">
      <c r="A513" s="322" t="s">
        <v>521</v>
      </c>
      <c r="B513" s="322" t="s">
        <v>473</v>
      </c>
      <c r="C513" s="322" t="s">
        <v>529</v>
      </c>
      <c r="D513" s="322" t="s">
        <v>914</v>
      </c>
      <c r="E513" s="325">
        <v>45565</v>
      </c>
      <c r="F513" s="324">
        <v>42.23</v>
      </c>
      <c r="H513" s="323" t="s">
        <v>573</v>
      </c>
      <c r="I513" s="323" t="s">
        <v>442</v>
      </c>
      <c r="J513" s="323" t="s">
        <v>443</v>
      </c>
      <c r="K513" s="323" t="s">
        <v>600</v>
      </c>
      <c r="L513" s="323"/>
      <c r="M513" s="323"/>
    </row>
    <row r="514" spans="1:13" ht="22.15" customHeight="1">
      <c r="A514" s="322" t="s">
        <v>521</v>
      </c>
      <c r="B514" s="322" t="s">
        <v>473</v>
      </c>
      <c r="C514" s="322" t="s">
        <v>525</v>
      </c>
      <c r="D514" s="322" t="s">
        <v>914</v>
      </c>
      <c r="E514" s="325">
        <v>45565</v>
      </c>
      <c r="F514" s="324">
        <v>42.23</v>
      </c>
      <c r="H514" s="323" t="s">
        <v>573</v>
      </c>
      <c r="I514" s="323" t="s">
        <v>442</v>
      </c>
      <c r="J514" s="323" t="s">
        <v>443</v>
      </c>
      <c r="K514" s="323" t="s">
        <v>600</v>
      </c>
      <c r="L514" s="323"/>
      <c r="M514" s="323"/>
    </row>
    <row r="515" spans="1:13" ht="22.15" customHeight="1">
      <c r="A515" s="322" t="s">
        <v>521</v>
      </c>
      <c r="B515" s="322" t="s">
        <v>473</v>
      </c>
      <c r="C515" s="322" t="s">
        <v>526</v>
      </c>
      <c r="D515" s="322" t="s">
        <v>914</v>
      </c>
      <c r="E515" s="325">
        <v>45565</v>
      </c>
      <c r="F515" s="324">
        <v>42.23</v>
      </c>
      <c r="H515" s="323" t="s">
        <v>573</v>
      </c>
      <c r="I515" s="323" t="s">
        <v>442</v>
      </c>
      <c r="J515" s="323" t="s">
        <v>443</v>
      </c>
      <c r="K515" s="323" t="s">
        <v>600</v>
      </c>
      <c r="L515" s="323"/>
      <c r="M515" s="323"/>
    </row>
    <row r="516" spans="1:13" ht="22.15" customHeight="1">
      <c r="A516" s="322" t="s">
        <v>521</v>
      </c>
      <c r="B516" s="322" t="s">
        <v>473</v>
      </c>
      <c r="C516" s="322" t="s">
        <v>932</v>
      </c>
      <c r="D516" s="322" t="s">
        <v>914</v>
      </c>
      <c r="E516" s="325">
        <v>45565</v>
      </c>
      <c r="F516" s="324">
        <v>42.23</v>
      </c>
      <c r="H516" s="323" t="s">
        <v>573</v>
      </c>
      <c r="I516" s="323" t="s">
        <v>442</v>
      </c>
      <c r="J516" s="323" t="s">
        <v>443</v>
      </c>
      <c r="K516" s="323" t="s">
        <v>600</v>
      </c>
      <c r="L516" s="323"/>
      <c r="M516" s="323"/>
    </row>
    <row r="517" spans="1:13" ht="22.15" customHeight="1">
      <c r="A517" s="322" t="s">
        <v>521</v>
      </c>
      <c r="B517" s="322" t="s">
        <v>473</v>
      </c>
      <c r="C517" s="322" t="s">
        <v>933</v>
      </c>
      <c r="D517" s="322" t="s">
        <v>914</v>
      </c>
      <c r="E517" s="325">
        <v>45565</v>
      </c>
      <c r="F517" s="324">
        <v>42.23</v>
      </c>
      <c r="H517" s="323" t="s">
        <v>573</v>
      </c>
      <c r="I517" s="323" t="s">
        <v>442</v>
      </c>
      <c r="J517" s="323" t="s">
        <v>443</v>
      </c>
      <c r="K517" s="323" t="s">
        <v>600</v>
      </c>
      <c r="L517" s="323"/>
      <c r="M517" s="323"/>
    </row>
    <row r="518" spans="1:13" ht="22.15" customHeight="1">
      <c r="A518" s="322" t="s">
        <v>521</v>
      </c>
      <c r="B518" s="322" t="s">
        <v>473</v>
      </c>
      <c r="C518" s="322" t="s">
        <v>614</v>
      </c>
      <c r="D518" s="322" t="s">
        <v>914</v>
      </c>
      <c r="E518" s="325">
        <v>45565</v>
      </c>
      <c r="F518" s="324">
        <v>28.34</v>
      </c>
      <c r="H518" s="323" t="s">
        <v>573</v>
      </c>
      <c r="I518" s="323" t="s">
        <v>442</v>
      </c>
      <c r="J518" s="323" t="s">
        <v>443</v>
      </c>
      <c r="K518" s="323" t="s">
        <v>600</v>
      </c>
      <c r="L518" s="323"/>
      <c r="M518" s="323"/>
    </row>
    <row r="519" spans="1:13" ht="22.15" customHeight="1">
      <c r="A519" s="322" t="s">
        <v>533</v>
      </c>
      <c r="B519" s="322" t="s">
        <v>447</v>
      </c>
      <c r="C519" s="322" t="s">
        <v>934</v>
      </c>
      <c r="D519" s="322" t="s">
        <v>914</v>
      </c>
      <c r="E519" s="325">
        <v>45565</v>
      </c>
      <c r="F519" s="324">
        <v>2.98</v>
      </c>
      <c r="H519" s="323" t="s">
        <v>573</v>
      </c>
      <c r="I519" s="323" t="s">
        <v>442</v>
      </c>
      <c r="J519" s="323" t="s">
        <v>443</v>
      </c>
      <c r="K519" s="323" t="s">
        <v>600</v>
      </c>
      <c r="L519" s="323"/>
      <c r="M519" s="323"/>
    </row>
    <row r="520" spans="1:13" ht="22.15" customHeight="1">
      <c r="A520" s="322" t="s">
        <v>533</v>
      </c>
      <c r="B520" s="322" t="s">
        <v>447</v>
      </c>
      <c r="C520" s="322" t="s">
        <v>683</v>
      </c>
      <c r="D520" s="322" t="s">
        <v>914</v>
      </c>
      <c r="E520" s="325">
        <v>45565</v>
      </c>
      <c r="F520" s="324">
        <v>2.98</v>
      </c>
      <c r="H520" s="323" t="s">
        <v>573</v>
      </c>
      <c r="I520" s="323" t="s">
        <v>442</v>
      </c>
      <c r="J520" s="323" t="s">
        <v>443</v>
      </c>
      <c r="K520" s="323" t="s">
        <v>600</v>
      </c>
      <c r="L520" s="323"/>
      <c r="M520" s="323"/>
    </row>
    <row r="521" spans="1:13" ht="22.15" customHeight="1">
      <c r="A521" s="322" t="s">
        <v>533</v>
      </c>
      <c r="B521" s="322" t="s">
        <v>447</v>
      </c>
      <c r="C521" s="322" t="s">
        <v>683</v>
      </c>
      <c r="D521" s="322" t="s">
        <v>914</v>
      </c>
      <c r="E521" s="325">
        <v>45565</v>
      </c>
      <c r="F521" s="324">
        <v>2.98</v>
      </c>
      <c r="H521" s="323" t="s">
        <v>573</v>
      </c>
      <c r="I521" s="323" t="s">
        <v>442</v>
      </c>
      <c r="J521" s="323" t="s">
        <v>443</v>
      </c>
      <c r="K521" s="323" t="s">
        <v>600</v>
      </c>
      <c r="L521" s="323"/>
      <c r="M521" s="323"/>
    </row>
    <row r="522" spans="1:13" ht="22.15" customHeight="1">
      <c r="A522" s="322" t="s">
        <v>493</v>
      </c>
      <c r="B522" s="322" t="s">
        <v>466</v>
      </c>
      <c r="C522" s="322" t="s">
        <v>494</v>
      </c>
      <c r="D522" s="322" t="s">
        <v>914</v>
      </c>
      <c r="E522" s="325">
        <v>45565</v>
      </c>
      <c r="F522" s="324">
        <v>12.53</v>
      </c>
      <c r="H522" s="323" t="s">
        <v>573</v>
      </c>
      <c r="I522" s="323" t="s">
        <v>442</v>
      </c>
      <c r="J522" s="323" t="s">
        <v>443</v>
      </c>
      <c r="K522" s="323" t="s">
        <v>600</v>
      </c>
      <c r="L522" s="323"/>
      <c r="M522" s="323"/>
    </row>
    <row r="523" spans="1:13" ht="22.15" customHeight="1">
      <c r="A523" s="322" t="s">
        <v>493</v>
      </c>
      <c r="B523" s="322" t="s">
        <v>466</v>
      </c>
      <c r="C523" s="322" t="s">
        <v>649</v>
      </c>
      <c r="D523" s="322" t="s">
        <v>914</v>
      </c>
      <c r="E523" s="325">
        <v>45565</v>
      </c>
      <c r="F523" s="324">
        <v>74.58</v>
      </c>
      <c r="H523" s="323" t="s">
        <v>573</v>
      </c>
      <c r="I523" s="323" t="s">
        <v>442</v>
      </c>
      <c r="J523" s="323" t="s">
        <v>443</v>
      </c>
      <c r="K523" s="323" t="s">
        <v>600</v>
      </c>
      <c r="L523" s="323"/>
      <c r="M523" s="323"/>
    </row>
    <row r="524" spans="1:13" ht="22.15" customHeight="1">
      <c r="A524" s="322" t="s">
        <v>493</v>
      </c>
      <c r="B524" s="322" t="s">
        <v>466</v>
      </c>
      <c r="C524" s="322" t="s">
        <v>935</v>
      </c>
      <c r="D524" s="322" t="s">
        <v>914</v>
      </c>
      <c r="E524" s="325">
        <v>45565</v>
      </c>
      <c r="F524" s="324">
        <v>14.17</v>
      </c>
      <c r="H524" s="323" t="s">
        <v>573</v>
      </c>
      <c r="I524" s="323" t="s">
        <v>442</v>
      </c>
      <c r="J524" s="323" t="s">
        <v>443</v>
      </c>
      <c r="K524" s="323" t="s">
        <v>600</v>
      </c>
      <c r="L524" s="323"/>
      <c r="M524" s="323"/>
    </row>
    <row r="525" spans="1:13" ht="22.15" customHeight="1">
      <c r="A525" s="322" t="s">
        <v>493</v>
      </c>
      <c r="B525" s="322" t="s">
        <v>466</v>
      </c>
      <c r="C525" s="322" t="s">
        <v>936</v>
      </c>
      <c r="D525" s="322" t="s">
        <v>914</v>
      </c>
      <c r="E525" s="325">
        <v>45565</v>
      </c>
      <c r="F525" s="324">
        <v>20.73</v>
      </c>
      <c r="H525" s="323" t="s">
        <v>573</v>
      </c>
      <c r="I525" s="323" t="s">
        <v>442</v>
      </c>
      <c r="J525" s="323" t="s">
        <v>443</v>
      </c>
      <c r="K525" s="323" t="s">
        <v>600</v>
      </c>
      <c r="L525" s="323"/>
      <c r="M525" s="323"/>
    </row>
    <row r="526" spans="1:13" ht="22.15" customHeight="1">
      <c r="A526" s="322" t="s">
        <v>493</v>
      </c>
      <c r="B526" s="322" t="s">
        <v>466</v>
      </c>
      <c r="C526" s="322" t="s">
        <v>937</v>
      </c>
      <c r="D526" s="322" t="s">
        <v>914</v>
      </c>
      <c r="E526" s="325">
        <v>45565</v>
      </c>
      <c r="F526" s="324">
        <v>4.03</v>
      </c>
      <c r="H526" s="323" t="s">
        <v>573</v>
      </c>
      <c r="I526" s="323" t="s">
        <v>442</v>
      </c>
      <c r="J526" s="323" t="s">
        <v>443</v>
      </c>
      <c r="K526" s="323" t="s">
        <v>600</v>
      </c>
      <c r="L526" s="323"/>
      <c r="M526" s="323"/>
    </row>
    <row r="527" spans="1:13" ht="22.15" customHeight="1">
      <c r="A527" s="322" t="s">
        <v>493</v>
      </c>
      <c r="B527" s="322" t="s">
        <v>466</v>
      </c>
      <c r="C527" s="322" t="s">
        <v>502</v>
      </c>
      <c r="D527" s="322" t="s">
        <v>914</v>
      </c>
      <c r="E527" s="325">
        <v>45565</v>
      </c>
      <c r="F527" s="324">
        <v>7.0000000000000007E-2</v>
      </c>
      <c r="H527" s="323" t="s">
        <v>573</v>
      </c>
      <c r="I527" s="323" t="s">
        <v>442</v>
      </c>
      <c r="J527" s="323" t="s">
        <v>443</v>
      </c>
      <c r="K527" s="323" t="s">
        <v>600</v>
      </c>
      <c r="L527" s="323"/>
      <c r="M527" s="323"/>
    </row>
    <row r="528" spans="1:13" ht="22.15" customHeight="1">
      <c r="A528" s="322" t="s">
        <v>539</v>
      </c>
      <c r="B528" s="322" t="s">
        <v>455</v>
      </c>
      <c r="C528" s="322" t="s">
        <v>938</v>
      </c>
      <c r="D528" s="322" t="s">
        <v>914</v>
      </c>
      <c r="E528" s="325">
        <v>45565</v>
      </c>
      <c r="F528" s="324">
        <v>38.78</v>
      </c>
      <c r="H528" s="323" t="s">
        <v>573</v>
      </c>
      <c r="I528" s="323" t="s">
        <v>442</v>
      </c>
      <c r="J528" s="323" t="s">
        <v>443</v>
      </c>
      <c r="K528" s="323" t="s">
        <v>600</v>
      </c>
      <c r="L528" s="323"/>
      <c r="M528" s="323"/>
    </row>
    <row r="529" spans="1:13" ht="22.15" customHeight="1">
      <c r="A529" s="322" t="s">
        <v>539</v>
      </c>
      <c r="B529" s="322" t="s">
        <v>455</v>
      </c>
      <c r="C529" s="322" t="s">
        <v>541</v>
      </c>
      <c r="D529" s="322" t="s">
        <v>914</v>
      </c>
      <c r="E529" s="325">
        <v>45565</v>
      </c>
      <c r="F529" s="324">
        <v>11.93</v>
      </c>
      <c r="H529" s="323" t="s">
        <v>573</v>
      </c>
      <c r="I529" s="323" t="s">
        <v>442</v>
      </c>
      <c r="J529" s="323" t="s">
        <v>443</v>
      </c>
      <c r="K529" s="323" t="s">
        <v>600</v>
      </c>
      <c r="L529" s="323"/>
      <c r="M529" s="323"/>
    </row>
    <row r="530" spans="1:13" ht="22.15" customHeight="1">
      <c r="A530" s="322" t="s">
        <v>688</v>
      </c>
      <c r="B530" s="322" t="s">
        <v>689</v>
      </c>
      <c r="C530" s="322" t="s">
        <v>939</v>
      </c>
      <c r="D530" s="322" t="s">
        <v>914</v>
      </c>
      <c r="E530" s="325">
        <v>45565</v>
      </c>
      <c r="F530" s="324">
        <v>100.68</v>
      </c>
      <c r="H530" s="323" t="s">
        <v>911</v>
      </c>
      <c r="I530" s="323" t="s">
        <v>442</v>
      </c>
      <c r="J530" s="323" t="s">
        <v>443</v>
      </c>
      <c r="K530" s="323" t="s">
        <v>600</v>
      </c>
      <c r="L530" s="323"/>
      <c r="M530" s="323"/>
    </row>
    <row r="531" spans="1:13" ht="22.15" customHeight="1">
      <c r="A531" s="322" t="s">
        <v>493</v>
      </c>
      <c r="B531" s="322" t="s">
        <v>466</v>
      </c>
      <c r="C531" s="322" t="s">
        <v>940</v>
      </c>
      <c r="D531" s="322" t="s">
        <v>914</v>
      </c>
      <c r="E531" s="325">
        <v>45565</v>
      </c>
      <c r="F531" s="324">
        <v>59.66</v>
      </c>
      <c r="H531" s="323" t="s">
        <v>911</v>
      </c>
      <c r="I531" s="323" t="s">
        <v>442</v>
      </c>
      <c r="J531" s="323" t="s">
        <v>443</v>
      </c>
      <c r="K531" s="323" t="s">
        <v>600</v>
      </c>
      <c r="L531" s="323"/>
      <c r="M531" s="323"/>
    </row>
    <row r="532" spans="1:13" ht="22.15" customHeight="1">
      <c r="A532" s="322" t="s">
        <v>460</v>
      </c>
      <c r="B532" s="322" t="s">
        <v>461</v>
      </c>
      <c r="C532" s="322" t="s">
        <v>463</v>
      </c>
      <c r="D532" s="322" t="s">
        <v>697</v>
      </c>
      <c r="E532" s="325">
        <v>45565</v>
      </c>
      <c r="F532" s="324">
        <v>563.28</v>
      </c>
      <c r="H532" s="323" t="s">
        <v>465</v>
      </c>
      <c r="I532" s="323" t="s">
        <v>465</v>
      </c>
      <c r="J532" s="323" t="s">
        <v>443</v>
      </c>
      <c r="K532" s="323" t="s">
        <v>600</v>
      </c>
      <c r="L532" s="323"/>
      <c r="M532" s="323"/>
    </row>
    <row r="533" spans="1:13" ht="22.15" customHeight="1">
      <c r="A533" s="322" t="s">
        <v>460</v>
      </c>
      <c r="B533" s="322" t="s">
        <v>461</v>
      </c>
      <c r="C533" s="322" t="s">
        <v>467</v>
      </c>
      <c r="D533" s="322" t="s">
        <v>697</v>
      </c>
      <c r="E533" s="325">
        <v>45565</v>
      </c>
      <c r="F533" s="324">
        <v>436.8</v>
      </c>
      <c r="H533" s="323" t="s">
        <v>465</v>
      </c>
      <c r="I533" s="323" t="s">
        <v>465</v>
      </c>
      <c r="J533" s="323" t="s">
        <v>443</v>
      </c>
      <c r="K533" s="323" t="s">
        <v>600</v>
      </c>
      <c r="L533" s="323"/>
      <c r="M533" s="323"/>
    </row>
    <row r="534" spans="1:13" ht="22.15" customHeight="1">
      <c r="A534" s="322" t="s">
        <v>460</v>
      </c>
      <c r="B534" s="322" t="s">
        <v>461</v>
      </c>
      <c r="C534" s="322" t="s">
        <v>469</v>
      </c>
      <c r="D534" s="322" t="s">
        <v>697</v>
      </c>
      <c r="E534" s="325">
        <v>45565</v>
      </c>
      <c r="F534" s="324">
        <v>720</v>
      </c>
      <c r="H534" s="323" t="s">
        <v>465</v>
      </c>
      <c r="I534" s="323" t="s">
        <v>465</v>
      </c>
      <c r="J534" s="323" t="s">
        <v>443</v>
      </c>
      <c r="K534" s="323" t="s">
        <v>600</v>
      </c>
      <c r="L534" s="323"/>
      <c r="M534" s="323"/>
    </row>
    <row r="535" spans="1:13" ht="6.95" customHeight="1">
      <c r="F535" s="321" t="s">
        <v>434</v>
      </c>
      <c r="G535" s="321" t="s">
        <v>434</v>
      </c>
    </row>
    <row r="536" spans="1:13" ht="12" customHeight="1">
      <c r="D536" s="323" t="s">
        <v>698</v>
      </c>
      <c r="F536" s="324">
        <v>342028.13</v>
      </c>
      <c r="G536" s="324">
        <v>7.0000000000000007E-2</v>
      </c>
    </row>
    <row r="537" spans="1:13" ht="6.95" customHeight="1">
      <c r="F537" s="321" t="s">
        <v>434</v>
      </c>
      <c r="G537" s="321" t="s">
        <v>434</v>
      </c>
    </row>
    <row r="538" spans="1:13" ht="33.200000000000003" customHeight="1">
      <c r="A538" s="323" t="s">
        <v>699</v>
      </c>
      <c r="F538" s="324">
        <v>0</v>
      </c>
      <c r="G538" s="324">
        <v>0</v>
      </c>
    </row>
    <row r="539" spans="1:13" ht="6.95" customHeight="1">
      <c r="F539" s="321" t="s">
        <v>434</v>
      </c>
      <c r="G539" s="321" t="s">
        <v>434</v>
      </c>
    </row>
    <row r="540" spans="1:13" ht="22.15" customHeight="1">
      <c r="A540" s="323" t="s">
        <v>700</v>
      </c>
      <c r="F540" s="324">
        <v>342028.13</v>
      </c>
      <c r="G540" s="324">
        <v>7.0000000000000007E-2</v>
      </c>
    </row>
    <row r="541" spans="1:13" ht="6.95" customHeight="1">
      <c r="F541" s="321" t="s">
        <v>434</v>
      </c>
      <c r="G541" s="321" t="s">
        <v>434</v>
      </c>
    </row>
    <row r="542" spans="1:13" ht="22.15" customHeight="1">
      <c r="A542" s="323" t="s">
        <v>701</v>
      </c>
      <c r="F542" s="324">
        <v>342028.13</v>
      </c>
      <c r="G542" s="324">
        <v>7.0000000000000007E-2</v>
      </c>
    </row>
    <row r="543" spans="1:13" ht="6.95" customHeight="1">
      <c r="F543" s="321" t="s">
        <v>434</v>
      </c>
      <c r="G543" s="321" t="s">
        <v>434</v>
      </c>
    </row>
    <row r="544" spans="1:13" ht="12" customHeight="1">
      <c r="A544" s="323" t="s">
        <v>702</v>
      </c>
      <c r="F544" s="324">
        <v>342028.06</v>
      </c>
    </row>
    <row r="545" spans="6:7" ht="6.95" customHeight="1">
      <c r="F545" s="326" t="s">
        <v>434</v>
      </c>
      <c r="G545" s="326" t="s">
        <v>434</v>
      </c>
    </row>
  </sheetData>
  <autoFilter ref="A1:K545" xr:uid="{00000000-0009-0000-0000-000002000000}"/>
  <mergeCells count="7">
    <mergeCell ref="M43:N43"/>
    <mergeCell ref="M45:N45"/>
    <mergeCell ref="M49:O51"/>
    <mergeCell ref="M44:O44"/>
    <mergeCell ref="M46:O46"/>
    <mergeCell ref="M48:O48"/>
    <mergeCell ref="M47:N47"/>
  </mergeCells>
  <pageMargins left="0.5" right="0.5" top="0.94444444444444442" bottom="0.5" header="0.5" footer="0.5"/>
  <pageSetup orientation="landscape" horizontalDpi="96"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Q115"/>
  <sheetViews>
    <sheetView topLeftCell="C16" workbookViewId="0">
      <selection activeCell="L33" sqref="L33"/>
    </sheetView>
  </sheetViews>
  <sheetFormatPr defaultRowHeight="14.25"/>
  <cols>
    <col min="1" max="1" width="14.265625" customWidth="1"/>
    <col min="2" max="2" width="24.265625" customWidth="1"/>
    <col min="3" max="3" width="14.265625" customWidth="1"/>
    <col min="4" max="4" width="26.59765625" customWidth="1"/>
    <col min="5" max="5" width="14.265625" customWidth="1"/>
    <col min="6" max="6" width="16.265625" customWidth="1"/>
    <col min="7" max="7" width="15" customWidth="1"/>
    <col min="8" max="8" width="9.59765625" customWidth="1"/>
    <col min="9" max="9" width="11.73046875" customWidth="1"/>
    <col min="10" max="10" width="11.265625" customWidth="1"/>
    <col min="11" max="11" width="9.59765625" customWidth="1"/>
    <col min="12" max="12" width="16.59765625" customWidth="1"/>
    <col min="13" max="13" width="29.265625" bestFit="1" customWidth="1"/>
    <col min="14" max="14" width="13.265625" customWidth="1"/>
    <col min="17" max="17" width="10.1328125" bestFit="1" customWidth="1"/>
  </cols>
  <sheetData>
    <row r="2" spans="1:14">
      <c r="A2" s="178" t="s">
        <v>416</v>
      </c>
      <c r="B2" s="179" t="s">
        <v>417</v>
      </c>
      <c r="C2" s="180"/>
    </row>
    <row r="3" spans="1:14">
      <c r="A3" s="178" t="s">
        <v>418</v>
      </c>
      <c r="B3" s="179" t="s">
        <v>419</v>
      </c>
      <c r="C3" s="180"/>
    </row>
    <row r="4" spans="1:14">
      <c r="A4" s="178" t="s">
        <v>420</v>
      </c>
      <c r="B4" s="179">
        <v>3007</v>
      </c>
      <c r="C4" s="180"/>
    </row>
    <row r="5" spans="1:14">
      <c r="A5" s="178" t="s">
        <v>421</v>
      </c>
      <c r="B5" s="179" t="s">
        <v>422</v>
      </c>
      <c r="C5" s="180"/>
    </row>
    <row r="7" spans="1:14">
      <c r="A7" t="s">
        <v>423</v>
      </c>
      <c r="B7" t="s">
        <v>424</v>
      </c>
      <c r="C7" t="s">
        <v>425</v>
      </c>
      <c r="D7" t="s">
        <v>426</v>
      </c>
      <c r="E7" t="s">
        <v>427</v>
      </c>
      <c r="F7" t="s">
        <v>428</v>
      </c>
      <c r="G7" t="s">
        <v>429</v>
      </c>
      <c r="H7" t="s">
        <v>430</v>
      </c>
      <c r="I7" t="s">
        <v>431</v>
      </c>
      <c r="J7" s="181" t="s">
        <v>432</v>
      </c>
      <c r="K7" s="181" t="s">
        <v>433</v>
      </c>
    </row>
    <row r="8" spans="1:14">
      <c r="A8" s="182" t="s">
        <v>434</v>
      </c>
      <c r="B8" s="182" t="s">
        <v>434</v>
      </c>
      <c r="C8" s="182" t="s">
        <v>434</v>
      </c>
      <c r="D8" s="182" t="s">
        <v>434</v>
      </c>
      <c r="E8" s="182" t="s">
        <v>434</v>
      </c>
      <c r="F8" s="182" t="s">
        <v>434</v>
      </c>
      <c r="G8" s="182" t="s">
        <v>434</v>
      </c>
      <c r="H8" s="182" t="s">
        <v>434</v>
      </c>
      <c r="I8" s="182" t="s">
        <v>434</v>
      </c>
      <c r="J8" s="182" t="s">
        <v>434</v>
      </c>
      <c r="K8" s="182" t="s">
        <v>434</v>
      </c>
    </row>
    <row r="9" spans="1:14">
      <c r="A9" s="183"/>
      <c r="B9" s="183"/>
      <c r="F9" s="184"/>
      <c r="G9" s="185"/>
      <c r="J9" s="184"/>
      <c r="K9" s="184"/>
      <c r="M9" s="198" t="s">
        <v>435</v>
      </c>
      <c r="N9" t="s">
        <v>436</v>
      </c>
    </row>
    <row r="10" spans="1:14">
      <c r="A10" s="183" t="s">
        <v>437</v>
      </c>
      <c r="B10" s="183" t="s">
        <v>438</v>
      </c>
      <c r="C10" s="183" t="s">
        <v>439</v>
      </c>
      <c r="D10" s="183" t="s">
        <v>440</v>
      </c>
      <c r="E10" s="183" t="s">
        <v>441</v>
      </c>
      <c r="F10" s="186">
        <v>45322</v>
      </c>
      <c r="G10" s="185">
        <v>497.69</v>
      </c>
      <c r="I10" s="187">
        <f>G10-H10</f>
        <v>497.69</v>
      </c>
      <c r="J10" s="184" t="s">
        <v>442</v>
      </c>
      <c r="K10" s="184" t="s">
        <v>443</v>
      </c>
      <c r="M10" s="188" t="s">
        <v>434</v>
      </c>
      <c r="N10" s="189">
        <v>0</v>
      </c>
    </row>
    <row r="11" spans="1:14">
      <c r="A11" s="183" t="s">
        <v>437</v>
      </c>
      <c r="B11" s="183" t="s">
        <v>438</v>
      </c>
      <c r="C11" s="183" t="s">
        <v>444</v>
      </c>
      <c r="D11" s="183" t="s">
        <v>445</v>
      </c>
      <c r="E11" s="183" t="s">
        <v>446</v>
      </c>
      <c r="F11" s="186">
        <v>45351</v>
      </c>
      <c r="G11" s="185">
        <v>564.84</v>
      </c>
      <c r="I11" s="187">
        <f t="shared" ref="I11:I74" si="0">G11-H11</f>
        <v>564.84</v>
      </c>
      <c r="J11" s="184" t="s">
        <v>442</v>
      </c>
      <c r="K11" s="184" t="s">
        <v>443</v>
      </c>
      <c r="M11" s="188" t="s">
        <v>447</v>
      </c>
      <c r="N11" s="189">
        <v>6.78</v>
      </c>
    </row>
    <row r="12" spans="1:14">
      <c r="A12" s="183" t="s">
        <v>437</v>
      </c>
      <c r="B12" s="183" t="s">
        <v>438</v>
      </c>
      <c r="C12" s="183" t="s">
        <v>444</v>
      </c>
      <c r="D12" s="183" t="s">
        <v>448</v>
      </c>
      <c r="E12" s="183" t="s">
        <v>446</v>
      </c>
      <c r="F12" s="186">
        <v>45351</v>
      </c>
      <c r="G12" s="185">
        <v>1113.32</v>
      </c>
      <c r="I12" s="187">
        <f t="shared" si="0"/>
        <v>1113.32</v>
      </c>
      <c r="J12" s="184" t="s">
        <v>442</v>
      </c>
      <c r="K12" s="184" t="s">
        <v>443</v>
      </c>
      <c r="M12" s="188" t="s">
        <v>449</v>
      </c>
      <c r="N12" s="189">
        <v>6149.68</v>
      </c>
    </row>
    <row r="13" spans="1:14">
      <c r="A13" s="183" t="s">
        <v>437</v>
      </c>
      <c r="B13" s="183" t="s">
        <v>438</v>
      </c>
      <c r="C13" s="183" t="s">
        <v>444</v>
      </c>
      <c r="D13" s="183" t="s">
        <v>450</v>
      </c>
      <c r="E13" s="183" t="s">
        <v>446</v>
      </c>
      <c r="F13" s="186">
        <v>45351</v>
      </c>
      <c r="G13" s="185">
        <v>497.02</v>
      </c>
      <c r="I13" s="187">
        <f t="shared" si="0"/>
        <v>497.02</v>
      </c>
      <c r="J13" s="184" t="s">
        <v>442</v>
      </c>
      <c r="K13" s="184" t="s">
        <v>443</v>
      </c>
      <c r="M13" s="188" t="s">
        <v>451</v>
      </c>
      <c r="N13" s="189">
        <v>48070.33</v>
      </c>
    </row>
    <row r="14" spans="1:14">
      <c r="A14" s="183" t="s">
        <v>437</v>
      </c>
      <c r="B14" s="183" t="s">
        <v>438</v>
      </c>
      <c r="C14" s="183" t="s">
        <v>452</v>
      </c>
      <c r="D14" s="183" t="s">
        <v>453</v>
      </c>
      <c r="E14" s="183" t="s">
        <v>454</v>
      </c>
      <c r="F14" s="186">
        <v>45382</v>
      </c>
      <c r="G14" s="185">
        <v>500.26</v>
      </c>
      <c r="I14" s="187">
        <f t="shared" si="0"/>
        <v>500.26</v>
      </c>
      <c r="J14" s="184" t="s">
        <v>442</v>
      </c>
      <c r="K14" s="184" t="s">
        <v>443</v>
      </c>
      <c r="M14" s="188" t="s">
        <v>455</v>
      </c>
      <c r="N14" s="189">
        <v>2579.46</v>
      </c>
    </row>
    <row r="15" spans="1:14">
      <c r="A15" s="183" t="s">
        <v>437</v>
      </c>
      <c r="B15" s="183" t="s">
        <v>438</v>
      </c>
      <c r="C15" s="183" t="s">
        <v>452</v>
      </c>
      <c r="D15" s="183" t="s">
        <v>456</v>
      </c>
      <c r="E15" s="183" t="s">
        <v>454</v>
      </c>
      <c r="F15" s="186">
        <v>45382</v>
      </c>
      <c r="G15" s="185">
        <v>1200.6300000000001</v>
      </c>
      <c r="I15" s="187">
        <f t="shared" si="0"/>
        <v>1200.6300000000001</v>
      </c>
      <c r="J15" s="184" t="s">
        <v>442</v>
      </c>
      <c r="K15" s="184" t="s">
        <v>443</v>
      </c>
      <c r="M15" s="188" t="s">
        <v>457</v>
      </c>
      <c r="N15" s="189">
        <v>1130.98</v>
      </c>
    </row>
    <row r="16" spans="1:14">
      <c r="A16" s="183" t="s">
        <v>437</v>
      </c>
      <c r="B16" s="183" t="s">
        <v>438</v>
      </c>
      <c r="C16" s="183" t="s">
        <v>452</v>
      </c>
      <c r="D16" s="183" t="s">
        <v>458</v>
      </c>
      <c r="E16" s="183" t="s">
        <v>454</v>
      </c>
      <c r="F16" s="186">
        <v>45382</v>
      </c>
      <c r="G16" s="185">
        <v>1120.5899999999999</v>
      </c>
      <c r="I16" s="187">
        <f t="shared" si="0"/>
        <v>1120.5899999999999</v>
      </c>
      <c r="J16" s="184" t="s">
        <v>442</v>
      </c>
      <c r="K16" s="184" t="s">
        <v>443</v>
      </c>
      <c r="M16" s="188" t="s">
        <v>459</v>
      </c>
      <c r="N16" s="189">
        <v>1091.3600000000001</v>
      </c>
    </row>
    <row r="17" spans="1:14">
      <c r="A17" s="183" t="s">
        <v>460</v>
      </c>
      <c r="B17" s="183" t="s">
        <v>461</v>
      </c>
      <c r="C17" s="183" t="s">
        <v>462</v>
      </c>
      <c r="D17" s="183" t="s">
        <v>463</v>
      </c>
      <c r="E17" s="183" t="s">
        <v>464</v>
      </c>
      <c r="F17" s="186">
        <v>45322</v>
      </c>
      <c r="G17" s="185">
        <v>563.29</v>
      </c>
      <c r="I17" s="187">
        <f t="shared" si="0"/>
        <v>563.29</v>
      </c>
      <c r="J17" s="184" t="s">
        <v>465</v>
      </c>
      <c r="K17" s="184" t="s">
        <v>443</v>
      </c>
      <c r="M17" s="188" t="s">
        <v>466</v>
      </c>
      <c r="N17" s="189">
        <v>428.38000000000005</v>
      </c>
    </row>
    <row r="18" spans="1:14">
      <c r="A18" s="183" t="s">
        <v>460</v>
      </c>
      <c r="B18" s="183" t="s">
        <v>461</v>
      </c>
      <c r="C18" s="183" t="s">
        <v>462</v>
      </c>
      <c r="D18" s="183" t="s">
        <v>467</v>
      </c>
      <c r="E18" s="183" t="s">
        <v>464</v>
      </c>
      <c r="F18" s="186">
        <v>45322</v>
      </c>
      <c r="G18" s="185">
        <v>436.8</v>
      </c>
      <c r="I18" s="187">
        <f t="shared" si="0"/>
        <v>436.8</v>
      </c>
      <c r="J18" s="184" t="s">
        <v>465</v>
      </c>
      <c r="K18" s="184" t="s">
        <v>443</v>
      </c>
      <c r="M18" s="188" t="s">
        <v>468</v>
      </c>
      <c r="N18" s="189">
        <v>89.81</v>
      </c>
    </row>
    <row r="19" spans="1:14">
      <c r="A19" s="183" t="s">
        <v>460</v>
      </c>
      <c r="B19" s="183" t="s">
        <v>461</v>
      </c>
      <c r="C19" s="183" t="s">
        <v>462</v>
      </c>
      <c r="D19" s="183" t="s">
        <v>469</v>
      </c>
      <c r="E19" s="183" t="s">
        <v>464</v>
      </c>
      <c r="F19" s="186">
        <v>45322</v>
      </c>
      <c r="G19" s="185">
        <v>720</v>
      </c>
      <c r="I19" s="187">
        <f t="shared" si="0"/>
        <v>720</v>
      </c>
      <c r="J19" s="184" t="s">
        <v>465</v>
      </c>
      <c r="K19" s="184" t="s">
        <v>443</v>
      </c>
      <c r="M19" s="188" t="s">
        <v>461</v>
      </c>
      <c r="N19" s="189">
        <v>5160.2700000000004</v>
      </c>
    </row>
    <row r="20" spans="1:14">
      <c r="A20" s="183" t="s">
        <v>460</v>
      </c>
      <c r="B20" s="183" t="s">
        <v>461</v>
      </c>
      <c r="C20" s="183" t="s">
        <v>470</v>
      </c>
      <c r="D20" s="183" t="s">
        <v>463</v>
      </c>
      <c r="E20" s="183" t="s">
        <v>471</v>
      </c>
      <c r="F20" s="186">
        <v>45351</v>
      </c>
      <c r="G20" s="185">
        <v>563.29</v>
      </c>
      <c r="I20" s="187">
        <f t="shared" si="0"/>
        <v>563.29</v>
      </c>
      <c r="J20" s="184" t="s">
        <v>465</v>
      </c>
      <c r="K20" s="184" t="s">
        <v>443</v>
      </c>
      <c r="M20" s="188" t="s">
        <v>472</v>
      </c>
      <c r="N20" s="189">
        <v>11.8</v>
      </c>
    </row>
    <row r="21" spans="1:14">
      <c r="A21" s="183" t="s">
        <v>460</v>
      </c>
      <c r="B21" s="183" t="s">
        <v>461</v>
      </c>
      <c r="C21" s="183" t="s">
        <v>470</v>
      </c>
      <c r="D21" s="183" t="s">
        <v>467</v>
      </c>
      <c r="E21" s="183" t="s">
        <v>471</v>
      </c>
      <c r="F21" s="186">
        <v>45351</v>
      </c>
      <c r="G21" s="185">
        <v>436.8</v>
      </c>
      <c r="I21" s="187">
        <f t="shared" si="0"/>
        <v>436.8</v>
      </c>
      <c r="J21" s="184" t="s">
        <v>465</v>
      </c>
      <c r="K21" s="184" t="s">
        <v>443</v>
      </c>
      <c r="M21" s="188" t="s">
        <v>473</v>
      </c>
      <c r="N21" s="189">
        <v>712.48999999999978</v>
      </c>
    </row>
    <row r="22" spans="1:14">
      <c r="A22" s="183" t="s">
        <v>460</v>
      </c>
      <c r="B22" s="183" t="s">
        <v>461</v>
      </c>
      <c r="C22" s="183" t="s">
        <v>470</v>
      </c>
      <c r="D22" s="183" t="s">
        <v>469</v>
      </c>
      <c r="E22" s="183" t="s">
        <v>471</v>
      </c>
      <c r="F22" s="186">
        <v>45351</v>
      </c>
      <c r="G22" s="185">
        <v>720</v>
      </c>
      <c r="I22" s="187">
        <f t="shared" si="0"/>
        <v>720</v>
      </c>
      <c r="J22" s="184" t="s">
        <v>465</v>
      </c>
      <c r="K22" s="184" t="s">
        <v>443</v>
      </c>
      <c r="M22" s="188" t="s">
        <v>438</v>
      </c>
      <c r="N22" s="189">
        <v>5494.35</v>
      </c>
    </row>
    <row r="23" spans="1:14">
      <c r="A23" s="183" t="s">
        <v>460</v>
      </c>
      <c r="B23" s="183" t="s">
        <v>461</v>
      </c>
      <c r="C23" s="183" t="s">
        <v>474</v>
      </c>
      <c r="D23" s="183" t="s">
        <v>463</v>
      </c>
      <c r="E23" s="183" t="s">
        <v>475</v>
      </c>
      <c r="F23" s="186">
        <v>45382</v>
      </c>
      <c r="G23" s="185">
        <v>563.29</v>
      </c>
      <c r="I23" s="187">
        <f t="shared" si="0"/>
        <v>563.29</v>
      </c>
      <c r="J23" s="184" t="s">
        <v>465</v>
      </c>
      <c r="K23" s="184" t="s">
        <v>443</v>
      </c>
      <c r="M23" s="188" t="s">
        <v>476</v>
      </c>
      <c r="N23" s="189"/>
    </row>
    <row r="24" spans="1:14">
      <c r="A24" s="183" t="s">
        <v>460</v>
      </c>
      <c r="B24" s="183" t="s">
        <v>461</v>
      </c>
      <c r="C24" s="183" t="s">
        <v>474</v>
      </c>
      <c r="D24" s="183" t="s">
        <v>467</v>
      </c>
      <c r="E24" s="183" t="s">
        <v>475</v>
      </c>
      <c r="F24" s="186">
        <v>45382</v>
      </c>
      <c r="G24" s="185">
        <v>436.8</v>
      </c>
      <c r="I24" s="187">
        <f t="shared" si="0"/>
        <v>436.8</v>
      </c>
      <c r="J24" s="184" t="s">
        <v>465</v>
      </c>
      <c r="K24" s="184" t="s">
        <v>443</v>
      </c>
      <c r="M24" s="188" t="s">
        <v>477</v>
      </c>
      <c r="N24" s="189">
        <v>70925.69</v>
      </c>
    </row>
    <row r="25" spans="1:14" ht="14.65" thickBot="1">
      <c r="A25" s="183" t="s">
        <v>460</v>
      </c>
      <c r="B25" s="183" t="s">
        <v>461</v>
      </c>
      <c r="C25" s="183" t="s">
        <v>474</v>
      </c>
      <c r="D25" s="183" t="s">
        <v>469</v>
      </c>
      <c r="E25" s="183" t="s">
        <v>475</v>
      </c>
      <c r="F25" s="186">
        <v>45382</v>
      </c>
      <c r="G25" s="185">
        <v>720</v>
      </c>
      <c r="I25" s="187">
        <f t="shared" si="0"/>
        <v>720</v>
      </c>
      <c r="J25" s="184" t="s">
        <v>465</v>
      </c>
      <c r="K25" s="184" t="s">
        <v>443</v>
      </c>
    </row>
    <row r="26" spans="1:14">
      <c r="A26" s="183" t="s">
        <v>478</v>
      </c>
      <c r="B26" s="183" t="s">
        <v>449</v>
      </c>
      <c r="C26" s="183" t="s">
        <v>479</v>
      </c>
      <c r="D26" s="183" t="s">
        <v>480</v>
      </c>
      <c r="E26" s="183" t="s">
        <v>481</v>
      </c>
      <c r="F26" s="186">
        <v>45315</v>
      </c>
      <c r="G26" s="185">
        <v>500</v>
      </c>
      <c r="I26" s="187">
        <f t="shared" si="0"/>
        <v>500</v>
      </c>
      <c r="J26" s="184" t="s">
        <v>442</v>
      </c>
      <c r="K26" s="184" t="s">
        <v>443</v>
      </c>
      <c r="M26" s="190" t="s">
        <v>482</v>
      </c>
      <c r="N26" s="191">
        <v>500000</v>
      </c>
    </row>
    <row r="27" spans="1:14">
      <c r="A27" s="183" t="s">
        <v>478</v>
      </c>
      <c r="B27" s="183" t="s">
        <v>449</v>
      </c>
      <c r="C27" s="183" t="s">
        <v>483</v>
      </c>
      <c r="D27" s="183" t="s">
        <v>484</v>
      </c>
      <c r="E27" s="183" t="s">
        <v>441</v>
      </c>
      <c r="F27" s="186">
        <v>45322</v>
      </c>
      <c r="G27" s="185">
        <v>149.68</v>
      </c>
      <c r="I27" s="187">
        <f t="shared" si="0"/>
        <v>149.68</v>
      </c>
      <c r="J27" s="184" t="s">
        <v>442</v>
      </c>
      <c r="K27" s="184" t="s">
        <v>443</v>
      </c>
      <c r="M27" s="192" t="s">
        <v>485</v>
      </c>
      <c r="N27" s="193">
        <v>175000</v>
      </c>
    </row>
    <row r="28" spans="1:14">
      <c r="A28" s="183" t="s">
        <v>478</v>
      </c>
      <c r="B28" s="183" t="s">
        <v>449</v>
      </c>
      <c r="C28" s="183" t="s">
        <v>486</v>
      </c>
      <c r="D28" s="183" t="s">
        <v>487</v>
      </c>
      <c r="E28" s="183" t="s">
        <v>488</v>
      </c>
      <c r="F28" s="186">
        <v>45376</v>
      </c>
      <c r="G28" s="185">
        <v>2500</v>
      </c>
      <c r="I28" s="187">
        <f t="shared" si="0"/>
        <v>2500</v>
      </c>
      <c r="J28" s="184" t="s">
        <v>465</v>
      </c>
      <c r="K28" s="184" t="s">
        <v>443</v>
      </c>
      <c r="M28" s="192" t="s">
        <v>489</v>
      </c>
      <c r="N28" s="193">
        <v>200956.96</v>
      </c>
    </row>
    <row r="29" spans="1:14" ht="14.65" thickBot="1">
      <c r="A29" s="183" t="s">
        <v>478</v>
      </c>
      <c r="B29" s="183" t="s">
        <v>449</v>
      </c>
      <c r="C29" s="199" t="s">
        <v>490</v>
      </c>
      <c r="D29" s="199" t="s">
        <v>491</v>
      </c>
      <c r="E29" s="199" t="s">
        <v>488</v>
      </c>
      <c r="F29" s="200">
        <v>45376</v>
      </c>
      <c r="G29" s="201">
        <v>3000</v>
      </c>
      <c r="H29" s="202"/>
      <c r="I29" s="203">
        <f t="shared" si="0"/>
        <v>3000</v>
      </c>
      <c r="J29" s="204" t="s">
        <v>442</v>
      </c>
      <c r="K29" s="204" t="s">
        <v>443</v>
      </c>
      <c r="L29" t="s">
        <v>584</v>
      </c>
      <c r="M29" s="194" t="s">
        <v>492</v>
      </c>
      <c r="N29" s="195">
        <f>N26-N28</f>
        <v>299043.04000000004</v>
      </c>
    </row>
    <row r="30" spans="1:14">
      <c r="A30" s="183" t="s">
        <v>493</v>
      </c>
      <c r="B30" s="183" t="s">
        <v>466</v>
      </c>
      <c r="C30" s="183" t="s">
        <v>483</v>
      </c>
      <c r="D30" s="183" t="s">
        <v>494</v>
      </c>
      <c r="E30" s="183" t="s">
        <v>441</v>
      </c>
      <c r="F30" s="186">
        <v>45322</v>
      </c>
      <c r="G30" s="185">
        <v>9.58</v>
      </c>
      <c r="I30" s="187">
        <f t="shared" si="0"/>
        <v>9.58</v>
      </c>
      <c r="J30" s="184" t="s">
        <v>442</v>
      </c>
      <c r="K30" s="184" t="s">
        <v>443</v>
      </c>
      <c r="M30" s="196" t="s">
        <v>495</v>
      </c>
    </row>
    <row r="31" spans="1:14">
      <c r="A31" s="183" t="s">
        <v>493</v>
      </c>
      <c r="B31" s="183" t="s">
        <v>466</v>
      </c>
      <c r="C31" s="183" t="s">
        <v>483</v>
      </c>
      <c r="D31" s="183" t="s">
        <v>496</v>
      </c>
      <c r="E31" s="183" t="s">
        <v>441</v>
      </c>
      <c r="F31" s="186">
        <v>45322</v>
      </c>
      <c r="G31" s="185">
        <v>10.4</v>
      </c>
      <c r="I31" s="187">
        <f t="shared" si="0"/>
        <v>10.4</v>
      </c>
      <c r="J31" s="184" t="s">
        <v>442</v>
      </c>
      <c r="K31" s="184" t="s">
        <v>443</v>
      </c>
    </row>
    <row r="32" spans="1:14">
      <c r="A32" s="183" t="s">
        <v>493</v>
      </c>
      <c r="B32" s="183" t="s">
        <v>466</v>
      </c>
      <c r="C32" s="183" t="s">
        <v>483</v>
      </c>
      <c r="D32" s="183" t="s">
        <v>497</v>
      </c>
      <c r="E32" s="183" t="s">
        <v>441</v>
      </c>
      <c r="F32" s="186">
        <v>45322</v>
      </c>
      <c r="G32" s="185">
        <v>7.86</v>
      </c>
      <c r="I32" s="187">
        <f t="shared" si="0"/>
        <v>7.86</v>
      </c>
      <c r="J32" s="184" t="s">
        <v>442</v>
      </c>
      <c r="K32" s="184" t="s">
        <v>443</v>
      </c>
    </row>
    <row r="33" spans="1:17">
      <c r="A33" s="183" t="s">
        <v>493</v>
      </c>
      <c r="B33" s="183" t="s">
        <v>466</v>
      </c>
      <c r="C33" s="183" t="s">
        <v>483</v>
      </c>
      <c r="D33" s="183" t="s">
        <v>498</v>
      </c>
      <c r="E33" s="183" t="s">
        <v>441</v>
      </c>
      <c r="F33" s="186">
        <v>45322</v>
      </c>
      <c r="G33" s="185">
        <v>0.9</v>
      </c>
      <c r="I33" s="187">
        <f t="shared" si="0"/>
        <v>0.9</v>
      </c>
      <c r="J33" s="184" t="s">
        <v>442</v>
      </c>
      <c r="K33" s="184" t="s">
        <v>443</v>
      </c>
    </row>
    <row r="34" spans="1:17">
      <c r="A34" s="183" t="s">
        <v>493</v>
      </c>
      <c r="B34" s="183" t="s">
        <v>466</v>
      </c>
      <c r="C34" s="183" t="s">
        <v>483</v>
      </c>
      <c r="D34" s="183" t="s">
        <v>499</v>
      </c>
      <c r="E34" s="183" t="s">
        <v>441</v>
      </c>
      <c r="F34" s="186">
        <v>45322</v>
      </c>
      <c r="G34" s="185">
        <v>3.89</v>
      </c>
      <c r="I34" s="187">
        <f t="shared" si="0"/>
        <v>3.89</v>
      </c>
      <c r="J34" s="184" t="s">
        <v>442</v>
      </c>
      <c r="K34" s="184" t="s">
        <v>443</v>
      </c>
      <c r="Q34" s="189"/>
    </row>
    <row r="35" spans="1:17">
      <c r="A35" s="183" t="s">
        <v>493</v>
      </c>
      <c r="B35" s="183" t="s">
        <v>466</v>
      </c>
      <c r="C35" s="183" t="s">
        <v>483</v>
      </c>
      <c r="D35" s="183" t="s">
        <v>500</v>
      </c>
      <c r="E35" s="183" t="s">
        <v>441</v>
      </c>
      <c r="F35" s="186">
        <v>45322</v>
      </c>
      <c r="G35" s="185">
        <v>74.84</v>
      </c>
      <c r="I35" s="187">
        <f t="shared" si="0"/>
        <v>74.84</v>
      </c>
      <c r="J35" s="184" t="s">
        <v>442</v>
      </c>
      <c r="K35" s="184" t="s">
        <v>443</v>
      </c>
    </row>
    <row r="36" spans="1:17">
      <c r="A36" s="183" t="s">
        <v>493</v>
      </c>
      <c r="B36" s="183" t="s">
        <v>466</v>
      </c>
      <c r="C36" s="183" t="s">
        <v>483</v>
      </c>
      <c r="D36" s="183" t="s">
        <v>501</v>
      </c>
      <c r="E36" s="183" t="s">
        <v>441</v>
      </c>
      <c r="F36" s="186">
        <v>45322</v>
      </c>
      <c r="G36" s="185">
        <v>3.59</v>
      </c>
      <c r="I36" s="187">
        <f t="shared" si="0"/>
        <v>3.59</v>
      </c>
      <c r="J36" s="184" t="s">
        <v>442</v>
      </c>
      <c r="K36" s="184" t="s">
        <v>443</v>
      </c>
    </row>
    <row r="37" spans="1:17">
      <c r="A37" s="183" t="s">
        <v>493</v>
      </c>
      <c r="B37" s="183" t="s">
        <v>466</v>
      </c>
      <c r="C37" s="183" t="s">
        <v>483</v>
      </c>
      <c r="D37" s="183" t="s">
        <v>502</v>
      </c>
      <c r="E37" s="183" t="s">
        <v>441</v>
      </c>
      <c r="F37" s="186">
        <v>45322</v>
      </c>
      <c r="G37" s="185">
        <v>7.0000000000000007E-2</v>
      </c>
      <c r="I37" s="187">
        <f t="shared" si="0"/>
        <v>7.0000000000000007E-2</v>
      </c>
      <c r="J37" s="184" t="s">
        <v>442</v>
      </c>
      <c r="K37" s="184" t="s">
        <v>443</v>
      </c>
    </row>
    <row r="38" spans="1:17">
      <c r="A38" s="183" t="s">
        <v>493</v>
      </c>
      <c r="B38" s="183" t="s">
        <v>466</v>
      </c>
      <c r="C38" s="183" t="s">
        <v>503</v>
      </c>
      <c r="D38" s="183" t="s">
        <v>494</v>
      </c>
      <c r="E38" s="183" t="s">
        <v>446</v>
      </c>
      <c r="F38" s="186">
        <v>45351</v>
      </c>
      <c r="G38" s="185">
        <v>12.98</v>
      </c>
      <c r="I38" s="187">
        <f t="shared" si="0"/>
        <v>12.98</v>
      </c>
      <c r="J38" s="184" t="s">
        <v>442</v>
      </c>
      <c r="K38" s="184" t="s">
        <v>443</v>
      </c>
    </row>
    <row r="39" spans="1:17">
      <c r="A39" s="183" t="s">
        <v>493</v>
      </c>
      <c r="B39" s="183" t="s">
        <v>466</v>
      </c>
      <c r="C39" s="183" t="s">
        <v>503</v>
      </c>
      <c r="D39" s="183" t="s">
        <v>496</v>
      </c>
      <c r="E39" s="183" t="s">
        <v>446</v>
      </c>
      <c r="F39" s="186">
        <v>45351</v>
      </c>
      <c r="G39" s="185">
        <v>10.25</v>
      </c>
      <c r="I39" s="187">
        <f t="shared" si="0"/>
        <v>10.25</v>
      </c>
      <c r="J39" s="184" t="s">
        <v>442</v>
      </c>
      <c r="K39" s="184" t="s">
        <v>443</v>
      </c>
    </row>
    <row r="40" spans="1:17">
      <c r="A40" s="183" t="s">
        <v>493</v>
      </c>
      <c r="B40" s="183" t="s">
        <v>466</v>
      </c>
      <c r="C40" s="183" t="s">
        <v>503</v>
      </c>
      <c r="D40" s="183" t="s">
        <v>497</v>
      </c>
      <c r="E40" s="183" t="s">
        <v>446</v>
      </c>
      <c r="F40" s="186">
        <v>45351</v>
      </c>
      <c r="G40" s="185">
        <v>7.74</v>
      </c>
      <c r="I40" s="187">
        <f t="shared" si="0"/>
        <v>7.74</v>
      </c>
      <c r="J40" s="184" t="s">
        <v>442</v>
      </c>
      <c r="K40" s="184" t="s">
        <v>443</v>
      </c>
    </row>
    <row r="41" spans="1:17">
      <c r="A41" s="183" t="s">
        <v>493</v>
      </c>
      <c r="B41" s="183" t="s">
        <v>466</v>
      </c>
      <c r="C41" s="183" t="s">
        <v>503</v>
      </c>
      <c r="D41" s="183" t="s">
        <v>498</v>
      </c>
      <c r="E41" s="183" t="s">
        <v>446</v>
      </c>
      <c r="F41" s="186">
        <v>45351</v>
      </c>
      <c r="G41" s="185">
        <v>3.54</v>
      </c>
      <c r="I41" s="187">
        <f t="shared" si="0"/>
        <v>3.54</v>
      </c>
      <c r="J41" s="184" t="s">
        <v>442</v>
      </c>
      <c r="K41" s="184" t="s">
        <v>443</v>
      </c>
    </row>
    <row r="42" spans="1:17">
      <c r="A42" s="183" t="s">
        <v>493</v>
      </c>
      <c r="B42" s="183" t="s">
        <v>466</v>
      </c>
      <c r="C42" s="183" t="s">
        <v>503</v>
      </c>
      <c r="D42" s="183" t="s">
        <v>500</v>
      </c>
      <c r="E42" s="183" t="s">
        <v>446</v>
      </c>
      <c r="F42" s="186">
        <v>45351</v>
      </c>
      <c r="G42" s="185">
        <v>73.75</v>
      </c>
      <c r="I42" s="187">
        <f t="shared" si="0"/>
        <v>73.75</v>
      </c>
      <c r="J42" s="184" t="s">
        <v>442</v>
      </c>
      <c r="K42" s="184" t="s">
        <v>443</v>
      </c>
    </row>
    <row r="43" spans="1:17">
      <c r="A43" s="183" t="s">
        <v>493</v>
      </c>
      <c r="B43" s="183" t="s">
        <v>466</v>
      </c>
      <c r="C43" s="183" t="s">
        <v>503</v>
      </c>
      <c r="D43" s="183" t="s">
        <v>502</v>
      </c>
      <c r="E43" s="183" t="s">
        <v>446</v>
      </c>
      <c r="F43" s="186">
        <v>45351</v>
      </c>
      <c r="G43" s="185">
        <v>7.0000000000000007E-2</v>
      </c>
      <c r="I43" s="187">
        <f t="shared" si="0"/>
        <v>7.0000000000000007E-2</v>
      </c>
      <c r="J43" s="184" t="s">
        <v>442</v>
      </c>
      <c r="K43" s="184" t="s">
        <v>443</v>
      </c>
    </row>
    <row r="44" spans="1:17">
      <c r="A44" s="183" t="s">
        <v>493</v>
      </c>
      <c r="B44" s="183" t="s">
        <v>466</v>
      </c>
      <c r="C44" s="183" t="s">
        <v>503</v>
      </c>
      <c r="D44" s="183" t="s">
        <v>504</v>
      </c>
      <c r="E44" s="183" t="s">
        <v>446</v>
      </c>
      <c r="F44" s="186">
        <v>45351</v>
      </c>
      <c r="G44" s="185">
        <v>4.43</v>
      </c>
      <c r="I44" s="187">
        <f t="shared" si="0"/>
        <v>4.43</v>
      </c>
      <c r="J44" s="184" t="s">
        <v>442</v>
      </c>
      <c r="K44" s="184" t="s">
        <v>443</v>
      </c>
    </row>
    <row r="45" spans="1:17">
      <c r="A45" s="183" t="s">
        <v>493</v>
      </c>
      <c r="B45" s="183" t="s">
        <v>466</v>
      </c>
      <c r="C45" s="183" t="s">
        <v>503</v>
      </c>
      <c r="D45" s="183" t="s">
        <v>505</v>
      </c>
      <c r="E45" s="183" t="s">
        <v>446</v>
      </c>
      <c r="F45" s="186">
        <v>45351</v>
      </c>
      <c r="G45" s="185">
        <v>2.95</v>
      </c>
      <c r="I45" s="187">
        <f t="shared" si="0"/>
        <v>2.95</v>
      </c>
      <c r="J45" s="184" t="s">
        <v>442</v>
      </c>
      <c r="K45" s="184" t="s">
        <v>443</v>
      </c>
    </row>
    <row r="46" spans="1:17">
      <c r="A46" s="183" t="s">
        <v>493</v>
      </c>
      <c r="B46" s="183" t="s">
        <v>466</v>
      </c>
      <c r="C46" s="183" t="s">
        <v>503</v>
      </c>
      <c r="D46" s="183" t="s">
        <v>506</v>
      </c>
      <c r="E46" s="183" t="s">
        <v>446</v>
      </c>
      <c r="F46" s="186">
        <v>45351</v>
      </c>
      <c r="G46" s="185">
        <v>10.33</v>
      </c>
      <c r="I46" s="187">
        <f t="shared" si="0"/>
        <v>10.33</v>
      </c>
      <c r="J46" s="184" t="s">
        <v>442</v>
      </c>
      <c r="K46" s="184" t="s">
        <v>443</v>
      </c>
    </row>
    <row r="47" spans="1:17">
      <c r="A47" s="183" t="s">
        <v>493</v>
      </c>
      <c r="B47" s="183" t="s">
        <v>466</v>
      </c>
      <c r="C47" s="183" t="s">
        <v>503</v>
      </c>
      <c r="D47" s="183" t="s">
        <v>507</v>
      </c>
      <c r="E47" s="183" t="s">
        <v>446</v>
      </c>
      <c r="F47" s="186">
        <v>45351</v>
      </c>
      <c r="G47" s="185">
        <v>17.04</v>
      </c>
      <c r="I47" s="187">
        <f t="shared" si="0"/>
        <v>17.04</v>
      </c>
      <c r="J47" s="184" t="s">
        <v>442</v>
      </c>
      <c r="K47" s="184" t="s">
        <v>443</v>
      </c>
    </row>
    <row r="48" spans="1:17">
      <c r="A48" s="183" t="s">
        <v>493</v>
      </c>
      <c r="B48" s="183" t="s">
        <v>466</v>
      </c>
      <c r="C48" s="183" t="s">
        <v>503</v>
      </c>
      <c r="D48" s="183" t="s">
        <v>508</v>
      </c>
      <c r="E48" s="183" t="s">
        <v>446</v>
      </c>
      <c r="F48" s="186">
        <v>45351</v>
      </c>
      <c r="G48" s="185">
        <v>1.48</v>
      </c>
      <c r="I48" s="187">
        <f t="shared" si="0"/>
        <v>1.48</v>
      </c>
      <c r="J48" s="184" t="s">
        <v>442</v>
      </c>
      <c r="K48" s="184" t="s">
        <v>443</v>
      </c>
    </row>
    <row r="49" spans="1:11">
      <c r="A49" s="183" t="s">
        <v>493</v>
      </c>
      <c r="B49" s="183" t="s">
        <v>466</v>
      </c>
      <c r="C49" s="183" t="s">
        <v>503</v>
      </c>
      <c r="D49" s="183" t="s">
        <v>509</v>
      </c>
      <c r="E49" s="183" t="s">
        <v>446</v>
      </c>
      <c r="F49" s="186">
        <v>45351</v>
      </c>
      <c r="G49" s="185">
        <v>35.4</v>
      </c>
      <c r="I49" s="187">
        <f t="shared" si="0"/>
        <v>35.4</v>
      </c>
      <c r="J49" s="184" t="s">
        <v>442</v>
      </c>
      <c r="K49" s="184" t="s">
        <v>443</v>
      </c>
    </row>
    <row r="50" spans="1:11">
      <c r="A50" s="183" t="s">
        <v>493</v>
      </c>
      <c r="B50" s="183" t="s">
        <v>466</v>
      </c>
      <c r="C50" s="183" t="s">
        <v>503</v>
      </c>
      <c r="D50" s="183" t="s">
        <v>510</v>
      </c>
      <c r="E50" s="183" t="s">
        <v>446</v>
      </c>
      <c r="F50" s="186">
        <v>45351</v>
      </c>
      <c r="G50" s="185">
        <v>2.21</v>
      </c>
      <c r="I50" s="187">
        <f t="shared" si="0"/>
        <v>2.21</v>
      </c>
      <c r="J50" s="184" t="s">
        <v>442</v>
      </c>
      <c r="K50" s="184" t="s">
        <v>443</v>
      </c>
    </row>
    <row r="51" spans="1:11">
      <c r="A51" s="183" t="s">
        <v>493</v>
      </c>
      <c r="B51" s="183" t="s">
        <v>466</v>
      </c>
      <c r="C51" s="183" t="s">
        <v>503</v>
      </c>
      <c r="D51" s="183" t="s">
        <v>511</v>
      </c>
      <c r="E51" s="183" t="s">
        <v>446</v>
      </c>
      <c r="F51" s="186">
        <v>45351</v>
      </c>
      <c r="G51" s="185">
        <v>10.62</v>
      </c>
      <c r="I51" s="187">
        <f t="shared" si="0"/>
        <v>10.62</v>
      </c>
      <c r="J51" s="184" t="s">
        <v>442</v>
      </c>
      <c r="K51" s="184" t="s">
        <v>443</v>
      </c>
    </row>
    <row r="52" spans="1:11">
      <c r="A52" s="183" t="s">
        <v>493</v>
      </c>
      <c r="B52" s="183" t="s">
        <v>466</v>
      </c>
      <c r="C52" s="183" t="s">
        <v>503</v>
      </c>
      <c r="D52" s="183" t="s">
        <v>512</v>
      </c>
      <c r="E52" s="183" t="s">
        <v>446</v>
      </c>
      <c r="F52" s="186">
        <v>45351</v>
      </c>
      <c r="G52" s="185">
        <v>6.05</v>
      </c>
      <c r="I52" s="187">
        <f t="shared" si="0"/>
        <v>6.05</v>
      </c>
      <c r="J52" s="184" t="s">
        <v>442</v>
      </c>
      <c r="K52" s="184" t="s">
        <v>443</v>
      </c>
    </row>
    <row r="53" spans="1:11">
      <c r="A53" s="183" t="s">
        <v>493</v>
      </c>
      <c r="B53" s="183" t="s">
        <v>466</v>
      </c>
      <c r="C53" s="183" t="s">
        <v>503</v>
      </c>
      <c r="D53" s="183" t="s">
        <v>513</v>
      </c>
      <c r="E53" s="183" t="s">
        <v>446</v>
      </c>
      <c r="F53" s="186">
        <v>45351</v>
      </c>
      <c r="G53" s="185">
        <v>3.54</v>
      </c>
      <c r="I53" s="187">
        <f t="shared" si="0"/>
        <v>3.54</v>
      </c>
      <c r="J53" s="184" t="s">
        <v>442</v>
      </c>
      <c r="K53" s="184" t="s">
        <v>443</v>
      </c>
    </row>
    <row r="54" spans="1:11">
      <c r="A54" s="183" t="s">
        <v>493</v>
      </c>
      <c r="B54" s="183" t="s">
        <v>466</v>
      </c>
      <c r="C54" s="183" t="s">
        <v>514</v>
      </c>
      <c r="D54" s="183" t="s">
        <v>496</v>
      </c>
      <c r="E54" s="183" t="s">
        <v>454</v>
      </c>
      <c r="F54" s="186">
        <v>45382</v>
      </c>
      <c r="G54" s="185">
        <v>10.25</v>
      </c>
      <c r="I54" s="187">
        <f t="shared" si="0"/>
        <v>10.25</v>
      </c>
      <c r="J54" s="184" t="s">
        <v>442</v>
      </c>
      <c r="K54" s="184" t="s">
        <v>443</v>
      </c>
    </row>
    <row r="55" spans="1:11">
      <c r="A55" s="183" t="s">
        <v>493</v>
      </c>
      <c r="B55" s="183" t="s">
        <v>466</v>
      </c>
      <c r="C55" s="183" t="s">
        <v>514</v>
      </c>
      <c r="D55" s="183" t="s">
        <v>497</v>
      </c>
      <c r="E55" s="183" t="s">
        <v>454</v>
      </c>
      <c r="F55" s="186">
        <v>45382</v>
      </c>
      <c r="G55" s="185">
        <v>7</v>
      </c>
      <c r="I55" s="187">
        <f t="shared" si="0"/>
        <v>7</v>
      </c>
      <c r="J55" s="184" t="s">
        <v>442</v>
      </c>
      <c r="K55" s="184" t="s">
        <v>443</v>
      </c>
    </row>
    <row r="56" spans="1:11">
      <c r="A56" s="183" t="s">
        <v>493</v>
      </c>
      <c r="B56" s="183" t="s">
        <v>466</v>
      </c>
      <c r="C56" s="183" t="s">
        <v>514</v>
      </c>
      <c r="D56" s="183" t="s">
        <v>498</v>
      </c>
      <c r="E56" s="183" t="s">
        <v>454</v>
      </c>
      <c r="F56" s="186">
        <v>45382</v>
      </c>
      <c r="G56" s="185">
        <v>3.54</v>
      </c>
      <c r="I56" s="187">
        <f t="shared" si="0"/>
        <v>3.54</v>
      </c>
      <c r="J56" s="184" t="s">
        <v>442</v>
      </c>
      <c r="K56" s="184" t="s">
        <v>443</v>
      </c>
    </row>
    <row r="57" spans="1:11">
      <c r="A57" s="183" t="s">
        <v>493</v>
      </c>
      <c r="B57" s="183" t="s">
        <v>466</v>
      </c>
      <c r="C57" s="183" t="s">
        <v>514</v>
      </c>
      <c r="D57" s="183" t="s">
        <v>515</v>
      </c>
      <c r="E57" s="183" t="s">
        <v>454</v>
      </c>
      <c r="F57" s="186">
        <v>45382</v>
      </c>
      <c r="G57" s="185">
        <v>73.73</v>
      </c>
      <c r="I57" s="187">
        <f t="shared" si="0"/>
        <v>73.73</v>
      </c>
      <c r="J57" s="184" t="s">
        <v>442</v>
      </c>
      <c r="K57" s="184" t="s">
        <v>443</v>
      </c>
    </row>
    <row r="58" spans="1:11">
      <c r="A58" s="183" t="s">
        <v>493</v>
      </c>
      <c r="B58" s="183" t="s">
        <v>466</v>
      </c>
      <c r="C58" s="183" t="s">
        <v>514</v>
      </c>
      <c r="D58" s="183" t="s">
        <v>502</v>
      </c>
      <c r="E58" s="183" t="s">
        <v>454</v>
      </c>
      <c r="F58" s="186">
        <v>45382</v>
      </c>
      <c r="G58" s="185">
        <v>7.0000000000000007E-2</v>
      </c>
      <c r="I58" s="187">
        <f t="shared" si="0"/>
        <v>7.0000000000000007E-2</v>
      </c>
      <c r="J58" s="184" t="s">
        <v>442</v>
      </c>
      <c r="K58" s="184" t="s">
        <v>443</v>
      </c>
    </row>
    <row r="59" spans="1:11">
      <c r="A59" s="183" t="s">
        <v>493</v>
      </c>
      <c r="B59" s="183" t="s">
        <v>466</v>
      </c>
      <c r="C59" s="183" t="s">
        <v>514</v>
      </c>
      <c r="D59" s="183" t="s">
        <v>516</v>
      </c>
      <c r="E59" s="183" t="s">
        <v>454</v>
      </c>
      <c r="F59" s="186">
        <v>45382</v>
      </c>
      <c r="G59" s="185">
        <v>3.98</v>
      </c>
      <c r="I59" s="187">
        <f t="shared" si="0"/>
        <v>3.98</v>
      </c>
      <c r="J59" s="184" t="s">
        <v>442</v>
      </c>
      <c r="K59" s="184" t="s">
        <v>443</v>
      </c>
    </row>
    <row r="60" spans="1:11">
      <c r="A60" s="183" t="s">
        <v>493</v>
      </c>
      <c r="B60" s="183" t="s">
        <v>466</v>
      </c>
      <c r="C60" s="183" t="s">
        <v>514</v>
      </c>
      <c r="D60" s="183" t="s">
        <v>517</v>
      </c>
      <c r="E60" s="183" t="s">
        <v>454</v>
      </c>
      <c r="F60" s="186">
        <v>45382</v>
      </c>
      <c r="G60" s="185">
        <v>2.21</v>
      </c>
      <c r="I60" s="187">
        <f t="shared" si="0"/>
        <v>2.21</v>
      </c>
      <c r="J60" s="184" t="s">
        <v>442</v>
      </c>
      <c r="K60" s="184" t="s">
        <v>443</v>
      </c>
    </row>
    <row r="61" spans="1:11">
      <c r="A61" s="183" t="s">
        <v>493</v>
      </c>
      <c r="B61" s="183" t="s">
        <v>466</v>
      </c>
      <c r="C61" s="183" t="s">
        <v>514</v>
      </c>
      <c r="D61" s="183" t="s">
        <v>518</v>
      </c>
      <c r="E61" s="183" t="s">
        <v>454</v>
      </c>
      <c r="F61" s="186">
        <v>45382</v>
      </c>
      <c r="G61" s="185">
        <v>3.47</v>
      </c>
      <c r="I61" s="187">
        <f t="shared" si="0"/>
        <v>3.47</v>
      </c>
      <c r="J61" s="184" t="s">
        <v>442</v>
      </c>
      <c r="K61" s="184" t="s">
        <v>443</v>
      </c>
    </row>
    <row r="62" spans="1:11">
      <c r="A62" s="183" t="s">
        <v>493</v>
      </c>
      <c r="B62" s="183" t="s">
        <v>466</v>
      </c>
      <c r="C62" s="183" t="s">
        <v>514</v>
      </c>
      <c r="D62" s="183" t="s">
        <v>519</v>
      </c>
      <c r="E62" s="183" t="s">
        <v>454</v>
      </c>
      <c r="F62" s="186">
        <v>45382</v>
      </c>
      <c r="G62" s="185">
        <v>7.08</v>
      </c>
      <c r="I62" s="187">
        <f t="shared" si="0"/>
        <v>7.08</v>
      </c>
      <c r="J62" s="184" t="s">
        <v>442</v>
      </c>
      <c r="K62" s="184" t="s">
        <v>443</v>
      </c>
    </row>
    <row r="63" spans="1:11">
      <c r="A63" s="183" t="s">
        <v>493</v>
      </c>
      <c r="B63" s="183" t="s">
        <v>466</v>
      </c>
      <c r="C63" s="183" t="s">
        <v>514</v>
      </c>
      <c r="D63" s="183" t="s">
        <v>513</v>
      </c>
      <c r="E63" s="183" t="s">
        <v>454</v>
      </c>
      <c r="F63" s="186">
        <v>45382</v>
      </c>
      <c r="G63" s="185">
        <v>3.54</v>
      </c>
      <c r="I63" s="187">
        <f t="shared" si="0"/>
        <v>3.54</v>
      </c>
      <c r="J63" s="184" t="s">
        <v>442</v>
      </c>
      <c r="K63" s="184" t="s">
        <v>443</v>
      </c>
    </row>
    <row r="64" spans="1:11">
      <c r="A64" s="183" t="s">
        <v>520</v>
      </c>
      <c r="B64" s="183" t="s">
        <v>472</v>
      </c>
      <c r="C64" s="183" t="s">
        <v>514</v>
      </c>
      <c r="D64" s="183" t="s">
        <v>494</v>
      </c>
      <c r="E64" s="183" t="s">
        <v>454</v>
      </c>
      <c r="F64" s="186">
        <v>45382</v>
      </c>
      <c r="G64" s="185">
        <v>11.8</v>
      </c>
      <c r="I64" s="187">
        <f t="shared" si="0"/>
        <v>11.8</v>
      </c>
      <c r="J64" s="184" t="s">
        <v>442</v>
      </c>
      <c r="K64" s="184" t="s">
        <v>443</v>
      </c>
    </row>
    <row r="65" spans="1:11">
      <c r="A65" s="183" t="s">
        <v>521</v>
      </c>
      <c r="B65" s="183" t="s">
        <v>473</v>
      </c>
      <c r="C65" s="183" t="s">
        <v>483</v>
      </c>
      <c r="D65" s="183" t="s">
        <v>522</v>
      </c>
      <c r="E65" s="183" t="s">
        <v>441</v>
      </c>
      <c r="F65" s="186">
        <v>45322</v>
      </c>
      <c r="G65" s="185">
        <v>7.48</v>
      </c>
      <c r="I65" s="187">
        <f t="shared" si="0"/>
        <v>7.48</v>
      </c>
      <c r="J65" s="184" t="s">
        <v>442</v>
      </c>
      <c r="K65" s="184" t="s">
        <v>443</v>
      </c>
    </row>
    <row r="66" spans="1:11">
      <c r="A66" s="183" t="s">
        <v>521</v>
      </c>
      <c r="B66" s="183" t="s">
        <v>473</v>
      </c>
      <c r="C66" s="183" t="s">
        <v>483</v>
      </c>
      <c r="D66" s="183" t="s">
        <v>523</v>
      </c>
      <c r="E66" s="183" t="s">
        <v>441</v>
      </c>
      <c r="F66" s="186">
        <v>45322</v>
      </c>
      <c r="G66" s="185">
        <v>50.87</v>
      </c>
      <c r="I66" s="187">
        <f t="shared" si="0"/>
        <v>50.87</v>
      </c>
      <c r="J66" s="184" t="s">
        <v>442</v>
      </c>
      <c r="K66" s="184" t="s">
        <v>443</v>
      </c>
    </row>
    <row r="67" spans="1:11">
      <c r="A67" s="183" t="s">
        <v>521</v>
      </c>
      <c r="B67" s="183" t="s">
        <v>473</v>
      </c>
      <c r="C67" s="183" t="s">
        <v>483</v>
      </c>
      <c r="D67" s="183" t="s">
        <v>524</v>
      </c>
      <c r="E67" s="183" t="s">
        <v>441</v>
      </c>
      <c r="F67" s="186">
        <v>45322</v>
      </c>
      <c r="G67" s="185">
        <v>39.9</v>
      </c>
      <c r="I67" s="187">
        <f t="shared" si="0"/>
        <v>39.9</v>
      </c>
      <c r="J67" s="184" t="s">
        <v>442</v>
      </c>
      <c r="K67" s="184" t="s">
        <v>443</v>
      </c>
    </row>
    <row r="68" spans="1:11">
      <c r="A68" s="183" t="s">
        <v>521</v>
      </c>
      <c r="B68" s="183" t="s">
        <v>473</v>
      </c>
      <c r="C68" s="183" t="s">
        <v>483</v>
      </c>
      <c r="D68" s="183" t="s">
        <v>525</v>
      </c>
      <c r="E68" s="183" t="s">
        <v>441</v>
      </c>
      <c r="F68" s="186">
        <v>45322</v>
      </c>
      <c r="G68" s="185">
        <v>40.9</v>
      </c>
      <c r="I68" s="187">
        <f t="shared" si="0"/>
        <v>40.9</v>
      </c>
      <c r="J68" s="184" t="s">
        <v>442</v>
      </c>
      <c r="K68" s="184" t="s">
        <v>443</v>
      </c>
    </row>
    <row r="69" spans="1:11">
      <c r="A69" s="183" t="s">
        <v>521</v>
      </c>
      <c r="B69" s="183" t="s">
        <v>473</v>
      </c>
      <c r="C69" s="183" t="s">
        <v>483</v>
      </c>
      <c r="D69" s="183" t="s">
        <v>526</v>
      </c>
      <c r="E69" s="183" t="s">
        <v>441</v>
      </c>
      <c r="F69" s="186">
        <v>45322</v>
      </c>
      <c r="G69" s="185">
        <v>40.9</v>
      </c>
      <c r="I69" s="187">
        <f t="shared" si="0"/>
        <v>40.9</v>
      </c>
      <c r="J69" s="184" t="s">
        <v>442</v>
      </c>
      <c r="K69" s="184" t="s">
        <v>443</v>
      </c>
    </row>
    <row r="70" spans="1:11">
      <c r="A70" s="183" t="s">
        <v>521</v>
      </c>
      <c r="B70" s="183" t="s">
        <v>473</v>
      </c>
      <c r="C70" s="183" t="s">
        <v>483</v>
      </c>
      <c r="D70" s="183" t="s">
        <v>527</v>
      </c>
      <c r="E70" s="183" t="s">
        <v>441</v>
      </c>
      <c r="F70" s="186">
        <v>45322</v>
      </c>
      <c r="G70" s="185">
        <v>28.44</v>
      </c>
      <c r="I70" s="187">
        <f t="shared" si="0"/>
        <v>28.44</v>
      </c>
      <c r="J70" s="184" t="s">
        <v>442</v>
      </c>
      <c r="K70" s="184" t="s">
        <v>443</v>
      </c>
    </row>
    <row r="71" spans="1:11">
      <c r="A71" s="183" t="s">
        <v>521</v>
      </c>
      <c r="B71" s="183" t="s">
        <v>473</v>
      </c>
      <c r="C71" s="183" t="s">
        <v>439</v>
      </c>
      <c r="D71" s="183" t="s">
        <v>528</v>
      </c>
      <c r="E71" s="183" t="s">
        <v>441</v>
      </c>
      <c r="F71" s="186">
        <v>45322</v>
      </c>
      <c r="G71" s="185">
        <v>39.9</v>
      </c>
      <c r="I71" s="187">
        <f t="shared" si="0"/>
        <v>39.9</v>
      </c>
      <c r="J71" s="184" t="s">
        <v>442</v>
      </c>
      <c r="K71" s="184" t="s">
        <v>443</v>
      </c>
    </row>
    <row r="72" spans="1:11">
      <c r="A72" s="183" t="s">
        <v>521</v>
      </c>
      <c r="B72" s="183" t="s">
        <v>473</v>
      </c>
      <c r="C72" s="183" t="s">
        <v>503</v>
      </c>
      <c r="D72" s="183" t="s">
        <v>523</v>
      </c>
      <c r="E72" s="183" t="s">
        <v>446</v>
      </c>
      <c r="F72" s="186">
        <v>45351</v>
      </c>
      <c r="G72" s="185">
        <v>50.25</v>
      </c>
      <c r="I72" s="187">
        <f t="shared" si="0"/>
        <v>50.25</v>
      </c>
      <c r="J72" s="184" t="s">
        <v>442</v>
      </c>
      <c r="K72" s="184" t="s">
        <v>443</v>
      </c>
    </row>
    <row r="73" spans="1:11">
      <c r="A73" s="183" t="s">
        <v>521</v>
      </c>
      <c r="B73" s="183" t="s">
        <v>473</v>
      </c>
      <c r="C73" s="183" t="s">
        <v>503</v>
      </c>
      <c r="D73" s="183" t="s">
        <v>524</v>
      </c>
      <c r="E73" s="183" t="s">
        <v>446</v>
      </c>
      <c r="F73" s="186">
        <v>45351</v>
      </c>
      <c r="G73" s="185">
        <v>39.409999999999997</v>
      </c>
      <c r="I73" s="187">
        <f t="shared" si="0"/>
        <v>39.409999999999997</v>
      </c>
      <c r="J73" s="184" t="s">
        <v>442</v>
      </c>
      <c r="K73" s="184" t="s">
        <v>443</v>
      </c>
    </row>
    <row r="74" spans="1:11">
      <c r="A74" s="183" t="s">
        <v>521</v>
      </c>
      <c r="B74" s="183" t="s">
        <v>473</v>
      </c>
      <c r="C74" s="183" t="s">
        <v>503</v>
      </c>
      <c r="D74" s="183" t="s">
        <v>529</v>
      </c>
      <c r="E74" s="183" t="s">
        <v>446</v>
      </c>
      <c r="F74" s="186">
        <v>45351</v>
      </c>
      <c r="G74" s="185">
        <v>39.409999999999997</v>
      </c>
      <c r="I74" s="187">
        <f t="shared" si="0"/>
        <v>39.409999999999997</v>
      </c>
      <c r="J74" s="184" t="s">
        <v>442</v>
      </c>
      <c r="K74" s="184" t="s">
        <v>443</v>
      </c>
    </row>
    <row r="75" spans="1:11">
      <c r="A75" s="183" t="s">
        <v>521</v>
      </c>
      <c r="B75" s="183" t="s">
        <v>473</v>
      </c>
      <c r="C75" s="183" t="s">
        <v>503</v>
      </c>
      <c r="D75" s="183" t="s">
        <v>525</v>
      </c>
      <c r="E75" s="183" t="s">
        <v>446</v>
      </c>
      <c r="F75" s="186">
        <v>45351</v>
      </c>
      <c r="G75" s="185">
        <v>40.4</v>
      </c>
      <c r="I75" s="187">
        <f t="shared" ref="I75:I112" si="1">G75-H75</f>
        <v>40.4</v>
      </c>
      <c r="J75" s="184" t="s">
        <v>442</v>
      </c>
      <c r="K75" s="184" t="s">
        <v>443</v>
      </c>
    </row>
    <row r="76" spans="1:11">
      <c r="A76" s="183" t="s">
        <v>521</v>
      </c>
      <c r="B76" s="183" t="s">
        <v>473</v>
      </c>
      <c r="C76" s="183" t="s">
        <v>503</v>
      </c>
      <c r="D76" s="183" t="s">
        <v>526</v>
      </c>
      <c r="E76" s="183" t="s">
        <v>446</v>
      </c>
      <c r="F76" s="186">
        <v>45351</v>
      </c>
      <c r="G76" s="185">
        <v>40.4</v>
      </c>
      <c r="I76" s="187">
        <f t="shared" si="1"/>
        <v>40.4</v>
      </c>
      <c r="J76" s="184" t="s">
        <v>442</v>
      </c>
      <c r="K76" s="184" t="s">
        <v>443</v>
      </c>
    </row>
    <row r="77" spans="1:11">
      <c r="A77" s="183" t="s">
        <v>521</v>
      </c>
      <c r="B77" s="183" t="s">
        <v>473</v>
      </c>
      <c r="C77" s="183" t="s">
        <v>514</v>
      </c>
      <c r="D77" s="183" t="s">
        <v>523</v>
      </c>
      <c r="E77" s="183" t="s">
        <v>454</v>
      </c>
      <c r="F77" s="186">
        <v>45382</v>
      </c>
      <c r="G77" s="185">
        <v>51.01</v>
      </c>
      <c r="I77" s="187">
        <f t="shared" si="1"/>
        <v>51.01</v>
      </c>
      <c r="J77" s="184" t="s">
        <v>442</v>
      </c>
      <c r="K77" s="184" t="s">
        <v>443</v>
      </c>
    </row>
    <row r="78" spans="1:11">
      <c r="A78" s="183" t="s">
        <v>521</v>
      </c>
      <c r="B78" s="183" t="s">
        <v>473</v>
      </c>
      <c r="C78" s="183" t="s">
        <v>514</v>
      </c>
      <c r="D78" s="183" t="s">
        <v>524</v>
      </c>
      <c r="E78" s="183" t="s">
        <v>454</v>
      </c>
      <c r="F78" s="186">
        <v>45382</v>
      </c>
      <c r="G78" s="185">
        <v>40.01</v>
      </c>
      <c r="I78" s="187">
        <f t="shared" si="1"/>
        <v>40.01</v>
      </c>
      <c r="J78" s="184" t="s">
        <v>442</v>
      </c>
      <c r="K78" s="184" t="s">
        <v>443</v>
      </c>
    </row>
    <row r="79" spans="1:11">
      <c r="A79" s="183" t="s">
        <v>521</v>
      </c>
      <c r="B79" s="183" t="s">
        <v>473</v>
      </c>
      <c r="C79" s="183" t="s">
        <v>514</v>
      </c>
      <c r="D79" s="183" t="s">
        <v>529</v>
      </c>
      <c r="E79" s="183" t="s">
        <v>454</v>
      </c>
      <c r="F79" s="186">
        <v>45382</v>
      </c>
      <c r="G79" s="185">
        <v>40.01</v>
      </c>
      <c r="I79" s="187">
        <f t="shared" si="1"/>
        <v>40.01</v>
      </c>
      <c r="J79" s="184" t="s">
        <v>442</v>
      </c>
      <c r="K79" s="184" t="s">
        <v>443</v>
      </c>
    </row>
    <row r="80" spans="1:11">
      <c r="A80" s="183" t="s">
        <v>521</v>
      </c>
      <c r="B80" s="183" t="s">
        <v>473</v>
      </c>
      <c r="C80" s="183" t="s">
        <v>514</v>
      </c>
      <c r="D80" s="183" t="s">
        <v>525</v>
      </c>
      <c r="E80" s="183" t="s">
        <v>454</v>
      </c>
      <c r="F80" s="186">
        <v>45382</v>
      </c>
      <c r="G80" s="185">
        <v>41.01</v>
      </c>
      <c r="I80" s="187">
        <f t="shared" si="1"/>
        <v>41.01</v>
      </c>
      <c r="J80" s="184" t="s">
        <v>442</v>
      </c>
      <c r="K80" s="184" t="s">
        <v>443</v>
      </c>
    </row>
    <row r="81" spans="1:11">
      <c r="A81" s="183" t="s">
        <v>521</v>
      </c>
      <c r="B81" s="183" t="s">
        <v>473</v>
      </c>
      <c r="C81" s="183" t="s">
        <v>514</v>
      </c>
      <c r="D81" s="183" t="s">
        <v>526</v>
      </c>
      <c r="E81" s="183" t="s">
        <v>454</v>
      </c>
      <c r="F81" s="186">
        <v>45382</v>
      </c>
      <c r="G81" s="185">
        <v>41.01</v>
      </c>
      <c r="I81" s="187">
        <f t="shared" si="1"/>
        <v>41.01</v>
      </c>
      <c r="J81" s="184" t="s">
        <v>442</v>
      </c>
      <c r="K81" s="184" t="s">
        <v>443</v>
      </c>
    </row>
    <row r="82" spans="1:11">
      <c r="A82" s="183" t="s">
        <v>521</v>
      </c>
      <c r="B82" s="183" t="s">
        <v>473</v>
      </c>
      <c r="C82" s="183" t="s">
        <v>530</v>
      </c>
      <c r="D82" s="183" t="s">
        <v>531</v>
      </c>
      <c r="E82" s="183" t="s">
        <v>532</v>
      </c>
      <c r="F82" s="186">
        <v>45382</v>
      </c>
      <c r="G82" s="185">
        <v>41.18</v>
      </c>
      <c r="I82" s="187">
        <f t="shared" si="1"/>
        <v>41.18</v>
      </c>
      <c r="J82" s="184" t="s">
        <v>442</v>
      </c>
      <c r="K82" s="184" t="s">
        <v>443</v>
      </c>
    </row>
    <row r="83" spans="1:11">
      <c r="A83" s="183" t="s">
        <v>533</v>
      </c>
      <c r="B83" s="183" t="s">
        <v>447</v>
      </c>
      <c r="C83" s="183" t="s">
        <v>452</v>
      </c>
      <c r="D83" s="183" t="s">
        <v>534</v>
      </c>
      <c r="E83" s="183" t="s">
        <v>454</v>
      </c>
      <c r="F83" s="186">
        <v>45382</v>
      </c>
      <c r="G83" s="185">
        <v>3.39</v>
      </c>
      <c r="I83" s="187">
        <f t="shared" si="1"/>
        <v>3.39</v>
      </c>
      <c r="J83" s="184" t="s">
        <v>442</v>
      </c>
      <c r="K83" s="184" t="s">
        <v>443</v>
      </c>
    </row>
    <row r="84" spans="1:11">
      <c r="A84" s="183" t="s">
        <v>533</v>
      </c>
      <c r="B84" s="183" t="s">
        <v>447</v>
      </c>
      <c r="C84" s="183" t="s">
        <v>452</v>
      </c>
      <c r="D84" s="183" t="s">
        <v>535</v>
      </c>
      <c r="E84" s="183" t="s">
        <v>454</v>
      </c>
      <c r="F84" s="186">
        <v>45382</v>
      </c>
      <c r="G84" s="185">
        <v>3.39</v>
      </c>
      <c r="I84" s="187">
        <f t="shared" si="1"/>
        <v>3.39</v>
      </c>
      <c r="J84" s="184" t="s">
        <v>442</v>
      </c>
      <c r="K84" s="184" t="s">
        <v>443</v>
      </c>
    </row>
    <row r="85" spans="1:11">
      <c r="A85" s="183" t="s">
        <v>536</v>
      </c>
      <c r="B85" s="183" t="s">
        <v>459</v>
      </c>
      <c r="C85" s="183" t="s">
        <v>439</v>
      </c>
      <c r="D85" s="183" t="s">
        <v>537</v>
      </c>
      <c r="E85" s="183" t="s">
        <v>441</v>
      </c>
      <c r="F85" s="186">
        <v>45322</v>
      </c>
      <c r="G85" s="185">
        <v>666.09</v>
      </c>
      <c r="I85" s="187">
        <f t="shared" si="1"/>
        <v>666.09</v>
      </c>
      <c r="J85" s="184" t="s">
        <v>442</v>
      </c>
      <c r="K85" s="184" t="s">
        <v>443</v>
      </c>
    </row>
    <row r="86" spans="1:11">
      <c r="A86" s="183" t="s">
        <v>536</v>
      </c>
      <c r="B86" s="183" t="s">
        <v>459</v>
      </c>
      <c r="C86" s="183" t="s">
        <v>452</v>
      </c>
      <c r="D86" s="183" t="s">
        <v>538</v>
      </c>
      <c r="E86" s="183" t="s">
        <v>454</v>
      </c>
      <c r="F86" s="186">
        <v>45382</v>
      </c>
      <c r="G86" s="185">
        <v>425.27</v>
      </c>
      <c r="I86" s="187">
        <f t="shared" si="1"/>
        <v>425.27</v>
      </c>
      <c r="J86" s="184" t="s">
        <v>442</v>
      </c>
      <c r="K86" s="184" t="s">
        <v>443</v>
      </c>
    </row>
    <row r="87" spans="1:11">
      <c r="A87" s="183" t="s">
        <v>539</v>
      </c>
      <c r="B87" s="183" t="s">
        <v>455</v>
      </c>
      <c r="C87" s="183" t="s">
        <v>439</v>
      </c>
      <c r="D87" s="183" t="s">
        <v>540</v>
      </c>
      <c r="E87" s="183" t="s">
        <v>441</v>
      </c>
      <c r="F87" s="186">
        <v>45322</v>
      </c>
      <c r="G87" s="185">
        <v>633.9</v>
      </c>
      <c r="I87" s="187">
        <f t="shared" si="1"/>
        <v>633.9</v>
      </c>
      <c r="J87" s="184" t="s">
        <v>442</v>
      </c>
      <c r="K87" s="184" t="s">
        <v>443</v>
      </c>
    </row>
    <row r="88" spans="1:11">
      <c r="A88" s="183" t="s">
        <v>539</v>
      </c>
      <c r="B88" s="183" t="s">
        <v>455</v>
      </c>
      <c r="C88" s="183" t="s">
        <v>483</v>
      </c>
      <c r="D88" s="183" t="s">
        <v>541</v>
      </c>
      <c r="E88" s="183" t="s">
        <v>441</v>
      </c>
      <c r="F88" s="186">
        <v>45322</v>
      </c>
      <c r="G88" s="185">
        <v>7.48</v>
      </c>
      <c r="I88" s="187">
        <f t="shared" si="1"/>
        <v>7.48</v>
      </c>
      <c r="J88" s="184" t="s">
        <v>442</v>
      </c>
      <c r="K88" s="184" t="s">
        <v>443</v>
      </c>
    </row>
    <row r="89" spans="1:11">
      <c r="A89" s="183" t="s">
        <v>539</v>
      </c>
      <c r="B89" s="183" t="s">
        <v>455</v>
      </c>
      <c r="C89" s="183" t="s">
        <v>483</v>
      </c>
      <c r="D89" s="183" t="s">
        <v>542</v>
      </c>
      <c r="E89" s="183" t="s">
        <v>441</v>
      </c>
      <c r="F89" s="186">
        <v>45322</v>
      </c>
      <c r="G89" s="185">
        <v>7.48</v>
      </c>
      <c r="I89" s="187">
        <f t="shared" si="1"/>
        <v>7.48</v>
      </c>
      <c r="J89" s="184" t="s">
        <v>442</v>
      </c>
      <c r="K89" s="184" t="s">
        <v>443</v>
      </c>
    </row>
    <row r="90" spans="1:11">
      <c r="A90" s="183" t="s">
        <v>539</v>
      </c>
      <c r="B90" s="183" t="s">
        <v>455</v>
      </c>
      <c r="C90" s="183" t="s">
        <v>483</v>
      </c>
      <c r="D90" s="183" t="s">
        <v>543</v>
      </c>
      <c r="E90" s="183" t="s">
        <v>441</v>
      </c>
      <c r="F90" s="186">
        <v>45322</v>
      </c>
      <c r="G90" s="185">
        <v>598.73</v>
      </c>
      <c r="I90" s="187">
        <f t="shared" si="1"/>
        <v>598.73</v>
      </c>
      <c r="J90" s="184" t="s">
        <v>442</v>
      </c>
      <c r="K90" s="184" t="s">
        <v>443</v>
      </c>
    </row>
    <row r="91" spans="1:11">
      <c r="A91" s="183" t="s">
        <v>539</v>
      </c>
      <c r="B91" s="183" t="s">
        <v>455</v>
      </c>
      <c r="C91" s="183" t="s">
        <v>439</v>
      </c>
      <c r="D91" s="183" t="s">
        <v>544</v>
      </c>
      <c r="E91" s="183" t="s">
        <v>441</v>
      </c>
      <c r="F91" s="186">
        <v>45322</v>
      </c>
      <c r="G91" s="185">
        <v>296.37</v>
      </c>
      <c r="I91" s="187">
        <f t="shared" si="1"/>
        <v>296.37</v>
      </c>
      <c r="J91" s="184" t="s">
        <v>442</v>
      </c>
      <c r="K91" s="184" t="s">
        <v>443</v>
      </c>
    </row>
    <row r="92" spans="1:11">
      <c r="A92" s="183" t="s">
        <v>539</v>
      </c>
      <c r="B92" s="183" t="s">
        <v>455</v>
      </c>
      <c r="C92" s="183" t="s">
        <v>483</v>
      </c>
      <c r="D92" s="183" t="s">
        <v>545</v>
      </c>
      <c r="E92" s="183" t="s">
        <v>441</v>
      </c>
      <c r="F92" s="186">
        <v>45322</v>
      </c>
      <c r="G92" s="185">
        <v>763.38</v>
      </c>
      <c r="I92" s="187">
        <f t="shared" si="1"/>
        <v>763.38</v>
      </c>
      <c r="J92" s="184" t="s">
        <v>442</v>
      </c>
      <c r="K92" s="184" t="s">
        <v>443</v>
      </c>
    </row>
    <row r="93" spans="1:11">
      <c r="A93" s="183" t="s">
        <v>539</v>
      </c>
      <c r="B93" s="183" t="s">
        <v>455</v>
      </c>
      <c r="C93" s="183" t="s">
        <v>483</v>
      </c>
      <c r="D93" s="183" t="s">
        <v>546</v>
      </c>
      <c r="E93" s="183" t="s">
        <v>441</v>
      </c>
      <c r="F93" s="186">
        <v>45322</v>
      </c>
      <c r="G93" s="185">
        <v>74.84</v>
      </c>
      <c r="I93" s="187">
        <f t="shared" si="1"/>
        <v>74.84</v>
      </c>
      <c r="J93" s="184" t="s">
        <v>442</v>
      </c>
      <c r="K93" s="184" t="s">
        <v>443</v>
      </c>
    </row>
    <row r="94" spans="1:11">
      <c r="A94" s="183" t="s">
        <v>539</v>
      </c>
      <c r="B94" s="183" t="s">
        <v>455</v>
      </c>
      <c r="C94" s="183" t="s">
        <v>503</v>
      </c>
      <c r="D94" s="183" t="s">
        <v>547</v>
      </c>
      <c r="E94" s="183" t="s">
        <v>446</v>
      </c>
      <c r="F94" s="186">
        <v>45351</v>
      </c>
      <c r="G94" s="185">
        <v>59</v>
      </c>
      <c r="I94" s="187">
        <f t="shared" si="1"/>
        <v>59</v>
      </c>
      <c r="J94" s="184" t="s">
        <v>442</v>
      </c>
      <c r="K94" s="184" t="s">
        <v>443</v>
      </c>
    </row>
    <row r="95" spans="1:11">
      <c r="A95" s="183" t="s">
        <v>539</v>
      </c>
      <c r="B95" s="183" t="s">
        <v>455</v>
      </c>
      <c r="C95" s="183" t="s">
        <v>503</v>
      </c>
      <c r="D95" s="183" t="s">
        <v>548</v>
      </c>
      <c r="E95" s="183" t="s">
        <v>446</v>
      </c>
      <c r="F95" s="186">
        <v>45351</v>
      </c>
      <c r="G95" s="185">
        <v>4.43</v>
      </c>
      <c r="I95" s="187">
        <f t="shared" si="1"/>
        <v>4.43</v>
      </c>
      <c r="J95" s="184" t="s">
        <v>442</v>
      </c>
      <c r="K95" s="184" t="s">
        <v>443</v>
      </c>
    </row>
    <row r="96" spans="1:11">
      <c r="A96" s="183" t="s">
        <v>539</v>
      </c>
      <c r="B96" s="183" t="s">
        <v>455</v>
      </c>
      <c r="C96" s="183" t="s">
        <v>503</v>
      </c>
      <c r="D96" s="183" t="s">
        <v>547</v>
      </c>
      <c r="E96" s="183" t="s">
        <v>446</v>
      </c>
      <c r="F96" s="186">
        <v>45351</v>
      </c>
      <c r="G96" s="185">
        <v>36.880000000000003</v>
      </c>
      <c r="I96" s="187">
        <f t="shared" si="1"/>
        <v>36.880000000000003</v>
      </c>
      <c r="J96" s="184" t="s">
        <v>442</v>
      </c>
      <c r="K96" s="184" t="s">
        <v>443</v>
      </c>
    </row>
    <row r="97" spans="1:11">
      <c r="A97" s="183" t="s">
        <v>539</v>
      </c>
      <c r="B97" s="183" t="s">
        <v>455</v>
      </c>
      <c r="C97" s="183" t="s">
        <v>503</v>
      </c>
      <c r="D97" s="183" t="s">
        <v>548</v>
      </c>
      <c r="E97" s="183" t="s">
        <v>446</v>
      </c>
      <c r="F97" s="186">
        <v>45351</v>
      </c>
      <c r="G97" s="185">
        <v>4.43</v>
      </c>
      <c r="I97" s="187">
        <f t="shared" si="1"/>
        <v>4.43</v>
      </c>
      <c r="J97" s="184" t="s">
        <v>442</v>
      </c>
      <c r="K97" s="184" t="s">
        <v>443</v>
      </c>
    </row>
    <row r="98" spans="1:11">
      <c r="A98" s="183" t="s">
        <v>539</v>
      </c>
      <c r="B98" s="183" t="s">
        <v>455</v>
      </c>
      <c r="C98" s="183" t="s">
        <v>503</v>
      </c>
      <c r="D98" s="183" t="s">
        <v>541</v>
      </c>
      <c r="E98" s="183" t="s">
        <v>446</v>
      </c>
      <c r="F98" s="186">
        <v>45351</v>
      </c>
      <c r="G98" s="185">
        <v>11.8</v>
      </c>
      <c r="I98" s="187">
        <f t="shared" si="1"/>
        <v>11.8</v>
      </c>
      <c r="J98" s="184" t="s">
        <v>442</v>
      </c>
      <c r="K98" s="184" t="s">
        <v>443</v>
      </c>
    </row>
    <row r="99" spans="1:11">
      <c r="A99" s="183" t="s">
        <v>539</v>
      </c>
      <c r="B99" s="183" t="s">
        <v>455</v>
      </c>
      <c r="C99" s="183" t="s">
        <v>514</v>
      </c>
      <c r="D99" s="183" t="s">
        <v>541</v>
      </c>
      <c r="E99" s="183" t="s">
        <v>454</v>
      </c>
      <c r="F99" s="186">
        <v>45382</v>
      </c>
      <c r="G99" s="185">
        <v>8.85</v>
      </c>
      <c r="I99" s="187">
        <f t="shared" si="1"/>
        <v>8.85</v>
      </c>
      <c r="J99" s="184" t="s">
        <v>442</v>
      </c>
      <c r="K99" s="184" t="s">
        <v>443</v>
      </c>
    </row>
    <row r="100" spans="1:11">
      <c r="A100" s="183" t="s">
        <v>539</v>
      </c>
      <c r="B100" s="183" t="s">
        <v>455</v>
      </c>
      <c r="C100" s="183" t="s">
        <v>452</v>
      </c>
      <c r="D100" s="183" t="s">
        <v>549</v>
      </c>
      <c r="E100" s="183" t="s">
        <v>454</v>
      </c>
      <c r="F100" s="186">
        <v>45382</v>
      </c>
      <c r="G100" s="185">
        <v>46.82</v>
      </c>
      <c r="I100" s="187">
        <f t="shared" si="1"/>
        <v>46.82</v>
      </c>
      <c r="J100" s="184" t="s">
        <v>442</v>
      </c>
      <c r="K100" s="184" t="s">
        <v>443</v>
      </c>
    </row>
    <row r="101" spans="1:11">
      <c r="A101" s="183" t="s">
        <v>539</v>
      </c>
      <c r="B101" s="183" t="s">
        <v>455</v>
      </c>
      <c r="C101" s="183" t="s">
        <v>452</v>
      </c>
      <c r="D101" s="183" t="s">
        <v>550</v>
      </c>
      <c r="E101" s="183" t="s">
        <v>454</v>
      </c>
      <c r="F101" s="186">
        <v>45382</v>
      </c>
      <c r="G101" s="185">
        <v>17.7</v>
      </c>
      <c r="I101" s="187">
        <f t="shared" si="1"/>
        <v>17.7</v>
      </c>
      <c r="J101" s="184" t="s">
        <v>442</v>
      </c>
      <c r="K101" s="184" t="s">
        <v>443</v>
      </c>
    </row>
    <row r="102" spans="1:11">
      <c r="A102" s="183" t="s">
        <v>539</v>
      </c>
      <c r="B102" s="183" t="s">
        <v>455</v>
      </c>
      <c r="C102" s="183" t="s">
        <v>452</v>
      </c>
      <c r="D102" s="183" t="s">
        <v>551</v>
      </c>
      <c r="E102" s="183" t="s">
        <v>454</v>
      </c>
      <c r="F102" s="186">
        <v>45382</v>
      </c>
      <c r="G102" s="185">
        <v>7.37</v>
      </c>
      <c r="I102" s="187">
        <f t="shared" si="1"/>
        <v>7.37</v>
      </c>
      <c r="J102" s="184" t="s">
        <v>442</v>
      </c>
      <c r="K102" s="184" t="s">
        <v>443</v>
      </c>
    </row>
    <row r="103" spans="1:11">
      <c r="A103" s="183" t="s">
        <v>552</v>
      </c>
      <c r="B103" s="183" t="s">
        <v>457</v>
      </c>
      <c r="C103" s="183" t="s">
        <v>483</v>
      </c>
      <c r="D103" s="183" t="s">
        <v>553</v>
      </c>
      <c r="E103" s="183" t="s">
        <v>441</v>
      </c>
      <c r="F103" s="186">
        <v>45322</v>
      </c>
      <c r="G103" s="185">
        <v>889.11</v>
      </c>
      <c r="I103" s="187">
        <f t="shared" si="1"/>
        <v>889.11</v>
      </c>
      <c r="J103" s="184" t="s">
        <v>442</v>
      </c>
      <c r="K103" s="184" t="s">
        <v>443</v>
      </c>
    </row>
    <row r="104" spans="1:11">
      <c r="A104" s="183" t="s">
        <v>552</v>
      </c>
      <c r="B104" s="183" t="s">
        <v>457</v>
      </c>
      <c r="C104" s="183" t="s">
        <v>439</v>
      </c>
      <c r="D104" s="183" t="s">
        <v>554</v>
      </c>
      <c r="E104" s="183" t="s">
        <v>441</v>
      </c>
      <c r="F104" s="186">
        <v>45322</v>
      </c>
      <c r="G104" s="185">
        <v>74.84</v>
      </c>
      <c r="I104" s="187">
        <f t="shared" si="1"/>
        <v>74.84</v>
      </c>
      <c r="J104" s="184" t="s">
        <v>442</v>
      </c>
      <c r="K104" s="184" t="s">
        <v>443</v>
      </c>
    </row>
    <row r="105" spans="1:11">
      <c r="A105" s="183" t="s">
        <v>552</v>
      </c>
      <c r="B105" s="183" t="s">
        <v>457</v>
      </c>
      <c r="C105" s="183" t="s">
        <v>439</v>
      </c>
      <c r="D105" s="183" t="s">
        <v>555</v>
      </c>
      <c r="E105" s="183" t="s">
        <v>441</v>
      </c>
      <c r="F105" s="186">
        <v>45322</v>
      </c>
      <c r="G105" s="185">
        <v>74.84</v>
      </c>
      <c r="I105" s="187">
        <f t="shared" si="1"/>
        <v>74.84</v>
      </c>
      <c r="J105" s="184" t="s">
        <v>442</v>
      </c>
      <c r="K105" s="184" t="s">
        <v>443</v>
      </c>
    </row>
    <row r="106" spans="1:11">
      <c r="A106" s="183" t="s">
        <v>552</v>
      </c>
      <c r="B106" s="183" t="s">
        <v>457</v>
      </c>
      <c r="C106" s="183" t="s">
        <v>503</v>
      </c>
      <c r="D106" s="183" t="s">
        <v>556</v>
      </c>
      <c r="E106" s="183" t="s">
        <v>446</v>
      </c>
      <c r="F106" s="186">
        <v>45351</v>
      </c>
      <c r="G106" s="185">
        <v>44.25</v>
      </c>
      <c r="I106" s="187">
        <f t="shared" si="1"/>
        <v>44.25</v>
      </c>
      <c r="J106" s="184" t="s">
        <v>442</v>
      </c>
      <c r="K106" s="184" t="s">
        <v>443</v>
      </c>
    </row>
    <row r="107" spans="1:11">
      <c r="A107" s="183" t="s">
        <v>552</v>
      </c>
      <c r="B107" s="183" t="s">
        <v>457</v>
      </c>
      <c r="C107" s="183" t="s">
        <v>503</v>
      </c>
      <c r="D107" s="183" t="s">
        <v>557</v>
      </c>
      <c r="E107" s="183" t="s">
        <v>446</v>
      </c>
      <c r="F107" s="186">
        <v>45351</v>
      </c>
      <c r="G107" s="185">
        <v>47.94</v>
      </c>
      <c r="I107" s="187">
        <f t="shared" si="1"/>
        <v>47.94</v>
      </c>
      <c r="J107" s="184" t="s">
        <v>442</v>
      </c>
      <c r="K107" s="184" t="s">
        <v>443</v>
      </c>
    </row>
    <row r="108" spans="1:11">
      <c r="A108" s="183" t="s">
        <v>558</v>
      </c>
      <c r="B108" s="183" t="s">
        <v>468</v>
      </c>
      <c r="C108" s="183" t="s">
        <v>483</v>
      </c>
      <c r="D108" s="183" t="s">
        <v>559</v>
      </c>
      <c r="E108" s="183" t="s">
        <v>441</v>
      </c>
      <c r="F108" s="186">
        <v>45322</v>
      </c>
      <c r="G108" s="185">
        <v>89.81</v>
      </c>
      <c r="I108" s="187">
        <f t="shared" si="1"/>
        <v>89.81</v>
      </c>
      <c r="J108" s="184" t="s">
        <v>442</v>
      </c>
      <c r="K108" s="184" t="s">
        <v>443</v>
      </c>
    </row>
    <row r="109" spans="1:11">
      <c r="A109" s="183" t="s">
        <v>560</v>
      </c>
      <c r="B109" s="183" t="s">
        <v>451</v>
      </c>
      <c r="C109" s="183" t="s">
        <v>452</v>
      </c>
      <c r="D109" s="183" t="s">
        <v>561</v>
      </c>
      <c r="E109" s="183" t="s">
        <v>454</v>
      </c>
      <c r="F109" s="186">
        <v>45382</v>
      </c>
      <c r="G109" s="185">
        <v>11543.31</v>
      </c>
      <c r="I109" s="187">
        <f t="shared" si="1"/>
        <v>11543.31</v>
      </c>
      <c r="J109" s="184" t="s">
        <v>562</v>
      </c>
      <c r="K109" s="184" t="s">
        <v>443</v>
      </c>
    </row>
    <row r="110" spans="1:11">
      <c r="A110" s="183" t="s">
        <v>560</v>
      </c>
      <c r="B110" s="183" t="s">
        <v>451</v>
      </c>
      <c r="C110" s="183" t="s">
        <v>452</v>
      </c>
      <c r="D110" s="183" t="s">
        <v>563</v>
      </c>
      <c r="E110" s="183" t="s">
        <v>454</v>
      </c>
      <c r="F110" s="186">
        <v>45382</v>
      </c>
      <c r="G110" s="185">
        <v>12136.84</v>
      </c>
      <c r="I110" s="187">
        <f t="shared" si="1"/>
        <v>12136.84</v>
      </c>
      <c r="J110" s="184" t="s">
        <v>562</v>
      </c>
      <c r="K110" s="184" t="s">
        <v>443</v>
      </c>
    </row>
    <row r="111" spans="1:11">
      <c r="A111" s="183" t="s">
        <v>560</v>
      </c>
      <c r="B111" s="183" t="s">
        <v>451</v>
      </c>
      <c r="C111" s="183" t="s">
        <v>452</v>
      </c>
      <c r="D111" s="183" t="s">
        <v>564</v>
      </c>
      <c r="E111" s="183" t="s">
        <v>454</v>
      </c>
      <c r="F111" s="186">
        <v>45382</v>
      </c>
      <c r="G111" s="185">
        <v>12268.82</v>
      </c>
      <c r="I111" s="187">
        <f t="shared" si="1"/>
        <v>12268.82</v>
      </c>
      <c r="J111" s="184" t="s">
        <v>562</v>
      </c>
      <c r="K111" s="184" t="s">
        <v>443</v>
      </c>
    </row>
    <row r="112" spans="1:11">
      <c r="A112" s="183" t="s">
        <v>560</v>
      </c>
      <c r="B112" s="183" t="s">
        <v>451</v>
      </c>
      <c r="C112" s="183" t="s">
        <v>452</v>
      </c>
      <c r="D112" s="183" t="s">
        <v>565</v>
      </c>
      <c r="E112" s="183" t="s">
        <v>454</v>
      </c>
      <c r="F112" s="186">
        <v>45382</v>
      </c>
      <c r="G112" s="185">
        <v>12121.36</v>
      </c>
      <c r="I112" s="187">
        <f t="shared" si="1"/>
        <v>12121.36</v>
      </c>
      <c r="J112" s="184" t="s">
        <v>562</v>
      </c>
      <c r="K112" s="184" t="s">
        <v>443</v>
      </c>
    </row>
    <row r="113" spans="1:9">
      <c r="G113" s="182" t="s">
        <v>434</v>
      </c>
      <c r="H113" s="182" t="s">
        <v>434</v>
      </c>
      <c r="I113" s="182" t="s">
        <v>434</v>
      </c>
    </row>
    <row r="114" spans="1:9">
      <c r="A114" s="184"/>
      <c r="G114" s="185">
        <f>SUM(G10:G113)</f>
        <v>70925.69</v>
      </c>
      <c r="H114" s="185">
        <f t="shared" ref="H114:I114" si="2">SUM(H10:H113)</f>
        <v>0</v>
      </c>
      <c r="I114" s="185">
        <f t="shared" si="2"/>
        <v>70925.69</v>
      </c>
    </row>
    <row r="115" spans="1:9">
      <c r="G115" s="197" t="s">
        <v>434</v>
      </c>
      <c r="H115" s="197" t="s">
        <v>434</v>
      </c>
      <c r="I115" s="197" t="s">
        <v>434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mamadou.salieu.bah@undp.org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MPTF_00006_00974</ProjectId>
    <FundCode xmlns="f9695bc1-6109-4dcd-a27a-f8a0370b00e2">MPTF_00006</FundCode>
    <Comments xmlns="f9695bc1-6109-4dcd-a27a-f8a0370b00e2">Finance</Comments>
    <Active xmlns="f9695bc1-6109-4dcd-a27a-f8a0370b00e2">Yes</Active>
    <DocumentDate xmlns="b1528a4b-5ccb-40f7-a09e-43427183cd95">2024-11-15T08:00:00+00:00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051C6A37-BB41-48C4-B79D-5D9661DB8BAF}"/>
</file>

<file path=customXml/itemProps2.xml><?xml version="1.0" encoding="utf-8"?>
<ds:datastoreItem xmlns:ds="http://schemas.openxmlformats.org/officeDocument/2006/customXml" ds:itemID="{D541E997-14C6-46E4-8293-3EC088133CC7}"/>
</file>

<file path=customXml/itemProps3.xml><?xml version="1.0" encoding="utf-8"?>
<ds:datastoreItem xmlns:ds="http://schemas.openxmlformats.org/officeDocument/2006/customXml" ds:itemID="{22DB9AA9-E060-4E62-A41E-896CAAF689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UNPBF_FC-3007 Y2 Q3 Report</vt:lpstr>
      <vt:lpstr>Budget Tables- Jan-Sept' 2024</vt:lpstr>
      <vt:lpstr>MIP Run w-adjustments</vt:lpstr>
      <vt:lpstr>MIP run from Jan-Mar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Gambia UNPBF Report July-September 2024.xlsx</dc:title>
  <dc:subject/>
  <dc:creator>Jennifer Rasmussen</dc:creator>
  <cp:keywords/>
  <dc:description/>
  <cp:lastModifiedBy>Mamadou Salieu Bah</cp:lastModifiedBy>
  <cp:revision/>
  <dcterms:created xsi:type="dcterms:W3CDTF">2023-02-28T17:55:04Z</dcterms:created>
  <dcterms:modified xsi:type="dcterms:W3CDTF">2024-11-14T13:44:26Z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