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66925"/>
  <mc:AlternateContent xmlns:mc="http://schemas.openxmlformats.org/markup-compatibility/2006">
    <mc:Choice Requires="x15">
      <x15ac:absPath xmlns:x15ac="http://schemas.microsoft.com/office/spreadsheetml/2010/11/ac" url="https://undp-my.sharepoint.com/personal/alpha_oumar_balde_undp_org/Documents/Projet Transfrontalier Guinée - Mali/GLOBAL/Rapports/"/>
    </mc:Choice>
  </mc:AlternateContent>
  <xr:revisionPtr revIDLastSave="304" documentId="8_{853AF707-ED69-44BD-BAD1-93BD526E9B34}" xr6:coauthVersionLast="47" xr6:coauthVersionMax="47" xr10:uidLastSave="{9D25AB8B-D544-418A-9AE9-58CADD4E0A5F}"/>
  <bookViews>
    <workbookView xWindow="-120" yWindow="-120" windowWidth="29040" windowHeight="15720" tabRatio="722" firstSheet="2" activeTab="2" xr2:uid="{00000000-000D-0000-FFFF-FFFF00000000}"/>
  </bookViews>
  <sheets>
    <sheet name="INSTRUCTIONS" sheetId="9" r:id="rId1"/>
    <sheet name="2) Tableau budgétaire 2" sheetId="5" r:id="rId2"/>
    <sheet name="1) Tableau budgétaire 1" sheetId="1" r:id="rId3"/>
    <sheet name="3) Notes d'explication" sheetId="3" r:id="rId4"/>
    <sheet name="4) Pour utilisation par PBSO" sheetId="6" r:id="rId5"/>
    <sheet name="Sheet1" sheetId="10" r:id="rId6"/>
    <sheet name="5) Pour utilisation par MPTFO"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 l="1"/>
  <c r="E70" i="1"/>
  <c r="E65" i="1"/>
  <c r="E68" i="1"/>
  <c r="E17" i="1"/>
  <c r="E30" i="1"/>
  <c r="E21" i="1"/>
  <c r="E19" i="1"/>
  <c r="K82" i="1"/>
  <c r="K51" i="1"/>
  <c r="Q35" i="1"/>
  <c r="E66" i="1"/>
  <c r="E29" i="1"/>
  <c r="E64" i="1"/>
  <c r="E83" i="1"/>
  <c r="Q70" i="1"/>
  <c r="P16" i="1"/>
  <c r="I72" i="1"/>
  <c r="O72" i="1"/>
  <c r="O57" i="1"/>
  <c r="O51" i="1"/>
  <c r="O46" i="1"/>
  <c r="O41" i="1"/>
  <c r="O27" i="1"/>
  <c r="O32" i="1"/>
  <c r="O22" i="1"/>
  <c r="L51" i="1"/>
  <c r="M51" i="1"/>
  <c r="N51" i="1"/>
  <c r="K57" i="1"/>
  <c r="O37" i="1"/>
  <c r="M72" i="1"/>
  <c r="P69" i="1"/>
  <c r="P68" i="1"/>
  <c r="Q68" i="1"/>
  <c r="Q69" i="1"/>
  <c r="Q67" i="1"/>
  <c r="Q66" i="1"/>
  <c r="Q65" i="1"/>
  <c r="Q64" i="1"/>
  <c r="Q62" i="1"/>
  <c r="Q61" i="1"/>
  <c r="Q60" i="1"/>
  <c r="Q59" i="1"/>
  <c r="P59" i="1"/>
  <c r="N57" i="1"/>
  <c r="P56" i="1"/>
  <c r="Q54" i="1"/>
  <c r="P54" i="1"/>
  <c r="Q56" i="1"/>
  <c r="Q55" i="1"/>
  <c r="Q53" i="1"/>
  <c r="Q50" i="1"/>
  <c r="P50" i="1"/>
  <c r="Q49" i="1"/>
  <c r="P49" i="1"/>
  <c r="Q45" i="1"/>
  <c r="Q44" i="1"/>
  <c r="Q43" i="1"/>
  <c r="Q39" i="1"/>
  <c r="Q40" i="1"/>
  <c r="Q36" i="1"/>
  <c r="Q29" i="1"/>
  <c r="Q24" i="1"/>
  <c r="P71" i="1"/>
  <c r="P62" i="1"/>
  <c r="P61" i="1"/>
  <c r="P60" i="1"/>
  <c r="P55" i="1"/>
  <c r="P31" i="1"/>
  <c r="P26" i="1"/>
  <c r="P25" i="1"/>
  <c r="P24" i="1"/>
  <c r="T27" i="1" s="1"/>
  <c r="P21" i="1"/>
  <c r="P20" i="1"/>
  <c r="P19" i="1"/>
  <c r="P18" i="1"/>
  <c r="T22" i="1" s="1"/>
  <c r="P17" i="1"/>
  <c r="Q25" i="1"/>
  <c r="Q26" i="1"/>
  <c r="Q21" i="1"/>
  <c r="Q19" i="1"/>
  <c r="Q20" i="1"/>
  <c r="Q17" i="1"/>
  <c r="Q18" i="1"/>
  <c r="Q16" i="1"/>
  <c r="E22" i="1"/>
  <c r="F22" i="1"/>
  <c r="G22" i="1"/>
  <c r="H22" i="1"/>
  <c r="I22" i="1"/>
  <c r="J22" i="1"/>
  <c r="K22" i="1"/>
  <c r="L22" i="1"/>
  <c r="M22" i="1"/>
  <c r="N22" i="1"/>
  <c r="E27" i="1"/>
  <c r="F27" i="1"/>
  <c r="G27" i="1"/>
  <c r="H27" i="1"/>
  <c r="I27" i="1"/>
  <c r="J27" i="1"/>
  <c r="K27" i="1"/>
  <c r="L27" i="1"/>
  <c r="M27" i="1"/>
  <c r="N27" i="1"/>
  <c r="G32" i="1"/>
  <c r="H32" i="1"/>
  <c r="I32" i="1"/>
  <c r="J32" i="1"/>
  <c r="K32" i="1"/>
  <c r="L32" i="1"/>
  <c r="M32" i="1"/>
  <c r="N32" i="1"/>
  <c r="E37" i="1"/>
  <c r="F37" i="1"/>
  <c r="G37" i="1"/>
  <c r="H37" i="1"/>
  <c r="I37" i="1"/>
  <c r="J37" i="1"/>
  <c r="K37" i="1"/>
  <c r="M37" i="1"/>
  <c r="E41" i="1"/>
  <c r="F41" i="1"/>
  <c r="G41" i="1"/>
  <c r="H41" i="1"/>
  <c r="I41" i="1"/>
  <c r="J41" i="1"/>
  <c r="K41" i="1"/>
  <c r="M41" i="1"/>
  <c r="E46" i="1"/>
  <c r="F46" i="1"/>
  <c r="G46" i="1"/>
  <c r="H46" i="1"/>
  <c r="I46" i="1"/>
  <c r="J46" i="1"/>
  <c r="K46" i="1"/>
  <c r="M46" i="1"/>
  <c r="E51" i="1"/>
  <c r="F51" i="1"/>
  <c r="G51" i="1"/>
  <c r="H51" i="1"/>
  <c r="I51" i="1"/>
  <c r="J51" i="1"/>
  <c r="E57" i="1"/>
  <c r="F57" i="1"/>
  <c r="G57" i="1"/>
  <c r="I57" i="1"/>
  <c r="L57" i="1"/>
  <c r="M57" i="1"/>
  <c r="K72" i="1"/>
  <c r="G72" i="1"/>
  <c r="S72" i="1"/>
  <c r="E72" i="1"/>
  <c r="F72" i="1"/>
  <c r="H72" i="1"/>
  <c r="J72" i="1"/>
  <c r="D57" i="1"/>
  <c r="D51" i="1"/>
  <c r="D46" i="1"/>
  <c r="D41" i="1"/>
  <c r="D37" i="1"/>
  <c r="D27" i="1"/>
  <c r="D22" i="1"/>
  <c r="Q71" i="1"/>
  <c r="S22" i="1"/>
  <c r="R59" i="1" l="1"/>
  <c r="I82" i="1"/>
  <c r="Q27" i="1"/>
  <c r="R24" i="1"/>
  <c r="Q37" i="1"/>
  <c r="Q41" i="1"/>
  <c r="Q72" i="1"/>
  <c r="O82" i="1"/>
  <c r="O83" i="1" s="1"/>
  <c r="R50" i="1"/>
  <c r="Q51" i="1"/>
  <c r="Q46" i="1"/>
  <c r="Q57" i="1"/>
  <c r="P22" i="1"/>
  <c r="Q22" i="1"/>
  <c r="K83" i="1"/>
  <c r="K84" i="1" s="1"/>
  <c r="G82" i="1"/>
  <c r="M82" i="1"/>
  <c r="O84" i="1" l="1"/>
  <c r="O90" i="1" s="1"/>
  <c r="K90" i="1"/>
  <c r="I83" i="1"/>
  <c r="I84" i="1" s="1"/>
  <c r="I90" i="1" s="1"/>
  <c r="H98" i="1" s="1"/>
  <c r="G83" i="1"/>
  <c r="M83" i="1"/>
  <c r="M84" i="1" s="1"/>
  <c r="Q93" i="1"/>
  <c r="K93" i="1" l="1"/>
  <c r="I98" i="1"/>
  <c r="O93" i="1"/>
  <c r="K98" i="1"/>
  <c r="R83" i="1"/>
  <c r="M90" i="1"/>
  <c r="G84" i="1"/>
  <c r="G90" i="1" s="1"/>
  <c r="G98" i="1" s="1"/>
  <c r="J91" i="5"/>
  <c r="J85" i="5"/>
  <c r="J86" i="5"/>
  <c r="J87" i="5"/>
  <c r="J88" i="5"/>
  <c r="J89" i="5"/>
  <c r="J90" i="5"/>
  <c r="J84" i="5"/>
  <c r="I91" i="5"/>
  <c r="H90" i="5"/>
  <c r="I90" i="5"/>
  <c r="H88" i="5"/>
  <c r="I88" i="5"/>
  <c r="H87" i="5"/>
  <c r="I87" i="5"/>
  <c r="I86" i="5"/>
  <c r="H86" i="5"/>
  <c r="H22" i="4"/>
  <c r="D72" i="1"/>
  <c r="I213" i="5"/>
  <c r="H14" i="4" s="1"/>
  <c r="I207" i="5"/>
  <c r="J201" i="5"/>
  <c r="J118" i="5"/>
  <c r="J119" i="5"/>
  <c r="J120" i="5"/>
  <c r="J122" i="5"/>
  <c r="J124" i="5"/>
  <c r="I125" i="5"/>
  <c r="J107" i="5"/>
  <c r="J108" i="5"/>
  <c r="J109" i="5"/>
  <c r="J111" i="5"/>
  <c r="J112" i="5"/>
  <c r="J113" i="5"/>
  <c r="I114" i="5"/>
  <c r="I79" i="5"/>
  <c r="I214" i="5" s="1"/>
  <c r="H79" i="5"/>
  <c r="J79" i="5" s="1"/>
  <c r="I77" i="5"/>
  <c r="I80" i="5" s="1"/>
  <c r="H77" i="5"/>
  <c r="I76" i="5"/>
  <c r="H76" i="5"/>
  <c r="J76" i="5" s="1"/>
  <c r="I74" i="5"/>
  <c r="H74" i="5"/>
  <c r="J73" i="5"/>
  <c r="J75" i="5"/>
  <c r="J78" i="5"/>
  <c r="J62" i="5"/>
  <c r="J63" i="5"/>
  <c r="J64" i="5"/>
  <c r="I68" i="5"/>
  <c r="H68" i="5"/>
  <c r="J68" i="5" s="1"/>
  <c r="I67" i="5"/>
  <c r="H67" i="5"/>
  <c r="J67" i="5" s="1"/>
  <c r="I66" i="5"/>
  <c r="H66" i="5"/>
  <c r="J66" i="5" s="1"/>
  <c r="I65" i="5"/>
  <c r="I69" i="5" s="1"/>
  <c r="H65" i="5"/>
  <c r="J65" i="5" s="1"/>
  <c r="I46" i="5"/>
  <c r="J39" i="5"/>
  <c r="J40" i="5"/>
  <c r="J41" i="5"/>
  <c r="J42" i="5"/>
  <c r="J43" i="5"/>
  <c r="J44" i="5"/>
  <c r="J45" i="5"/>
  <c r="I35" i="5"/>
  <c r="J34" i="5"/>
  <c r="J28" i="5"/>
  <c r="J29" i="5"/>
  <c r="J30" i="5"/>
  <c r="J31" i="5"/>
  <c r="J32" i="5"/>
  <c r="J33" i="5"/>
  <c r="I24" i="5"/>
  <c r="J22" i="5"/>
  <c r="J17" i="5"/>
  <c r="J18" i="5"/>
  <c r="J19" i="5"/>
  <c r="J20" i="5"/>
  <c r="J21" i="5"/>
  <c r="J23" i="5"/>
  <c r="N89" i="1"/>
  <c r="R68" i="1"/>
  <c r="L65" i="1"/>
  <c r="P65" i="1" s="1"/>
  <c r="N36" i="1"/>
  <c r="R60" i="1"/>
  <c r="R62" i="1"/>
  <c r="R69" i="1"/>
  <c r="R71" i="1"/>
  <c r="N70" i="1"/>
  <c r="I200" i="5" s="1"/>
  <c r="L70" i="1"/>
  <c r="P70" i="1" s="1"/>
  <c r="T72" i="1" s="1"/>
  <c r="N67" i="1"/>
  <c r="L67" i="1"/>
  <c r="P67" i="1" s="1"/>
  <c r="N66" i="1"/>
  <c r="L66" i="1"/>
  <c r="P66" i="1" s="1"/>
  <c r="N64" i="1"/>
  <c r="I198" i="5" s="1"/>
  <c r="L64" i="1"/>
  <c r="P64" i="1" s="1"/>
  <c r="N63" i="1"/>
  <c r="L63" i="1"/>
  <c r="P63" i="1" s="1"/>
  <c r="P72" i="1" s="1"/>
  <c r="N45" i="1"/>
  <c r="L45" i="1"/>
  <c r="P45" i="1" s="1"/>
  <c r="N44" i="1"/>
  <c r="L44" i="1"/>
  <c r="P44" i="1" s="1"/>
  <c r="N43" i="1"/>
  <c r="N46" i="1" s="1"/>
  <c r="L43" i="1"/>
  <c r="N40" i="1"/>
  <c r="L40" i="1"/>
  <c r="P40" i="1" s="1"/>
  <c r="N39" i="1"/>
  <c r="L39" i="1"/>
  <c r="P39" i="1" s="1"/>
  <c r="P41" i="1" s="1"/>
  <c r="L36" i="1"/>
  <c r="P36" i="1" s="1"/>
  <c r="N35" i="1"/>
  <c r="L35" i="1"/>
  <c r="I13" i="5"/>
  <c r="N81" i="1"/>
  <c r="H8" i="4" s="1"/>
  <c r="R61" i="1"/>
  <c r="I117" i="5"/>
  <c r="R54" i="1"/>
  <c r="R55" i="1"/>
  <c r="R56" i="1"/>
  <c r="I106" i="5"/>
  <c r="P51" i="1"/>
  <c r="M93" i="1" l="1"/>
  <c r="J98" i="1"/>
  <c r="L37" i="1"/>
  <c r="P35" i="1"/>
  <c r="P37" i="1" s="1"/>
  <c r="L46" i="1"/>
  <c r="P43" i="1"/>
  <c r="G93" i="1"/>
  <c r="I93" i="1"/>
  <c r="N37" i="1"/>
  <c r="N72" i="1"/>
  <c r="I195" i="5" s="1"/>
  <c r="L41" i="1"/>
  <c r="R64" i="1"/>
  <c r="N41" i="1"/>
  <c r="I72" i="5" s="1"/>
  <c r="L72" i="1"/>
  <c r="R67" i="1"/>
  <c r="T51" i="1"/>
  <c r="R49" i="1"/>
  <c r="R51" i="1" s="1"/>
  <c r="I196" i="5"/>
  <c r="I208" i="5" s="1"/>
  <c r="H9" i="4" s="1"/>
  <c r="R66" i="1"/>
  <c r="I197" i="5"/>
  <c r="I209" i="5" s="1"/>
  <c r="H10" i="4" s="1"/>
  <c r="R63" i="1"/>
  <c r="H196" i="5"/>
  <c r="I83" i="5"/>
  <c r="H15" i="4"/>
  <c r="I212" i="5"/>
  <c r="H13" i="4" s="1"/>
  <c r="I210" i="5"/>
  <c r="H11" i="4" s="1"/>
  <c r="I211" i="5"/>
  <c r="J74" i="5"/>
  <c r="H12" i="4"/>
  <c r="J77" i="5"/>
  <c r="R65" i="1"/>
  <c r="R44" i="1"/>
  <c r="R45" i="1"/>
  <c r="P46" i="1"/>
  <c r="R40" i="1"/>
  <c r="I61" i="5"/>
  <c r="R36" i="1"/>
  <c r="I38" i="5"/>
  <c r="I27" i="5"/>
  <c r="P27" i="1"/>
  <c r="R26" i="1"/>
  <c r="I16" i="5"/>
  <c r="R21" i="1"/>
  <c r="R17" i="1"/>
  <c r="R19" i="1"/>
  <c r="R20" i="1"/>
  <c r="R16" i="1"/>
  <c r="L81" i="1"/>
  <c r="T37" i="1" l="1"/>
  <c r="R35" i="1"/>
  <c r="R37" i="1" s="1"/>
  <c r="R43" i="1"/>
  <c r="R46" i="1" s="1"/>
  <c r="T46" i="1"/>
  <c r="T41" i="1"/>
  <c r="R39" i="1"/>
  <c r="R41" i="1" s="1"/>
  <c r="R25" i="1"/>
  <c r="R27" i="1" s="1"/>
  <c r="D98" i="1"/>
  <c r="R70" i="1"/>
  <c r="R72" i="1" s="1"/>
  <c r="I203" i="5"/>
  <c r="R18" i="1"/>
  <c r="R22" i="1" s="1"/>
  <c r="I215" i="5"/>
  <c r="I216" i="5" s="1"/>
  <c r="I217" i="5" s="1"/>
  <c r="H208" i="5"/>
  <c r="G9" i="4" s="1"/>
  <c r="H16" i="4"/>
  <c r="H17" i="4" s="1"/>
  <c r="H18" i="4" s="1"/>
  <c r="N82" i="1"/>
  <c r="N83" i="1" s="1"/>
  <c r="N84" i="1" s="1"/>
  <c r="N91" i="1" l="1"/>
  <c r="H24" i="4" s="1"/>
  <c r="N90" i="1"/>
  <c r="H23" i="4" s="1"/>
  <c r="D22" i="4"/>
  <c r="E22" i="4"/>
  <c r="F22" i="4"/>
  <c r="G22" i="4"/>
  <c r="C22" i="4"/>
  <c r="F15" i="4"/>
  <c r="F13" i="4"/>
  <c r="F10" i="4"/>
  <c r="F9" i="4"/>
  <c r="F8" i="4"/>
  <c r="G123" i="5"/>
  <c r="G213" i="5" s="1"/>
  <c r="F14" i="4" s="1"/>
  <c r="F123" i="5"/>
  <c r="G121" i="5"/>
  <c r="F121" i="5"/>
  <c r="G214" i="5"/>
  <c r="G212" i="5"/>
  <c r="G210" i="5"/>
  <c r="F11" i="4" s="1"/>
  <c r="G209" i="5"/>
  <c r="G208" i="5"/>
  <c r="G203" i="5"/>
  <c r="G110" i="5"/>
  <c r="G114" i="5" s="1"/>
  <c r="G207" i="5"/>
  <c r="G192" i="5"/>
  <c r="G184" i="5"/>
  <c r="G181" i="5"/>
  <c r="H181" i="5"/>
  <c r="G173" i="5"/>
  <c r="H173" i="5"/>
  <c r="G170" i="5"/>
  <c r="H170" i="5"/>
  <c r="G162" i="5"/>
  <c r="H162" i="5"/>
  <c r="G159" i="5"/>
  <c r="G151" i="5"/>
  <c r="G147" i="5"/>
  <c r="H147" i="5"/>
  <c r="G139" i="5"/>
  <c r="H139" i="5"/>
  <c r="G136" i="5"/>
  <c r="H136" i="5"/>
  <c r="G128" i="5"/>
  <c r="H128" i="5"/>
  <c r="H125" i="5"/>
  <c r="G102" i="5"/>
  <c r="G94" i="5"/>
  <c r="H94" i="5"/>
  <c r="G91" i="5"/>
  <c r="G80" i="5"/>
  <c r="G69" i="5"/>
  <c r="G57" i="5"/>
  <c r="G49" i="5"/>
  <c r="H49" i="5"/>
  <c r="G46" i="5"/>
  <c r="G35" i="5"/>
  <c r="G24" i="5"/>
  <c r="G13" i="5"/>
  <c r="H200" i="5"/>
  <c r="H198" i="5"/>
  <c r="H197" i="5"/>
  <c r="F202" i="5"/>
  <c r="F200" i="5"/>
  <c r="F212" i="5" s="1"/>
  <c r="F198" i="5"/>
  <c r="F197" i="5"/>
  <c r="F196" i="5"/>
  <c r="F208" i="5" s="1"/>
  <c r="E9" i="4" s="1"/>
  <c r="F110" i="5"/>
  <c r="D196" i="5"/>
  <c r="D208" i="5" s="1"/>
  <c r="D199" i="5"/>
  <c r="J199" i="5" s="1"/>
  <c r="D200" i="5"/>
  <c r="D198" i="5"/>
  <c r="D197" i="5"/>
  <c r="D202" i="5"/>
  <c r="G195" i="5"/>
  <c r="G72" i="5"/>
  <c r="H83" i="5"/>
  <c r="J83" i="5" s="1"/>
  <c r="H61" i="5"/>
  <c r="L89" i="1"/>
  <c r="H13" i="5"/>
  <c r="H72" i="5"/>
  <c r="H25" i="4" l="1"/>
  <c r="J208" i="5"/>
  <c r="J123" i="5"/>
  <c r="J202" i="5"/>
  <c r="J197" i="5"/>
  <c r="J198" i="5"/>
  <c r="J200" i="5"/>
  <c r="J196" i="5"/>
  <c r="J110" i="5"/>
  <c r="J121" i="5"/>
  <c r="G125" i="5"/>
  <c r="G211" i="5"/>
  <c r="F29" i="1"/>
  <c r="D29" i="1"/>
  <c r="P29" i="1" s="1"/>
  <c r="C9" i="4" l="1"/>
  <c r="G215" i="5"/>
  <c r="G216" i="5" s="1"/>
  <c r="G217" i="5" s="1"/>
  <c r="F12" i="4"/>
  <c r="F16" i="4" s="1"/>
  <c r="F30" i="1"/>
  <c r="F32" i="1" s="1"/>
  <c r="D30" i="1"/>
  <c r="P30" i="1" s="1"/>
  <c r="J53" i="1"/>
  <c r="J57" i="1" s="1"/>
  <c r="H53" i="1"/>
  <c r="H57" i="1" l="1"/>
  <c r="H82" i="1" s="1"/>
  <c r="P53" i="1"/>
  <c r="P57" i="1" s="1"/>
  <c r="P32" i="1"/>
  <c r="T32" i="1"/>
  <c r="R29" i="1"/>
  <c r="D32" i="1"/>
  <c r="D82" i="1" s="1"/>
  <c r="F17" i="4"/>
  <c r="F18" i="4" s="1"/>
  <c r="E117" i="5"/>
  <c r="G117" i="5"/>
  <c r="H117" i="5"/>
  <c r="D106" i="5"/>
  <c r="G106" i="5"/>
  <c r="G61" i="5"/>
  <c r="G27" i="5"/>
  <c r="G38" i="5"/>
  <c r="H214" i="5"/>
  <c r="H213" i="5"/>
  <c r="G14" i="4" s="1"/>
  <c r="H212" i="5"/>
  <c r="H211" i="5"/>
  <c r="H210" i="5"/>
  <c r="H209" i="5"/>
  <c r="G10" i="4" s="1"/>
  <c r="T57" i="1" l="1"/>
  <c r="D95" i="1" s="1"/>
  <c r="R53" i="1"/>
  <c r="R57" i="1" s="1"/>
  <c r="H215" i="5"/>
  <c r="L82" i="1"/>
  <c r="F82" i="1"/>
  <c r="F83" i="1" s="1"/>
  <c r="J82" i="1"/>
  <c r="G15" i="4"/>
  <c r="G13" i="4"/>
  <c r="G12" i="4"/>
  <c r="G11" i="4"/>
  <c r="G16" i="5"/>
  <c r="F16" i="5"/>
  <c r="H16" i="5"/>
  <c r="J191" i="5"/>
  <c r="J175" i="5"/>
  <c r="J156" i="5"/>
  <c r="P82" i="1" l="1"/>
  <c r="G16" i="4"/>
  <c r="G17" i="4" s="1"/>
  <c r="G18" i="4" s="1"/>
  <c r="J83" i="1"/>
  <c r="J84" i="1" s="1"/>
  <c r="H216" i="5"/>
  <c r="H217" i="5" s="1"/>
  <c r="E207" i="5"/>
  <c r="F207" i="5"/>
  <c r="H207" i="5"/>
  <c r="D207" i="5"/>
  <c r="J185" i="5"/>
  <c r="J186" i="5"/>
  <c r="J187" i="5"/>
  <c r="J188" i="5"/>
  <c r="J189" i="5"/>
  <c r="J190" i="5"/>
  <c r="J174" i="5"/>
  <c r="J176" i="5"/>
  <c r="J177" i="5"/>
  <c r="J178" i="5"/>
  <c r="J179" i="5"/>
  <c r="J180" i="5"/>
  <c r="J163" i="5"/>
  <c r="J164" i="5"/>
  <c r="J165" i="5"/>
  <c r="J166" i="5"/>
  <c r="J167" i="5"/>
  <c r="J168" i="5"/>
  <c r="J169" i="5"/>
  <c r="J152" i="5"/>
  <c r="J153" i="5"/>
  <c r="J154" i="5"/>
  <c r="J155" i="5"/>
  <c r="J157" i="5"/>
  <c r="J158" i="5"/>
  <c r="J140" i="5"/>
  <c r="J141" i="5"/>
  <c r="J142" i="5"/>
  <c r="J143" i="5"/>
  <c r="J144" i="5"/>
  <c r="J145" i="5"/>
  <c r="J146" i="5"/>
  <c r="J129" i="5"/>
  <c r="J130" i="5"/>
  <c r="J131" i="5"/>
  <c r="J132" i="5"/>
  <c r="J133" i="5"/>
  <c r="J134" i="5"/>
  <c r="J135" i="5"/>
  <c r="J95" i="5"/>
  <c r="J96" i="5"/>
  <c r="J97" i="5"/>
  <c r="J98" i="5"/>
  <c r="J99" i="5"/>
  <c r="J100" i="5"/>
  <c r="J101" i="5"/>
  <c r="J50" i="5"/>
  <c r="J51" i="5"/>
  <c r="J52" i="5"/>
  <c r="J53" i="5"/>
  <c r="J54" i="5"/>
  <c r="J55" i="5"/>
  <c r="J56" i="5"/>
  <c r="H35" i="5"/>
  <c r="H203" i="5"/>
  <c r="H192" i="5"/>
  <c r="H159" i="5"/>
  <c r="H114" i="5"/>
  <c r="H102" i="5"/>
  <c r="H91" i="5"/>
  <c r="H80" i="5"/>
  <c r="H69" i="5"/>
  <c r="H57" i="5"/>
  <c r="H46" i="5"/>
  <c r="H24" i="5"/>
  <c r="G8" i="4"/>
  <c r="H184" i="5"/>
  <c r="H151" i="5"/>
  <c r="H106" i="5"/>
  <c r="H38" i="5"/>
  <c r="H27" i="5"/>
  <c r="J91" i="1" l="1"/>
  <c r="F24" i="4" s="1"/>
  <c r="J90" i="1"/>
  <c r="F23" i="4" s="1"/>
  <c r="H195" i="5"/>
  <c r="J24" i="4"/>
  <c r="J23" i="4"/>
  <c r="L83" i="1" l="1"/>
  <c r="L84" i="1" l="1"/>
  <c r="N92" i="1" s="1"/>
  <c r="N93" i="1" s="1"/>
  <c r="L90" i="1" l="1"/>
  <c r="G23" i="4" s="1"/>
  <c r="L91" i="1"/>
  <c r="G24" i="4" s="1"/>
  <c r="L92" i="1"/>
  <c r="L93" i="1" l="1"/>
  <c r="G25" i="4"/>
  <c r="E214" i="5"/>
  <c r="D15" i="4" s="1"/>
  <c r="F214" i="5"/>
  <c r="E15" i="4" s="1"/>
  <c r="E213" i="5"/>
  <c r="D14" i="4" s="1"/>
  <c r="F213" i="5"/>
  <c r="E14" i="4" s="1"/>
  <c r="E212" i="5"/>
  <c r="D13" i="4" s="1"/>
  <c r="E13" i="4"/>
  <c r="E211" i="5"/>
  <c r="D12" i="4" s="1"/>
  <c r="F211" i="5"/>
  <c r="E12" i="4" s="1"/>
  <c r="E210" i="5"/>
  <c r="D11" i="4" s="1"/>
  <c r="F210" i="5"/>
  <c r="E11" i="4" s="1"/>
  <c r="E209" i="5"/>
  <c r="D10" i="4" s="1"/>
  <c r="F209" i="5"/>
  <c r="E10" i="4" s="1"/>
  <c r="D210" i="5"/>
  <c r="D211" i="5"/>
  <c r="D212" i="5"/>
  <c r="J212" i="5" s="1"/>
  <c r="D213" i="5"/>
  <c r="D214" i="5"/>
  <c r="D209" i="5"/>
  <c r="E208" i="5"/>
  <c r="C10" i="4" l="1"/>
  <c r="I10" i="4" s="1"/>
  <c r="J209" i="5"/>
  <c r="J214" i="5"/>
  <c r="J213" i="5"/>
  <c r="J211" i="5"/>
  <c r="J210" i="5"/>
  <c r="D9" i="4"/>
  <c r="I9" i="4" s="1"/>
  <c r="E16" i="4"/>
  <c r="F215" i="5"/>
  <c r="D215" i="5"/>
  <c r="D16" i="4" l="1"/>
  <c r="D17" i="4" s="1"/>
  <c r="D18" i="4" s="1"/>
  <c r="E17" i="4"/>
  <c r="E18" i="4" s="1"/>
  <c r="D216" i="5"/>
  <c r="D13" i="5"/>
  <c r="F89" i="1"/>
  <c r="H89" i="1"/>
  <c r="D89" i="1"/>
  <c r="F81" i="1"/>
  <c r="D8" i="4" s="1"/>
  <c r="H81" i="1"/>
  <c r="E8" i="4" s="1"/>
  <c r="D81" i="1"/>
  <c r="C8" i="4" s="1"/>
  <c r="F203" i="5"/>
  <c r="E203" i="5"/>
  <c r="D203" i="5"/>
  <c r="D195" i="5"/>
  <c r="J203" i="5" l="1"/>
  <c r="D217" i="5"/>
  <c r="E195" i="5"/>
  <c r="F195" i="5"/>
  <c r="C15" i="4"/>
  <c r="I15" i="4" s="1"/>
  <c r="C11" i="4"/>
  <c r="I11" i="4" s="1"/>
  <c r="C12" i="4"/>
  <c r="I12" i="4" s="1"/>
  <c r="C13" i="4"/>
  <c r="I13" i="4" s="1"/>
  <c r="C14" i="4"/>
  <c r="I14" i="4" s="1"/>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J80" i="5" s="1"/>
  <c r="E80" i="5"/>
  <c r="F80" i="5"/>
  <c r="D91" i="5"/>
  <c r="E91" i="5"/>
  <c r="F91" i="5"/>
  <c r="D102" i="5"/>
  <c r="E102" i="5"/>
  <c r="F102" i="5"/>
  <c r="D69" i="5"/>
  <c r="E69" i="5"/>
  <c r="F69" i="5"/>
  <c r="D35" i="5"/>
  <c r="E35" i="5"/>
  <c r="F35" i="5"/>
  <c r="D46" i="5"/>
  <c r="E46" i="5"/>
  <c r="F46" i="5"/>
  <c r="D57" i="5"/>
  <c r="E57" i="5"/>
  <c r="F57" i="5"/>
  <c r="E24" i="5"/>
  <c r="F24" i="5"/>
  <c r="D24" i="5"/>
  <c r="J24" i="5" s="1"/>
  <c r="J125" i="5" l="1"/>
  <c r="J114" i="5"/>
  <c r="J69" i="5"/>
  <c r="J195" i="5"/>
  <c r="I16" i="4"/>
  <c r="J35" i="5"/>
  <c r="J46" i="5"/>
  <c r="C16" i="4"/>
  <c r="J159" i="5"/>
  <c r="J181" i="5"/>
  <c r="J147" i="5"/>
  <c r="J57" i="5"/>
  <c r="J170" i="5"/>
  <c r="J136" i="5"/>
  <c r="J192" i="5"/>
  <c r="J102" i="5"/>
  <c r="E215" i="5"/>
  <c r="J215" i="5" s="1"/>
  <c r="E184" i="5"/>
  <c r="F184" i="5"/>
  <c r="E173" i="5"/>
  <c r="F173" i="5"/>
  <c r="E162" i="5"/>
  <c r="F162" i="5"/>
  <c r="E151" i="5"/>
  <c r="F151" i="5"/>
  <c r="E139" i="5"/>
  <c r="F139" i="5"/>
  <c r="E128" i="5"/>
  <c r="F128" i="5"/>
  <c r="F117" i="5"/>
  <c r="F106" i="5"/>
  <c r="J106" i="5" s="1"/>
  <c r="E94" i="5"/>
  <c r="E72" i="5"/>
  <c r="F72" i="5"/>
  <c r="E61" i="5"/>
  <c r="F61" i="5"/>
  <c r="E49" i="5"/>
  <c r="F49" i="5"/>
  <c r="F38" i="5"/>
  <c r="E27" i="5"/>
  <c r="F27" i="5"/>
  <c r="D27" i="5"/>
  <c r="J27" i="5" l="1"/>
  <c r="I17" i="4"/>
  <c r="I18" i="4" s="1"/>
  <c r="H83" i="1"/>
  <c r="C17" i="4"/>
  <c r="C18" i="4" s="1"/>
  <c r="E216" i="5"/>
  <c r="F216" i="5"/>
  <c r="F217" i="5" s="1"/>
  <c r="E16" i="5"/>
  <c r="F94" i="5"/>
  <c r="E38" i="5"/>
  <c r="E217" i="5" l="1"/>
  <c r="J216" i="5"/>
  <c r="J217" i="5" s="1"/>
  <c r="I24" i="4"/>
  <c r="I23" i="4"/>
  <c r="F84" i="1"/>
  <c r="F90" i="1" s="1"/>
  <c r="H84" i="1"/>
  <c r="D184" i="5"/>
  <c r="J184" i="5" s="1"/>
  <c r="D173" i="5"/>
  <c r="J173" i="5" s="1"/>
  <c r="D162" i="5"/>
  <c r="J162" i="5" s="1"/>
  <c r="D139" i="5"/>
  <c r="J139" i="5" s="1"/>
  <c r="D128" i="5"/>
  <c r="J128" i="5" s="1"/>
  <c r="D117" i="5"/>
  <c r="J117" i="5" s="1"/>
  <c r="D94" i="5"/>
  <c r="J94" i="5" s="1"/>
  <c r="D72" i="5"/>
  <c r="J72" i="5" s="1"/>
  <c r="D49" i="5"/>
  <c r="J49" i="5" s="1"/>
  <c r="J92" i="1" l="1"/>
  <c r="H92" i="1"/>
  <c r="H91" i="1"/>
  <c r="E24" i="4" s="1"/>
  <c r="H90" i="1"/>
  <c r="E23" i="4" s="1"/>
  <c r="F92" i="1"/>
  <c r="F91" i="1"/>
  <c r="D24" i="4" s="1"/>
  <c r="D23" i="4"/>
  <c r="D16" i="5"/>
  <c r="J16" i="5" s="1"/>
  <c r="C21" i="6"/>
  <c r="D151" i="5"/>
  <c r="J151" i="5" s="1"/>
  <c r="C28" i="6"/>
  <c r="D61" i="5"/>
  <c r="J61" i="5" s="1"/>
  <c r="C14" i="6"/>
  <c r="D38" i="5"/>
  <c r="J38" i="5" s="1"/>
  <c r="C7" i="6"/>
  <c r="D10" i="6" s="1"/>
  <c r="J93" i="1" l="1"/>
  <c r="H93" i="1"/>
  <c r="F93" i="1"/>
  <c r="D83" i="1"/>
  <c r="P83" i="1" s="1"/>
  <c r="P84" i="1" s="1"/>
  <c r="F25" i="4"/>
  <c r="D25" i="4"/>
  <c r="E25" i="4"/>
  <c r="D31" i="6"/>
  <c r="D24" i="6"/>
  <c r="D17" i="6"/>
  <c r="P90" i="1" l="1"/>
  <c r="D96" i="1"/>
  <c r="D84" i="1"/>
  <c r="C22" i="6"/>
  <c r="C29" i="6"/>
  <c r="C15" i="6"/>
  <c r="C8" i="6"/>
  <c r="D90" i="1" l="1"/>
  <c r="D91" i="1"/>
  <c r="D92" i="1"/>
  <c r="P92" i="1" s="1"/>
  <c r="C23" i="4"/>
  <c r="P91" i="1"/>
  <c r="D93" i="1" l="1"/>
  <c r="P93" i="1"/>
  <c r="I25" i="4"/>
  <c r="C24" i="4"/>
  <c r="C25" i="4" l="1"/>
  <c r="Q31" i="1"/>
  <c r="R31" i="1" s="1"/>
  <c r="E32" i="1"/>
  <c r="E82" i="1" s="1"/>
  <c r="R82" i="1" s="1"/>
  <c r="R84" i="1" s="1"/>
  <c r="Q30" i="1"/>
  <c r="R30" i="1" s="1"/>
  <c r="R32" i="1" s="1"/>
  <c r="Q32" i="1"/>
  <c r="I100" i="1" l="1"/>
  <c r="Q95" i="1"/>
  <c r="E84" i="1"/>
  <c r="E90" i="1" l="1"/>
  <c r="F98" i="1" s="1"/>
  <c r="E91" i="1"/>
  <c r="Q98" i="1"/>
  <c r="Q99" i="1" s="1"/>
  <c r="S95" i="1"/>
  <c r="Q96" i="1" l="1"/>
  <c r="E93" i="1"/>
</calcChain>
</file>

<file path=xl/sharedStrings.xml><?xml version="1.0" encoding="utf-8"?>
<sst xmlns="http://schemas.openxmlformats.org/spreadsheetml/2006/main" count="798" uniqueCount="580">
  <si>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</si>
  <si>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</si>
  <si>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t>Annexe D - Budget du projet PBF</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</si>
  <si>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</si>
  <si>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</si>
  <si>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t>Organisation recipiendiaire 1</t>
  </si>
  <si>
    <t>Organisation recipiendiaire 2</t>
  </si>
  <si>
    <t>Organisation recipiendiaire 3</t>
  </si>
  <si>
    <t>Organisation recipiendiaire 4</t>
  </si>
  <si>
    <t>Organisation recipiendiaire 5</t>
  </si>
  <si>
    <t>Total</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</si>
  <si>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</si>
  <si>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</si>
  <si>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</si>
  <si>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</si>
  <si>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</si>
  <si>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</si>
  <si>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</si>
  <si>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</si>
  <si>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</si>
  <si>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</si>
  <si>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</si>
  <si>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</si>
  <si>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</si>
  <si>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</si>
  <si>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</si>
  <si>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</si>
  <si>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</si>
  <si>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</si>
  <si>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Produit 2.1</t>
  </si>
  <si>
    <t>Total pour produit 2.1 (du tableau 1)</t>
  </si>
  <si>
    <t>Produit 2.2</t>
  </si>
  <si>
    <t>Total pour produit 2.2 (du tableau 1)</t>
  </si>
  <si>
    <t>Produit 2.3</t>
  </si>
  <si>
    <t>Total pour produit 2.3 (du tableau 1)</t>
  </si>
  <si>
    <t>Produit 2.4</t>
  </si>
  <si>
    <t>Total pour produit 2.4 (du tableau 1)</t>
  </si>
  <si>
    <t>RESULTAT 3</t>
  </si>
  <si>
    <t>Produit 3.1</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</si>
  <si>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</si>
  <si>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</si>
  <si>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</si>
  <si>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</si>
  <si>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</si>
  <si>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</si>
  <si>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</si>
  <si>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</si>
  <si>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</si>
  <si>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</si>
  <si>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</si>
  <si>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</si>
  <si>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</si>
  <si>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</si>
  <si>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</si>
  <si>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</si>
  <si>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</si>
  <si>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</si>
  <si>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Totaux</t>
  </si>
  <si>
    <t>Organisation recipiendiaire 6</t>
  </si>
  <si>
    <t>Sous-budget total du projet</t>
  </si>
  <si>
    <t>Coûts indirects (7%):</t>
  </si>
  <si>
    <t>TOTAL</t>
  </si>
  <si>
    <t>RAPPORT ANNUEL CUMULE CROSSBORDER  02 JUIN 2025</t>
  </si>
  <si>
    <t>Tableau 1 - Budget du projet PBF par résultat, produit et activité - Projet d'appui à la prévention et gestion des conflits transfrontaliers Guinée - Mali</t>
  </si>
  <si>
    <t>Nombre de resultat/ produit</t>
  </si>
  <si>
    <t>Formulation du resultat/ produit/activite</t>
  </si>
  <si>
    <t>Organisation recipiendiaire 1 (budget en USD)</t>
  </si>
  <si>
    <t>Niveau de depense/ engagement actuel PNUD GUINEE</t>
  </si>
  <si>
    <t>Organisation recipiendiaire 2 (budget en USD)</t>
  </si>
  <si>
    <t>Niveau de depense/ engagement actuel PNUD MALI</t>
  </si>
  <si>
    <t>Organisation recipiendiaire 3 (budget en USD)</t>
  </si>
  <si>
    <t>Niveau de depense/ engagement actuel UNFPA GUINEE</t>
  </si>
  <si>
    <t>Organisation recipiendiaire 4 (budget en USD)</t>
  </si>
  <si>
    <t>Niveau de depense/ engagement actuel UNFPA MALI</t>
  </si>
  <si>
    <t>Organisation recipiendiaire 5 (budget en USD)</t>
  </si>
  <si>
    <t>Niveau de depense/ engagement actuel ONUDC GUINEE</t>
  </si>
  <si>
    <t>Organisation recipiendiaire 6 (budget en USD)</t>
  </si>
  <si>
    <t>Niveau de depense/ engagement actuel ONUDC MALI</t>
  </si>
  <si>
    <t xml:space="preserve">TOTAL DES BUDGET </t>
  </si>
  <si>
    <t>Niveau Total des  depense/ engagement actuel 
(a remplir au moment des rapports de projet)</t>
  </si>
  <si>
    <t>SOLDE A DATE</t>
  </si>
  <si>
    <t>Notes quelconque le cas echeant (.e.g sur types des entrants ou justification du budget)</t>
  </si>
  <si>
    <t xml:space="preserve">Pourcentage du budget pour chaque produit ou activite reserve pour action directe sur égalité des sexes et autonomisation des femmes (GEWE) (cas echeant) </t>
  </si>
  <si>
    <t>PNUD GUINEE</t>
  </si>
  <si>
    <t>PNUD MALI</t>
  </si>
  <si>
    <t>UNFPA GUINEE</t>
  </si>
  <si>
    <t>UNFPA MALI</t>
  </si>
  <si>
    <t>UNODC GUINEE</t>
  </si>
  <si>
    <t>UNODC MALI</t>
  </si>
  <si>
    <t xml:space="preserve">RESULTAT 1: </t>
  </si>
  <si>
    <t>Résultat I : Les institutions nationales et locales de gestion des conflits transfrontaliers entre la Guinée et le Mali promeuvent un dialogue pacifique et inclusif permettant la prévention et la gestion des conflits transfrontaliers</t>
  </si>
  <si>
    <t>Produit 1.1:</t>
  </si>
  <si>
    <t xml:space="preserve">  Produit 1.1: Les instances de coopération transfrontalières (les groupements locaux mixtes transfrontaliers, les autorités locales et traditionnelles) ainsi que les forces de défense et de sécurité sont engagées dans un dialogue inclusif soutenu et dans des actions conjointes de prévention des conflits transfrontaliers</t>
  </si>
  <si>
    <t>Activite 1.1.1:</t>
  </si>
  <si>
    <t>Appuyer une étude diagnostic sur les capacités nationales et locales transfrontalières de gestion des conflits, incluant des femmes et des jeunes avec l’outil DSEL (diagnostic sécuritaire économique local) et son plan d’actions intégré</t>
  </si>
  <si>
    <t>Activite 1.1.2:</t>
  </si>
  <si>
    <t>Appuyer l’élaboration et l’adoption d’une Politique intégrée de gestion des frontières en Guinée, à travers la dynamisation du dialogue avec la direction de gestion des frontières (des deux côtés) pour cette politique</t>
  </si>
  <si>
    <t>Activite 1.1.3:</t>
  </si>
  <si>
    <t xml:space="preserve">Faire la revue conjointe du Plan transfrontalier mixte de développement afin de renforcer     la composante sur la prévention des crises transfrontalières et appuyer une initiative pilote conjointe sur la prévention et le développement de mécanismes d’alerte communautaire </t>
  </si>
  <si>
    <t>Activite 1.1.4</t>
  </si>
  <si>
    <t xml:space="preserve">Tenir 6 séances de formation sur la gestion des conflits liés aux ressources naturelles dédiées aux membres des instances de coopération transfrontalières et cadre locaux de gestion des conflits transfrontaliers (définis dans le contexte) et les rendre sensibles au genre </t>
  </si>
  <si>
    <t>Activite 1.1.5</t>
  </si>
  <si>
    <t xml:space="preserve">Renforcer les capacités opérationnelles des membres des mécanismes nationaux et locaux de gestion des conflits pour bien assumer leurs rôles </t>
  </si>
  <si>
    <t>Activite 1.1.6</t>
  </si>
  <si>
    <t>Soutenir un processus d’élaboration ou de revue des chartes foncières ainsi que leur vulgarisation et appropriation par toutes les parties prenantes</t>
  </si>
  <si>
    <t>Produit total</t>
  </si>
  <si>
    <t>Produit 1.2:</t>
  </si>
  <si>
    <t>Produit 1.2: Les mécanismes institutionnels et communautaires de prévention et de gestion des conflits transfrontaliers sont rendus inclusifs avec une participation accrue des jeunes et des femmes</t>
  </si>
  <si>
    <t>Activite 1.2.1</t>
  </si>
  <si>
    <t>Réactiver et faciliter la tenue de 18 cadres d’échanges incluant tous les mécanismes de coopération transfrontalière entre la Guinée et le Mali (y compris les acteurs de la société civile, les forces de défense et de sécurité, les OSCs des jeunes et des femmes) pour développer les recommandations d’interventions immédiates conjointes pour adresser les problèmes liés aux moteurs de conflits</t>
  </si>
  <si>
    <t>Activite 1.2.2</t>
  </si>
  <si>
    <t>Mise en réseau et mobilisation des groupements des femmes et des associations des jeunes travaillant dans les secteurs de l’orpaillage et extraction minière des deux côtés de la frontière pour le développement de modes opératoires conjoints de gestion pacifique des conflits et d’alerte, en collaboration avec les mécanismes institutionnels et communautaires existants</t>
  </si>
  <si>
    <t>Activite 1.2.3</t>
  </si>
  <si>
    <t>Organiser des activités de rapprochement communautaires et socio-culturelles en vue de renforcer la cohabitation pacifique entre les communautés transfrontalières avec une implication particulière des jeunes et des femmes : appuyer la semaine artistique, culturelle et touristique, organiser 2 tournois sportifs</t>
  </si>
  <si>
    <t>Produit 1.3:</t>
  </si>
  <si>
    <t>Produit 1.3 Les collectivités cibles du projet sont renforcées pour intégrer et mettre en œuvre les questions de sécurité et de cohésion sociale dans leurs actions de développement</t>
  </si>
  <si>
    <t>Activite 1.3.1</t>
  </si>
  <si>
    <t xml:space="preserve">Effectuer un diagnostic de sécurité locale et accompagner les collectivités ciblées par le projet à prendre en compte les questions de sécurité, de cohésion sociale ainsi que de genre dans leurs PDL / PDSEC. </t>
  </si>
  <si>
    <t>Activite 1.3.2</t>
  </si>
  <si>
    <t>Fédérer les besoins et préoccupations des jeunes et des femmes à travers les espaces socio communautaires d’échange et de dialogue en vue de leurs prises en compte dans les PDL / PDSEC des communes cibles du projet.</t>
  </si>
  <si>
    <t>Activite 1.3.3</t>
  </si>
  <si>
    <t>Renforcer le fonctionnement des groupements locaux de coopération transfrontalière (GLCT) entre Siguiri- Kangaba et entre Yanfolila – Mandiana (formation, équipement des GLCT, renforcement des PTDL ou tout autres outils de coopération).</t>
  </si>
  <si>
    <t xml:space="preserve">RESULTAT 2: </t>
  </si>
  <si>
    <t xml:space="preserve">Résultat 2 :  La gestion efficace et commune des frontières entre la Guinée et le Mali favorise la paix et la sécurité à travers la lutte contre la criminalité transfrontalière et les trafics illicites </t>
  </si>
  <si>
    <t xml:space="preserve"> Produit 2.1. :  La lutte contre la prolifération des armes légères et de petit calibre est portée par les acteurs locaux par le biais du renforcement du dialogue et une prise de conscience du phénomène</t>
  </si>
  <si>
    <t>Activite 2.1.1</t>
  </si>
  <si>
    <t>Former et sensibiliser les groupements locaux de coopération transfrontalières, les autorités au niveau local, les associations de jeunes et de femmes, les leaders communautaires et les organisations de la société civile sur les dangers de la prolifération et la détention des armes légères et de petit calibre</t>
  </si>
  <si>
    <t>Activite 2.1.2</t>
  </si>
  <si>
    <t>Appuyer les services locaux chargés de lutter contre la prolifération des armes légères et de petit calibre (dotation en équipement des antennes déconcentrées des COMNAT ALPC de part et d’autre de la frontière, mise en place d’une plate-forme TIC pour le partage d’information sur les ALPC, formations des acteurs de la chaîne pénale et autres agents chargés de la gestion des frontières sur la détection, l’investigation, la poursuite et le jugement des infractions liées aux armes à feu et infractions connexes).</t>
  </si>
  <si>
    <t xml:space="preserve">Produit 2.2: La lutte contre la traite des personnes et plus particulièrement des femmes et des enfants est assurée au niveau de la frontière Guinée - Mali </t>
  </si>
  <si>
    <t>Activite 2.2.1</t>
  </si>
  <si>
    <t xml:space="preserve">Faire un état des lieux de la coopération transfrontalière (aspects normatif, sécuritaire, etc..) entre la Guinée et le Mali en matière de criminalité transnationale organisée et plus particulièrement de trafic illicite de migrants, d traite des personnes et de trafic d’armes, et évaluation des besoins des postes frontaliers en matière de lutte contre la criminalité transnationale organisée  </t>
  </si>
  <si>
    <t>Activité 2.2.2</t>
  </si>
  <si>
    <t xml:space="preserve">Appuyer les Etats dans l'élaboration et l'adoption d'instruments (e.g accords bilatéraux, SoPs) pour l'opérationnalisation du cadre juridique relatif à la coopération transfrontalière entre le Mali et la Guinée concernant la traite des personnes </t>
  </si>
  <si>
    <t>Produit 2.3: Les acteurs de la chaîne pénale de la zone d'intervention gèrent efficacement la criminalité transfrontalière</t>
  </si>
  <si>
    <t>Activité 2.3.1</t>
  </si>
  <si>
    <t>Réaliser des études, recherches et analyses sur le phénomène de la criminalité organisée entre les deux pays relativement à la traite des personnes, trafic de migrants, les formes de traite dans les mines aurifères, - ainsi que sur les routes utilisées et les modes opératoires – les acteurs - y compris sous un angle sensible au genre et aux droits humains.</t>
  </si>
  <si>
    <t>Activité 2.3.2</t>
  </si>
  <si>
    <t>Equiper les postes de contrôle frontaliers des forces de défense et de sécurité sur les frontières, selon les besoins identifiés dans l’évaluation afin de renforcer la coopération, l’échange d’informations et l’inter-opérabilité entre les postes frontaliers de chaque côté de la frontière</t>
  </si>
  <si>
    <t>Activite 2.3.3</t>
  </si>
  <si>
    <t>2.3.3	Organiser des sessions de formations conjointe (des acteurs en charge de la gestion des frontières (agences d’application de la loi: douane, police, gendarmerie, forces de défense et+ magistrats) de la Guinée et du Mali à des fins de lutte contre la criminalité transnationale organisée avec un accent mis sur la traite des personnes et le trafic d’armes (incluant une réflexion sur des manuels conjoints sur la traite des personnes, le trafic illicite de migrants et le trafic d'armes), et certains composants de la gestion intégrée de frontières (sensibilisation aux droits de mobilité des instruments de la CEDEAO sur la libre circulation des biens et des personnes et aux droits de l’homme), tenant compte également de la dimension genre, des droits humains et du respect de l’éthique et de l’intégrité.</t>
  </si>
  <si>
    <t xml:space="preserve">RESULTAT 3: </t>
  </si>
  <si>
    <t>La résilience des jeunes et des femmes face aux diverses formes de marginalisations et d’exclusions est renforcées et contribue à la paix et à la stabilité transfrontalières</t>
  </si>
  <si>
    <t xml:space="preserve">Produit 3.1 : Le leadership et la participation des jeunes et des femmes aux mécanismes d’alerte précoce pour la cohabitation pacifique transfrontalière, la prévention des conflits et la consolidation de la paix sont accrus </t>
  </si>
  <si>
    <t>Activite 3.1.1</t>
  </si>
  <si>
    <t xml:space="preserve">Renforcer le leadership et les capacités en matière de prévention et gestion des conflits de 1 310 jeunes (Hommes /Femmes) et de 1310 femmes soit 2620 personnes dans les 131 villages frontaliers cibles du projet sur la base du diagnostic sécuritaire local (transversal, plan d’actions intégré) proposé au R1 </t>
  </si>
  <si>
    <t>Activite 3.1.2</t>
  </si>
  <si>
    <t>3.1.2	Promouvoir, par le biais de l’information, de la sensibilisation et la mise en place des mécanismes d’alerte précoce la participation accrue des leaders jeunes et femmes dans les dispositifs locaux de prévention et de gestion des conflits et les cadres de coopération transfrontalières. A travers les canaux de communication existante et deux approches :  Un plaidoyer auprès des élus et leaders religieux et  traditionnels, aussi auprès des jeunes pour susciter leurs intérêts (radios locales, foras, réseaux sociaux, griots, parleurs publics…).</t>
  </si>
  <si>
    <t>Produit 3.2:</t>
  </si>
  <si>
    <t xml:space="preserve"> Produit 3.2 : Les opportunités agro-sylvo pastorales et économiques en faveur des jeunes et des femmes sont développées autour des zones d’orpaillages et permettent une participation accrue aux efforts de prévention et gestion des conflits</t>
  </si>
  <si>
    <t>Activite 3.2.1</t>
  </si>
  <si>
    <t>Soutenir l’identification, la mise en place et le fonctionnement des groupements d’intérêts économiques (GIE) qui font partie des groupements et associations des jeunes ou femmes dans les zones transfrontalières couvertes par le projet avec les activités agro-sylvo-pastorales et économiques dans les zones d’exploitations d’orpaillages. Le diagnostic DSL élargi à l’économique, axé sur le développement économique local/DEL Focus pour les différents groupes économiques (PME locales, GIE, groupements de femmes) et aussi le renforcement des IMF locales. Assurer une intégration dans les PDL/PDSEC de la prise en compte dans la planification locale pour une pérennisation.</t>
  </si>
  <si>
    <t>Activite 3.2.2</t>
  </si>
  <si>
    <t>Développer des activités génératrices de revenu (AGRs) en faveur des groupes de jeunes ou femmes avec les activités agro-sylvo-pastorales dans les zones d’exploitations d’orpaillages. Cela permet de réduire les conflits liés aux ressources et d’établir la paix à travers le tissu économique local (plus d’opportunités crées) et il y aura moins de pression sur lesdites ressources</t>
  </si>
  <si>
    <t>107500,46</t>
  </si>
  <si>
    <t>Activite 3.2.3</t>
  </si>
  <si>
    <t>Soutenir l’organisation d’un forum transfrontalier sur le contenu local et l’investissement en faveur des jeunes et des femmes. Cet évènement impliquera notamment les autorités administratives et locales, les sociétés minières, les Partenaires Techniques et Financiers (PTF) </t>
  </si>
  <si>
    <t>Activite 3.2.4</t>
  </si>
  <si>
    <t xml:space="preserve">Appuyer la mise en place et le développement des micro-projets communautaires pouvant renforcer la cohésion sociale et la cohabitation transfrontalière. Il s’agira spécifiquement d’identifier et d’appuyer des initiatives qui renforcent la coopération et la sécurité transfrontalière. A titre d’exemples : l’aménagement des points d’eau, la démarcation des pâturages, des couloirs de transhumance, l’installation des lampadaires solaires, des puits pastoraux pour l’élevage. </t>
  </si>
  <si>
    <t>Cout de personnel du projet si pas inclus dans les activites si-dessus</t>
  </si>
  <si>
    <t xml:space="preserve">PNUD GUINEE : Un Cordonateur NPSA11 + un Expert National Chargé du S&amp;E NPSA 9 et un agent de zone NPSA 6 pour 24 mois </t>
  </si>
  <si>
    <t xml:space="preserve">PNUD Mali : Chargé du Projet NPSA 11 et agent de zone VNU communautaires pour 24 mois </t>
  </si>
  <si>
    <t xml:space="preserve">UNFPA Guinée  : Chargé du Projet NOB pour 24 mois </t>
  </si>
  <si>
    <t xml:space="preserve">UNFPA Mali  : Chargé du Projet NOB pour 24 mois </t>
  </si>
  <si>
    <t>UNODC  : Chargé du Projet NOA pour 24 mois (Guinée) 50 %</t>
  </si>
  <si>
    <t>Couts operationnels si pas inclus dans les activites si-dessus</t>
  </si>
  <si>
    <t>Fonctionnement 1 véhicule</t>
  </si>
  <si>
    <t>Locations bureaux et charges locatives</t>
  </si>
  <si>
    <t>Communication</t>
  </si>
  <si>
    <t>Fournitures et consommables  bureau</t>
  </si>
  <si>
    <t>Equipements de bureau</t>
  </si>
  <si>
    <t xml:space="preserve">Etude de perception initiale et finale </t>
  </si>
  <si>
    <t xml:space="preserve">Suivi et évaluation </t>
  </si>
  <si>
    <t>Budget pour l'évaluation finale indépendante</t>
  </si>
  <si>
    <t>Evaluation finale Independante du projet</t>
  </si>
  <si>
    <t>Coûts supplémentaires total</t>
  </si>
  <si>
    <t>Total Dépense</t>
  </si>
  <si>
    <t>Dépenses TOTALES</t>
  </si>
  <si>
    <t>Répartition des tranches basée sur la performance</t>
  </si>
  <si>
    <t xml:space="preserve">Dépenses </t>
  </si>
  <si>
    <t>Tranche %</t>
  </si>
  <si>
    <t>Première tranche</t>
  </si>
  <si>
    <t>Deuxième tranche</t>
  </si>
  <si>
    <t>Troisième tranche (le cas échéant)</t>
  </si>
  <si>
    <t>% GENRE</t>
  </si>
  <si>
    <r>
      <t xml:space="preserve">$ alloué à GEWE </t>
    </r>
    <r>
      <rPr>
        <sz val="11"/>
        <color theme="1"/>
        <rFont val="Calibri"/>
        <family val="2"/>
        <scheme val="minor"/>
      </rPr>
      <t>(inclut coûts indirects)</t>
    </r>
  </si>
  <si>
    <t>Total des dépenses 1ere Tranche</t>
  </si>
  <si>
    <t>% alloué à GEWE</t>
  </si>
  <si>
    <t>Taux d'exécution de la 1ere Tranche</t>
  </si>
  <si>
    <t>Delivery PNUD Guinée</t>
  </si>
  <si>
    <t>Delivery PNUD Mali</t>
  </si>
  <si>
    <t>Delivery UNFPA Guinée</t>
  </si>
  <si>
    <t>Delivery UNFPA Mali</t>
  </si>
  <si>
    <t>Delivery ONUDC Guinée</t>
  </si>
  <si>
    <t>Delivery ONUDC Mali</t>
  </si>
  <si>
    <r>
      <t xml:space="preserve">$ alloué à S&amp;E </t>
    </r>
    <r>
      <rPr>
        <sz val="11"/>
        <color theme="1"/>
        <rFont val="Calibri"/>
        <family val="2"/>
        <scheme val="minor"/>
      </rPr>
      <t>(inclut coûts indirects)</t>
    </r>
  </si>
  <si>
    <t>Total des dépenses Budget Global</t>
  </si>
  <si>
    <t>% alloué à S&amp;E</t>
  </si>
  <si>
    <t>Taux d'exécution Budget Global</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</si>
  <si>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</si>
  <si>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Taux global Tranche 1</t>
  </si>
  <si>
    <t>-</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</si>
  <si>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</si>
  <si>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</si>
  <si>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</si>
  <si>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</si>
  <si>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</si>
  <si>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</si>
  <si>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</si>
  <si>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</si>
  <si>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</si>
  <si>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</si>
  <si>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</si>
  <si>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</si>
  <si>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</si>
  <si>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</si>
  <si>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</si>
  <si>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</si>
  <si>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</si>
  <si>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</si>
  <si>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</si>
  <si>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</si>
  <si>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</si>
  <si>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</si>
  <si>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</si>
  <si>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</si>
  <si>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</si>
  <si>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</si>
  <si>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</si>
  <si>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</si>
  <si>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</si>
  <si>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</si>
  <si>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1</t>
  </si>
  <si>
    <t>Recip Agency 2</t>
  </si>
  <si>
    <t>Recip Agency 3</t>
  </si>
  <si>
    <t>Recipient Agency 4</t>
  </si>
  <si>
    <t>Recipient Agency 5</t>
  </si>
  <si>
    <t>Recipient Agency 6</t>
  </si>
  <si>
    <t>First Tranche:</t>
  </si>
  <si>
    <t>Second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</si>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</sst>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_-* #,##0.00_-;\-* #,##0.00_-;_-* &quot;-&quot;??_-;_-@_-"/>
    <numFmt numFmtId="165" formatCode="_-* #,##0.00\ _F_G_-;\-* #,##0.00\ _F_G_-;_-* &quot;-&quot;??\ _F_G_-;_-@_-"/>
    <numFmt numFmtId="166" formatCode="_-* #,##0.00\ _€_-;\-* #,##0.00\ _€_-;_-* &quot;-&quot;??\ _€_-;_-@_-"/>
    <numFmt numFmtId="167" formatCode="&quot;$&quot;#,##0.00"/>
  </numFmts>
  <fonts count="30">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2"/>
      <name val="Calibri"/>
      <family val="2"/>
      <scheme val="minor"/>
    </font>
    <font>
      <b/>
      <sz val="26"/>
      <color theme="1"/>
      <name val="Calibri"/>
      <family val="2"/>
      <scheme val="minor"/>
    </font>
    <font>
      <sz val="12"/>
      <color rgb="FF000000"/>
      <name val="Calibri"/>
      <family val="2"/>
    </font>
    <font>
      <b/>
      <sz val="24"/>
      <color rgb="FF00B0F0"/>
      <name val="Calibri"/>
      <family val="2"/>
      <scheme val="minor"/>
    </font>
    <font>
      <sz val="8"/>
      <name val="Calibri"/>
      <family val="2"/>
      <scheme val="minor"/>
    </font>
    <font>
      <b/>
      <sz val="14"/>
      <color theme="1"/>
      <name val="Calibri"/>
      <family val="2"/>
      <scheme val="minor"/>
    </font>
    <font>
      <sz val="26"/>
      <color theme="1"/>
      <name val="Calibri"/>
      <family val="2"/>
      <scheme val="minor"/>
    </font>
    <font>
      <b/>
      <sz val="16"/>
      <color rgb="FF00B0F0"/>
      <name val="Calibri"/>
      <family val="2"/>
      <scheme val="minor"/>
    </font>
    <font>
      <sz val="11"/>
      <color rgb="FF000000"/>
      <name val="Calibri"/>
      <family val="2"/>
    </font>
    <font>
      <sz val="18"/>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BB7E9"/>
        <bgColor indexed="64"/>
      </patternFill>
    </fill>
    <fill>
      <patternFill patternType="solid">
        <fgColor theme="5" tint="0.39997558519241921"/>
        <bgColor indexed="64"/>
      </patternFill>
    </fill>
    <fill>
      <patternFill patternType="solid">
        <fgColor rgb="FF66FFFF"/>
        <bgColor indexed="64"/>
      </patternFill>
    </fill>
    <fill>
      <patternFill patternType="solid">
        <fgColor theme="0" tint="-0.249977111117893"/>
        <bgColor indexed="64"/>
      </patternFill>
    </fill>
  </fills>
  <borders count="6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491">
    <xf numFmtId="0" fontId="0" fillId="0" borderId="0" xfId="0"/>
    <xf numFmtId="0" fontId="2" fillId="0" borderId="0" xfId="0" applyFont="1" applyAlignment="1">
      <alignment vertical="center" wrapText="1"/>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0" fontId="2" fillId="2" borderId="13" xfId="0" applyFont="1" applyFill="1" applyBorder="1" applyAlignment="1">
      <alignment horizontal="left" wrapText="1"/>
    </xf>
    <xf numFmtId="44" fontId="2" fillId="2" borderId="13" xfId="0" applyNumberFormat="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0" fontId="2" fillId="2" borderId="11" xfId="0" applyFont="1" applyFill="1" applyBorder="1" applyAlignment="1">
      <alignment horizontal="center"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3" xfId="0" applyFont="1" applyFill="1" applyBorder="1"/>
    <xf numFmtId="9" fontId="0" fillId="2" borderId="3" xfId="2" applyFon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9" fontId="0" fillId="0" borderId="0" xfId="2" applyFont="1"/>
    <xf numFmtId="44" fontId="2" fillId="4" borderId="5" xfId="1" applyFont="1" applyFill="1" applyBorder="1" applyAlignment="1" applyProtection="1">
      <alignment wrapText="1"/>
    </xf>
    <xf numFmtId="0" fontId="19" fillId="0" borderId="0" xfId="0" applyFont="1" applyAlignment="1">
      <alignment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44" fontId="2" fillId="2" borderId="12" xfId="1" applyFont="1" applyFill="1" applyBorder="1" applyAlignment="1" applyProtection="1">
      <alignment wrapText="1"/>
    </xf>
    <xf numFmtId="0" fontId="8" fillId="2" borderId="34" xfId="0" applyFont="1" applyFill="1" applyBorder="1" applyAlignment="1">
      <alignment vertical="center" wrapText="1"/>
    </xf>
    <xf numFmtId="44" fontId="2" fillId="3" borderId="0" xfId="1" applyFont="1" applyFill="1" applyBorder="1" applyAlignment="1" applyProtection="1">
      <alignment vertical="center" wrapText="1"/>
      <protection locked="0"/>
    </xf>
    <xf numFmtId="0" fontId="1" fillId="2" borderId="8" xfId="0" applyFont="1" applyFill="1" applyBorder="1" applyAlignment="1">
      <alignment vertical="center" wrapText="1"/>
    </xf>
    <xf numFmtId="0" fontId="17" fillId="0" borderId="0" xfId="0" applyFont="1" applyAlignment="1">
      <alignment horizontal="left" vertical="top"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44" fontId="3" fillId="2" borderId="13" xfId="0" applyNumberFormat="1" applyFont="1" applyFill="1" applyBorder="1"/>
    <xf numFmtId="0" fontId="12" fillId="3" borderId="0" xfId="0" applyFont="1" applyFill="1" applyAlignment="1">
      <alignment horizontal="left" wrapText="1"/>
    </xf>
    <xf numFmtId="0" fontId="1" fillId="0" borderId="3" xfId="0" applyFont="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44" fontId="1" fillId="3" borderId="0"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44" fontId="1" fillId="3" borderId="0" xfId="1" applyFont="1" applyFill="1" applyBorder="1" applyAlignment="1" applyProtection="1">
      <alignment vertical="center"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27" xfId="1" applyFont="1" applyFill="1" applyBorder="1" applyAlignment="1" applyProtection="1">
      <alignment wrapText="1"/>
    </xf>
    <xf numFmtId="44" fontId="1" fillId="2" borderId="8" xfId="1" applyFont="1" applyFill="1" applyBorder="1" applyAlignment="1" applyProtection="1">
      <alignment wrapText="1"/>
    </xf>
    <xf numFmtId="0" fontId="1" fillId="0" borderId="0" xfId="0" applyFont="1" applyAlignment="1">
      <alignment horizontal="justify" vertical="center"/>
    </xf>
    <xf numFmtId="0" fontId="7" fillId="0" borderId="0" xfId="0" applyFont="1" applyAlignment="1">
      <alignment horizontal="justify" vertical="center"/>
    </xf>
    <xf numFmtId="44" fontId="2" fillId="8" borderId="3" xfId="1" applyFont="1" applyFill="1" applyBorder="1" applyAlignment="1" applyProtection="1">
      <alignment vertical="center" wrapText="1"/>
    </xf>
    <xf numFmtId="0" fontId="2" fillId="8" borderId="3" xfId="1" applyNumberFormat="1" applyFont="1" applyFill="1" applyBorder="1" applyAlignment="1" applyProtection="1">
      <alignment horizontal="center" vertical="center" wrapText="1"/>
    </xf>
    <xf numFmtId="44" fontId="1" fillId="9" borderId="3" xfId="1" applyFont="1" applyFill="1" applyBorder="1" applyAlignment="1" applyProtection="1">
      <alignment horizontal="center" vertical="center" wrapText="1"/>
      <protection locked="0"/>
    </xf>
    <xf numFmtId="44" fontId="2" fillId="9" borderId="3" xfId="1" applyFont="1" applyFill="1" applyBorder="1" applyAlignment="1" applyProtection="1">
      <alignment horizontal="center" vertical="center" wrapText="1"/>
    </xf>
    <xf numFmtId="0" fontId="2" fillId="9" borderId="3" xfId="1" applyNumberFormat="1" applyFont="1" applyFill="1" applyBorder="1" applyAlignment="1" applyProtection="1">
      <alignment horizontal="center" vertical="center" wrapText="1"/>
    </xf>
    <xf numFmtId="44" fontId="1" fillId="10" borderId="3" xfId="1" applyFont="1" applyFill="1" applyBorder="1" applyAlignment="1" applyProtection="1">
      <alignment horizontal="center" vertical="center" wrapText="1"/>
      <protection locked="0"/>
    </xf>
    <xf numFmtId="44" fontId="2" fillId="10" borderId="3" xfId="1" applyFont="1" applyFill="1" applyBorder="1" applyAlignment="1" applyProtection="1">
      <alignment horizontal="center" vertical="center" wrapText="1"/>
    </xf>
    <xf numFmtId="0" fontId="2" fillId="10" borderId="3" xfId="1" applyNumberFormat="1" applyFont="1" applyFill="1" applyBorder="1" applyAlignment="1" applyProtection="1">
      <alignment horizontal="center" vertical="center" wrapText="1"/>
    </xf>
    <xf numFmtId="44" fontId="1" fillId="11" borderId="3" xfId="1" applyFont="1" applyFill="1" applyBorder="1" applyAlignment="1" applyProtection="1">
      <alignment horizontal="center" vertical="center" wrapText="1"/>
      <protection locked="0"/>
    </xf>
    <xf numFmtId="44" fontId="2" fillId="11" borderId="3" xfId="1" applyFont="1" applyFill="1" applyBorder="1" applyAlignment="1" applyProtection="1">
      <alignment horizontal="center" vertical="center" wrapText="1"/>
    </xf>
    <xf numFmtId="0" fontId="2" fillId="11" borderId="3" xfId="1" applyNumberFormat="1" applyFont="1" applyFill="1" applyBorder="1" applyAlignment="1" applyProtection="1">
      <alignment horizontal="center" vertical="center" wrapText="1"/>
    </xf>
    <xf numFmtId="44" fontId="1" fillId="12" borderId="3" xfId="1" applyFont="1" applyFill="1" applyBorder="1" applyAlignment="1" applyProtection="1">
      <alignment horizontal="center" vertical="center" wrapText="1"/>
      <protection locked="0"/>
    </xf>
    <xf numFmtId="0" fontId="2" fillId="12" borderId="3" xfId="1" applyNumberFormat="1" applyFont="1" applyFill="1" applyBorder="1" applyAlignment="1" applyProtection="1">
      <alignment horizontal="center" vertical="center" wrapText="1"/>
    </xf>
    <xf numFmtId="0" fontId="1" fillId="3" borderId="5" xfId="0" applyFont="1" applyFill="1" applyBorder="1" applyAlignment="1" applyProtection="1">
      <alignment vertical="center" wrapText="1"/>
      <protection locked="0"/>
    </xf>
    <xf numFmtId="3" fontId="20" fillId="0" borderId="3" xfId="0" applyNumberFormat="1" applyFont="1" applyBorder="1" applyAlignment="1">
      <alignment vertical="center" wrapText="1"/>
    </xf>
    <xf numFmtId="0" fontId="1" fillId="3" borderId="53" xfId="0" applyFont="1" applyFill="1" applyBorder="1" applyAlignment="1" applyProtection="1">
      <alignment vertical="center" wrapText="1"/>
      <protection locked="0"/>
    </xf>
    <xf numFmtId="3" fontId="20" fillId="0" borderId="0" xfId="0" applyNumberFormat="1" applyFont="1" applyAlignment="1">
      <alignment vertical="center" wrapText="1"/>
    </xf>
    <xf numFmtId="0" fontId="2" fillId="3" borderId="3" xfId="0" applyFont="1" applyFill="1" applyBorder="1" applyAlignment="1">
      <alignment vertical="center" wrapText="1"/>
    </xf>
    <xf numFmtId="0" fontId="1" fillId="0" borderId="3" xfId="0" applyFont="1" applyBorder="1" applyAlignment="1">
      <alignment horizontal="left" vertical="top" wrapText="1"/>
    </xf>
    <xf numFmtId="165" fontId="1" fillId="3" borderId="0" xfId="0" applyNumberFormat="1" applyFont="1" applyFill="1" applyAlignment="1" applyProtection="1">
      <alignment vertical="center" wrapText="1"/>
      <protection locked="0"/>
    </xf>
    <xf numFmtId="44" fontId="25" fillId="2" borderId="33" xfId="0" applyNumberFormat="1" applyFont="1" applyFill="1" applyBorder="1" applyAlignment="1">
      <alignment wrapText="1"/>
    </xf>
    <xf numFmtId="0" fontId="2" fillId="13" borderId="3" xfId="1" applyNumberFormat="1" applyFont="1" applyFill="1" applyBorder="1" applyAlignment="1" applyProtection="1">
      <alignment horizontal="center" vertical="center" wrapText="1"/>
    </xf>
    <xf numFmtId="44" fontId="2" fillId="13" borderId="13" xfId="0" applyNumberFormat="1" applyFont="1" applyFill="1" applyBorder="1" applyAlignment="1">
      <alignment horizontal="center" wrapText="1"/>
    </xf>
    <xf numFmtId="44" fontId="1" fillId="13" borderId="38" xfId="0" applyNumberFormat="1" applyFont="1" applyFill="1" applyBorder="1" applyAlignment="1" applyProtection="1">
      <alignment wrapText="1"/>
      <protection locked="0"/>
    </xf>
    <xf numFmtId="44" fontId="1" fillId="13" borderId="3" xfId="0" applyNumberFormat="1" applyFont="1" applyFill="1" applyBorder="1" applyAlignment="1" applyProtection="1">
      <alignment wrapText="1"/>
      <protection locked="0"/>
    </xf>
    <xf numFmtId="44" fontId="2" fillId="13" borderId="3" xfId="1" applyFont="1" applyFill="1" applyBorder="1" applyAlignment="1">
      <alignment wrapText="1"/>
    </xf>
    <xf numFmtId="44" fontId="2" fillId="13" borderId="5" xfId="1" applyFont="1" applyFill="1" applyBorder="1" applyAlignment="1">
      <alignment wrapText="1"/>
    </xf>
    <xf numFmtId="44" fontId="2" fillId="13" borderId="3" xfId="1" applyFont="1" applyFill="1" applyBorder="1" applyAlignment="1" applyProtection="1">
      <alignment horizontal="center" vertical="center" wrapText="1"/>
    </xf>
    <xf numFmtId="0" fontId="2" fillId="13" borderId="3" xfId="0" applyFont="1" applyFill="1" applyBorder="1" applyAlignment="1">
      <alignment horizontal="center" wrapText="1"/>
    </xf>
    <xf numFmtId="44" fontId="1" fillId="13" borderId="38" xfId="0" applyNumberFormat="1" applyFont="1" applyFill="1" applyBorder="1" applyAlignment="1">
      <alignment wrapText="1"/>
    </xf>
    <xf numFmtId="44" fontId="1" fillId="13" borderId="3" xfId="0" applyNumberFormat="1" applyFont="1" applyFill="1" applyBorder="1" applyAlignment="1">
      <alignment wrapText="1"/>
    </xf>
    <xf numFmtId="44" fontId="1" fillId="13" borderId="13" xfId="0" applyNumberFormat="1" applyFont="1" applyFill="1" applyBorder="1" applyAlignment="1">
      <alignment wrapText="1"/>
    </xf>
    <xf numFmtId="44" fontId="2" fillId="13" borderId="32" xfId="0" applyNumberFormat="1" applyFont="1" applyFill="1" applyBorder="1" applyAlignment="1">
      <alignment wrapText="1"/>
    </xf>
    <xf numFmtId="44" fontId="2" fillId="9" borderId="13" xfId="0" applyNumberFormat="1" applyFont="1" applyFill="1" applyBorder="1" applyAlignment="1">
      <alignment horizontal="center" wrapText="1"/>
    </xf>
    <xf numFmtId="44" fontId="1" fillId="9" borderId="38" xfId="1" applyFont="1" applyFill="1" applyBorder="1" applyAlignment="1" applyProtection="1">
      <alignment horizontal="center" vertical="center" wrapText="1"/>
      <protection locked="0"/>
    </xf>
    <xf numFmtId="44" fontId="1" fillId="9" borderId="3" xfId="0" applyNumberFormat="1" applyFont="1" applyFill="1" applyBorder="1" applyAlignment="1" applyProtection="1">
      <alignment wrapText="1"/>
      <protection locked="0"/>
    </xf>
    <xf numFmtId="44" fontId="2" fillId="9" borderId="3" xfId="1" applyFont="1" applyFill="1" applyBorder="1" applyAlignment="1">
      <alignment wrapText="1"/>
    </xf>
    <xf numFmtId="44" fontId="2" fillId="9" borderId="5" xfId="1" applyFont="1" applyFill="1" applyBorder="1" applyAlignment="1">
      <alignment wrapText="1"/>
    </xf>
    <xf numFmtId="0" fontId="2" fillId="9" borderId="3" xfId="0" applyFont="1" applyFill="1" applyBorder="1" applyAlignment="1">
      <alignment horizontal="center" wrapText="1"/>
    </xf>
    <xf numFmtId="44" fontId="1" fillId="9" borderId="38" xfId="0" applyNumberFormat="1" applyFont="1" applyFill="1" applyBorder="1" applyAlignment="1">
      <alignment wrapText="1"/>
    </xf>
    <xf numFmtId="44" fontId="1" fillId="9" borderId="3" xfId="0" applyNumberFormat="1" applyFont="1" applyFill="1" applyBorder="1" applyAlignment="1">
      <alignment wrapText="1"/>
    </xf>
    <xf numFmtId="44" fontId="1" fillId="9" borderId="13" xfId="0" applyNumberFormat="1" applyFont="1" applyFill="1" applyBorder="1" applyAlignment="1">
      <alignment wrapText="1"/>
    </xf>
    <xf numFmtId="44" fontId="2" fillId="9" borderId="32" xfId="0" applyNumberFormat="1" applyFont="1" applyFill="1" applyBorder="1" applyAlignment="1">
      <alignment wrapText="1"/>
    </xf>
    <xf numFmtId="44" fontId="2" fillId="10" borderId="13" xfId="0" applyNumberFormat="1" applyFont="1" applyFill="1" applyBorder="1" applyAlignment="1">
      <alignment horizontal="center" wrapText="1"/>
    </xf>
    <xf numFmtId="44" fontId="1" fillId="10" borderId="38" xfId="1" applyFont="1" applyFill="1" applyBorder="1" applyAlignment="1" applyProtection="1">
      <alignment horizontal="center" vertical="center" wrapText="1"/>
      <protection locked="0"/>
    </xf>
    <xf numFmtId="44" fontId="1" fillId="10" borderId="3" xfId="0" applyNumberFormat="1" applyFont="1" applyFill="1" applyBorder="1" applyAlignment="1" applyProtection="1">
      <alignment wrapText="1"/>
      <protection locked="0"/>
    </xf>
    <xf numFmtId="44" fontId="2" fillId="10" borderId="3" xfId="1" applyFont="1" applyFill="1" applyBorder="1" applyAlignment="1">
      <alignment wrapText="1"/>
    </xf>
    <xf numFmtId="44" fontId="2" fillId="10" borderId="5" xfId="1" applyFont="1" applyFill="1" applyBorder="1" applyAlignment="1">
      <alignment wrapText="1"/>
    </xf>
    <xf numFmtId="44" fontId="2" fillId="10" borderId="3" xfId="0" applyNumberFormat="1" applyFont="1" applyFill="1" applyBorder="1" applyAlignment="1" applyProtection="1">
      <alignment wrapText="1"/>
      <protection locked="0"/>
    </xf>
    <xf numFmtId="0" fontId="2" fillId="10" borderId="3" xfId="0" applyFont="1" applyFill="1" applyBorder="1" applyAlignment="1">
      <alignment horizontal="center" wrapText="1"/>
    </xf>
    <xf numFmtId="44" fontId="1" fillId="10" borderId="38" xfId="0" applyNumberFormat="1" applyFont="1" applyFill="1" applyBorder="1" applyAlignment="1">
      <alignment wrapText="1"/>
    </xf>
    <xf numFmtId="44" fontId="1" fillId="10" borderId="3" xfId="0" applyNumberFormat="1" applyFont="1" applyFill="1" applyBorder="1" applyAlignment="1">
      <alignment wrapText="1"/>
    </xf>
    <xf numFmtId="44" fontId="1" fillId="10" borderId="13" xfId="0" applyNumberFormat="1" applyFont="1" applyFill="1" applyBorder="1" applyAlignment="1">
      <alignment wrapText="1"/>
    </xf>
    <xf numFmtId="44" fontId="2" fillId="10" borderId="32" xfId="0" applyNumberFormat="1" applyFont="1" applyFill="1" applyBorder="1" applyAlignment="1">
      <alignment wrapText="1"/>
    </xf>
    <xf numFmtId="44" fontId="2" fillId="11" borderId="13" xfId="0" applyNumberFormat="1" applyFont="1" applyFill="1" applyBorder="1" applyAlignment="1">
      <alignment horizontal="center" wrapText="1"/>
    </xf>
    <xf numFmtId="44" fontId="1" fillId="11" borderId="38" xfId="1" applyFont="1" applyFill="1" applyBorder="1" applyAlignment="1" applyProtection="1">
      <alignment horizontal="center" vertical="center" wrapText="1"/>
      <protection locked="0"/>
    </xf>
    <xf numFmtId="44" fontId="1" fillId="11" borderId="3" xfId="0" applyNumberFormat="1" applyFont="1" applyFill="1" applyBorder="1" applyAlignment="1" applyProtection="1">
      <alignment wrapText="1"/>
      <protection locked="0"/>
    </xf>
    <xf numFmtId="44" fontId="2" fillId="11" borderId="3" xfId="1" applyFont="1" applyFill="1" applyBorder="1" applyAlignment="1">
      <alignment wrapText="1"/>
    </xf>
    <xf numFmtId="44" fontId="2" fillId="11" borderId="5" xfId="1" applyFont="1" applyFill="1" applyBorder="1" applyAlignment="1">
      <alignment wrapText="1"/>
    </xf>
    <xf numFmtId="0" fontId="2" fillId="11" borderId="3" xfId="0" applyFont="1" applyFill="1" applyBorder="1" applyAlignment="1">
      <alignment horizontal="center" wrapText="1"/>
    </xf>
    <xf numFmtId="44" fontId="1" fillId="11" borderId="38" xfId="0" applyNumberFormat="1" applyFont="1" applyFill="1" applyBorder="1" applyAlignment="1">
      <alignment wrapText="1"/>
    </xf>
    <xf numFmtId="44" fontId="1" fillId="11" borderId="3" xfId="0" applyNumberFormat="1" applyFont="1" applyFill="1" applyBorder="1" applyAlignment="1">
      <alignment wrapText="1"/>
    </xf>
    <xf numFmtId="44" fontId="1" fillId="11" borderId="13" xfId="0" applyNumberFormat="1" applyFont="1" applyFill="1" applyBorder="1" applyAlignment="1">
      <alignment wrapText="1"/>
    </xf>
    <xf numFmtId="44" fontId="2" fillId="11" borderId="32" xfId="0" applyNumberFormat="1" applyFont="1" applyFill="1" applyBorder="1" applyAlignment="1">
      <alignment wrapText="1"/>
    </xf>
    <xf numFmtId="44" fontId="2" fillId="12" borderId="13" xfId="0" applyNumberFormat="1" applyFont="1" applyFill="1" applyBorder="1" applyAlignment="1">
      <alignment horizontal="center" wrapText="1"/>
    </xf>
    <xf numFmtId="44" fontId="1" fillId="12" borderId="38" xfId="1" applyFont="1" applyFill="1" applyBorder="1" applyAlignment="1" applyProtection="1">
      <alignment horizontal="center" vertical="center" wrapText="1"/>
      <protection locked="0"/>
    </xf>
    <xf numFmtId="44" fontId="1" fillId="12" borderId="3" xfId="0" applyNumberFormat="1" applyFont="1" applyFill="1" applyBorder="1" applyAlignment="1" applyProtection="1">
      <alignment wrapText="1"/>
      <protection locked="0"/>
    </xf>
    <xf numFmtId="44" fontId="2" fillId="12" borderId="3" xfId="1" applyFont="1" applyFill="1" applyBorder="1" applyAlignment="1">
      <alignment wrapText="1"/>
    </xf>
    <xf numFmtId="44" fontId="2" fillId="12" borderId="5" xfId="1" applyFont="1" applyFill="1" applyBorder="1" applyAlignment="1">
      <alignment wrapText="1"/>
    </xf>
    <xf numFmtId="8" fontId="1" fillId="12" borderId="3" xfId="0" applyNumberFormat="1" applyFont="1" applyFill="1" applyBorder="1" applyAlignment="1" applyProtection="1">
      <alignment wrapText="1"/>
      <protection locked="0"/>
    </xf>
    <xf numFmtId="0" fontId="2" fillId="12" borderId="3" xfId="0" applyFont="1" applyFill="1" applyBorder="1" applyAlignment="1">
      <alignment horizontal="center" wrapText="1"/>
    </xf>
    <xf numFmtId="44" fontId="1" fillId="12" borderId="38" xfId="0" applyNumberFormat="1" applyFont="1" applyFill="1" applyBorder="1" applyAlignment="1">
      <alignment wrapText="1"/>
    </xf>
    <xf numFmtId="44" fontId="1" fillId="12" borderId="3" xfId="0" applyNumberFormat="1" applyFont="1" applyFill="1" applyBorder="1" applyAlignment="1">
      <alignment wrapText="1"/>
    </xf>
    <xf numFmtId="44" fontId="1" fillId="12" borderId="13" xfId="0" applyNumberFormat="1" applyFont="1" applyFill="1" applyBorder="1" applyAlignment="1">
      <alignment wrapText="1"/>
    </xf>
    <xf numFmtId="44" fontId="2" fillId="12" borderId="32" xfId="0" applyNumberFormat="1" applyFont="1" applyFill="1" applyBorder="1" applyAlignment="1">
      <alignment wrapText="1"/>
    </xf>
    <xf numFmtId="165" fontId="1" fillId="0" borderId="0" xfId="0" applyNumberFormat="1" applyFont="1" applyAlignment="1">
      <alignment wrapText="1"/>
    </xf>
    <xf numFmtId="165" fontId="1" fillId="3" borderId="0" xfId="0" applyNumberFormat="1" applyFont="1" applyFill="1" applyAlignment="1">
      <alignment wrapText="1"/>
    </xf>
    <xf numFmtId="0" fontId="22" fillId="0" borderId="3" xfId="0" applyFont="1" applyBorder="1" applyAlignment="1" applyProtection="1">
      <alignment horizontal="left" vertical="top" wrapText="1"/>
      <protection locked="0"/>
    </xf>
    <xf numFmtId="0" fontId="2" fillId="7" borderId="0" xfId="0" applyFont="1" applyFill="1" applyAlignment="1">
      <alignment horizontal="center" vertical="center"/>
    </xf>
    <xf numFmtId="0" fontId="0" fillId="0" borderId="3" xfId="0" applyBorder="1"/>
    <xf numFmtId="0" fontId="0" fillId="2" borderId="3" xfId="0" applyFill="1" applyBorder="1" applyAlignment="1">
      <alignment vertical="top" wrapText="1"/>
    </xf>
    <xf numFmtId="44" fontId="0" fillId="2" borderId="3" xfId="0" applyNumberFormat="1" applyFill="1" applyBorder="1" applyAlignment="1">
      <alignment vertical="center"/>
    </xf>
    <xf numFmtId="0" fontId="0" fillId="2" borderId="3" xfId="0" applyFill="1" applyBorder="1" applyAlignment="1">
      <alignment vertical="center" wrapText="1"/>
    </xf>
    <xf numFmtId="44" fontId="1" fillId="2" borderId="38" xfId="0" applyNumberFormat="1" applyFont="1" applyFill="1" applyBorder="1" applyAlignment="1">
      <alignment vertical="center" wrapText="1"/>
    </xf>
    <xf numFmtId="44" fontId="2" fillId="2" borderId="37" xfId="0" applyNumberFormat="1" applyFont="1" applyFill="1" applyBorder="1" applyAlignment="1">
      <alignment vertical="center" wrapText="1"/>
    </xf>
    <xf numFmtId="44" fontId="1" fillId="2" borderId="5" xfId="0" applyNumberFormat="1" applyFont="1" applyFill="1" applyBorder="1" applyAlignment="1">
      <alignment vertical="center" wrapText="1"/>
    </xf>
    <xf numFmtId="44" fontId="1" fillId="2" borderId="29" xfId="1" applyFont="1" applyFill="1" applyBorder="1" applyAlignment="1">
      <alignment vertical="center" wrapText="1"/>
    </xf>
    <xf numFmtId="44" fontId="1" fillId="2" borderId="16" xfId="0" applyNumberFormat="1" applyFont="1" applyFill="1" applyBorder="1" applyAlignment="1">
      <alignment vertical="center" wrapText="1"/>
    </xf>
    <xf numFmtId="44" fontId="2" fillId="2" borderId="9" xfId="1" applyFont="1" applyFill="1" applyBorder="1" applyAlignment="1">
      <alignment vertical="center" wrapText="1"/>
    </xf>
    <xf numFmtId="44" fontId="2" fillId="2" borderId="13" xfId="1" applyFont="1" applyFill="1" applyBorder="1" applyAlignment="1">
      <alignment vertical="center" wrapText="1"/>
    </xf>
    <xf numFmtId="44" fontId="2" fillId="2" borderId="14" xfId="1" applyFont="1" applyFill="1" applyBorder="1" applyAlignment="1">
      <alignment vertical="center" wrapText="1"/>
    </xf>
    <xf numFmtId="44" fontId="1" fillId="12" borderId="38" xfId="0" applyNumberFormat="1" applyFont="1" applyFill="1" applyBorder="1" applyAlignment="1" applyProtection="1">
      <alignment wrapText="1"/>
      <protection locked="0"/>
    </xf>
    <xf numFmtId="44" fontId="1" fillId="12" borderId="51" xfId="1" applyFont="1" applyFill="1" applyBorder="1" applyAlignment="1" applyProtection="1">
      <alignment horizontal="center" vertical="center" wrapText="1"/>
      <protection locked="0"/>
    </xf>
    <xf numFmtId="44" fontId="1" fillId="12" borderId="5" xfId="1" applyFont="1" applyFill="1" applyBorder="1" applyAlignment="1" applyProtection="1">
      <alignment horizontal="center" vertical="center" wrapText="1"/>
      <protection locked="0"/>
    </xf>
    <xf numFmtId="44" fontId="1" fillId="12" borderId="5" xfId="0" applyNumberFormat="1" applyFont="1" applyFill="1" applyBorder="1" applyAlignment="1" applyProtection="1">
      <alignment wrapText="1"/>
      <protection locked="0"/>
    </xf>
    <xf numFmtId="8" fontId="1" fillId="12" borderId="5" xfId="0" applyNumberFormat="1" applyFont="1" applyFill="1" applyBorder="1" applyAlignment="1" applyProtection="1">
      <alignment wrapText="1"/>
      <protection locked="0"/>
    </xf>
    <xf numFmtId="166" fontId="1" fillId="3" borderId="0" xfId="0" applyNumberFormat="1" applyFont="1" applyFill="1" applyAlignment="1">
      <alignment wrapText="1"/>
    </xf>
    <xf numFmtId="0" fontId="0" fillId="3" borderId="2" xfId="0" applyFill="1" applyBorder="1" applyAlignment="1">
      <alignment wrapText="1"/>
    </xf>
    <xf numFmtId="3" fontId="20" fillId="3" borderId="0" xfId="0" applyNumberFormat="1" applyFont="1" applyFill="1" applyAlignment="1">
      <alignment vertical="center" wrapText="1"/>
    </xf>
    <xf numFmtId="44" fontId="1" fillId="2" borderId="3" xfId="1" applyFont="1" applyFill="1" applyBorder="1" applyAlignment="1" applyProtection="1">
      <alignment horizontal="center" vertical="center" wrapText="1"/>
      <protection locked="0"/>
    </xf>
    <xf numFmtId="0" fontId="14" fillId="3" borderId="0" xfId="0" applyFont="1" applyFill="1" applyAlignment="1">
      <alignment wrapText="1"/>
    </xf>
    <xf numFmtId="0" fontId="2" fillId="2" borderId="7" xfId="0" applyFont="1" applyFill="1" applyBorder="1" applyAlignment="1">
      <alignment vertical="center" wrapText="1"/>
    </xf>
    <xf numFmtId="0" fontId="2" fillId="2" borderId="61" xfId="0" applyFont="1" applyFill="1" applyBorder="1" applyAlignment="1">
      <alignment vertical="center" wrapText="1"/>
    </xf>
    <xf numFmtId="0" fontId="2" fillId="2" borderId="31" xfId="0" applyFont="1" applyFill="1" applyBorder="1" applyAlignment="1">
      <alignment vertical="center" wrapText="1"/>
    </xf>
    <xf numFmtId="0" fontId="11" fillId="2" borderId="3" xfId="0" applyFont="1" applyFill="1" applyBorder="1" applyAlignment="1">
      <alignment horizontal="center" vertical="center" wrapText="1"/>
    </xf>
    <xf numFmtId="44" fontId="11" fillId="14" borderId="3" xfId="1" applyFont="1" applyFill="1" applyBorder="1" applyAlignment="1" applyProtection="1">
      <alignment horizontal="center" vertical="center" wrapText="1"/>
    </xf>
    <xf numFmtId="0" fontId="11" fillId="0" borderId="0" xfId="0" applyFont="1" applyAlignment="1">
      <alignment wrapText="1"/>
    </xf>
    <xf numFmtId="0" fontId="4" fillId="12" borderId="16"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10" borderId="16" xfId="0" applyFont="1" applyFill="1" applyBorder="1" applyAlignment="1">
      <alignment horizontal="center" vertical="center" wrapText="1"/>
    </xf>
    <xf numFmtId="44" fontId="11" fillId="14" borderId="2" xfId="1" applyFont="1" applyFill="1" applyBorder="1" applyAlignment="1" applyProtection="1">
      <alignment horizontal="center" vertical="center" wrapText="1"/>
    </xf>
    <xf numFmtId="0" fontId="27" fillId="9" borderId="0" xfId="0" applyFont="1" applyFill="1" applyAlignment="1">
      <alignment horizontal="left" vertical="top" wrapText="1"/>
    </xf>
    <xf numFmtId="0" fontId="4" fillId="3" borderId="0" xfId="0" applyFont="1" applyFill="1" applyAlignment="1">
      <alignment wrapText="1"/>
    </xf>
    <xf numFmtId="0" fontId="4" fillId="11" borderId="0" xfId="0" applyFont="1" applyFill="1" applyAlignment="1">
      <alignment wrapText="1"/>
    </xf>
    <xf numFmtId="44" fontId="11" fillId="3" borderId="0" xfId="1" applyFont="1" applyFill="1" applyBorder="1" applyAlignment="1">
      <alignment wrapText="1"/>
    </xf>
    <xf numFmtId="0" fontId="11" fillId="8" borderId="0" xfId="0" applyFont="1" applyFill="1" applyAlignment="1">
      <alignment wrapText="1"/>
    </xf>
    <xf numFmtId="0" fontId="11" fillId="9" borderId="0" xfId="0" applyFont="1" applyFill="1" applyAlignment="1">
      <alignment wrapText="1"/>
    </xf>
    <xf numFmtId="0" fontId="11" fillId="10" borderId="0" xfId="0" applyFont="1" applyFill="1" applyAlignment="1">
      <alignment wrapText="1"/>
    </xf>
    <xf numFmtId="0" fontId="11" fillId="11" borderId="0" xfId="0" applyFont="1" applyFill="1" applyAlignment="1">
      <alignment wrapText="1"/>
    </xf>
    <xf numFmtId="0" fontId="11" fillId="12" borderId="0" xfId="0" applyFont="1" applyFill="1" applyAlignment="1">
      <alignment wrapText="1"/>
    </xf>
    <xf numFmtId="44" fontId="11" fillId="14" borderId="0" xfId="1" applyFont="1" applyFill="1" applyBorder="1" applyAlignment="1">
      <alignment wrapText="1"/>
    </xf>
    <xf numFmtId="0" fontId="11" fillId="0" borderId="0" xfId="0" applyFont="1" applyAlignment="1">
      <alignment horizontal="center" wrapText="1"/>
    </xf>
    <xf numFmtId="0" fontId="11" fillId="8" borderId="0" xfId="0" applyFont="1" applyFill="1" applyAlignment="1">
      <alignment horizontal="center" wrapText="1"/>
    </xf>
    <xf numFmtId="0" fontId="11" fillId="9" borderId="0" xfId="0" applyFont="1" applyFill="1" applyAlignment="1">
      <alignment horizontal="center" wrapText="1"/>
    </xf>
    <xf numFmtId="0" fontId="11" fillId="10" borderId="0" xfId="0" applyFont="1" applyFill="1" applyAlignment="1">
      <alignment horizontal="center" wrapText="1"/>
    </xf>
    <xf numFmtId="0" fontId="11" fillId="11" borderId="0" xfId="0" applyFont="1" applyFill="1" applyAlignment="1">
      <alignment horizontal="center" wrapText="1"/>
    </xf>
    <xf numFmtId="0" fontId="11" fillId="12" borderId="0" xfId="0" applyFont="1" applyFill="1" applyAlignment="1">
      <alignment horizontal="center" wrapText="1"/>
    </xf>
    <xf numFmtId="0" fontId="4" fillId="2" borderId="27"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44" fontId="11" fillId="8" borderId="3" xfId="1" applyFont="1" applyFill="1" applyBorder="1" applyAlignment="1" applyProtection="1">
      <alignment horizontal="center" vertical="center" wrapText="1"/>
      <protection locked="0"/>
    </xf>
    <xf numFmtId="44" fontId="11" fillId="9" borderId="3" xfId="1" applyFont="1" applyFill="1" applyBorder="1" applyAlignment="1" applyProtection="1">
      <alignment horizontal="center" vertical="center" wrapText="1"/>
      <protection locked="0"/>
    </xf>
    <xf numFmtId="44" fontId="11" fillId="10" borderId="3" xfId="1" applyFont="1" applyFill="1" applyBorder="1" applyAlignment="1" applyProtection="1">
      <alignment horizontal="center" vertical="center" wrapText="1"/>
      <protection locked="0"/>
    </xf>
    <xf numFmtId="44" fontId="11" fillId="11" borderId="3" xfId="1" applyFont="1" applyFill="1" applyBorder="1" applyAlignment="1" applyProtection="1">
      <alignment horizontal="center" vertical="center" wrapText="1"/>
      <protection locked="0"/>
    </xf>
    <xf numFmtId="44" fontId="11" fillId="12" borderId="3" xfId="1" applyFont="1" applyFill="1" applyBorder="1" applyAlignment="1" applyProtection="1">
      <alignment horizontal="center" vertical="center" wrapText="1"/>
      <protection locked="0"/>
    </xf>
    <xf numFmtId="44" fontId="4" fillId="12" borderId="3" xfId="1" applyFont="1" applyFill="1" applyBorder="1" applyAlignment="1" applyProtection="1">
      <alignment horizontal="center" vertical="center" wrapText="1"/>
    </xf>
    <xf numFmtId="44" fontId="11" fillId="14" borderId="3" xfId="1" applyFont="1" applyFill="1" applyBorder="1" applyAlignment="1" applyProtection="1">
      <alignment horizontal="center" vertical="center" wrapText="1"/>
      <protection locked="0"/>
    </xf>
    <xf numFmtId="44" fontId="4" fillId="8" borderId="3" xfId="1" applyFont="1" applyFill="1" applyBorder="1" applyAlignment="1" applyProtection="1">
      <alignment horizontal="center" vertical="center" wrapText="1"/>
    </xf>
    <xf numFmtId="44" fontId="4" fillId="9" borderId="3" xfId="1" applyFont="1" applyFill="1" applyBorder="1" applyAlignment="1" applyProtection="1">
      <alignment horizontal="center" vertical="center" wrapText="1"/>
    </xf>
    <xf numFmtId="44" fontId="4" fillId="11" borderId="3" xfId="1" applyFont="1" applyFill="1" applyBorder="1" applyAlignment="1" applyProtection="1">
      <alignment horizontal="center" vertical="center" wrapText="1"/>
    </xf>
    <xf numFmtId="44" fontId="11" fillId="3" borderId="0" xfId="1" applyFont="1" applyFill="1" applyBorder="1" applyAlignment="1" applyProtection="1">
      <alignment vertical="center" wrapText="1"/>
      <protection locked="0"/>
    </xf>
    <xf numFmtId="44" fontId="11" fillId="8" borderId="3" xfId="1" applyFont="1" applyFill="1" applyBorder="1" applyAlignment="1" applyProtection="1">
      <alignment vertical="center" wrapText="1"/>
      <protection locked="0"/>
    </xf>
    <xf numFmtId="44" fontId="11" fillId="9" borderId="3" xfId="1" applyFont="1" applyFill="1" applyBorder="1" applyAlignment="1" applyProtection="1">
      <alignment vertical="center" wrapText="1"/>
      <protection locked="0"/>
    </xf>
    <xf numFmtId="44" fontId="11" fillId="10" borderId="3" xfId="1" applyFont="1" applyFill="1" applyBorder="1" applyAlignment="1" applyProtection="1">
      <alignment vertical="center" wrapText="1"/>
      <protection locked="0"/>
    </xf>
    <xf numFmtId="44" fontId="11" fillId="11" borderId="3" xfId="1" applyFont="1" applyFill="1" applyBorder="1" applyAlignment="1" applyProtection="1">
      <alignment vertical="center" wrapText="1"/>
      <protection locked="0"/>
    </xf>
    <xf numFmtId="44" fontId="11" fillId="12" borderId="3" xfId="1" applyFont="1" applyFill="1" applyBorder="1" applyAlignment="1" applyProtection="1">
      <alignment vertical="center" wrapText="1"/>
      <protection locked="0"/>
    </xf>
    <xf numFmtId="44" fontId="4" fillId="8" borderId="3" xfId="1" applyFont="1" applyFill="1" applyBorder="1" applyAlignment="1" applyProtection="1">
      <alignment vertical="center" wrapText="1"/>
    </xf>
    <xf numFmtId="44" fontId="4" fillId="3" borderId="0" xfId="1" applyFont="1" applyFill="1" applyBorder="1" applyAlignment="1" applyProtection="1">
      <alignment vertical="center" wrapText="1"/>
      <protection locked="0"/>
    </xf>
    <xf numFmtId="44" fontId="4" fillId="2" borderId="27" xfId="1" applyFont="1" applyFill="1" applyBorder="1" applyAlignment="1" applyProtection="1">
      <alignment horizontal="center" vertical="center" wrapText="1"/>
    </xf>
    <xf numFmtId="44" fontId="4" fillId="8" borderId="29" xfId="1" applyFont="1" applyFill="1" applyBorder="1" applyAlignment="1" applyProtection="1">
      <alignment horizontal="center" vertical="center" wrapText="1"/>
    </xf>
    <xf numFmtId="44" fontId="4" fillId="2" borderId="29" xfId="1" applyFont="1" applyFill="1" applyBorder="1" applyAlignment="1" applyProtection="1">
      <alignment horizontal="center" vertical="center" wrapText="1"/>
    </xf>
    <xf numFmtId="44" fontId="4" fillId="9" borderId="29" xfId="1" applyFont="1" applyFill="1" applyBorder="1" applyAlignment="1" applyProtection="1">
      <alignment horizontal="center" vertical="center" wrapText="1"/>
    </xf>
    <xf numFmtId="44" fontId="4" fillId="10" borderId="29" xfId="1" applyFont="1" applyFill="1" applyBorder="1" applyAlignment="1" applyProtection="1">
      <alignment horizontal="center" vertical="center" wrapText="1"/>
    </xf>
    <xf numFmtId="44" fontId="4" fillId="11" borderId="29" xfId="1" applyFont="1" applyFill="1" applyBorder="1" applyAlignment="1" applyProtection="1">
      <alignment horizontal="center" vertical="center" wrapText="1"/>
    </xf>
    <xf numFmtId="44" fontId="4" fillId="12" borderId="29" xfId="1" applyFont="1" applyFill="1" applyBorder="1" applyAlignment="1" applyProtection="1">
      <alignment horizontal="center" vertical="center" wrapText="1"/>
    </xf>
    <xf numFmtId="44" fontId="11" fillId="8" borderId="8" xfId="0" applyNumberFormat="1" applyFont="1" applyFill="1" applyBorder="1" applyAlignment="1">
      <alignment vertical="center" wrapText="1"/>
    </xf>
    <xf numFmtId="44" fontId="11" fillId="9" borderId="3" xfId="0" applyNumberFormat="1" applyFont="1" applyFill="1" applyBorder="1" applyAlignment="1">
      <alignment vertical="center" wrapText="1"/>
    </xf>
    <xf numFmtId="44" fontId="11" fillId="2" borderId="55" xfId="0" applyNumberFormat="1" applyFont="1" applyFill="1" applyBorder="1" applyAlignment="1">
      <alignment vertical="center" wrapText="1"/>
    </xf>
    <xf numFmtId="44" fontId="11" fillId="10" borderId="3" xfId="0" applyNumberFormat="1" applyFont="1" applyFill="1" applyBorder="1" applyAlignment="1">
      <alignment vertical="center" wrapText="1"/>
    </xf>
    <xf numFmtId="44" fontId="11" fillId="11" borderId="3" xfId="0" applyNumberFormat="1" applyFont="1" applyFill="1" applyBorder="1" applyAlignment="1">
      <alignment vertical="center" wrapText="1"/>
    </xf>
    <xf numFmtId="44" fontId="11" fillId="12" borderId="3" xfId="0" applyNumberFormat="1" applyFont="1" applyFill="1" applyBorder="1" applyAlignment="1">
      <alignment vertical="center" wrapText="1"/>
    </xf>
    <xf numFmtId="44" fontId="11" fillId="2" borderId="48" xfId="0" applyNumberFormat="1" applyFont="1" applyFill="1" applyBorder="1" applyAlignment="1">
      <alignment vertical="center" wrapText="1"/>
    </xf>
    <xf numFmtId="44" fontId="4" fillId="8" borderId="12" xfId="1" applyFont="1" applyFill="1" applyBorder="1" applyAlignment="1" applyProtection="1">
      <alignment vertical="center" wrapText="1"/>
    </xf>
    <xf numFmtId="44" fontId="4" fillId="8" borderId="13" xfId="1" applyFont="1" applyFill="1" applyBorder="1" applyAlignment="1" applyProtection="1">
      <alignment vertical="center" wrapText="1"/>
    </xf>
    <xf numFmtId="44" fontId="4" fillId="9" borderId="13" xfId="1" applyFont="1" applyFill="1" applyBorder="1" applyAlignment="1" applyProtection="1">
      <alignment vertical="center" wrapText="1"/>
    </xf>
    <xf numFmtId="44" fontId="4" fillId="10" borderId="13" xfId="1" applyFont="1" applyFill="1" applyBorder="1" applyAlignment="1" applyProtection="1">
      <alignment vertical="center" wrapText="1"/>
    </xf>
    <xf numFmtId="44" fontId="4" fillId="11" borderId="13" xfId="1" applyFont="1" applyFill="1" applyBorder="1" applyAlignment="1" applyProtection="1">
      <alignment vertical="center" wrapText="1"/>
    </xf>
    <xf numFmtId="44" fontId="4" fillId="12" borderId="13" xfId="1" applyFont="1" applyFill="1" applyBorder="1" applyAlignment="1" applyProtection="1">
      <alignment vertical="center" wrapText="1"/>
    </xf>
    <xf numFmtId="44" fontId="11" fillId="3" borderId="56" xfId="1" applyFont="1" applyFill="1" applyBorder="1" applyAlignment="1" applyProtection="1">
      <alignment vertical="center" wrapText="1"/>
      <protection locked="0"/>
    </xf>
    <xf numFmtId="165" fontId="11" fillId="3" borderId="0" xfId="0" applyNumberFormat="1" applyFont="1" applyFill="1" applyAlignment="1">
      <alignment wrapText="1"/>
    </xf>
    <xf numFmtId="44" fontId="4" fillId="3" borderId="0" xfId="0" applyNumberFormat="1" applyFont="1" applyFill="1" applyAlignment="1">
      <alignment vertical="center" wrapText="1"/>
    </xf>
    <xf numFmtId="44" fontId="4" fillId="3" borderId="0" xfId="1" applyFont="1" applyFill="1" applyBorder="1" applyAlignment="1">
      <alignment vertical="center" wrapText="1"/>
    </xf>
    <xf numFmtId="44" fontId="4" fillId="2" borderId="18" xfId="1" applyFont="1" applyFill="1" applyBorder="1" applyAlignment="1" applyProtection="1">
      <alignment horizontal="center" vertical="center" wrapText="1"/>
    </xf>
    <xf numFmtId="44" fontId="4" fillId="3" borderId="0" xfId="1" applyFont="1" applyFill="1" applyBorder="1" applyAlignment="1" applyProtection="1">
      <alignment horizontal="center" vertical="center" wrapText="1"/>
    </xf>
    <xf numFmtId="44" fontId="4" fillId="2" borderId="3" xfId="1" applyFont="1" applyFill="1" applyBorder="1" applyAlignment="1" applyProtection="1">
      <alignment horizontal="center" vertical="center" wrapText="1"/>
    </xf>
    <xf numFmtId="44" fontId="4" fillId="10" borderId="3" xfId="1" applyFont="1" applyFill="1" applyBorder="1" applyAlignment="1" applyProtection="1">
      <alignment horizontal="center" vertical="center" wrapText="1"/>
    </xf>
    <xf numFmtId="44" fontId="4" fillId="9" borderId="4" xfId="1" applyFont="1" applyFill="1" applyBorder="1" applyAlignment="1" applyProtection="1">
      <alignment vertical="center" wrapText="1"/>
    </xf>
    <xf numFmtId="44" fontId="4" fillId="10" borderId="4" xfId="1" applyFont="1" applyFill="1" applyBorder="1" applyAlignment="1" applyProtection="1">
      <alignment vertical="center" wrapText="1"/>
    </xf>
    <xf numFmtId="44" fontId="4" fillId="11" borderId="4" xfId="1" applyFont="1" applyFill="1" applyBorder="1" applyAlignment="1" applyProtection="1">
      <alignment vertical="center" wrapText="1"/>
    </xf>
    <xf numFmtId="44" fontId="4" fillId="12" borderId="4" xfId="1" applyFont="1" applyFill="1" applyBorder="1" applyAlignment="1" applyProtection="1">
      <alignment vertical="center" wrapText="1"/>
    </xf>
    <xf numFmtId="9" fontId="4" fillId="3" borderId="9" xfId="2" applyFont="1" applyFill="1" applyBorder="1" applyAlignment="1" applyProtection="1">
      <alignment vertical="center" wrapText="1"/>
      <protection locked="0"/>
    </xf>
    <xf numFmtId="44" fontId="4" fillId="12" borderId="39" xfId="1" applyFont="1" applyFill="1" applyBorder="1" applyAlignment="1" applyProtection="1">
      <alignment vertical="center" wrapText="1"/>
    </xf>
    <xf numFmtId="9" fontId="4" fillId="3" borderId="30" xfId="2" applyFont="1" applyFill="1" applyBorder="1" applyAlignment="1" applyProtection="1">
      <alignment vertical="center" wrapText="1"/>
      <protection locked="0"/>
    </xf>
    <xf numFmtId="44" fontId="4" fillId="8" borderId="54" xfId="1" applyFont="1" applyFill="1" applyBorder="1" applyAlignment="1" applyProtection="1">
      <alignment vertical="center" wrapText="1"/>
    </xf>
    <xf numFmtId="44" fontId="4" fillId="9" borderId="54" xfId="1" applyFont="1" applyFill="1" applyBorder="1" applyAlignment="1" applyProtection="1">
      <alignment vertical="center" wrapText="1"/>
    </xf>
    <xf numFmtId="44" fontId="4" fillId="10" borderId="54" xfId="1" applyFont="1" applyFill="1" applyBorder="1" applyAlignment="1" applyProtection="1">
      <alignment vertical="center" wrapText="1"/>
    </xf>
    <xf numFmtId="44" fontId="4" fillId="11" borderId="54" xfId="1" applyFont="1" applyFill="1" applyBorder="1" applyAlignment="1" applyProtection="1">
      <alignment vertical="center" wrapText="1"/>
    </xf>
    <xf numFmtId="44" fontId="4" fillId="12" borderId="54" xfId="1" applyFont="1" applyFill="1" applyBorder="1" applyAlignment="1" applyProtection="1">
      <alignment vertical="center" wrapText="1"/>
    </xf>
    <xf numFmtId="9" fontId="4" fillId="3" borderId="14" xfId="2" applyFont="1" applyFill="1" applyBorder="1" applyAlignment="1" applyProtection="1">
      <alignment horizontal="right" vertical="center" wrapText="1"/>
      <protection locked="0"/>
    </xf>
    <xf numFmtId="44" fontId="4" fillId="3" borderId="0" xfId="1" applyFont="1" applyFill="1" applyBorder="1" applyAlignment="1" applyProtection="1">
      <alignment horizontal="right" vertical="center" wrapText="1"/>
      <protection locked="0"/>
    </xf>
    <xf numFmtId="44" fontId="4" fillId="8" borderId="32" xfId="1" applyFont="1" applyFill="1" applyBorder="1" applyAlignment="1" applyProtection="1">
      <alignment vertical="center" wrapText="1"/>
    </xf>
    <xf numFmtId="44" fontId="4" fillId="9" borderId="32" xfId="1" applyFont="1" applyFill="1" applyBorder="1" applyAlignment="1" applyProtection="1">
      <alignment vertical="center" wrapText="1"/>
    </xf>
    <xf numFmtId="44" fontId="4" fillId="10" borderId="32" xfId="1" applyFont="1" applyFill="1" applyBorder="1" applyAlignment="1" applyProtection="1">
      <alignment vertical="center" wrapText="1"/>
    </xf>
    <xf numFmtId="44" fontId="4" fillId="11" borderId="32" xfId="1" applyFont="1" applyFill="1" applyBorder="1" applyAlignment="1" applyProtection="1">
      <alignment vertical="center" wrapText="1"/>
    </xf>
    <xf numFmtId="44" fontId="4" fillId="12" borderId="32" xfId="1" applyFont="1" applyFill="1" applyBorder="1" applyAlignment="1" applyProtection="1">
      <alignment vertical="center" wrapText="1"/>
    </xf>
    <xf numFmtId="9" fontId="4" fillId="2" borderId="33" xfId="2" applyFont="1" applyFill="1" applyBorder="1" applyAlignment="1" applyProtection="1">
      <alignment vertical="center" wrapText="1"/>
    </xf>
    <xf numFmtId="44" fontId="4" fillId="3" borderId="0" xfId="1" applyFont="1" applyFill="1" applyBorder="1" applyAlignment="1" applyProtection="1">
      <alignment vertical="center" wrapText="1"/>
    </xf>
    <xf numFmtId="44" fontId="4" fillId="0" borderId="0" xfId="0" applyNumberFormat="1" applyFont="1" applyAlignment="1">
      <alignment vertical="center" wrapText="1"/>
    </xf>
    <xf numFmtId="44" fontId="4" fillId="2" borderId="16" xfId="0" applyNumberFormat="1" applyFont="1" applyFill="1" applyBorder="1" applyAlignment="1">
      <alignment vertical="center" wrapText="1"/>
    </xf>
    <xf numFmtId="44" fontId="4" fillId="3" borderId="0" xfId="2" applyNumberFormat="1" applyFont="1" applyFill="1" applyBorder="1" applyAlignment="1">
      <alignment wrapText="1"/>
    </xf>
    <xf numFmtId="44" fontId="11" fillId="3" borderId="0" xfId="1" applyFont="1" applyFill="1" applyBorder="1" applyAlignment="1">
      <alignment vertical="center" wrapText="1"/>
    </xf>
    <xf numFmtId="10" fontId="4" fillId="2" borderId="9" xfId="2" applyNumberFormat="1" applyFont="1" applyFill="1" applyBorder="1" applyAlignment="1" applyProtection="1">
      <alignment wrapText="1"/>
    </xf>
    <xf numFmtId="9" fontId="4" fillId="3" borderId="0" xfId="2" applyFont="1" applyFill="1" applyBorder="1" applyAlignment="1">
      <alignment wrapText="1"/>
    </xf>
    <xf numFmtId="9" fontId="11" fillId="3" borderId="0" xfId="2" applyFont="1" applyFill="1" applyBorder="1" applyAlignment="1">
      <alignment wrapText="1"/>
    </xf>
    <xf numFmtId="0" fontId="4" fillId="3" borderId="0" xfId="0" applyFont="1" applyFill="1" applyAlignment="1">
      <alignment horizontal="center" vertical="center" wrapText="1"/>
    </xf>
    <xf numFmtId="44" fontId="4" fillId="2" borderId="9" xfId="2" applyNumberFormat="1" applyFont="1" applyFill="1" applyBorder="1" applyAlignment="1" applyProtection="1">
      <alignment wrapText="1"/>
    </xf>
    <xf numFmtId="0" fontId="11" fillId="3" borderId="0" xfId="0" applyFont="1" applyFill="1" applyAlignment="1">
      <alignment horizontal="center" vertical="center" wrapText="1"/>
    </xf>
    <xf numFmtId="0" fontId="11" fillId="3" borderId="0" xfId="0" applyFont="1" applyFill="1" applyAlignment="1">
      <alignment wrapText="1"/>
    </xf>
    <xf numFmtId="44" fontId="4" fillId="0" borderId="0" xfId="2" applyNumberFormat="1" applyFont="1" applyFill="1" applyBorder="1" applyAlignment="1">
      <alignment wrapText="1"/>
    </xf>
    <xf numFmtId="0" fontId="11" fillId="0" borderId="0" xfId="0" applyFont="1" applyAlignment="1">
      <alignment horizontal="center" vertical="center" wrapText="1"/>
    </xf>
    <xf numFmtId="44" fontId="11" fillId="0" borderId="0" xfId="1" applyFont="1" applyFill="1" applyBorder="1" applyAlignment="1" applyProtection="1">
      <alignment vertical="center" wrapText="1"/>
      <protection locked="0"/>
    </xf>
    <xf numFmtId="165" fontId="11" fillId="0" borderId="0" xfId="0" applyNumberFormat="1" applyFont="1" applyAlignment="1">
      <alignment wrapText="1"/>
    </xf>
    <xf numFmtId="164" fontId="11" fillId="0" borderId="0" xfId="3" applyFont="1" applyFill="1" applyAlignment="1">
      <alignment wrapText="1"/>
    </xf>
    <xf numFmtId="44" fontId="4" fillId="15" borderId="3" xfId="1" applyFont="1" applyFill="1" applyBorder="1" applyAlignment="1" applyProtection="1">
      <alignment horizontal="center" vertical="center" wrapText="1"/>
    </xf>
    <xf numFmtId="44" fontId="4" fillId="15" borderId="3" xfId="1" applyFont="1" applyFill="1" applyBorder="1" applyAlignment="1" applyProtection="1">
      <alignment vertical="center" wrapText="1"/>
    </xf>
    <xf numFmtId="44" fontId="4" fillId="15" borderId="5" xfId="1" applyFont="1" applyFill="1" applyBorder="1" applyAlignment="1" applyProtection="1">
      <alignment horizontal="center" vertical="center" wrapText="1"/>
    </xf>
    <xf numFmtId="44" fontId="4" fillId="15" borderId="3" xfId="1" applyFont="1" applyFill="1" applyBorder="1" applyAlignment="1" applyProtection="1">
      <alignment horizontal="center" vertical="center" wrapText="1"/>
      <protection locked="0"/>
    </xf>
    <xf numFmtId="0" fontId="3" fillId="3" borderId="0" xfId="0" applyFont="1" applyFill="1" applyAlignment="1">
      <alignment wrapText="1"/>
    </xf>
    <xf numFmtId="0" fontId="4" fillId="7" borderId="0" xfId="0" applyFont="1" applyFill="1" applyAlignment="1">
      <alignment wrapText="1"/>
    </xf>
    <xf numFmtId="0" fontId="11" fillId="7" borderId="0" xfId="0" applyFont="1" applyFill="1" applyAlignment="1">
      <alignment wrapText="1"/>
    </xf>
    <xf numFmtId="0" fontId="11" fillId="7" borderId="0" xfId="0" applyFont="1" applyFill="1" applyAlignment="1">
      <alignment horizontal="center" wrapText="1"/>
    </xf>
    <xf numFmtId="0" fontId="4" fillId="7" borderId="16" xfId="0" applyFont="1" applyFill="1" applyBorder="1" applyAlignment="1">
      <alignment horizontal="center" vertical="center" wrapText="1"/>
    </xf>
    <xf numFmtId="44" fontId="4" fillId="7" borderId="3" xfId="1" applyFont="1" applyFill="1" applyBorder="1" applyAlignment="1" applyProtection="1">
      <alignment horizontal="center" vertical="center" wrapText="1"/>
    </xf>
    <xf numFmtId="44" fontId="4" fillId="7" borderId="3" xfId="1" applyFont="1" applyFill="1" applyBorder="1" applyAlignment="1" applyProtection="1">
      <alignment horizontal="center" vertical="center" wrapText="1"/>
      <protection locked="0"/>
    </xf>
    <xf numFmtId="44" fontId="4" fillId="7" borderId="5" xfId="1" applyFont="1" applyFill="1" applyBorder="1" applyAlignment="1" applyProtection="1">
      <alignment horizontal="center" vertical="center" wrapText="1"/>
    </xf>
    <xf numFmtId="44" fontId="11" fillId="7" borderId="0" xfId="1" applyFont="1" applyFill="1" applyBorder="1" applyAlignment="1" applyProtection="1">
      <alignment vertical="center" wrapText="1"/>
      <protection locked="0"/>
    </xf>
    <xf numFmtId="44" fontId="4" fillId="7" borderId="0" xfId="1" applyFont="1" applyFill="1" applyBorder="1" applyAlignment="1" applyProtection="1">
      <alignment vertical="center" wrapText="1"/>
      <protection locked="0"/>
    </xf>
    <xf numFmtId="44" fontId="11" fillId="7" borderId="9" xfId="0" applyNumberFormat="1" applyFont="1" applyFill="1" applyBorder="1" applyAlignment="1">
      <alignment vertical="center" wrapText="1"/>
    </xf>
    <xf numFmtId="44" fontId="4" fillId="7" borderId="14" xfId="1" applyFont="1" applyFill="1" applyBorder="1" applyAlignment="1" applyProtection="1">
      <alignment vertical="center" wrapText="1"/>
    </xf>
    <xf numFmtId="166" fontId="11" fillId="7" borderId="0" xfId="0" applyNumberFormat="1" applyFont="1" applyFill="1" applyAlignment="1">
      <alignment wrapText="1"/>
    </xf>
    <xf numFmtId="44" fontId="4" fillId="7" borderId="0" xfId="0" applyNumberFormat="1" applyFont="1" applyFill="1" applyAlignment="1">
      <alignment vertical="center" wrapText="1"/>
    </xf>
    <xf numFmtId="44" fontId="4" fillId="7" borderId="4" xfId="1" applyFont="1" applyFill="1" applyBorder="1" applyAlignment="1" applyProtection="1">
      <alignment vertical="center" wrapText="1"/>
    </xf>
    <xf numFmtId="44" fontId="4" fillId="7" borderId="39" xfId="1" applyFont="1" applyFill="1" applyBorder="1" applyAlignment="1" applyProtection="1">
      <alignment vertical="center" wrapText="1"/>
    </xf>
    <xf numFmtId="44" fontId="4" fillId="7" borderId="54" xfId="1" applyFont="1" applyFill="1" applyBorder="1" applyAlignment="1" applyProtection="1">
      <alignment vertical="center" wrapText="1"/>
    </xf>
    <xf numFmtId="44" fontId="4" fillId="7" borderId="32" xfId="1" applyFont="1" applyFill="1" applyBorder="1" applyAlignment="1" applyProtection="1">
      <alignment vertical="center" wrapText="1"/>
    </xf>
    <xf numFmtId="0" fontId="4" fillId="7" borderId="0" xfId="0" applyFont="1" applyFill="1" applyAlignment="1">
      <alignment horizontal="center" vertical="center" wrapText="1"/>
    </xf>
    <xf numFmtId="0" fontId="11" fillId="7" borderId="0" xfId="0" applyFont="1" applyFill="1" applyAlignment="1">
      <alignment horizontal="center" vertical="center" wrapText="1"/>
    </xf>
    <xf numFmtId="44" fontId="11" fillId="3" borderId="6" xfId="1" applyFont="1" applyFill="1" applyBorder="1" applyAlignment="1" applyProtection="1">
      <alignment horizontal="center" vertical="center" wrapText="1"/>
      <protection locked="0"/>
    </xf>
    <xf numFmtId="167" fontId="11" fillId="10" borderId="3" xfId="1" applyNumberFormat="1" applyFont="1" applyFill="1" applyBorder="1" applyAlignment="1" applyProtection="1">
      <alignment vertical="center" wrapText="1"/>
      <protection locked="0"/>
    </xf>
    <xf numFmtId="0" fontId="0" fillId="0" borderId="0" xfId="0" applyAlignment="1">
      <alignment horizontal="center" vertical="center" wrapText="1"/>
    </xf>
    <xf numFmtId="0" fontId="1" fillId="0" borderId="3" xfId="0" applyFont="1" applyBorder="1" applyAlignment="1">
      <alignment vertical="top" wrapText="1"/>
    </xf>
    <xf numFmtId="0" fontId="28" fillId="0" borderId="0" xfId="0" applyFont="1"/>
    <xf numFmtId="44" fontId="11" fillId="0" borderId="0" xfId="0" applyNumberFormat="1" applyFont="1" applyAlignment="1">
      <alignment wrapText="1"/>
    </xf>
    <xf numFmtId="0" fontId="0" fillId="0" borderId="66" xfId="0" applyBorder="1" applyAlignment="1">
      <alignment horizontal="center" wrapText="1"/>
    </xf>
    <xf numFmtId="44" fontId="11" fillId="0" borderId="0" xfId="0" applyNumberFormat="1" applyFont="1" applyAlignment="1">
      <alignment horizontal="center" vertical="center" wrapText="1"/>
    </xf>
    <xf numFmtId="44" fontId="11" fillId="0" borderId="65" xfId="0" applyNumberFormat="1" applyFont="1" applyBorder="1" applyAlignment="1">
      <alignment wrapText="1"/>
    </xf>
    <xf numFmtId="10" fontId="11" fillId="0" borderId="0" xfId="0" applyNumberFormat="1" applyFont="1" applyAlignment="1">
      <alignment horizontal="left" wrapText="1"/>
    </xf>
    <xf numFmtId="44" fontId="29" fillId="3" borderId="58" xfId="1" applyFont="1" applyFill="1" applyBorder="1" applyAlignment="1">
      <alignment vertical="center" wrapText="1"/>
    </xf>
    <xf numFmtId="44" fontId="4" fillId="3" borderId="58" xfId="1" applyFont="1" applyFill="1" applyBorder="1" applyAlignment="1">
      <alignment vertical="center" wrapText="1"/>
    </xf>
    <xf numFmtId="9" fontId="4" fillId="3" borderId="58" xfId="2" applyFont="1" applyFill="1" applyBorder="1" applyAlignment="1">
      <alignment vertical="center" wrapText="1"/>
    </xf>
    <xf numFmtId="44" fontId="4" fillId="8" borderId="67" xfId="0" applyNumberFormat="1" applyFont="1" applyFill="1" applyBorder="1" applyAlignment="1">
      <alignment vertical="center" wrapText="1"/>
    </xf>
    <xf numFmtId="44" fontId="4" fillId="9" borderId="67" xfId="0" applyNumberFormat="1" applyFont="1" applyFill="1" applyBorder="1" applyAlignment="1">
      <alignment vertical="center" wrapText="1"/>
    </xf>
    <xf numFmtId="44" fontId="4" fillId="10" borderId="67" xfId="0" applyNumberFormat="1" applyFont="1" applyFill="1" applyBorder="1" applyAlignment="1">
      <alignment horizontal="center" vertical="center" wrapText="1"/>
    </xf>
    <xf numFmtId="44" fontId="4" fillId="11" borderId="67" xfId="0" applyNumberFormat="1" applyFont="1" applyFill="1" applyBorder="1" applyAlignment="1">
      <alignment horizontal="center" vertical="center" wrapText="1"/>
    </xf>
    <xf numFmtId="44" fontId="4" fillId="12" borderId="67" xfId="0" applyNumberFormat="1" applyFont="1" applyFill="1" applyBorder="1" applyAlignment="1">
      <alignment horizontal="center" vertical="center" wrapText="1"/>
    </xf>
    <xf numFmtId="9" fontId="29" fillId="14" borderId="33" xfId="2" applyFont="1" applyFill="1" applyBorder="1" applyAlignment="1">
      <alignment vertical="center" wrapText="1"/>
    </xf>
    <xf numFmtId="10" fontId="4" fillId="0" borderId="67" xfId="2" applyNumberFormat="1" applyFont="1" applyFill="1" applyBorder="1" applyAlignment="1">
      <alignment vertical="center" wrapText="1"/>
    </xf>
    <xf numFmtId="0" fontId="4" fillId="14" borderId="67" xfId="0" applyFont="1" applyFill="1" applyBorder="1" applyAlignment="1">
      <alignment horizontal="center" vertical="center" wrapText="1"/>
    </xf>
    <xf numFmtId="9" fontId="4" fillId="14" borderId="67" xfId="0" applyNumberFormat="1" applyFont="1" applyFill="1" applyBorder="1" applyAlignment="1">
      <alignment horizontal="center" vertical="center" wrapText="1"/>
    </xf>
    <xf numFmtId="44" fontId="11" fillId="3" borderId="0" xfId="0" applyNumberFormat="1" applyFont="1" applyFill="1" applyAlignment="1">
      <alignment wrapText="1"/>
    </xf>
    <xf numFmtId="0" fontId="4" fillId="7" borderId="44" xfId="0" applyFont="1" applyFill="1" applyBorder="1" applyAlignment="1">
      <alignment horizontal="left" wrapText="1"/>
    </xf>
    <xf numFmtId="0" fontId="4" fillId="7" borderId="45" xfId="0" applyFont="1" applyFill="1" applyBorder="1" applyAlignment="1">
      <alignment horizontal="left" wrapText="1"/>
    </xf>
    <xf numFmtId="44" fontId="4" fillId="7" borderId="45" xfId="1" applyFont="1" applyFill="1" applyBorder="1" applyAlignment="1">
      <alignment horizontal="left" wrapText="1"/>
    </xf>
    <xf numFmtId="0" fontId="4" fillId="7" borderId="46" xfId="0" applyFont="1" applyFill="1" applyBorder="1" applyAlignment="1">
      <alignment horizontal="left" wrapText="1"/>
    </xf>
    <xf numFmtId="0" fontId="21" fillId="7" borderId="39" xfId="0" applyFont="1" applyFill="1" applyBorder="1" applyAlignment="1">
      <alignment horizontal="left" wrapText="1"/>
    </xf>
    <xf numFmtId="0" fontId="21" fillId="7" borderId="49" xfId="0" applyFont="1" applyFill="1" applyBorder="1" applyAlignment="1">
      <alignment horizontal="left" wrapText="1"/>
    </xf>
    <xf numFmtId="0" fontId="21" fillId="7" borderId="50"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7" fillId="0" borderId="0" xfId="0" applyFont="1" applyAlignment="1">
      <alignment horizontal="left" vertical="top"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0" fillId="7" borderId="17" xfId="0" applyFont="1" applyFill="1" applyBorder="1" applyAlignment="1">
      <alignment horizontal="left" wrapText="1"/>
    </xf>
    <xf numFmtId="0" fontId="10" fillId="7" borderId="15" xfId="0" applyFont="1" applyFill="1" applyBorder="1" applyAlignment="1">
      <alignment horizontal="left" wrapText="1"/>
    </xf>
    <xf numFmtId="0" fontId="10" fillId="7" borderId="40" xfId="0" applyFont="1" applyFill="1" applyBorder="1" applyAlignment="1">
      <alignment horizontal="left" wrapText="1"/>
    </xf>
    <xf numFmtId="0" fontId="2" fillId="2" borderId="44" xfId="0" applyFont="1" applyFill="1" applyBorder="1" applyAlignment="1">
      <alignment horizontal="left" wrapText="1"/>
    </xf>
    <xf numFmtId="0" fontId="2" fillId="2" borderId="45" xfId="0" applyFont="1" applyFill="1" applyBorder="1" applyAlignment="1">
      <alignment horizontal="left" wrapText="1"/>
    </xf>
    <xf numFmtId="0" fontId="2" fillId="2" borderId="46" xfId="0" applyFont="1" applyFill="1" applyBorder="1" applyAlignment="1">
      <alignment horizontal="left" wrapText="1"/>
    </xf>
    <xf numFmtId="0" fontId="12" fillId="7" borderId="11" xfId="0" applyFont="1" applyFill="1" applyBorder="1" applyAlignment="1">
      <alignment horizontal="left" wrapText="1"/>
    </xf>
    <xf numFmtId="0" fontId="12" fillId="7" borderId="0" xfId="0" applyFont="1" applyFill="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4" fillId="2" borderId="30" xfId="0" applyFont="1" applyFill="1" applyBorder="1" applyAlignment="1">
      <alignment horizontal="center" vertical="center" wrapText="1"/>
    </xf>
    <xf numFmtId="0" fontId="4" fillId="2" borderId="37" xfId="0" applyFont="1" applyFill="1" applyBorder="1" applyAlignment="1">
      <alignment horizontal="center" vertical="center" wrapText="1"/>
    </xf>
    <xf numFmtId="44" fontId="4" fillId="2" borderId="25" xfId="0" applyNumberFormat="1" applyFont="1" applyFill="1" applyBorder="1" applyAlignment="1">
      <alignment horizontal="center" vertical="center" wrapText="1"/>
    </xf>
    <xf numFmtId="44" fontId="4" fillId="2" borderId="26" xfId="0" applyNumberFormat="1" applyFont="1" applyFill="1" applyBorder="1" applyAlignment="1">
      <alignment horizontal="center" vertical="center" wrapText="1"/>
    </xf>
    <xf numFmtId="44" fontId="4" fillId="2" borderId="57" xfId="0" applyNumberFormat="1"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23" fillId="3" borderId="0" xfId="0" applyFont="1" applyFill="1" applyAlignment="1">
      <alignment horizontal="left" vertical="top" wrapText="1"/>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12" fillId="7" borderId="4"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49" fontId="2" fillId="3" borderId="38" xfId="0" applyNumberFormat="1" applyFont="1" applyFill="1" applyBorder="1" applyAlignment="1" applyProtection="1">
      <alignment horizontal="left" vertical="top" wrapText="1"/>
      <protection locked="0"/>
    </xf>
    <xf numFmtId="0" fontId="26" fillId="0" borderId="0" xfId="0" applyFont="1" applyAlignment="1">
      <alignment horizontal="center" wrapText="1"/>
    </xf>
    <xf numFmtId="0" fontId="2" fillId="2" borderId="5"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4" fillId="9" borderId="61" xfId="0" applyFont="1" applyFill="1" applyBorder="1" applyAlignment="1" applyProtection="1">
      <alignment horizontal="center" vertical="center" wrapText="1"/>
      <protection locked="0"/>
    </xf>
    <xf numFmtId="0" fontId="4" fillId="9" borderId="63" xfId="0" applyFont="1" applyFill="1" applyBorder="1" applyAlignment="1" applyProtection="1">
      <alignment horizontal="center" vertical="center" wrapText="1"/>
      <protection locked="0"/>
    </xf>
    <xf numFmtId="0" fontId="4" fillId="11" borderId="61" xfId="0" applyFont="1" applyFill="1" applyBorder="1" applyAlignment="1" applyProtection="1">
      <alignment horizontal="center" vertical="center" wrapText="1"/>
      <protection locked="0"/>
    </xf>
    <xf numFmtId="0" fontId="4" fillId="11" borderId="63" xfId="0" applyFont="1" applyFill="1" applyBorder="1" applyAlignment="1" applyProtection="1">
      <alignment horizontal="center" vertical="center" wrapText="1"/>
      <protection locked="0"/>
    </xf>
    <xf numFmtId="0" fontId="4" fillId="12" borderId="61" xfId="0" applyFont="1" applyFill="1" applyBorder="1" applyAlignment="1" applyProtection="1">
      <alignment horizontal="center" vertical="center" wrapText="1"/>
      <protection locked="0"/>
    </xf>
    <xf numFmtId="0" fontId="4" fillId="12" borderId="64" xfId="0" applyFont="1" applyFill="1" applyBorder="1" applyAlignment="1" applyProtection="1">
      <alignment horizontal="center" vertical="center" wrapText="1"/>
      <protection locked="0"/>
    </xf>
    <xf numFmtId="0" fontId="4" fillId="12" borderId="63" xfId="0" applyFont="1" applyFill="1" applyBorder="1" applyAlignment="1" applyProtection="1">
      <alignment horizontal="center" vertical="center" wrapText="1"/>
      <protection locked="0"/>
    </xf>
    <xf numFmtId="0" fontId="4" fillId="8" borderId="61" xfId="0" applyFont="1" applyFill="1" applyBorder="1" applyAlignment="1" applyProtection="1">
      <alignment horizontal="center" vertical="center" wrapText="1"/>
      <protection locked="0"/>
    </xf>
    <xf numFmtId="0" fontId="4" fillId="8" borderId="63" xfId="0" applyFont="1" applyFill="1" applyBorder="1" applyAlignment="1" applyProtection="1">
      <alignment horizontal="center" vertical="center" wrapText="1"/>
      <protection locked="0"/>
    </xf>
    <xf numFmtId="0" fontId="4" fillId="10" borderId="61" xfId="0" applyFont="1" applyFill="1" applyBorder="1" applyAlignment="1" applyProtection="1">
      <alignment horizontal="center" vertical="center" wrapText="1"/>
      <protection locked="0"/>
    </xf>
    <xf numFmtId="0" fontId="4" fillId="10" borderId="63" xfId="0" applyFont="1" applyFill="1" applyBorder="1" applyAlignment="1" applyProtection="1">
      <alignment horizontal="center" vertical="center" wrapText="1"/>
      <protection locked="0"/>
    </xf>
    <xf numFmtId="0" fontId="2" fillId="2" borderId="39"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51" xfId="0" applyFont="1" applyFill="1" applyBorder="1" applyAlignment="1">
      <alignment horizontal="center" vertical="center"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44" fontId="4" fillId="7" borderId="62" xfId="1" applyFont="1" applyFill="1" applyBorder="1" applyAlignment="1" applyProtection="1">
      <alignment horizontal="center" vertical="center" wrapText="1"/>
    </xf>
    <xf numFmtId="44" fontId="4" fillId="7" borderId="37" xfId="1" applyFont="1" applyFill="1" applyBorder="1" applyAlignment="1" applyProtection="1">
      <alignment horizontal="center" vertical="center" wrapText="1"/>
    </xf>
    <xf numFmtId="0" fontId="4" fillId="7" borderId="5"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4" fillId="8" borderId="7" xfId="1" applyNumberFormat="1" applyFont="1" applyFill="1" applyBorder="1" applyAlignment="1" applyProtection="1">
      <alignment horizontal="center" vertical="center" wrapText="1"/>
    </xf>
    <xf numFmtId="0" fontId="4" fillId="8" borderId="2" xfId="1" applyNumberFormat="1" applyFont="1" applyFill="1" applyBorder="1" applyAlignment="1" applyProtection="1">
      <alignment horizontal="center" vertical="center" wrapText="1"/>
    </xf>
    <xf numFmtId="0" fontId="4" fillId="9" borderId="4" xfId="1" applyNumberFormat="1" applyFont="1" applyFill="1" applyBorder="1" applyAlignment="1" applyProtection="1">
      <alignment horizontal="center" vertical="center" wrapText="1"/>
    </xf>
    <xf numFmtId="0" fontId="4" fillId="9" borderId="2" xfId="1" applyNumberFormat="1" applyFont="1" applyFill="1" applyBorder="1" applyAlignment="1" applyProtection="1">
      <alignment horizontal="center" vertical="center" wrapText="1"/>
    </xf>
    <xf numFmtId="0" fontId="4" fillId="10" borderId="4" xfId="1" applyNumberFormat="1" applyFont="1" applyFill="1" applyBorder="1" applyAlignment="1" applyProtection="1">
      <alignment horizontal="center" vertical="center" wrapText="1"/>
    </xf>
    <xf numFmtId="0" fontId="4" fillId="10" borderId="2" xfId="1" applyNumberFormat="1" applyFont="1" applyFill="1" applyBorder="1" applyAlignment="1" applyProtection="1">
      <alignment horizontal="center" vertical="center" wrapText="1"/>
    </xf>
    <xf numFmtId="0" fontId="4" fillId="11" borderId="4" xfId="1" applyNumberFormat="1" applyFont="1" applyFill="1" applyBorder="1" applyAlignment="1" applyProtection="1">
      <alignment horizontal="center" vertical="center" wrapText="1"/>
    </xf>
    <xf numFmtId="0" fontId="4" fillId="11" borderId="2" xfId="1" applyNumberFormat="1" applyFont="1" applyFill="1" applyBorder="1" applyAlignment="1" applyProtection="1">
      <alignment horizontal="center" vertical="center" wrapText="1"/>
    </xf>
    <xf numFmtId="0" fontId="4" fillId="12" borderId="4" xfId="1" applyNumberFormat="1" applyFont="1" applyFill="1" applyBorder="1" applyAlignment="1" applyProtection="1">
      <alignment horizontal="center" vertical="center" wrapText="1"/>
    </xf>
    <xf numFmtId="0" fontId="4" fillId="12" borderId="2" xfId="1" applyNumberFormat="1" applyFont="1" applyFill="1" applyBorder="1" applyAlignment="1" applyProtection="1">
      <alignment horizontal="center" vertical="center" wrapText="1"/>
    </xf>
    <xf numFmtId="44" fontId="4" fillId="9" borderId="52" xfId="1" applyFont="1" applyFill="1" applyBorder="1" applyAlignment="1" applyProtection="1">
      <alignment horizontal="center" vertical="center" wrapText="1"/>
      <protection locked="0"/>
    </xf>
    <xf numFmtId="44" fontId="4" fillId="9" borderId="0" xfId="1" applyFont="1" applyFill="1" applyBorder="1" applyAlignment="1" applyProtection="1">
      <alignment horizontal="center" vertical="center" wrapText="1"/>
      <protection locked="0"/>
    </xf>
    <xf numFmtId="0" fontId="4" fillId="10" borderId="4"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2" xfId="0" applyFont="1" applyFill="1" applyBorder="1" applyAlignment="1">
      <alignment horizontal="center" vertical="center" wrapText="1"/>
    </xf>
    <xf numFmtId="44" fontId="3" fillId="2" borderId="3" xfId="0" applyNumberFormat="1" applyFont="1" applyFill="1" applyBorder="1" applyAlignment="1">
      <alignment horizontal="center"/>
    </xf>
    <xf numFmtId="0" fontId="3" fillId="2" borderId="3" xfId="0" applyFont="1" applyFill="1" applyBorder="1" applyAlignment="1">
      <alignment horizontal="left"/>
    </xf>
    <xf numFmtId="49" fontId="0" fillId="2" borderId="3" xfId="0" applyNumberFormat="1" applyFill="1" applyBorder="1" applyAlignment="1">
      <alignment horizontal="center" wrapText="1"/>
    </xf>
    <xf numFmtId="0" fontId="0" fillId="2" borderId="3" xfId="0" applyFill="1" applyBorder="1" applyAlignment="1">
      <alignment horizontal="center" wrapText="1"/>
    </xf>
    <xf numFmtId="0" fontId="3" fillId="7" borderId="3"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FBB7E9"/>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ACDD-FA56-47AE-A560-B8CFB6EF29A6}">
  <dimension ref="B2:P3"/>
  <sheetViews>
    <sheetView workbookViewId="0">
      <selection activeCell="F15" sqref="F15"/>
    </sheetView>
  </sheetViews>
  <sheetFormatPr defaultColWidth="11.42578125" defaultRowHeight="15"/>
  <cols>
    <col min="1" max="1" width="4.85546875" customWidth="1"/>
  </cols>
  <sheetData>
    <row r="2" spans="2:16" s="20" customFormat="1" ht="36.75" customHeight="1">
      <c r="B2" s="375" t="s">
        <v>0</v>
      </c>
      <c r="C2" s="376"/>
      <c r="D2" s="376"/>
      <c r="E2" s="376"/>
      <c r="F2" s="376"/>
      <c r="G2" s="376"/>
      <c r="H2" s="376"/>
      <c r="I2" s="376"/>
      <c r="J2" s="376"/>
      <c r="K2" s="376"/>
      <c r="L2" s="376"/>
      <c r="M2" s="376"/>
      <c r="N2" s="376"/>
      <c r="O2" s="376"/>
      <c r="P2" s="377"/>
    </row>
    <row r="3" spans="2:16" s="20" customFormat="1" ht="174" customHeight="1">
      <c r="B3" s="371" t="s">
        <v>1</v>
      </c>
      <c r="C3" s="372"/>
      <c r="D3" s="372"/>
      <c r="E3" s="372"/>
      <c r="F3" s="372"/>
      <c r="G3" s="372"/>
      <c r="H3" s="372"/>
      <c r="I3" s="372"/>
      <c r="J3" s="372"/>
      <c r="K3" s="372"/>
      <c r="L3" s="372"/>
      <c r="M3" s="372"/>
      <c r="N3" s="373"/>
      <c r="O3" s="373"/>
      <c r="P3" s="374"/>
    </row>
  </sheetData>
  <mergeCells count="2">
    <mergeCell ref="B3:P3"/>
    <mergeCell ref="B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Q248"/>
  <sheetViews>
    <sheetView showGridLines="0" showZeros="0" topLeftCell="C8" zoomScale="90" zoomScaleNormal="90" zoomScaleSheetLayoutView="80" workbookViewId="0">
      <selection activeCell="D208" sqref="D208"/>
    </sheetView>
  </sheetViews>
  <sheetFormatPr defaultColWidth="9.140625" defaultRowHeight="15.75"/>
  <cols>
    <col min="1" max="1" width="4.42578125" style="28" customWidth="1"/>
    <col min="2" max="2" width="3.28515625" style="28" customWidth="1"/>
    <col min="3" max="3" width="51.42578125" style="28" customWidth="1"/>
    <col min="4" max="4" width="19.5703125" style="29" customWidth="1"/>
    <col min="5" max="5" width="19" style="29" customWidth="1"/>
    <col min="6" max="6" width="19.5703125" style="29" customWidth="1"/>
    <col min="7" max="7" width="20.5703125" style="29" customWidth="1"/>
    <col min="8" max="9" width="17.7109375" style="29" customWidth="1"/>
    <col min="10" max="10" width="23.5703125" style="28" customWidth="1"/>
    <col min="11" max="11" width="21.42578125" style="28" customWidth="1"/>
    <col min="12" max="12" width="16.85546875" style="28" customWidth="1"/>
    <col min="13" max="13" width="19.42578125" style="28" customWidth="1"/>
    <col min="14" max="14" width="19" style="28" customWidth="1"/>
    <col min="15" max="15" width="26" style="28" customWidth="1"/>
    <col min="16" max="16" width="21.140625" style="28" customWidth="1"/>
    <col min="17" max="17" width="7" style="28" customWidth="1"/>
    <col min="18" max="18" width="24.28515625" style="28" customWidth="1"/>
    <col min="19" max="19" width="26.42578125" style="28" customWidth="1"/>
    <col min="20" max="20" width="30.140625" style="28" customWidth="1"/>
    <col min="21" max="21" width="33" style="28" customWidth="1"/>
    <col min="22" max="23" width="22.7109375" style="28" customWidth="1"/>
    <col min="24" max="24" width="23.42578125" style="28" customWidth="1"/>
    <col min="25" max="25" width="32.140625" style="28" customWidth="1"/>
    <col min="26" max="26" width="9.140625" style="28"/>
    <col min="27" max="27" width="17.7109375" style="28" customWidth="1"/>
    <col min="28" max="28" width="26.42578125" style="28" customWidth="1"/>
    <col min="29" max="29" width="22.42578125" style="28" customWidth="1"/>
    <col min="30" max="30" width="29.7109375" style="28" customWidth="1"/>
    <col min="31" max="31" width="23.42578125" style="28" customWidth="1"/>
    <col min="32" max="32" width="18.42578125" style="28" customWidth="1"/>
    <col min="33" max="33" width="17.42578125" style="28" customWidth="1"/>
    <col min="34" max="34" width="25.140625" style="28" customWidth="1"/>
    <col min="35" max="16384" width="9.140625" style="28"/>
  </cols>
  <sheetData>
    <row r="1" spans="2:17" ht="24" customHeight="1">
      <c r="B1" s="94"/>
      <c r="C1" s="94"/>
      <c r="D1" s="95"/>
      <c r="E1" s="95"/>
      <c r="F1" s="95"/>
      <c r="G1" s="95"/>
      <c r="H1" s="95"/>
      <c r="I1" s="95"/>
      <c r="J1" s="94"/>
      <c r="K1" s="94"/>
      <c r="L1" s="94"/>
      <c r="M1" s="94"/>
      <c r="N1" s="94"/>
      <c r="O1" s="9"/>
      <c r="P1" s="2"/>
      <c r="Q1" s="94"/>
    </row>
    <row r="2" spans="2:17" ht="46.5" customHeight="1">
      <c r="B2" s="94"/>
      <c r="C2" s="381" t="s">
        <v>2</v>
      </c>
      <c r="D2" s="381"/>
      <c r="E2" s="381"/>
      <c r="F2" s="381"/>
      <c r="G2" s="76"/>
      <c r="H2" s="76"/>
      <c r="I2" s="76"/>
      <c r="J2" s="18"/>
      <c r="K2" s="19"/>
      <c r="L2" s="19"/>
      <c r="M2" s="94"/>
      <c r="N2" s="94"/>
      <c r="O2" s="9"/>
      <c r="P2" s="2"/>
      <c r="Q2" s="94"/>
    </row>
    <row r="3" spans="2:17" ht="24" customHeight="1">
      <c r="B3" s="94"/>
      <c r="C3" s="22"/>
      <c r="D3" s="20"/>
      <c r="E3" s="20"/>
      <c r="F3" s="20"/>
      <c r="G3" s="20"/>
      <c r="H3" s="20"/>
      <c r="I3" s="20"/>
      <c r="J3" s="20"/>
      <c r="K3" s="20"/>
      <c r="L3" s="20"/>
      <c r="M3" s="94"/>
      <c r="N3" s="94"/>
      <c r="O3" s="9"/>
      <c r="P3" s="2"/>
      <c r="Q3" s="94"/>
    </row>
    <row r="4" spans="2:17" ht="24" customHeight="1" thickBot="1">
      <c r="B4" s="94"/>
      <c r="C4" s="22"/>
      <c r="D4" s="20"/>
      <c r="E4" s="20"/>
      <c r="F4" s="20"/>
      <c r="G4" s="20"/>
      <c r="H4" s="20"/>
      <c r="I4" s="20"/>
      <c r="J4" s="20"/>
      <c r="K4" s="20"/>
      <c r="L4" s="20"/>
      <c r="M4" s="94"/>
      <c r="N4" s="94"/>
      <c r="O4" s="9"/>
      <c r="P4" s="2"/>
      <c r="Q4" s="94"/>
    </row>
    <row r="5" spans="2:17" ht="30" customHeight="1">
      <c r="B5" s="94"/>
      <c r="C5" s="384" t="s">
        <v>0</v>
      </c>
      <c r="D5" s="385"/>
      <c r="E5" s="385"/>
      <c r="F5" s="385"/>
      <c r="G5" s="385"/>
      <c r="H5" s="385"/>
      <c r="I5" s="385"/>
      <c r="J5" s="386"/>
      <c r="K5" s="94"/>
      <c r="L5" s="94"/>
      <c r="M5" s="9"/>
      <c r="N5" s="2"/>
      <c r="O5" s="94"/>
      <c r="P5" s="94"/>
      <c r="Q5" s="94"/>
    </row>
    <row r="6" spans="2:17" ht="24" customHeight="1">
      <c r="B6" s="94"/>
      <c r="C6" s="394" t="s">
        <v>3</v>
      </c>
      <c r="D6" s="395"/>
      <c r="E6" s="395"/>
      <c r="F6" s="395"/>
      <c r="G6" s="395"/>
      <c r="H6" s="395"/>
      <c r="I6" s="395"/>
      <c r="J6" s="396"/>
      <c r="K6" s="94"/>
      <c r="L6" s="94"/>
      <c r="M6" s="9"/>
      <c r="N6" s="2"/>
      <c r="O6" s="94"/>
      <c r="P6" s="94"/>
      <c r="Q6" s="94"/>
    </row>
    <row r="7" spans="2:17" ht="41.25" customHeight="1">
      <c r="B7" s="94"/>
      <c r="C7" s="394"/>
      <c r="D7" s="395"/>
      <c r="E7" s="395"/>
      <c r="F7" s="395"/>
      <c r="G7" s="395"/>
      <c r="H7" s="395"/>
      <c r="I7" s="395"/>
      <c r="J7" s="396"/>
      <c r="K7" s="94"/>
      <c r="L7" s="94"/>
      <c r="M7" s="9"/>
      <c r="N7" s="2"/>
      <c r="O7" s="94"/>
      <c r="P7" s="94"/>
      <c r="Q7" s="94"/>
    </row>
    <row r="8" spans="2:17" ht="24" customHeight="1" thickBot="1">
      <c r="B8" s="94"/>
      <c r="C8" s="397"/>
      <c r="D8" s="398"/>
      <c r="E8" s="398"/>
      <c r="F8" s="398"/>
      <c r="G8" s="398"/>
      <c r="H8" s="398"/>
      <c r="I8" s="398"/>
      <c r="J8" s="399"/>
      <c r="K8" s="94"/>
      <c r="L8" s="94"/>
      <c r="M8" s="9"/>
      <c r="N8" s="2"/>
      <c r="O8" s="94"/>
      <c r="P8" s="94"/>
      <c r="Q8" s="94"/>
    </row>
    <row r="9" spans="2:17" ht="24" customHeight="1">
      <c r="B9" s="94"/>
      <c r="C9" s="25"/>
      <c r="D9" s="25"/>
      <c r="E9" s="25"/>
      <c r="F9" s="25"/>
      <c r="G9" s="25"/>
      <c r="H9" s="25"/>
      <c r="I9" s="25"/>
      <c r="J9" s="94"/>
      <c r="K9" s="94"/>
      <c r="L9" s="94"/>
      <c r="M9" s="94"/>
      <c r="N9" s="94"/>
      <c r="O9" s="9"/>
      <c r="P9" s="2"/>
      <c r="Q9" s="94"/>
    </row>
    <row r="10" spans="2:17" ht="25.5" customHeight="1">
      <c r="B10" s="94"/>
      <c r="C10" s="390" t="s">
        <v>4</v>
      </c>
      <c r="D10" s="391"/>
      <c r="E10" s="391"/>
      <c r="F10" s="391"/>
      <c r="G10" s="391"/>
      <c r="H10" s="81"/>
      <c r="I10" s="81"/>
      <c r="J10" s="94"/>
      <c r="K10" s="94"/>
      <c r="L10" s="94"/>
      <c r="M10" s="94"/>
      <c r="N10" s="94"/>
      <c r="O10" s="9"/>
      <c r="P10" s="2"/>
      <c r="Q10" s="94"/>
    </row>
    <row r="11" spans="2:17" ht="24" customHeight="1">
      <c r="B11" s="94"/>
      <c r="C11" s="25"/>
      <c r="D11" s="25"/>
      <c r="E11" s="25"/>
      <c r="F11" s="25"/>
      <c r="G11" s="25"/>
      <c r="H11" s="25"/>
      <c r="I11" s="25"/>
      <c r="J11" s="94"/>
      <c r="K11" s="94"/>
      <c r="L11" s="94"/>
      <c r="M11" s="94"/>
      <c r="N11" s="94"/>
      <c r="O11" s="9"/>
      <c r="P11" s="2"/>
      <c r="Q11" s="94"/>
    </row>
    <row r="12" spans="2:17" ht="40.5" customHeight="1">
      <c r="B12" s="94"/>
      <c r="C12" s="25"/>
      <c r="D12" s="7" t="s">
        <v>5</v>
      </c>
      <c r="E12" s="7" t="s">
        <v>6</v>
      </c>
      <c r="F12" s="7" t="s">
        <v>7</v>
      </c>
      <c r="G12" s="7" t="s">
        <v>8</v>
      </c>
      <c r="H12" s="7" t="s">
        <v>8</v>
      </c>
      <c r="I12" s="7" t="s">
        <v>9</v>
      </c>
      <c r="J12" s="382" t="s">
        <v>10</v>
      </c>
      <c r="K12" s="94"/>
      <c r="L12" s="94"/>
      <c r="M12" s="94"/>
      <c r="N12" s="94"/>
      <c r="O12" s="9"/>
      <c r="P12" s="2"/>
      <c r="Q12" s="94"/>
    </row>
    <row r="13" spans="2:17" ht="24" customHeight="1">
      <c r="B13" s="94"/>
      <c r="C13" s="25"/>
      <c r="D13" s="128" t="str">
        <f>'1) Tableau budgétaire 1'!D13</f>
        <v>PNUD GUINEE</v>
      </c>
      <c r="E13" s="111" t="str">
        <f>'1) Tableau budgétaire 1'!F13</f>
        <v>PNUD MALI</v>
      </c>
      <c r="F13" s="114" t="str">
        <f>'1) Tableau budgétaire 1'!H13</f>
        <v>UNFPA GUINEE</v>
      </c>
      <c r="G13" s="117" t="str">
        <f>'1) Tableau budgétaire 1'!J13</f>
        <v>UNFPA MALI</v>
      </c>
      <c r="H13" s="119" t="str">
        <f>'1) Tableau budgétaire 1'!L13</f>
        <v>UNODC GUINEE</v>
      </c>
      <c r="I13" s="119" t="str">
        <f>'1) Tableau budgétaire 1'!N13</f>
        <v>UNODC MALI</v>
      </c>
      <c r="J13" s="383"/>
      <c r="K13" s="94"/>
      <c r="L13" s="94"/>
      <c r="M13" s="94"/>
      <c r="N13" s="94"/>
      <c r="O13" s="9"/>
      <c r="P13" s="2"/>
      <c r="Q13" s="94"/>
    </row>
    <row r="14" spans="2:17" ht="24" customHeight="1">
      <c r="B14" s="378" t="s">
        <v>11</v>
      </c>
      <c r="C14" s="379"/>
      <c r="D14" s="379"/>
      <c r="E14" s="379"/>
      <c r="F14" s="379"/>
      <c r="G14" s="379"/>
      <c r="H14" s="379"/>
      <c r="I14" s="379"/>
      <c r="J14" s="380"/>
      <c r="K14" s="94"/>
      <c r="L14" s="94"/>
      <c r="M14" s="94"/>
      <c r="N14" s="94"/>
      <c r="O14" s="9"/>
      <c r="P14" s="2"/>
      <c r="Q14" s="94"/>
    </row>
    <row r="15" spans="2:17" ht="22.5" customHeight="1">
      <c r="B15" s="94"/>
      <c r="C15" s="378" t="s">
        <v>12</v>
      </c>
      <c r="D15" s="379"/>
      <c r="E15" s="379"/>
      <c r="F15" s="379"/>
      <c r="G15" s="379"/>
      <c r="H15" s="379"/>
      <c r="I15" s="379"/>
      <c r="J15" s="380"/>
      <c r="K15" s="94"/>
      <c r="L15" s="94"/>
      <c r="M15" s="94"/>
      <c r="N15" s="94"/>
      <c r="O15" s="9"/>
      <c r="P15" s="2"/>
      <c r="Q15" s="94"/>
    </row>
    <row r="16" spans="2:17" ht="24.75" customHeight="1" thickBot="1">
      <c r="B16" s="94"/>
      <c r="C16" s="35" t="s">
        <v>13</v>
      </c>
      <c r="D16" s="129">
        <f>'1) Tableau budgétaire 1'!D22</f>
        <v>245000</v>
      </c>
      <c r="E16" s="140">
        <f>'1) Tableau budgétaire 1'!F22</f>
        <v>222579.44</v>
      </c>
      <c r="F16" s="150">
        <f>'1) Tableau budgétaire 1'!H22</f>
        <v>0</v>
      </c>
      <c r="G16" s="161">
        <f>'1) Tableau budgétaire 1'!J22</f>
        <v>0</v>
      </c>
      <c r="H16" s="171">
        <f>'1) Tableau budgétaire 1'!L22</f>
        <v>0</v>
      </c>
      <c r="I16" s="171">
        <f>'1) Tableau budgétaire 1'!N22</f>
        <v>0</v>
      </c>
      <c r="J16" s="36">
        <f>SUM(D16:I16)</f>
        <v>467579.44</v>
      </c>
      <c r="K16" s="94"/>
      <c r="L16" s="94"/>
      <c r="M16" s="94"/>
      <c r="N16" s="94"/>
      <c r="O16" s="9"/>
      <c r="P16" s="2"/>
      <c r="Q16" s="94"/>
    </row>
    <row r="17" spans="3:17" ht="21.75" customHeight="1" thickBot="1">
      <c r="C17" s="34" t="s">
        <v>14</v>
      </c>
      <c r="D17" s="130"/>
      <c r="E17" s="141"/>
      <c r="F17" s="151"/>
      <c r="G17" s="162"/>
      <c r="H17" s="172"/>
      <c r="I17" s="172"/>
      <c r="J17" s="36">
        <f t="shared" ref="J17:J24" si="0">SUM(D17:I17)</f>
        <v>0</v>
      </c>
      <c r="K17" s="94"/>
      <c r="L17" s="94"/>
      <c r="M17" s="94"/>
      <c r="N17" s="94"/>
      <c r="O17" s="94"/>
      <c r="P17" s="94"/>
      <c r="Q17" s="94"/>
    </row>
    <row r="18" spans="3:17" ht="16.5" thickBot="1">
      <c r="C18" s="26" t="s">
        <v>15</v>
      </c>
      <c r="D18" s="131"/>
      <c r="E18" s="109"/>
      <c r="F18" s="112"/>
      <c r="G18" s="115"/>
      <c r="H18" s="118"/>
      <c r="I18" s="172"/>
      <c r="J18" s="36">
        <f t="shared" si="0"/>
        <v>0</v>
      </c>
      <c r="K18" s="94"/>
      <c r="L18" s="94"/>
      <c r="M18" s="94"/>
      <c r="N18" s="94"/>
      <c r="O18" s="94"/>
      <c r="P18" s="94"/>
      <c r="Q18" s="94"/>
    </row>
    <row r="19" spans="3:17" ht="15.75" customHeight="1" thickBot="1">
      <c r="C19" s="26" t="s">
        <v>16</v>
      </c>
      <c r="D19" s="131"/>
      <c r="E19" s="142"/>
      <c r="F19" s="152"/>
      <c r="G19" s="163"/>
      <c r="H19" s="173"/>
      <c r="I19" s="198"/>
      <c r="J19" s="36">
        <f t="shared" si="0"/>
        <v>0</v>
      </c>
      <c r="K19" s="94"/>
      <c r="L19" s="94"/>
      <c r="M19" s="94"/>
      <c r="N19" s="94"/>
      <c r="O19" s="94"/>
      <c r="P19" s="94"/>
      <c r="Q19" s="94"/>
    </row>
    <row r="20" spans="3:17" ht="16.5" thickBot="1">
      <c r="C20" s="27" t="s">
        <v>17</v>
      </c>
      <c r="D20" s="131">
        <v>80000</v>
      </c>
      <c r="E20" s="142">
        <v>66773.831999999995</v>
      </c>
      <c r="F20" s="152"/>
      <c r="G20" s="163"/>
      <c r="H20" s="173"/>
      <c r="I20" s="198"/>
      <c r="J20" s="36">
        <f t="shared" si="0"/>
        <v>146773.83199999999</v>
      </c>
      <c r="K20" s="94"/>
      <c r="L20" s="94"/>
      <c r="M20" s="94"/>
      <c r="N20" s="94"/>
      <c r="O20" s="94"/>
      <c r="P20" s="94"/>
      <c r="Q20" s="94"/>
    </row>
    <row r="21" spans="3:17" ht="16.5" thickBot="1">
      <c r="C21" s="26" t="s">
        <v>18</v>
      </c>
      <c r="D21" s="131">
        <v>65000</v>
      </c>
      <c r="E21" s="142">
        <v>44515.887999999999</v>
      </c>
      <c r="F21" s="152"/>
      <c r="G21" s="163"/>
      <c r="H21" s="173"/>
      <c r="I21" s="198"/>
      <c r="J21" s="36">
        <f t="shared" si="0"/>
        <v>109515.88800000001</v>
      </c>
      <c r="K21" s="94"/>
      <c r="L21" s="94"/>
      <c r="M21" s="94"/>
      <c r="N21" s="94"/>
      <c r="O21" s="94"/>
      <c r="P21" s="94"/>
      <c r="Q21" s="94"/>
    </row>
    <row r="22" spans="3:17" ht="21.75" customHeight="1" thickBot="1">
      <c r="C22" s="26" t="s">
        <v>19</v>
      </c>
      <c r="D22" s="131">
        <v>100000</v>
      </c>
      <c r="E22" s="142">
        <v>111289.72</v>
      </c>
      <c r="F22" s="152"/>
      <c r="G22" s="163"/>
      <c r="H22" s="173"/>
      <c r="I22" s="198"/>
      <c r="J22" s="36">
        <f>SUM(D22:I22)</f>
        <v>211289.72</v>
      </c>
      <c r="K22" s="94"/>
      <c r="L22" s="182"/>
      <c r="M22" s="94"/>
      <c r="N22" s="94"/>
      <c r="O22" s="94"/>
      <c r="P22" s="94"/>
      <c r="Q22" s="94"/>
    </row>
    <row r="23" spans="3:17" ht="24.95" customHeight="1" thickBot="1">
      <c r="C23" s="26" t="s">
        <v>20</v>
      </c>
      <c r="D23" s="131"/>
      <c r="E23" s="142"/>
      <c r="F23" s="152"/>
      <c r="G23" s="163"/>
      <c r="H23" s="173"/>
      <c r="I23" s="198"/>
      <c r="J23" s="36">
        <f t="shared" si="0"/>
        <v>0</v>
      </c>
      <c r="K23" s="94"/>
      <c r="L23" s="94"/>
      <c r="M23" s="94"/>
      <c r="N23" s="94"/>
      <c r="O23" s="94"/>
      <c r="P23" s="94"/>
      <c r="Q23" s="94"/>
    </row>
    <row r="24" spans="3:17" ht="21.75" customHeight="1" thickBot="1">
      <c r="C24" s="30" t="s">
        <v>21</v>
      </c>
      <c r="D24" s="132">
        <f t="shared" ref="D24:I24" si="1">SUM(D17:D23)</f>
        <v>245000</v>
      </c>
      <c r="E24" s="143">
        <f t="shared" si="1"/>
        <v>222579.44</v>
      </c>
      <c r="F24" s="153">
        <f t="shared" si="1"/>
        <v>0</v>
      </c>
      <c r="G24" s="164">
        <f t="shared" si="1"/>
        <v>0</v>
      </c>
      <c r="H24" s="174">
        <f t="shared" si="1"/>
        <v>0</v>
      </c>
      <c r="I24" s="174">
        <f t="shared" si="1"/>
        <v>0</v>
      </c>
      <c r="J24" s="36">
        <f t="shared" si="0"/>
        <v>467579.44</v>
      </c>
      <c r="K24" s="94"/>
      <c r="L24" s="94"/>
      <c r="M24" s="94"/>
      <c r="N24" s="94"/>
      <c r="O24" s="94"/>
      <c r="P24" s="94"/>
      <c r="Q24" s="94"/>
    </row>
    <row r="25" spans="3:17" s="29" customFormat="1">
      <c r="C25" s="37"/>
      <c r="D25" s="38"/>
      <c r="E25" s="38"/>
      <c r="F25" s="38"/>
      <c r="G25" s="38"/>
      <c r="H25" s="38"/>
      <c r="I25" s="38"/>
      <c r="J25" s="58"/>
      <c r="K25" s="95"/>
      <c r="L25" s="95"/>
      <c r="M25" s="95"/>
      <c r="N25" s="95"/>
      <c r="O25" s="95"/>
      <c r="P25" s="95"/>
      <c r="Q25" s="95"/>
    </row>
    <row r="26" spans="3:17">
      <c r="C26" s="378" t="s">
        <v>22</v>
      </c>
      <c r="D26" s="379"/>
      <c r="E26" s="379"/>
      <c r="F26" s="379"/>
      <c r="G26" s="379"/>
      <c r="H26" s="379"/>
      <c r="I26" s="379"/>
      <c r="J26" s="380"/>
      <c r="K26" s="94"/>
      <c r="L26" s="94"/>
      <c r="M26" s="94"/>
      <c r="N26" s="94"/>
      <c r="O26" s="94"/>
      <c r="P26" s="94"/>
      <c r="Q26" s="94"/>
    </row>
    <row r="27" spans="3:17" ht="21" customHeight="1" thickBot="1">
      <c r="C27" s="35" t="s">
        <v>23</v>
      </c>
      <c r="D27" s="129">
        <f>'1) Tableau budgétaire 1'!D27</f>
        <v>220000</v>
      </c>
      <c r="E27" s="140">
        <f>'1) Tableau budgétaire 1'!F27</f>
        <v>220000</v>
      </c>
      <c r="F27" s="150">
        <f>'1) Tableau budgétaire 1'!H27</f>
        <v>0</v>
      </c>
      <c r="G27" s="161">
        <f>'1) Tableau budgétaire 1'!J27</f>
        <v>0</v>
      </c>
      <c r="H27" s="171">
        <f>'1) Tableau budgétaire 1'!L27</f>
        <v>0</v>
      </c>
      <c r="I27" s="171">
        <f>'1) Tableau budgétaire 1'!N27</f>
        <v>0</v>
      </c>
      <c r="J27" s="36">
        <f>SUM(D27:I27)</f>
        <v>440000</v>
      </c>
      <c r="K27" s="94"/>
      <c r="L27" s="94"/>
      <c r="M27" s="94"/>
      <c r="N27" s="94"/>
      <c r="O27" s="94"/>
      <c r="P27" s="94"/>
      <c r="Q27" s="94"/>
    </row>
    <row r="28" spans="3:17" ht="16.5" thickBot="1">
      <c r="C28" s="34" t="s">
        <v>14</v>
      </c>
      <c r="D28" s="130"/>
      <c r="E28" s="141"/>
      <c r="F28" s="151"/>
      <c r="G28" s="162"/>
      <c r="H28" s="172"/>
      <c r="I28" s="199"/>
      <c r="J28" s="36">
        <f t="shared" ref="J28:J33" si="2">SUM(D28:I28)</f>
        <v>0</v>
      </c>
      <c r="K28" s="94"/>
      <c r="L28" s="94"/>
      <c r="M28" s="94"/>
      <c r="N28" s="94"/>
      <c r="O28" s="94"/>
      <c r="P28" s="94"/>
      <c r="Q28" s="94"/>
    </row>
    <row r="29" spans="3:17">
      <c r="C29" s="26" t="s">
        <v>15</v>
      </c>
      <c r="D29" s="131">
        <v>5000</v>
      </c>
      <c r="E29" s="109">
        <v>33000</v>
      </c>
      <c r="F29" s="112"/>
      <c r="G29" s="115"/>
      <c r="H29" s="118"/>
      <c r="I29" s="200"/>
      <c r="J29" s="36">
        <f t="shared" si="2"/>
        <v>38000</v>
      </c>
      <c r="K29" s="94"/>
      <c r="L29" s="94"/>
      <c r="M29" s="94"/>
      <c r="N29" s="94"/>
      <c r="O29" s="94"/>
      <c r="P29" s="94"/>
      <c r="Q29" s="94"/>
    </row>
    <row r="30" spans="3:17" ht="32.25" thickBot="1">
      <c r="C30" s="26" t="s">
        <v>16</v>
      </c>
      <c r="D30" s="131"/>
      <c r="E30" s="142"/>
      <c r="F30" s="152"/>
      <c r="G30" s="163"/>
      <c r="H30" s="173"/>
      <c r="I30" s="201"/>
      <c r="J30" s="36">
        <f t="shared" si="2"/>
        <v>0</v>
      </c>
      <c r="K30" s="94"/>
      <c r="L30" s="94"/>
      <c r="M30" s="94"/>
      <c r="N30" s="94"/>
      <c r="O30" s="94"/>
      <c r="P30" s="94"/>
      <c r="Q30" s="94"/>
    </row>
    <row r="31" spans="3:17">
      <c r="C31" s="27" t="s">
        <v>17</v>
      </c>
      <c r="D31" s="131">
        <v>35000</v>
      </c>
      <c r="E31" s="142">
        <v>44000</v>
      </c>
      <c r="F31" s="152"/>
      <c r="G31" s="163"/>
      <c r="H31" s="173"/>
      <c r="I31" s="201"/>
      <c r="J31" s="36">
        <f t="shared" si="2"/>
        <v>79000</v>
      </c>
      <c r="K31" s="94"/>
      <c r="L31" s="94"/>
      <c r="M31" s="94"/>
      <c r="N31" s="94"/>
      <c r="O31" s="94"/>
      <c r="P31" s="94"/>
      <c r="Q31" s="94"/>
    </row>
    <row r="32" spans="3:17">
      <c r="C32" s="26" t="s">
        <v>18</v>
      </c>
      <c r="D32" s="131">
        <v>20000</v>
      </c>
      <c r="E32" s="142">
        <v>44000</v>
      </c>
      <c r="F32" s="152"/>
      <c r="G32" s="163"/>
      <c r="H32" s="173"/>
      <c r="I32" s="201"/>
      <c r="J32" s="36">
        <f t="shared" si="2"/>
        <v>64000</v>
      </c>
      <c r="K32" s="94"/>
      <c r="L32" s="94"/>
      <c r="M32" s="94"/>
      <c r="N32" s="94"/>
      <c r="O32" s="94"/>
      <c r="P32" s="94"/>
      <c r="Q32" s="94"/>
    </row>
    <row r="33" spans="3:17">
      <c r="C33" s="26" t="s">
        <v>19</v>
      </c>
      <c r="D33" s="131">
        <v>160000</v>
      </c>
      <c r="E33" s="142">
        <v>99000</v>
      </c>
      <c r="F33" s="152"/>
      <c r="G33" s="163"/>
      <c r="H33" s="173"/>
      <c r="I33" s="201"/>
      <c r="J33" s="36">
        <f t="shared" si="2"/>
        <v>259000</v>
      </c>
      <c r="K33" s="94"/>
      <c r="L33" s="94"/>
      <c r="M33" s="94"/>
      <c r="N33" s="94"/>
      <c r="O33" s="94"/>
      <c r="P33" s="94"/>
      <c r="Q33" s="94"/>
    </row>
    <row r="34" spans="3:17" ht="24" customHeight="1" thickBot="1">
      <c r="C34" s="26" t="s">
        <v>20</v>
      </c>
      <c r="D34" s="131"/>
      <c r="E34" s="142"/>
      <c r="F34" s="152"/>
      <c r="G34" s="163"/>
      <c r="H34" s="173"/>
      <c r="I34" s="201"/>
      <c r="J34" s="36">
        <f>SUM(D34:I34)</f>
        <v>0</v>
      </c>
      <c r="K34" s="94"/>
      <c r="L34" s="94"/>
      <c r="M34" s="94"/>
      <c r="N34" s="94"/>
      <c r="O34" s="94"/>
      <c r="P34" s="94"/>
      <c r="Q34" s="94"/>
    </row>
    <row r="35" spans="3:17" ht="18.95" customHeight="1" thickBot="1">
      <c r="C35" s="30" t="s">
        <v>21</v>
      </c>
      <c r="D35" s="132">
        <f t="shared" ref="D35:I35" si="3">SUM(D28:D34)</f>
        <v>220000</v>
      </c>
      <c r="E35" s="143">
        <f t="shared" si="3"/>
        <v>220000</v>
      </c>
      <c r="F35" s="153">
        <f t="shared" si="3"/>
        <v>0</v>
      </c>
      <c r="G35" s="164">
        <f t="shared" si="3"/>
        <v>0</v>
      </c>
      <c r="H35" s="174">
        <f t="shared" si="3"/>
        <v>0</v>
      </c>
      <c r="I35" s="174">
        <f t="shared" si="3"/>
        <v>0</v>
      </c>
      <c r="J35" s="36">
        <f>SUM(D35:I35)</f>
        <v>440000</v>
      </c>
      <c r="K35" s="94"/>
      <c r="L35" s="94"/>
      <c r="M35" s="94"/>
      <c r="N35" s="94"/>
      <c r="O35" s="94"/>
      <c r="P35" s="94"/>
      <c r="Q35" s="94"/>
    </row>
    <row r="36" spans="3:17" s="29" customFormat="1">
      <c r="C36" s="37"/>
      <c r="D36" s="38"/>
      <c r="E36" s="38"/>
      <c r="F36" s="38"/>
      <c r="G36" s="38"/>
      <c r="H36" s="38"/>
      <c r="I36" s="38"/>
      <c r="J36" s="39"/>
      <c r="K36" s="95"/>
      <c r="L36" s="95"/>
      <c r="M36" s="95"/>
      <c r="N36" s="95"/>
      <c r="O36" s="95"/>
      <c r="P36" s="95"/>
      <c r="Q36" s="95"/>
    </row>
    <row r="37" spans="3:17">
      <c r="C37" s="378" t="s">
        <v>24</v>
      </c>
      <c r="D37" s="379"/>
      <c r="E37" s="379"/>
      <c r="F37" s="379"/>
      <c r="G37" s="379"/>
      <c r="H37" s="379"/>
      <c r="I37" s="379"/>
      <c r="J37" s="380"/>
      <c r="K37" s="94"/>
      <c r="L37" s="94"/>
      <c r="M37" s="94"/>
      <c r="N37" s="94"/>
      <c r="O37" s="94"/>
      <c r="P37" s="94"/>
      <c r="Q37" s="94"/>
    </row>
    <row r="38" spans="3:17" ht="21.75" customHeight="1" thickBot="1">
      <c r="C38" s="35" t="s">
        <v>25</v>
      </c>
      <c r="D38" s="129">
        <f>'1) Tableau budgétaire 1'!D32</f>
        <v>271000</v>
      </c>
      <c r="E38" s="140">
        <f>'1) Tableau budgétaire 1'!F32</f>
        <v>292000</v>
      </c>
      <c r="F38" s="150">
        <f>'1) Tableau budgétaire 1'!H32</f>
        <v>0</v>
      </c>
      <c r="G38" s="161">
        <f>'1) Tableau budgétaire 1'!J32</f>
        <v>0</v>
      </c>
      <c r="H38" s="171">
        <f>'1) Tableau budgétaire 1'!L32</f>
        <v>0</v>
      </c>
      <c r="I38" s="171">
        <f>'1) Tableau budgétaire 1'!N32</f>
        <v>0</v>
      </c>
      <c r="J38" s="36">
        <f>SUM(D38:I38)</f>
        <v>563000</v>
      </c>
      <c r="K38" s="94"/>
      <c r="L38" s="94"/>
      <c r="M38" s="94"/>
      <c r="N38" s="94"/>
      <c r="O38" s="94"/>
      <c r="P38" s="94"/>
      <c r="Q38" s="94"/>
    </row>
    <row r="39" spans="3:17" ht="16.5" thickBot="1">
      <c r="C39" s="34" t="s">
        <v>14</v>
      </c>
      <c r="D39" s="130"/>
      <c r="E39" s="141"/>
      <c r="F39" s="151"/>
      <c r="G39" s="162"/>
      <c r="H39" s="172"/>
      <c r="I39" s="199"/>
      <c r="J39" s="36">
        <f t="shared" ref="J39:J45" si="4">SUM(D39:I39)</f>
        <v>0</v>
      </c>
      <c r="K39" s="94"/>
      <c r="L39" s="94"/>
      <c r="M39" s="94"/>
      <c r="N39" s="94"/>
      <c r="O39" s="94"/>
      <c r="P39" s="94"/>
      <c r="Q39" s="94"/>
    </row>
    <row r="40" spans="3:17" s="29" customFormat="1" ht="17.25" customHeight="1" thickBot="1">
      <c r="C40" s="26" t="s">
        <v>15</v>
      </c>
      <c r="D40" s="131">
        <v>5000</v>
      </c>
      <c r="E40" s="109">
        <v>13800</v>
      </c>
      <c r="F40" s="112"/>
      <c r="G40" s="115"/>
      <c r="H40" s="118"/>
      <c r="I40" s="200"/>
      <c r="J40" s="36">
        <f t="shared" si="4"/>
        <v>18800</v>
      </c>
      <c r="K40" s="95"/>
      <c r="L40" s="95"/>
      <c r="M40" s="95"/>
      <c r="N40" s="95"/>
      <c r="O40" s="95"/>
      <c r="P40" s="95"/>
      <c r="Q40" s="95"/>
    </row>
    <row r="41" spans="3:17" s="29" customFormat="1" ht="32.25" thickBot="1">
      <c r="C41" s="26" t="s">
        <v>16</v>
      </c>
      <c r="D41" s="131"/>
      <c r="E41" s="142"/>
      <c r="F41" s="152"/>
      <c r="G41" s="163"/>
      <c r="H41" s="173"/>
      <c r="I41" s="201"/>
      <c r="J41" s="36">
        <f t="shared" si="4"/>
        <v>0</v>
      </c>
      <c r="K41" s="95"/>
      <c r="L41" s="183"/>
      <c r="M41" s="95"/>
      <c r="N41" s="95"/>
      <c r="O41" s="95"/>
      <c r="P41" s="95"/>
      <c r="Q41" s="95"/>
    </row>
    <row r="42" spans="3:17" s="29" customFormat="1" ht="15.75" customHeight="1" thickBot="1">
      <c r="C42" s="27" t="s">
        <v>17</v>
      </c>
      <c r="D42" s="131">
        <v>20000</v>
      </c>
      <c r="E42" s="142"/>
      <c r="F42" s="152"/>
      <c r="G42" s="163"/>
      <c r="H42" s="173"/>
      <c r="I42" s="201"/>
      <c r="J42" s="36">
        <f t="shared" si="4"/>
        <v>20000</v>
      </c>
      <c r="K42" s="95"/>
      <c r="L42" s="95"/>
      <c r="M42" s="95"/>
      <c r="N42" s="95"/>
      <c r="O42" s="95"/>
      <c r="P42" s="95"/>
      <c r="Q42" s="95"/>
    </row>
    <row r="43" spans="3:17">
      <c r="C43" s="26" t="s">
        <v>18</v>
      </c>
      <c r="D43" s="131">
        <v>15000</v>
      </c>
      <c r="E43" s="142">
        <v>78200</v>
      </c>
      <c r="F43" s="152"/>
      <c r="G43" s="163"/>
      <c r="H43" s="173"/>
      <c r="I43" s="201"/>
      <c r="J43" s="36">
        <f t="shared" si="4"/>
        <v>93200</v>
      </c>
      <c r="K43" s="94"/>
      <c r="L43" s="94"/>
      <c r="M43" s="94"/>
      <c r="N43" s="94"/>
      <c r="O43" s="94"/>
      <c r="P43" s="94"/>
      <c r="Q43" s="94"/>
    </row>
    <row r="44" spans="3:17">
      <c r="C44" s="26" t="s">
        <v>19</v>
      </c>
      <c r="D44" s="131">
        <v>231000</v>
      </c>
      <c r="E44" s="142">
        <v>200000</v>
      </c>
      <c r="F44" s="152"/>
      <c r="G44" s="163"/>
      <c r="H44" s="173"/>
      <c r="I44" s="201"/>
      <c r="J44" s="36">
        <f t="shared" si="4"/>
        <v>431000</v>
      </c>
      <c r="K44" s="94"/>
      <c r="L44" s="94"/>
      <c r="M44" s="94"/>
      <c r="N44" s="94"/>
      <c r="O44" s="94"/>
      <c r="P44" s="94"/>
      <c r="Q44" s="94"/>
    </row>
    <row r="45" spans="3:17" ht="18" customHeight="1" thickBot="1">
      <c r="C45" s="26" t="s">
        <v>20</v>
      </c>
      <c r="D45" s="131"/>
      <c r="E45" s="142"/>
      <c r="F45" s="152"/>
      <c r="G45" s="163"/>
      <c r="H45" s="173"/>
      <c r="I45" s="201"/>
      <c r="J45" s="36">
        <f t="shared" si="4"/>
        <v>0</v>
      </c>
      <c r="K45" s="94"/>
      <c r="L45" s="94"/>
      <c r="M45" s="94"/>
      <c r="N45" s="94"/>
      <c r="O45" s="94"/>
      <c r="P45" s="94"/>
      <c r="Q45" s="94"/>
    </row>
    <row r="46" spans="3:17" ht="20.25" customHeight="1" thickBot="1">
      <c r="C46" s="61" t="s">
        <v>21</v>
      </c>
      <c r="D46" s="133">
        <f t="shared" ref="D46:I46" si="5">SUM(D39:D45)</f>
        <v>271000</v>
      </c>
      <c r="E46" s="144">
        <f t="shared" si="5"/>
        <v>292000</v>
      </c>
      <c r="F46" s="154">
        <f t="shared" si="5"/>
        <v>0</v>
      </c>
      <c r="G46" s="165">
        <f t="shared" si="5"/>
        <v>0</v>
      </c>
      <c r="H46" s="175">
        <f t="shared" si="5"/>
        <v>0</v>
      </c>
      <c r="I46" s="175">
        <f t="shared" si="5"/>
        <v>0</v>
      </c>
      <c r="J46" s="36">
        <f>SUM(D46:I46)</f>
        <v>563000</v>
      </c>
      <c r="K46" s="94"/>
      <c r="L46" s="94"/>
      <c r="M46" s="94"/>
      <c r="N46" s="94"/>
      <c r="O46" s="94"/>
      <c r="P46" s="94"/>
      <c r="Q46" s="94"/>
    </row>
    <row r="47" spans="3:17">
      <c r="C47" s="96"/>
      <c r="D47" s="97"/>
      <c r="E47" s="97"/>
      <c r="F47" s="97"/>
      <c r="G47" s="97"/>
      <c r="H47" s="97"/>
      <c r="I47" s="97"/>
      <c r="J47" s="98"/>
      <c r="K47" s="94"/>
      <c r="L47" s="94"/>
      <c r="M47" s="94"/>
      <c r="N47" s="94"/>
      <c r="O47" s="94"/>
      <c r="P47" s="94"/>
      <c r="Q47" s="94"/>
    </row>
    <row r="48" spans="3:17" s="29" customFormat="1" hidden="1">
      <c r="C48" s="387" t="s">
        <v>26</v>
      </c>
      <c r="D48" s="388"/>
      <c r="E48" s="388"/>
      <c r="F48" s="388"/>
      <c r="G48" s="388"/>
      <c r="H48" s="388"/>
      <c r="I48" s="388"/>
      <c r="J48" s="389"/>
      <c r="K48" s="95"/>
      <c r="L48" s="95"/>
      <c r="M48" s="95"/>
      <c r="N48" s="95"/>
      <c r="O48" s="95"/>
      <c r="P48" s="95"/>
      <c r="Q48" s="95"/>
    </row>
    <row r="49" spans="2:17" ht="20.25" hidden="1" customHeight="1" thickBot="1">
      <c r="B49" s="94"/>
      <c r="C49" s="35" t="s">
        <v>27</v>
      </c>
      <c r="D49" s="129" t="e">
        <f>'1) Tableau budgétaire 1'!#REF!</f>
        <v>#REF!</v>
      </c>
      <c r="E49" s="140" t="e">
        <f>'1) Tableau budgétaire 1'!#REF!</f>
        <v>#REF!</v>
      </c>
      <c r="F49" s="150" t="e">
        <f>'1) Tableau budgétaire 1'!#REF!</f>
        <v>#REF!</v>
      </c>
      <c r="G49" s="161" t="e">
        <f>'1) Tableau budgétaire 1'!#REF!</f>
        <v>#REF!</v>
      </c>
      <c r="H49" s="171" t="e">
        <f>'1) Tableau budgétaire 1'!#REF!</f>
        <v>#REF!</v>
      </c>
      <c r="I49" s="171"/>
      <c r="J49" s="36" t="e">
        <f>SUM(D49:H49)</f>
        <v>#REF!</v>
      </c>
      <c r="K49" s="94"/>
      <c r="L49" s="94"/>
      <c r="M49" s="94"/>
      <c r="N49" s="94"/>
      <c r="O49" s="94"/>
      <c r="P49" s="94"/>
      <c r="Q49" s="94"/>
    </row>
    <row r="50" spans="2:17" ht="16.5" hidden="1" thickBot="1">
      <c r="B50" s="94"/>
      <c r="C50" s="34" t="s">
        <v>14</v>
      </c>
      <c r="D50" s="130"/>
      <c r="E50" s="141"/>
      <c r="F50" s="151"/>
      <c r="G50" s="162"/>
      <c r="H50" s="172"/>
      <c r="I50" s="199"/>
      <c r="J50" s="36">
        <f t="shared" ref="J50:J57" si="6">SUM(D50:H50)</f>
        <v>0</v>
      </c>
      <c r="K50" s="94"/>
      <c r="L50" s="94"/>
      <c r="M50" s="94"/>
      <c r="N50" s="94"/>
      <c r="O50" s="94"/>
      <c r="P50" s="94"/>
      <c r="Q50" s="94"/>
    </row>
    <row r="51" spans="2:17" ht="15.75" hidden="1" customHeight="1" thickBot="1">
      <c r="B51" s="94"/>
      <c r="C51" s="26" t="s">
        <v>15</v>
      </c>
      <c r="D51" s="131"/>
      <c r="E51" s="109"/>
      <c r="F51" s="112"/>
      <c r="G51" s="115"/>
      <c r="H51" s="118"/>
      <c r="I51" s="200"/>
      <c r="J51" s="36">
        <f t="shared" si="6"/>
        <v>0</v>
      </c>
      <c r="K51" s="94"/>
      <c r="L51" s="94"/>
      <c r="M51" s="94"/>
      <c r="N51" s="94"/>
      <c r="O51" s="94"/>
      <c r="P51" s="94"/>
      <c r="Q51" s="94"/>
    </row>
    <row r="52" spans="2:17" ht="32.25" hidden="1" customHeight="1" thickBot="1">
      <c r="B52" s="94"/>
      <c r="C52" s="26" t="s">
        <v>16</v>
      </c>
      <c r="D52" s="131"/>
      <c r="E52" s="142"/>
      <c r="F52" s="152"/>
      <c r="G52" s="163"/>
      <c r="H52" s="173"/>
      <c r="I52" s="201"/>
      <c r="J52" s="36">
        <f t="shared" si="6"/>
        <v>0</v>
      </c>
      <c r="K52" s="94"/>
      <c r="L52" s="94"/>
      <c r="M52" s="94"/>
      <c r="N52" s="94"/>
      <c r="O52" s="94"/>
      <c r="P52" s="94"/>
      <c r="Q52" s="94"/>
    </row>
    <row r="53" spans="2:17" s="29" customFormat="1" ht="16.5" hidden="1" thickBot="1">
      <c r="B53" s="95"/>
      <c r="C53" s="27" t="s">
        <v>17</v>
      </c>
      <c r="D53" s="131"/>
      <c r="E53" s="142"/>
      <c r="F53" s="152"/>
      <c r="G53" s="163"/>
      <c r="H53" s="173"/>
      <c r="I53" s="201"/>
      <c r="J53" s="36">
        <f t="shared" si="6"/>
        <v>0</v>
      </c>
      <c r="K53" s="95"/>
      <c r="L53" s="95"/>
      <c r="M53" s="95"/>
      <c r="N53" s="95"/>
      <c r="O53" s="95"/>
      <c r="P53" s="95"/>
      <c r="Q53" s="95"/>
    </row>
    <row r="54" spans="2:17" ht="16.5" hidden="1" thickBot="1">
      <c r="B54" s="94"/>
      <c r="C54" s="26" t="s">
        <v>18</v>
      </c>
      <c r="D54" s="131"/>
      <c r="E54" s="142"/>
      <c r="F54" s="152"/>
      <c r="G54" s="163"/>
      <c r="H54" s="173"/>
      <c r="I54" s="201"/>
      <c r="J54" s="36">
        <f t="shared" si="6"/>
        <v>0</v>
      </c>
      <c r="K54" s="94"/>
      <c r="L54" s="94"/>
      <c r="M54" s="94"/>
      <c r="N54" s="94"/>
      <c r="O54" s="94"/>
      <c r="P54" s="94"/>
      <c r="Q54" s="94"/>
    </row>
    <row r="55" spans="2:17" ht="16.5" hidden="1" thickBot="1">
      <c r="B55" s="94"/>
      <c r="C55" s="26" t="s">
        <v>19</v>
      </c>
      <c r="D55" s="131"/>
      <c r="E55" s="142"/>
      <c r="F55" s="152"/>
      <c r="G55" s="163"/>
      <c r="H55" s="173"/>
      <c r="I55" s="201"/>
      <c r="J55" s="36">
        <f t="shared" si="6"/>
        <v>0</v>
      </c>
      <c r="K55" s="94"/>
      <c r="L55" s="94"/>
      <c r="M55" s="94"/>
      <c r="N55" s="94"/>
      <c r="O55" s="94"/>
      <c r="P55" s="94"/>
      <c r="Q55" s="94"/>
    </row>
    <row r="56" spans="2:17" ht="32.25" hidden="1" thickBot="1">
      <c r="B56" s="94"/>
      <c r="C56" s="26" t="s">
        <v>20</v>
      </c>
      <c r="D56" s="131"/>
      <c r="E56" s="142"/>
      <c r="F56" s="152"/>
      <c r="G56" s="163"/>
      <c r="H56" s="173"/>
      <c r="I56" s="201"/>
      <c r="J56" s="36">
        <f t="shared" si="6"/>
        <v>0</v>
      </c>
      <c r="K56" s="94"/>
      <c r="L56" s="94"/>
      <c r="M56" s="94"/>
      <c r="N56" s="94"/>
      <c r="O56" s="94"/>
      <c r="P56" s="94"/>
      <c r="Q56" s="94"/>
    </row>
    <row r="57" spans="2:17" ht="21" hidden="1" customHeight="1" thickBot="1">
      <c r="B57" s="94"/>
      <c r="C57" s="30" t="s">
        <v>21</v>
      </c>
      <c r="D57" s="132">
        <f>SUM(D50:D56)</f>
        <v>0</v>
      </c>
      <c r="E57" s="143">
        <f>SUM(E50:E56)</f>
        <v>0</v>
      </c>
      <c r="F57" s="153">
        <f>SUM(F50:F56)</f>
        <v>0</v>
      </c>
      <c r="G57" s="164">
        <f>SUM(G50:G56)</f>
        <v>0</v>
      </c>
      <c r="H57" s="174">
        <f>SUM(H50:H56)</f>
        <v>0</v>
      </c>
      <c r="I57" s="175"/>
      <c r="J57" s="36">
        <f t="shared" si="6"/>
        <v>0</v>
      </c>
      <c r="K57" s="94"/>
      <c r="L57" s="94"/>
      <c r="M57" s="94"/>
      <c r="N57" s="94"/>
      <c r="O57" s="94"/>
      <c r="P57" s="94"/>
      <c r="Q57" s="94"/>
    </row>
    <row r="58" spans="2:17" s="29" customFormat="1" ht="22.5" customHeight="1">
      <c r="B58" s="95"/>
      <c r="C58" s="40"/>
      <c r="D58" s="38"/>
      <c r="E58" s="38"/>
      <c r="F58" s="38"/>
      <c r="G58" s="38"/>
      <c r="H58" s="38"/>
      <c r="I58" s="38"/>
      <c r="J58" s="39"/>
      <c r="K58" s="95"/>
      <c r="L58" s="95"/>
      <c r="M58" s="95"/>
      <c r="N58" s="95"/>
      <c r="O58" s="95"/>
      <c r="P58" s="95"/>
      <c r="Q58" s="95"/>
    </row>
    <row r="59" spans="2:17">
      <c r="B59" s="378" t="s">
        <v>28</v>
      </c>
      <c r="C59" s="379"/>
      <c r="D59" s="379"/>
      <c r="E59" s="379"/>
      <c r="F59" s="379"/>
      <c r="G59" s="379"/>
      <c r="H59" s="379"/>
      <c r="I59" s="379"/>
      <c r="J59" s="380"/>
      <c r="K59" s="94"/>
      <c r="L59" s="94"/>
      <c r="M59" s="94"/>
      <c r="N59" s="94"/>
      <c r="O59" s="94"/>
      <c r="P59" s="94"/>
      <c r="Q59" s="94"/>
    </row>
    <row r="60" spans="2:17">
      <c r="B60" s="94"/>
      <c r="C60" s="378" t="s">
        <v>29</v>
      </c>
      <c r="D60" s="379"/>
      <c r="E60" s="379"/>
      <c r="F60" s="379"/>
      <c r="G60" s="379"/>
      <c r="H60" s="379"/>
      <c r="I60" s="379"/>
      <c r="J60" s="380"/>
      <c r="K60" s="94"/>
      <c r="L60" s="94"/>
      <c r="M60" s="94"/>
      <c r="N60" s="94"/>
      <c r="O60" s="94"/>
      <c r="P60" s="94"/>
      <c r="Q60" s="94"/>
    </row>
    <row r="61" spans="2:17" ht="24" customHeight="1" thickBot="1">
      <c r="B61" s="94"/>
      <c r="C61" s="35" t="s">
        <v>30</v>
      </c>
      <c r="D61" s="129">
        <f>'1) Tableau budgétaire 1'!D37</f>
        <v>0</v>
      </c>
      <c r="E61" s="140">
        <f>'1) Tableau budgétaire 1'!F37</f>
        <v>0</v>
      </c>
      <c r="F61" s="150">
        <f>'1) Tableau budgétaire 1'!H37</f>
        <v>0</v>
      </c>
      <c r="G61" s="161">
        <f>'1) Tableau budgétaire 1'!J37</f>
        <v>0</v>
      </c>
      <c r="H61" s="171">
        <f>'1) Tableau budgétaire 1'!L37</f>
        <v>61600</v>
      </c>
      <c r="I61" s="171">
        <f>'1) Tableau budgétaire 1'!N37</f>
        <v>48400</v>
      </c>
      <c r="J61" s="36">
        <f>SUM(D61:I61)</f>
        <v>110000</v>
      </c>
      <c r="K61" s="94"/>
      <c r="L61" s="94"/>
      <c r="M61" s="94"/>
      <c r="N61" s="94"/>
      <c r="O61" s="94"/>
      <c r="P61" s="94"/>
      <c r="Q61" s="94"/>
    </row>
    <row r="62" spans="2:17" ht="15.75" customHeight="1" thickBot="1">
      <c r="B62" s="94"/>
      <c r="C62" s="34" t="s">
        <v>14</v>
      </c>
      <c r="D62" s="130"/>
      <c r="E62" s="141"/>
      <c r="F62" s="151"/>
      <c r="G62" s="162"/>
      <c r="H62" s="173"/>
      <c r="I62" s="173"/>
      <c r="J62" s="36">
        <f t="shared" ref="J62:J68" si="7">SUM(D62:I62)</f>
        <v>0</v>
      </c>
      <c r="K62" s="94"/>
      <c r="L62" s="94"/>
      <c r="M62" s="94"/>
      <c r="N62" s="94"/>
      <c r="O62" s="94"/>
      <c r="P62" s="94"/>
      <c r="Q62" s="94"/>
    </row>
    <row r="63" spans="2:17" ht="15.75" customHeight="1" thickBot="1">
      <c r="B63" s="94"/>
      <c r="C63" s="26" t="s">
        <v>15</v>
      </c>
      <c r="D63" s="131"/>
      <c r="E63" s="109"/>
      <c r="F63" s="112"/>
      <c r="G63" s="115"/>
      <c r="H63" s="118"/>
      <c r="I63" s="118"/>
      <c r="J63" s="36">
        <f t="shared" si="7"/>
        <v>0</v>
      </c>
      <c r="K63" s="94"/>
      <c r="L63" s="94"/>
      <c r="M63" s="94"/>
      <c r="N63" s="94"/>
      <c r="O63" s="94"/>
      <c r="P63" s="94"/>
      <c r="Q63" s="94"/>
    </row>
    <row r="64" spans="2:17" ht="36.75" customHeight="1" thickBot="1">
      <c r="B64" s="94"/>
      <c r="C64" s="26" t="s">
        <v>16</v>
      </c>
      <c r="D64" s="131"/>
      <c r="E64" s="142"/>
      <c r="F64" s="152"/>
      <c r="G64" s="163"/>
      <c r="H64" s="173"/>
      <c r="I64" s="201"/>
      <c r="J64" s="36">
        <f t="shared" si="7"/>
        <v>0</v>
      </c>
      <c r="K64" s="94"/>
      <c r="L64" s="94"/>
      <c r="M64" s="94"/>
      <c r="N64" s="94"/>
      <c r="O64" s="94"/>
      <c r="P64" s="94"/>
      <c r="Q64" s="94"/>
    </row>
    <row r="65" spans="2:17" ht="18.75" customHeight="1" thickBot="1">
      <c r="B65" s="94"/>
      <c r="C65" s="27" t="s">
        <v>17</v>
      </c>
      <c r="D65" s="131"/>
      <c r="E65" s="142"/>
      <c r="F65" s="152"/>
      <c r="G65" s="163"/>
      <c r="H65" s="173">
        <f>20000*56%</f>
        <v>11200.000000000002</v>
      </c>
      <c r="I65" s="201">
        <f>20000*44%</f>
        <v>8800</v>
      </c>
      <c r="J65" s="36">
        <f t="shared" si="7"/>
        <v>20000</v>
      </c>
      <c r="K65" s="94"/>
      <c r="L65" s="94"/>
      <c r="M65" s="94"/>
      <c r="N65" s="94"/>
      <c r="O65" s="94"/>
      <c r="P65" s="94"/>
      <c r="Q65" s="94"/>
    </row>
    <row r="66" spans="2:17">
      <c r="B66" s="94"/>
      <c r="C66" s="26" t="s">
        <v>18</v>
      </c>
      <c r="D66" s="131"/>
      <c r="E66" s="142"/>
      <c r="F66" s="152"/>
      <c r="G66" s="163"/>
      <c r="H66" s="176">
        <f>32300*56%</f>
        <v>18088</v>
      </c>
      <c r="I66" s="202">
        <f>32300*44%</f>
        <v>14212</v>
      </c>
      <c r="J66" s="36">
        <f t="shared" si="7"/>
        <v>32300</v>
      </c>
      <c r="K66" s="94"/>
      <c r="L66" s="94"/>
      <c r="M66" s="94"/>
      <c r="N66" s="94"/>
      <c r="O66" s="94"/>
      <c r="P66" s="94"/>
      <c r="Q66" s="94"/>
    </row>
    <row r="67" spans="2:17" s="29" customFormat="1" ht="21.75" customHeight="1" thickBot="1">
      <c r="B67" s="94"/>
      <c r="C67" s="26" t="s">
        <v>19</v>
      </c>
      <c r="D67" s="131"/>
      <c r="E67" s="142"/>
      <c r="F67" s="152"/>
      <c r="G67" s="163"/>
      <c r="H67" s="173">
        <f>50000*56%</f>
        <v>28000.000000000004</v>
      </c>
      <c r="I67" s="201">
        <f>50000*44%</f>
        <v>22000</v>
      </c>
      <c r="J67" s="36">
        <f t="shared" si="7"/>
        <v>50000</v>
      </c>
      <c r="K67" s="95"/>
      <c r="L67" s="95"/>
      <c r="M67" s="95"/>
      <c r="N67" s="95"/>
      <c r="O67" s="95"/>
      <c r="P67" s="95"/>
      <c r="Q67" s="95"/>
    </row>
    <row r="68" spans="2:17" s="29" customFormat="1" ht="18.600000000000001" customHeight="1">
      <c r="B68" s="94"/>
      <c r="C68" s="26" t="s">
        <v>20</v>
      </c>
      <c r="D68" s="131"/>
      <c r="E68" s="142"/>
      <c r="F68" s="152"/>
      <c r="G68" s="163"/>
      <c r="H68" s="173">
        <f>7700*56%</f>
        <v>4312</v>
      </c>
      <c r="I68" s="201">
        <f>7700*44%</f>
        <v>3388</v>
      </c>
      <c r="J68" s="36">
        <f t="shared" si="7"/>
        <v>7700</v>
      </c>
      <c r="K68" s="95"/>
      <c r="L68" s="95"/>
      <c r="M68" s="95"/>
      <c r="N68" s="95"/>
      <c r="O68" s="95"/>
      <c r="P68" s="95"/>
      <c r="Q68" s="95"/>
    </row>
    <row r="69" spans="2:17" ht="18.75" customHeight="1" thickBot="1">
      <c r="B69" s="94"/>
      <c r="C69" s="30" t="s">
        <v>21</v>
      </c>
      <c r="D69" s="132">
        <f t="shared" ref="D69:I69" si="8">SUM(D62:D68)</f>
        <v>0</v>
      </c>
      <c r="E69" s="143">
        <f t="shared" si="8"/>
        <v>0</v>
      </c>
      <c r="F69" s="153">
        <f t="shared" si="8"/>
        <v>0</v>
      </c>
      <c r="G69" s="164">
        <f t="shared" si="8"/>
        <v>0</v>
      </c>
      <c r="H69" s="174">
        <f t="shared" si="8"/>
        <v>61600</v>
      </c>
      <c r="I69" s="174">
        <f t="shared" si="8"/>
        <v>48400</v>
      </c>
      <c r="J69" s="36">
        <f>SUM(D69:I69)</f>
        <v>110000</v>
      </c>
      <c r="K69" s="94"/>
      <c r="L69" s="94"/>
      <c r="M69" s="94"/>
      <c r="N69" s="94"/>
      <c r="O69" s="94"/>
      <c r="P69" s="94"/>
      <c r="Q69" s="94"/>
    </row>
    <row r="70" spans="2:17" s="29" customFormat="1">
      <c r="B70" s="95"/>
      <c r="C70" s="37"/>
      <c r="D70" s="38"/>
      <c r="E70" s="38"/>
      <c r="F70" s="38"/>
      <c r="G70" s="38"/>
      <c r="H70" s="38"/>
      <c r="I70" s="38"/>
      <c r="J70" s="39"/>
      <c r="K70" s="95"/>
      <c r="L70" s="95"/>
      <c r="M70" s="95"/>
      <c r="N70" s="95"/>
      <c r="O70" s="95"/>
      <c r="P70" s="95"/>
      <c r="Q70" s="95"/>
    </row>
    <row r="71" spans="2:17">
      <c r="B71" s="95"/>
      <c r="C71" s="378" t="s">
        <v>31</v>
      </c>
      <c r="D71" s="379"/>
      <c r="E71" s="379"/>
      <c r="F71" s="379"/>
      <c r="G71" s="379"/>
      <c r="H71" s="379"/>
      <c r="I71" s="379"/>
      <c r="J71" s="380"/>
      <c r="K71" s="94"/>
      <c r="L71" s="94"/>
      <c r="M71" s="94"/>
      <c r="N71" s="94"/>
      <c r="O71" s="94"/>
      <c r="P71" s="94"/>
      <c r="Q71" s="94"/>
    </row>
    <row r="72" spans="2:17" ht="21.75" customHeight="1" thickBot="1">
      <c r="B72" s="94"/>
      <c r="C72" s="35" t="s">
        <v>32</v>
      </c>
      <c r="D72" s="129">
        <f>'1) Tableau budgétaire 1'!D46</f>
        <v>0</v>
      </c>
      <c r="E72" s="140">
        <f>'1) Tableau budgétaire 1'!F46</f>
        <v>0</v>
      </c>
      <c r="F72" s="150">
        <f>'1) Tableau budgétaire 1'!H46</f>
        <v>0</v>
      </c>
      <c r="G72" s="161">
        <f>'1) Tableau budgétaire 1'!J46</f>
        <v>0</v>
      </c>
      <c r="H72" s="171">
        <f>'1) Tableau budgétaire 1'!L41</f>
        <v>58800.000000000007</v>
      </c>
      <c r="I72" s="171">
        <f>'1) Tableau budgétaire 1'!N41</f>
        <v>46200</v>
      </c>
      <c r="J72" s="36">
        <f>SUM(D72:I72)</f>
        <v>105000</v>
      </c>
      <c r="K72" s="94"/>
      <c r="L72" s="94"/>
      <c r="M72" s="94"/>
      <c r="N72" s="94"/>
      <c r="O72" s="94"/>
      <c r="P72" s="94"/>
      <c r="Q72" s="94"/>
    </row>
    <row r="73" spans="2:17" ht="15.75" customHeight="1" thickBot="1">
      <c r="B73" s="94"/>
      <c r="C73" s="34" t="s">
        <v>14</v>
      </c>
      <c r="D73" s="130"/>
      <c r="E73" s="141"/>
      <c r="F73" s="151"/>
      <c r="G73" s="162"/>
      <c r="H73" s="172"/>
      <c r="I73" s="199"/>
      <c r="J73" s="36">
        <f t="shared" ref="J73:J79" si="9">SUM(D73:I73)</f>
        <v>0</v>
      </c>
      <c r="K73" s="94"/>
      <c r="L73" s="94"/>
      <c r="M73" s="94"/>
      <c r="N73" s="94"/>
      <c r="O73" s="94"/>
      <c r="P73" s="94"/>
      <c r="Q73" s="94"/>
    </row>
    <row r="74" spans="2:17" ht="15.75" customHeight="1" thickBot="1">
      <c r="B74" s="94"/>
      <c r="C74" s="26" t="s">
        <v>15</v>
      </c>
      <c r="D74" s="131"/>
      <c r="E74" s="109"/>
      <c r="F74" s="112"/>
      <c r="G74" s="115"/>
      <c r="H74" s="118">
        <f>10000*56%</f>
        <v>5600.0000000000009</v>
      </c>
      <c r="I74" s="200">
        <f>10000*44%</f>
        <v>4400</v>
      </c>
      <c r="J74" s="36">
        <f t="shared" si="9"/>
        <v>10000</v>
      </c>
      <c r="K74" s="94"/>
      <c r="L74" s="94"/>
      <c r="M74" s="94"/>
      <c r="N74" s="94"/>
      <c r="O74" s="94"/>
      <c r="P74" s="94"/>
      <c r="Q74" s="94"/>
    </row>
    <row r="75" spans="2:17" ht="33" customHeight="1" thickBot="1">
      <c r="B75" s="94"/>
      <c r="C75" s="26" t="s">
        <v>16</v>
      </c>
      <c r="D75" s="131"/>
      <c r="E75" s="142"/>
      <c r="F75" s="152"/>
      <c r="G75" s="163"/>
      <c r="H75" s="173"/>
      <c r="I75" s="201"/>
      <c r="J75" s="36">
        <f t="shared" si="9"/>
        <v>0</v>
      </c>
      <c r="K75" s="94"/>
      <c r="L75" s="94"/>
      <c r="M75" s="94"/>
      <c r="N75" s="94"/>
      <c r="O75" s="94"/>
      <c r="P75" s="94"/>
      <c r="Q75" s="94"/>
    </row>
    <row r="76" spans="2:17">
      <c r="B76" s="94"/>
      <c r="C76" s="27" t="s">
        <v>17</v>
      </c>
      <c r="D76" s="131"/>
      <c r="E76" s="142"/>
      <c r="F76" s="152"/>
      <c r="G76" s="163"/>
      <c r="H76" s="173">
        <f>52650*56%</f>
        <v>29484.000000000004</v>
      </c>
      <c r="I76" s="201">
        <f>52650*44%</f>
        <v>23166</v>
      </c>
      <c r="J76" s="36">
        <f t="shared" si="9"/>
        <v>52650</v>
      </c>
      <c r="K76" s="94"/>
      <c r="L76" s="94"/>
      <c r="M76" s="94"/>
      <c r="N76" s="94"/>
      <c r="O76" s="94"/>
      <c r="P76" s="94"/>
      <c r="Q76" s="94"/>
    </row>
    <row r="77" spans="2:17">
      <c r="B77" s="94"/>
      <c r="C77" s="26" t="s">
        <v>18</v>
      </c>
      <c r="D77" s="131"/>
      <c r="E77" s="142"/>
      <c r="F77" s="152"/>
      <c r="G77" s="163"/>
      <c r="H77" s="173">
        <f>35000*56%</f>
        <v>19600.000000000004</v>
      </c>
      <c r="I77" s="201">
        <f>35000*44%</f>
        <v>15400</v>
      </c>
      <c r="J77" s="36">
        <f t="shared" si="9"/>
        <v>35000</v>
      </c>
      <c r="K77" s="94"/>
      <c r="L77" s="94"/>
      <c r="M77" s="94"/>
      <c r="N77" s="94"/>
      <c r="O77" s="94"/>
      <c r="P77" s="94"/>
      <c r="Q77" s="94"/>
    </row>
    <row r="78" spans="2:17">
      <c r="B78" s="94"/>
      <c r="C78" s="26" t="s">
        <v>19</v>
      </c>
      <c r="D78" s="131"/>
      <c r="E78" s="142"/>
      <c r="F78" s="152"/>
      <c r="G78" s="163"/>
      <c r="H78" s="173"/>
      <c r="I78" s="201"/>
      <c r="J78" s="36">
        <f t="shared" si="9"/>
        <v>0</v>
      </c>
      <c r="K78" s="94"/>
      <c r="L78" s="94"/>
      <c r="M78" s="94"/>
      <c r="N78" s="94"/>
      <c r="O78" s="94"/>
      <c r="P78" s="94"/>
      <c r="Q78" s="94"/>
    </row>
    <row r="79" spans="2:17" ht="22.5" customHeight="1">
      <c r="B79" s="94"/>
      <c r="C79" s="26" t="s">
        <v>20</v>
      </c>
      <c r="D79" s="131"/>
      <c r="E79" s="142"/>
      <c r="F79" s="152"/>
      <c r="G79" s="163"/>
      <c r="H79" s="173">
        <f>7350*56%</f>
        <v>4116</v>
      </c>
      <c r="I79" s="201">
        <f>7350*44%</f>
        <v>3234</v>
      </c>
      <c r="J79" s="36">
        <f t="shared" si="9"/>
        <v>7350</v>
      </c>
      <c r="K79" s="94"/>
      <c r="L79" s="94"/>
      <c r="M79" s="94"/>
      <c r="N79" s="94"/>
      <c r="O79" s="94"/>
      <c r="P79" s="94"/>
      <c r="Q79" s="94"/>
    </row>
    <row r="80" spans="2:17" ht="16.5" thickBot="1">
      <c r="B80" s="94"/>
      <c r="C80" s="30" t="s">
        <v>21</v>
      </c>
      <c r="D80" s="132">
        <f t="shared" ref="D80:I80" si="10">SUM(D73:D79)</f>
        <v>0</v>
      </c>
      <c r="E80" s="143">
        <f t="shared" si="10"/>
        <v>0</v>
      </c>
      <c r="F80" s="153">
        <f t="shared" si="10"/>
        <v>0</v>
      </c>
      <c r="G80" s="164">
        <f t="shared" si="10"/>
        <v>0</v>
      </c>
      <c r="H80" s="174">
        <f t="shared" si="10"/>
        <v>58800.000000000015</v>
      </c>
      <c r="I80" s="174">
        <f t="shared" si="10"/>
        <v>46200</v>
      </c>
      <c r="J80" s="36">
        <f>SUM(D80:I80)</f>
        <v>105000.00000000001</v>
      </c>
      <c r="K80" s="94"/>
      <c r="L80" s="94"/>
      <c r="M80" s="94"/>
      <c r="N80" s="94"/>
      <c r="O80" s="94"/>
      <c r="P80" s="94"/>
      <c r="Q80" s="94"/>
    </row>
    <row r="81" spans="2:17" s="29" customFormat="1">
      <c r="B81" s="95"/>
      <c r="C81" s="37"/>
      <c r="D81" s="38"/>
      <c r="E81" s="38"/>
      <c r="F81" s="38"/>
      <c r="G81" s="38"/>
      <c r="H81" s="38"/>
      <c r="I81" s="38"/>
      <c r="J81" s="39"/>
      <c r="K81" s="95"/>
      <c r="L81" s="95"/>
      <c r="M81" s="95"/>
      <c r="N81" s="95"/>
      <c r="O81" s="95"/>
      <c r="P81" s="95"/>
      <c r="Q81" s="95"/>
    </row>
    <row r="82" spans="2:17">
      <c r="B82" s="94"/>
      <c r="C82" s="378" t="s">
        <v>33</v>
      </c>
      <c r="D82" s="379"/>
      <c r="E82" s="379"/>
      <c r="F82" s="379"/>
      <c r="G82" s="379"/>
      <c r="H82" s="379"/>
      <c r="I82" s="379"/>
      <c r="J82" s="380"/>
      <c r="K82" s="94"/>
      <c r="L82" s="94"/>
      <c r="M82" s="94"/>
      <c r="N82" s="94"/>
      <c r="O82" s="94"/>
      <c r="P82" s="94"/>
      <c r="Q82" s="94"/>
    </row>
    <row r="83" spans="2:17" ht="21.75" customHeight="1" thickBot="1">
      <c r="B83" s="95"/>
      <c r="C83" s="35" t="s">
        <v>34</v>
      </c>
      <c r="D83" s="129">
        <v>0</v>
      </c>
      <c r="E83" s="140">
        <v>0</v>
      </c>
      <c r="F83" s="150">
        <v>0</v>
      </c>
      <c r="G83" s="161">
        <v>0</v>
      </c>
      <c r="H83" s="171">
        <f>'1) Tableau budgétaire 1'!L46</f>
        <v>100800</v>
      </c>
      <c r="I83" s="171">
        <f>'1) Tableau budgétaire 1'!N46</f>
        <v>79200</v>
      </c>
      <c r="J83" s="36">
        <f>SUM(D83:I83)</f>
        <v>180000</v>
      </c>
      <c r="K83" s="94"/>
      <c r="L83" s="94"/>
      <c r="M83" s="94"/>
      <c r="N83" s="94"/>
      <c r="O83" s="94"/>
      <c r="P83" s="94"/>
      <c r="Q83" s="94"/>
    </row>
    <row r="84" spans="2:17" ht="18" customHeight="1" thickBot="1">
      <c r="B84" s="94"/>
      <c r="C84" s="34" t="s">
        <v>14</v>
      </c>
      <c r="D84" s="130"/>
      <c r="E84" s="141"/>
      <c r="F84" s="151"/>
      <c r="G84" s="162"/>
      <c r="H84" s="172"/>
      <c r="I84" s="199"/>
      <c r="J84" s="36">
        <f>SUM(D84:I84)</f>
        <v>0</v>
      </c>
      <c r="K84" s="94"/>
      <c r="L84" s="94"/>
      <c r="M84" s="94"/>
      <c r="N84" s="94"/>
      <c r="O84" s="94"/>
      <c r="P84" s="94"/>
      <c r="Q84" s="94"/>
    </row>
    <row r="85" spans="2:17" ht="15.75" customHeight="1" thickBot="1">
      <c r="B85" s="94"/>
      <c r="C85" s="26" t="s">
        <v>15</v>
      </c>
      <c r="D85" s="131"/>
      <c r="E85" s="109"/>
      <c r="F85" s="112"/>
      <c r="G85" s="115"/>
      <c r="H85" s="118"/>
      <c r="I85" s="200"/>
      <c r="J85" s="36">
        <f t="shared" ref="J85:J90" si="11">SUM(D85:I85)</f>
        <v>0</v>
      </c>
      <c r="K85" s="94"/>
      <c r="L85" s="94"/>
      <c r="M85" s="94"/>
      <c r="N85" s="94"/>
      <c r="O85" s="94"/>
      <c r="P85" s="94"/>
      <c r="Q85" s="94"/>
    </row>
    <row r="86" spans="2:17" s="29" customFormat="1" ht="27.75" customHeight="1" thickBot="1">
      <c r="B86" s="94"/>
      <c r="C86" s="26" t="s">
        <v>16</v>
      </c>
      <c r="D86" s="131"/>
      <c r="E86" s="142"/>
      <c r="F86" s="152"/>
      <c r="G86" s="163"/>
      <c r="H86" s="173">
        <f>30000*56%</f>
        <v>16800</v>
      </c>
      <c r="I86" s="201">
        <f>30000*44%</f>
        <v>13200</v>
      </c>
      <c r="J86" s="36">
        <f t="shared" si="11"/>
        <v>30000</v>
      </c>
      <c r="K86" s="95"/>
      <c r="L86" s="95"/>
      <c r="M86" s="95"/>
      <c r="N86" s="95"/>
      <c r="O86" s="95"/>
      <c r="P86" s="95"/>
      <c r="Q86" s="95"/>
    </row>
    <row r="87" spans="2:17">
      <c r="B87" s="95"/>
      <c r="C87" s="27" t="s">
        <v>17</v>
      </c>
      <c r="D87" s="131"/>
      <c r="E87" s="142"/>
      <c r="F87" s="152"/>
      <c r="G87" s="163"/>
      <c r="H87" s="173">
        <f>99000*56%</f>
        <v>55440.000000000007</v>
      </c>
      <c r="I87" s="201">
        <f>99000*44%</f>
        <v>43560</v>
      </c>
      <c r="J87" s="36">
        <f t="shared" si="11"/>
        <v>99000</v>
      </c>
      <c r="K87" s="94"/>
      <c r="L87" s="94"/>
      <c r="M87" s="94"/>
      <c r="N87" s="94"/>
      <c r="O87" s="94"/>
      <c r="P87" s="94"/>
      <c r="Q87" s="94"/>
    </row>
    <row r="88" spans="2:17">
      <c r="B88" s="95"/>
      <c r="C88" s="26" t="s">
        <v>18</v>
      </c>
      <c r="D88" s="131"/>
      <c r="E88" s="142"/>
      <c r="F88" s="152"/>
      <c r="G88" s="163"/>
      <c r="H88" s="173">
        <f>38400*56%</f>
        <v>21504.000000000004</v>
      </c>
      <c r="I88" s="201">
        <f>38400*44%</f>
        <v>16896</v>
      </c>
      <c r="J88" s="36">
        <f t="shared" si="11"/>
        <v>38400</v>
      </c>
      <c r="K88" s="94"/>
      <c r="L88" s="94"/>
      <c r="M88" s="94"/>
      <c r="N88" s="94"/>
      <c r="O88" s="94"/>
      <c r="P88" s="94"/>
      <c r="Q88" s="94"/>
    </row>
    <row r="89" spans="2:17">
      <c r="B89" s="95"/>
      <c r="C89" s="26" t="s">
        <v>19</v>
      </c>
      <c r="D89" s="131"/>
      <c r="E89" s="142"/>
      <c r="F89" s="152"/>
      <c r="G89" s="163"/>
      <c r="H89" s="173"/>
      <c r="I89" s="201"/>
      <c r="J89" s="36">
        <f t="shared" si="11"/>
        <v>0</v>
      </c>
      <c r="K89" s="94"/>
      <c r="L89" s="94"/>
      <c r="M89" s="94"/>
      <c r="N89" s="94"/>
      <c r="O89" s="94"/>
      <c r="P89" s="94"/>
      <c r="Q89" s="94"/>
    </row>
    <row r="90" spans="2:17" ht="22.5" customHeight="1" thickBot="1">
      <c r="B90" s="94"/>
      <c r="C90" s="26" t="s">
        <v>20</v>
      </c>
      <c r="D90" s="131"/>
      <c r="E90" s="142"/>
      <c r="F90" s="152"/>
      <c r="G90" s="163"/>
      <c r="H90" s="173">
        <f>12600*56%</f>
        <v>7056.0000000000009</v>
      </c>
      <c r="I90" s="201">
        <f>12600*44%</f>
        <v>5544</v>
      </c>
      <c r="J90" s="36">
        <f t="shared" si="11"/>
        <v>12600</v>
      </c>
      <c r="K90" s="94"/>
      <c r="L90" s="94"/>
      <c r="M90" s="94"/>
      <c r="N90" s="94"/>
      <c r="O90" s="94"/>
      <c r="P90" s="94"/>
      <c r="Q90" s="94"/>
    </row>
    <row r="91" spans="2:17" ht="16.5" thickBot="1">
      <c r="B91" s="94"/>
      <c r="C91" s="30" t="s">
        <v>21</v>
      </c>
      <c r="D91" s="132">
        <f t="shared" ref="D91:I91" si="12">SUM(D84:D90)</f>
        <v>0</v>
      </c>
      <c r="E91" s="143">
        <f t="shared" si="12"/>
        <v>0</v>
      </c>
      <c r="F91" s="153">
        <f t="shared" si="12"/>
        <v>0</v>
      </c>
      <c r="G91" s="164">
        <f t="shared" si="12"/>
        <v>0</v>
      </c>
      <c r="H91" s="174">
        <f t="shared" si="12"/>
        <v>100800</v>
      </c>
      <c r="I91" s="174">
        <f t="shared" si="12"/>
        <v>79200</v>
      </c>
      <c r="J91" s="36">
        <f>SUM(D91:I91)</f>
        <v>180000</v>
      </c>
      <c r="K91" s="94"/>
      <c r="L91" s="94"/>
      <c r="M91" s="94"/>
      <c r="N91" s="94"/>
      <c r="O91" s="94"/>
      <c r="P91" s="94"/>
      <c r="Q91" s="94"/>
    </row>
    <row r="92" spans="2:17" s="29" customFormat="1">
      <c r="B92" s="95"/>
      <c r="C92" s="37"/>
      <c r="D92" s="38"/>
      <c r="E92" s="38"/>
      <c r="F92" s="38"/>
      <c r="G92" s="38"/>
      <c r="H92" s="38"/>
      <c r="I92" s="38"/>
      <c r="J92" s="39"/>
      <c r="K92" s="95"/>
      <c r="L92" s="95"/>
      <c r="M92" s="95"/>
      <c r="N92" s="95"/>
      <c r="O92" s="95"/>
      <c r="P92" s="95"/>
      <c r="Q92" s="95"/>
    </row>
    <row r="93" spans="2:17" hidden="1">
      <c r="B93" s="94"/>
      <c r="C93" s="378" t="s">
        <v>35</v>
      </c>
      <c r="D93" s="379"/>
      <c r="E93" s="379"/>
      <c r="F93" s="379"/>
      <c r="G93" s="379"/>
      <c r="H93" s="379"/>
      <c r="I93" s="379"/>
      <c r="J93" s="380"/>
      <c r="K93" s="94"/>
      <c r="L93" s="94"/>
      <c r="M93" s="94"/>
      <c r="N93" s="94"/>
      <c r="O93" s="94"/>
      <c r="P93" s="94"/>
      <c r="Q93" s="94"/>
    </row>
    <row r="94" spans="2:17" ht="21.75" hidden="1" customHeight="1" thickBot="1">
      <c r="B94" s="94"/>
      <c r="C94" s="35" t="s">
        <v>36</v>
      </c>
      <c r="D94" s="129" t="e">
        <f>'1) Tableau budgétaire 1'!#REF!</f>
        <v>#REF!</v>
      </c>
      <c r="E94" s="140" t="e">
        <f>'1) Tableau budgétaire 1'!#REF!</f>
        <v>#REF!</v>
      </c>
      <c r="F94" s="150" t="e">
        <f>'1) Tableau budgétaire 1'!#REF!</f>
        <v>#REF!</v>
      </c>
      <c r="G94" s="161" t="e">
        <f>'1) Tableau budgétaire 1'!#REF!</f>
        <v>#REF!</v>
      </c>
      <c r="H94" s="171" t="e">
        <f>'1) Tableau budgétaire 1'!#REF!</f>
        <v>#REF!</v>
      </c>
      <c r="I94" s="171"/>
      <c r="J94" s="36" t="e">
        <f>SUM(D94:H94)</f>
        <v>#REF!</v>
      </c>
      <c r="K94" s="94"/>
      <c r="L94" s="94"/>
      <c r="M94" s="94"/>
      <c r="N94" s="94"/>
      <c r="O94" s="94"/>
      <c r="P94" s="94"/>
      <c r="Q94" s="94"/>
    </row>
    <row r="95" spans="2:17" ht="15.75" hidden="1" customHeight="1" thickBot="1">
      <c r="B95" s="94"/>
      <c r="C95" s="34" t="s">
        <v>14</v>
      </c>
      <c r="D95" s="130"/>
      <c r="E95" s="141"/>
      <c r="F95" s="151"/>
      <c r="G95" s="162"/>
      <c r="H95" s="172"/>
      <c r="I95" s="199"/>
      <c r="J95" s="36">
        <f t="shared" ref="J95:J102" si="13">SUM(D95:H95)</f>
        <v>0</v>
      </c>
      <c r="K95" s="94"/>
      <c r="L95" s="94"/>
      <c r="M95" s="94"/>
      <c r="N95" s="94"/>
      <c r="O95" s="94"/>
      <c r="P95" s="94"/>
      <c r="Q95" s="94"/>
    </row>
    <row r="96" spans="2:17" ht="15.75" hidden="1" customHeight="1" thickBot="1">
      <c r="B96" s="95"/>
      <c r="C96" s="26" t="s">
        <v>15</v>
      </c>
      <c r="D96" s="131"/>
      <c r="E96" s="109"/>
      <c r="F96" s="112"/>
      <c r="G96" s="115"/>
      <c r="H96" s="118"/>
      <c r="I96" s="200"/>
      <c r="J96" s="36">
        <f t="shared" si="13"/>
        <v>0</v>
      </c>
      <c r="K96" s="94"/>
      <c r="L96" s="94"/>
      <c r="M96" s="94"/>
      <c r="N96" s="94"/>
      <c r="O96" s="94"/>
      <c r="P96" s="94"/>
      <c r="Q96" s="94"/>
    </row>
    <row r="97" spans="2:17" ht="15.75" hidden="1" customHeight="1" thickBot="1">
      <c r="B97" s="94"/>
      <c r="C97" s="26" t="s">
        <v>16</v>
      </c>
      <c r="D97" s="131"/>
      <c r="E97" s="142"/>
      <c r="F97" s="152"/>
      <c r="G97" s="163"/>
      <c r="H97" s="173"/>
      <c r="I97" s="201"/>
      <c r="J97" s="36">
        <f t="shared" si="13"/>
        <v>0</v>
      </c>
      <c r="K97" s="94"/>
      <c r="L97" s="94"/>
      <c r="M97" s="94"/>
      <c r="N97" s="94"/>
      <c r="O97" s="94"/>
      <c r="P97" s="94"/>
      <c r="Q97" s="94"/>
    </row>
    <row r="98" spans="2:17" ht="16.5" hidden="1" thickBot="1">
      <c r="B98" s="94"/>
      <c r="C98" s="27" t="s">
        <v>17</v>
      </c>
      <c r="D98" s="131"/>
      <c r="E98" s="142"/>
      <c r="F98" s="152"/>
      <c r="G98" s="163"/>
      <c r="H98" s="173"/>
      <c r="I98" s="201"/>
      <c r="J98" s="36">
        <f t="shared" si="13"/>
        <v>0</v>
      </c>
      <c r="K98" s="94"/>
      <c r="L98" s="94"/>
      <c r="M98" s="94"/>
      <c r="N98" s="94"/>
      <c r="O98" s="94"/>
      <c r="P98" s="94"/>
      <c r="Q98" s="94"/>
    </row>
    <row r="99" spans="2:17" ht="16.5" hidden="1" thickBot="1">
      <c r="B99" s="94"/>
      <c r="C99" s="26" t="s">
        <v>18</v>
      </c>
      <c r="D99" s="131"/>
      <c r="E99" s="142"/>
      <c r="F99" s="152"/>
      <c r="G99" s="163"/>
      <c r="H99" s="173"/>
      <c r="I99" s="201"/>
      <c r="J99" s="36">
        <f t="shared" si="13"/>
        <v>0</v>
      </c>
      <c r="K99" s="94"/>
      <c r="L99" s="94"/>
      <c r="M99" s="94"/>
      <c r="N99" s="94"/>
      <c r="O99" s="94"/>
      <c r="P99" s="94"/>
      <c r="Q99" s="94"/>
    </row>
    <row r="100" spans="2:17" ht="25.5" hidden="1" customHeight="1" thickBot="1">
      <c r="B100" s="94"/>
      <c r="C100" s="26" t="s">
        <v>19</v>
      </c>
      <c r="D100" s="131"/>
      <c r="E100" s="142"/>
      <c r="F100" s="152"/>
      <c r="G100" s="163"/>
      <c r="H100" s="173"/>
      <c r="I100" s="201"/>
      <c r="J100" s="36">
        <f t="shared" si="13"/>
        <v>0</v>
      </c>
      <c r="K100" s="94"/>
      <c r="L100" s="94"/>
      <c r="M100" s="94"/>
      <c r="N100" s="94"/>
      <c r="O100" s="94"/>
      <c r="P100" s="94"/>
      <c r="Q100" s="94"/>
    </row>
    <row r="101" spans="2:17" ht="32.25" hidden="1" thickBot="1">
      <c r="B101" s="95"/>
      <c r="C101" s="26" t="s">
        <v>20</v>
      </c>
      <c r="D101" s="131"/>
      <c r="E101" s="142"/>
      <c r="F101" s="152"/>
      <c r="G101" s="163"/>
      <c r="H101" s="173"/>
      <c r="I101" s="201"/>
      <c r="J101" s="36">
        <f t="shared" si="13"/>
        <v>0</v>
      </c>
      <c r="K101" s="94"/>
      <c r="L101" s="94"/>
      <c r="M101" s="94"/>
      <c r="N101" s="94"/>
      <c r="O101" s="94"/>
      <c r="P101" s="94"/>
      <c r="Q101" s="94"/>
    </row>
    <row r="102" spans="2:17" ht="15.75" hidden="1" customHeight="1" thickBot="1">
      <c r="B102" s="94"/>
      <c r="C102" s="30" t="s">
        <v>21</v>
      </c>
      <c r="D102" s="132">
        <f>SUM(D95:D101)</f>
        <v>0</v>
      </c>
      <c r="E102" s="143">
        <f>SUM(E95:E101)</f>
        <v>0</v>
      </c>
      <c r="F102" s="153">
        <f>SUM(F95:F101)</f>
        <v>0</v>
      </c>
      <c r="G102" s="164">
        <f>SUM(G95:G101)</f>
        <v>0</v>
      </c>
      <c r="H102" s="174">
        <f>SUM(H95:H101)</f>
        <v>0</v>
      </c>
      <c r="I102" s="175"/>
      <c r="J102" s="36">
        <f t="shared" si="13"/>
        <v>0</v>
      </c>
      <c r="K102" s="94"/>
      <c r="L102" s="94"/>
      <c r="M102" s="94"/>
      <c r="N102" s="94"/>
      <c r="O102" s="94"/>
      <c r="P102" s="94"/>
      <c r="Q102" s="94"/>
    </row>
    <row r="103" spans="2:17" ht="25.5" hidden="1" customHeight="1">
      <c r="B103" s="94"/>
      <c r="C103" s="94"/>
      <c r="D103" s="94"/>
      <c r="E103" s="94"/>
      <c r="F103" s="94"/>
      <c r="G103" s="94"/>
      <c r="H103" s="94"/>
      <c r="I103" s="94"/>
      <c r="J103" s="94"/>
      <c r="K103" s="94"/>
      <c r="L103" s="94"/>
      <c r="M103" s="94"/>
      <c r="N103" s="94"/>
      <c r="O103" s="94"/>
      <c r="P103" s="94"/>
      <c r="Q103" s="94"/>
    </row>
    <row r="104" spans="2:17">
      <c r="B104" s="378" t="s">
        <v>37</v>
      </c>
      <c r="C104" s="379"/>
      <c r="D104" s="379"/>
      <c r="E104" s="379"/>
      <c r="F104" s="379"/>
      <c r="G104" s="379"/>
      <c r="H104" s="379"/>
      <c r="I104" s="379"/>
      <c r="J104" s="380"/>
      <c r="K104" s="94"/>
      <c r="L104" s="94"/>
      <c r="M104" s="94"/>
      <c r="N104" s="94"/>
      <c r="O104" s="94"/>
      <c r="P104" s="94"/>
      <c r="Q104" s="94"/>
    </row>
    <row r="105" spans="2:17">
      <c r="B105" s="94"/>
      <c r="C105" s="378" t="s">
        <v>38</v>
      </c>
      <c r="D105" s="379"/>
      <c r="E105" s="379"/>
      <c r="F105" s="379"/>
      <c r="G105" s="379"/>
      <c r="H105" s="379"/>
      <c r="I105" s="379"/>
      <c r="J105" s="380"/>
      <c r="K105" s="94"/>
      <c r="L105" s="94"/>
      <c r="M105" s="94"/>
      <c r="N105" s="94"/>
      <c r="O105" s="94"/>
      <c r="P105" s="94"/>
      <c r="Q105" s="94"/>
    </row>
    <row r="106" spans="2:17" ht="22.5" customHeight="1" thickBot="1">
      <c r="B106" s="94"/>
      <c r="C106" s="35" t="s">
        <v>39</v>
      </c>
      <c r="D106" s="129">
        <f>'1) Tableau budgétaire 1'!F51</f>
        <v>0</v>
      </c>
      <c r="E106" s="140"/>
      <c r="F106" s="150">
        <f>'1) Tableau budgétaire 1'!H51</f>
        <v>110000</v>
      </c>
      <c r="G106" s="161">
        <f>'1) Tableau budgétaire 1'!J51</f>
        <v>110000</v>
      </c>
      <c r="H106" s="171">
        <f>'1) Tableau budgétaire 1'!L51</f>
        <v>0</v>
      </c>
      <c r="I106" s="171">
        <f>'1) Tableau budgétaire 1'!N51</f>
        <v>0</v>
      </c>
      <c r="J106" s="36">
        <f>SUM(D106:I106)</f>
        <v>220000</v>
      </c>
      <c r="K106" s="94"/>
      <c r="L106" s="94"/>
      <c r="M106" s="94"/>
      <c r="N106" s="94"/>
      <c r="O106" s="94"/>
      <c r="P106" s="94"/>
      <c r="Q106" s="94"/>
    </row>
    <row r="107" spans="2:17" ht="16.5" thickBot="1">
      <c r="B107" s="94"/>
      <c r="C107" s="34" t="s">
        <v>14</v>
      </c>
      <c r="D107" s="130"/>
      <c r="E107" s="141"/>
      <c r="F107" s="151"/>
      <c r="G107" s="162"/>
      <c r="H107" s="172"/>
      <c r="I107" s="199"/>
      <c r="J107" s="36">
        <f t="shared" ref="J107:J113" si="14">SUM(D107:I107)</f>
        <v>0</v>
      </c>
      <c r="K107" s="94"/>
      <c r="L107" s="94"/>
      <c r="M107" s="94"/>
      <c r="N107" s="94"/>
      <c r="O107" s="94"/>
      <c r="P107" s="94"/>
      <c r="Q107" s="94"/>
    </row>
    <row r="108" spans="2:17" ht="16.5" thickBot="1">
      <c r="B108" s="94"/>
      <c r="C108" s="26" t="s">
        <v>15</v>
      </c>
      <c r="D108" s="131"/>
      <c r="E108" s="109"/>
      <c r="F108" s="112"/>
      <c r="G108" s="115"/>
      <c r="H108" s="118"/>
      <c r="I108" s="200"/>
      <c r="J108" s="36">
        <f t="shared" si="14"/>
        <v>0</v>
      </c>
      <c r="K108" s="94"/>
      <c r="L108" s="94"/>
      <c r="M108" s="94"/>
      <c r="N108" s="94"/>
      <c r="O108" s="94"/>
      <c r="P108" s="94"/>
      <c r="Q108" s="94"/>
    </row>
    <row r="109" spans="2:17" ht="35.25" customHeight="1" thickBot="1">
      <c r="B109" s="94"/>
      <c r="C109" s="26" t="s">
        <v>16</v>
      </c>
      <c r="D109" s="131"/>
      <c r="E109" s="142"/>
      <c r="F109" s="152"/>
      <c r="G109" s="163"/>
      <c r="H109" s="173"/>
      <c r="I109" s="201"/>
      <c r="J109" s="36">
        <f t="shared" si="14"/>
        <v>0</v>
      </c>
      <c r="K109" s="94"/>
      <c r="L109" s="94"/>
      <c r="M109" s="94"/>
      <c r="N109" s="94"/>
      <c r="O109" s="94"/>
      <c r="P109" s="94"/>
      <c r="Q109" s="94"/>
    </row>
    <row r="110" spans="2:17" ht="21.75" customHeight="1" thickBot="1">
      <c r="B110" s="94"/>
      <c r="C110" s="27" t="s">
        <v>17</v>
      </c>
      <c r="D110" s="131"/>
      <c r="E110" s="142"/>
      <c r="F110" s="155">
        <f>'1) Tableau budgétaire 1'!J49+'1) Tableau budgétaire 1'!J50</f>
        <v>110000</v>
      </c>
      <c r="G110" s="163">
        <f>'1) Tableau budgétaire 1'!J49+'1) Tableau budgétaire 1'!J50</f>
        <v>110000</v>
      </c>
      <c r="H110" s="173"/>
      <c r="I110" s="201"/>
      <c r="J110" s="36">
        <f t="shared" si="14"/>
        <v>220000</v>
      </c>
      <c r="K110" s="94"/>
      <c r="L110" s="94"/>
      <c r="M110" s="94"/>
      <c r="N110" s="94"/>
      <c r="O110" s="94"/>
      <c r="P110" s="94"/>
      <c r="Q110" s="94"/>
    </row>
    <row r="111" spans="2:17" ht="16.5" thickBot="1">
      <c r="B111" s="94"/>
      <c r="C111" s="26" t="s">
        <v>18</v>
      </c>
      <c r="D111" s="131"/>
      <c r="E111" s="142"/>
      <c r="F111" s="152"/>
      <c r="G111" s="163"/>
      <c r="H111" s="173"/>
      <c r="I111" s="201"/>
      <c r="J111" s="36">
        <f t="shared" si="14"/>
        <v>0</v>
      </c>
      <c r="K111" s="94"/>
      <c r="L111" s="94"/>
      <c r="M111" s="94"/>
      <c r="N111" s="94"/>
      <c r="O111" s="94"/>
      <c r="P111" s="94"/>
      <c r="Q111" s="94"/>
    </row>
    <row r="112" spans="2:17" ht="16.5" thickBot="1">
      <c r="B112" s="94"/>
      <c r="C112" s="26" t="s">
        <v>19</v>
      </c>
      <c r="D112" s="131"/>
      <c r="E112" s="142"/>
      <c r="F112" s="152"/>
      <c r="G112" s="163"/>
      <c r="H112" s="173"/>
      <c r="I112" s="201"/>
      <c r="J112" s="36">
        <f t="shared" si="14"/>
        <v>0</v>
      </c>
      <c r="K112" s="94"/>
      <c r="L112" s="94"/>
      <c r="M112" s="94"/>
      <c r="N112" s="94"/>
      <c r="O112" s="94"/>
      <c r="P112" s="94"/>
      <c r="Q112" s="94"/>
    </row>
    <row r="113" spans="3:17" ht="24" customHeight="1" thickBot="1">
      <c r="C113" s="26" t="s">
        <v>20</v>
      </c>
      <c r="D113" s="131"/>
      <c r="E113" s="142"/>
      <c r="F113" s="152"/>
      <c r="G113" s="163"/>
      <c r="H113" s="173"/>
      <c r="I113" s="201"/>
      <c r="J113" s="36">
        <f t="shared" si="14"/>
        <v>0</v>
      </c>
      <c r="K113" s="94"/>
      <c r="L113" s="94"/>
      <c r="M113" s="94"/>
      <c r="N113" s="94"/>
      <c r="O113" s="94"/>
      <c r="P113" s="94"/>
      <c r="Q113" s="94"/>
    </row>
    <row r="114" spans="3:17" ht="24" customHeight="1" thickBot="1">
      <c r="C114" s="30" t="s">
        <v>21</v>
      </c>
      <c r="D114" s="132">
        <f t="shared" ref="D114:I114" si="15">SUM(D107:D113)</f>
        <v>0</v>
      </c>
      <c r="E114" s="143">
        <f t="shared" si="15"/>
        <v>0</v>
      </c>
      <c r="F114" s="153">
        <f t="shared" si="15"/>
        <v>110000</v>
      </c>
      <c r="G114" s="164">
        <f t="shared" si="15"/>
        <v>110000</v>
      </c>
      <c r="H114" s="174">
        <f t="shared" si="15"/>
        <v>0</v>
      </c>
      <c r="I114" s="174">
        <f t="shared" si="15"/>
        <v>0</v>
      </c>
      <c r="J114" s="36">
        <f>SUM(D114:I114)</f>
        <v>220000</v>
      </c>
      <c r="K114" s="94"/>
      <c r="L114" s="94"/>
      <c r="M114" s="94"/>
      <c r="N114" s="94"/>
      <c r="O114" s="94"/>
      <c r="P114" s="94"/>
      <c r="Q114" s="94"/>
    </row>
    <row r="115" spans="3:17" s="29" customFormat="1">
      <c r="C115" s="37"/>
      <c r="D115" s="38"/>
      <c r="E115" s="38"/>
      <c r="F115" s="38"/>
      <c r="G115" s="38"/>
      <c r="H115" s="38"/>
      <c r="I115" s="38"/>
      <c r="J115" s="39"/>
      <c r="K115" s="95"/>
      <c r="L115" s="95"/>
      <c r="M115" s="95"/>
      <c r="N115" s="95"/>
      <c r="O115" s="95"/>
      <c r="P115" s="95"/>
      <c r="Q115" s="95"/>
    </row>
    <row r="116" spans="3:17" ht="15.75" customHeight="1">
      <c r="C116" s="378" t="s">
        <v>40</v>
      </c>
      <c r="D116" s="379"/>
      <c r="E116" s="379"/>
      <c r="F116" s="379"/>
      <c r="G116" s="379"/>
      <c r="H116" s="379"/>
      <c r="I116" s="379"/>
      <c r="J116" s="380"/>
      <c r="K116" s="94"/>
      <c r="L116" s="94"/>
      <c r="M116" s="94"/>
      <c r="N116" s="94"/>
      <c r="O116" s="94"/>
      <c r="P116" s="94"/>
      <c r="Q116" s="94"/>
    </row>
    <row r="117" spans="3:17" ht="21.75" customHeight="1" thickBot="1">
      <c r="C117" s="35" t="s">
        <v>41</v>
      </c>
      <c r="D117" s="129">
        <f>'1) Tableau budgétaire 1'!D57</f>
        <v>0</v>
      </c>
      <c r="E117" s="140">
        <f>'1) Tableau budgétaire 1'!F57</f>
        <v>0</v>
      </c>
      <c r="F117" s="150">
        <f>'1) Tableau budgétaire 1'!H57</f>
        <v>408000</v>
      </c>
      <c r="G117" s="161">
        <f>'1) Tableau budgétaire 1'!J57</f>
        <v>416000</v>
      </c>
      <c r="H117" s="171">
        <f>'1) Tableau budgétaire 1'!L57</f>
        <v>0</v>
      </c>
      <c r="I117" s="171">
        <f>'1) Tableau budgétaire 1'!N57</f>
        <v>0</v>
      </c>
      <c r="J117" s="36">
        <f>SUM(D117:I117)</f>
        <v>824000</v>
      </c>
      <c r="K117" s="94"/>
      <c r="L117" s="94"/>
      <c r="M117" s="94"/>
      <c r="N117" s="94"/>
      <c r="O117" s="94"/>
      <c r="P117" s="94"/>
      <c r="Q117" s="94"/>
    </row>
    <row r="118" spans="3:17" ht="16.5" thickBot="1">
      <c r="C118" s="34" t="s">
        <v>14</v>
      </c>
      <c r="D118" s="130"/>
      <c r="E118" s="141"/>
      <c r="F118" s="151"/>
      <c r="G118" s="162"/>
      <c r="H118" s="172"/>
      <c r="I118" s="199"/>
      <c r="J118" s="36">
        <f t="shared" ref="J118:J124" si="16">SUM(D118:I118)</f>
        <v>0</v>
      </c>
      <c r="K118" s="94"/>
      <c r="L118" s="94"/>
      <c r="M118" s="94"/>
      <c r="N118" s="94"/>
      <c r="O118" s="94"/>
      <c r="P118" s="94"/>
      <c r="Q118" s="94"/>
    </row>
    <row r="119" spans="3:17" ht="16.5" thickBot="1">
      <c r="C119" s="26" t="s">
        <v>15</v>
      </c>
      <c r="D119" s="131"/>
      <c r="E119" s="109"/>
      <c r="F119" s="112"/>
      <c r="G119" s="115"/>
      <c r="H119" s="118"/>
      <c r="I119" s="200"/>
      <c r="J119" s="36">
        <f t="shared" si="16"/>
        <v>0</v>
      </c>
      <c r="K119" s="94"/>
      <c r="L119" s="94"/>
      <c r="M119" s="94"/>
      <c r="N119" s="94"/>
      <c r="O119" s="94"/>
      <c r="P119" s="94"/>
      <c r="Q119" s="94"/>
    </row>
    <row r="120" spans="3:17" ht="32.25" thickBot="1">
      <c r="C120" s="26" t="s">
        <v>16</v>
      </c>
      <c r="D120" s="131"/>
      <c r="E120" s="142"/>
      <c r="F120" s="152"/>
      <c r="G120" s="163"/>
      <c r="H120" s="173"/>
      <c r="I120" s="201"/>
      <c r="J120" s="36">
        <f t="shared" si="16"/>
        <v>0</v>
      </c>
      <c r="K120" s="94"/>
      <c r="L120" s="94"/>
      <c r="M120" s="94"/>
      <c r="N120" s="94"/>
      <c r="O120" s="94"/>
      <c r="P120" s="94"/>
      <c r="Q120" s="94"/>
    </row>
    <row r="121" spans="3:17" ht="21.75" customHeight="1" thickBot="1">
      <c r="C121" s="27" t="s">
        <v>17</v>
      </c>
      <c r="D121" s="131"/>
      <c r="E121" s="142"/>
      <c r="F121" s="152">
        <f>'1) Tableau budgétaire 1'!H55</f>
        <v>20000</v>
      </c>
      <c r="G121" s="163">
        <f>'1) Tableau budgétaire 1'!J55</f>
        <v>20000</v>
      </c>
      <c r="H121" s="173"/>
      <c r="I121" s="201"/>
      <c r="J121" s="36">
        <f t="shared" si="16"/>
        <v>40000</v>
      </c>
      <c r="K121" s="94"/>
      <c r="L121" s="94"/>
      <c r="M121" s="94"/>
      <c r="N121" s="94"/>
      <c r="O121" s="94"/>
      <c r="P121" s="94"/>
      <c r="Q121" s="94"/>
    </row>
    <row r="122" spans="3:17" ht="16.5" thickBot="1">
      <c r="C122" s="26" t="s">
        <v>18</v>
      </c>
      <c r="D122" s="131"/>
      <c r="E122" s="142"/>
      <c r="F122" s="152">
        <v>18000</v>
      </c>
      <c r="G122" s="163">
        <v>26000</v>
      </c>
      <c r="H122" s="173"/>
      <c r="I122" s="201"/>
      <c r="J122" s="36">
        <f t="shared" si="16"/>
        <v>44000</v>
      </c>
      <c r="K122" s="94"/>
      <c r="L122" s="94"/>
      <c r="M122" s="94"/>
      <c r="N122" s="94"/>
      <c r="O122" s="94"/>
      <c r="P122" s="94"/>
      <c r="Q122" s="94"/>
    </row>
    <row r="123" spans="3:17" ht="21.75" customHeight="1" thickBot="1">
      <c r="C123" s="26" t="s">
        <v>19</v>
      </c>
      <c r="D123" s="131"/>
      <c r="E123" s="142"/>
      <c r="F123" s="152">
        <f>'1) Tableau budgétaire 1'!H54+'1) Tableau budgétaire 1'!H56+70000</f>
        <v>370000</v>
      </c>
      <c r="G123" s="163">
        <f>'1) Tableau budgétaire 1'!J54+'1) Tableau budgétaire 1'!J56+70000</f>
        <v>370000</v>
      </c>
      <c r="H123" s="173"/>
      <c r="I123" s="201"/>
      <c r="J123" s="36">
        <f t="shared" si="16"/>
        <v>740000</v>
      </c>
      <c r="K123" s="94"/>
      <c r="L123" s="94"/>
      <c r="M123" s="94"/>
      <c r="N123" s="94"/>
      <c r="O123" s="94"/>
      <c r="P123" s="94"/>
      <c r="Q123" s="94"/>
    </row>
    <row r="124" spans="3:17" ht="21.6" customHeight="1" thickBot="1">
      <c r="C124" s="26" t="s">
        <v>20</v>
      </c>
      <c r="D124" s="131"/>
      <c r="E124" s="142"/>
      <c r="F124" s="152"/>
      <c r="G124" s="163"/>
      <c r="H124" s="173"/>
      <c r="I124" s="201"/>
      <c r="J124" s="36">
        <f t="shared" si="16"/>
        <v>0</v>
      </c>
      <c r="K124" s="94"/>
      <c r="L124" s="94"/>
      <c r="M124" s="94"/>
      <c r="N124" s="94"/>
      <c r="O124" s="94"/>
      <c r="P124" s="94"/>
      <c r="Q124" s="94"/>
    </row>
    <row r="125" spans="3:17" ht="16.5" thickBot="1">
      <c r="C125" s="30" t="s">
        <v>21</v>
      </c>
      <c r="D125" s="132">
        <f>SUM(D118:D124)</f>
        <v>0</v>
      </c>
      <c r="E125" s="143">
        <f>SUM(E118:E124)</f>
        <v>0</v>
      </c>
      <c r="F125" s="153">
        <f>SUM(F118:F124)</f>
        <v>408000</v>
      </c>
      <c r="G125" s="164">
        <f t="shared" ref="G125:I125" si="17">SUM(G118:G124)</f>
        <v>416000</v>
      </c>
      <c r="H125" s="174">
        <f t="shared" si="17"/>
        <v>0</v>
      </c>
      <c r="I125" s="174">
        <f t="shared" si="17"/>
        <v>0</v>
      </c>
      <c r="J125" s="36">
        <f>SUM(D125:I125)</f>
        <v>824000</v>
      </c>
      <c r="K125" s="94"/>
      <c r="L125" s="94"/>
      <c r="M125" s="94"/>
      <c r="N125" s="94"/>
      <c r="O125" s="94"/>
      <c r="P125" s="94"/>
      <c r="Q125" s="94"/>
    </row>
    <row r="126" spans="3:17" s="29" customFormat="1">
      <c r="C126" s="37"/>
      <c r="D126" s="38"/>
      <c r="E126" s="38"/>
      <c r="F126" s="38"/>
      <c r="G126" s="38"/>
      <c r="H126" s="38"/>
      <c r="I126" s="38"/>
      <c r="J126" s="39"/>
      <c r="K126" s="95"/>
      <c r="L126" s="95"/>
      <c r="M126" s="95"/>
      <c r="N126" s="95"/>
      <c r="O126" s="95"/>
      <c r="P126" s="95"/>
      <c r="Q126" s="95"/>
    </row>
    <row r="127" spans="3:17" hidden="1">
      <c r="C127" s="378" t="s">
        <v>42</v>
      </c>
      <c r="D127" s="379"/>
      <c r="E127" s="379"/>
      <c r="F127" s="379"/>
      <c r="G127" s="379"/>
      <c r="H127" s="379"/>
      <c r="I127" s="379"/>
      <c r="J127" s="380"/>
      <c r="K127" s="94"/>
      <c r="L127" s="94"/>
      <c r="M127" s="94"/>
      <c r="N127" s="94"/>
      <c r="O127" s="94"/>
      <c r="P127" s="94"/>
      <c r="Q127" s="94"/>
    </row>
    <row r="128" spans="3:17" ht="21" hidden="1" customHeight="1" thickBot="1">
      <c r="C128" s="35" t="s">
        <v>43</v>
      </c>
      <c r="D128" s="129" t="e">
        <f>'1) Tableau budgétaire 1'!#REF!</f>
        <v>#REF!</v>
      </c>
      <c r="E128" s="140" t="e">
        <f>'1) Tableau budgétaire 1'!#REF!</f>
        <v>#REF!</v>
      </c>
      <c r="F128" s="150" t="e">
        <f>'1) Tableau budgétaire 1'!#REF!</f>
        <v>#REF!</v>
      </c>
      <c r="G128" s="161" t="e">
        <f>'1) Tableau budgétaire 1'!#REF!</f>
        <v>#REF!</v>
      </c>
      <c r="H128" s="171" t="e">
        <f>'1) Tableau budgétaire 1'!#REF!</f>
        <v>#REF!</v>
      </c>
      <c r="I128" s="171"/>
      <c r="J128" s="36" t="e">
        <f>SUM(D128:H128)</f>
        <v>#REF!</v>
      </c>
      <c r="K128" s="94"/>
      <c r="L128" s="94"/>
      <c r="M128" s="94"/>
      <c r="N128" s="94"/>
      <c r="O128" s="94"/>
      <c r="P128" s="94"/>
      <c r="Q128" s="94"/>
    </row>
    <row r="129" spans="3:17" ht="16.5" hidden="1" thickBot="1">
      <c r="C129" s="34" t="s">
        <v>14</v>
      </c>
      <c r="D129" s="130"/>
      <c r="E129" s="141"/>
      <c r="F129" s="151"/>
      <c r="G129" s="162"/>
      <c r="H129" s="172"/>
      <c r="I129" s="199"/>
      <c r="J129" s="36">
        <f t="shared" ref="J129:J135" si="18">SUM(D129:H129)</f>
        <v>0</v>
      </c>
      <c r="K129" s="94"/>
      <c r="L129" s="94"/>
      <c r="M129" s="94"/>
      <c r="N129" s="94"/>
      <c r="O129" s="94"/>
      <c r="P129" s="94"/>
      <c r="Q129" s="94"/>
    </row>
    <row r="130" spans="3:17" ht="16.5" hidden="1" thickBot="1">
      <c r="C130" s="26" t="s">
        <v>15</v>
      </c>
      <c r="D130" s="131"/>
      <c r="E130" s="109"/>
      <c r="F130" s="112"/>
      <c r="G130" s="115"/>
      <c r="H130" s="118"/>
      <c r="I130" s="200"/>
      <c r="J130" s="36">
        <f t="shared" si="18"/>
        <v>0</v>
      </c>
      <c r="K130" s="94"/>
      <c r="L130" s="94"/>
      <c r="M130" s="94"/>
      <c r="N130" s="94"/>
      <c r="O130" s="94"/>
      <c r="P130" s="94"/>
      <c r="Q130" s="94"/>
    </row>
    <row r="131" spans="3:17" ht="32.25" hidden="1" thickBot="1">
      <c r="C131" s="26" t="s">
        <v>16</v>
      </c>
      <c r="D131" s="131"/>
      <c r="E131" s="142"/>
      <c r="F131" s="152"/>
      <c r="G131" s="163"/>
      <c r="H131" s="173"/>
      <c r="I131" s="201"/>
      <c r="J131" s="36">
        <f t="shared" si="18"/>
        <v>0</v>
      </c>
      <c r="K131" s="94"/>
      <c r="L131" s="94"/>
      <c r="M131" s="94"/>
      <c r="N131" s="94"/>
      <c r="O131" s="94"/>
      <c r="P131" s="94"/>
      <c r="Q131" s="94"/>
    </row>
    <row r="132" spans="3:17" ht="16.5" hidden="1" thickBot="1">
      <c r="C132" s="27" t="s">
        <v>17</v>
      </c>
      <c r="D132" s="131"/>
      <c r="E132" s="142"/>
      <c r="F132" s="152"/>
      <c r="G132" s="163"/>
      <c r="H132" s="173"/>
      <c r="I132" s="201"/>
      <c r="J132" s="36">
        <f t="shared" si="18"/>
        <v>0</v>
      </c>
      <c r="K132" s="94"/>
      <c r="L132" s="94"/>
      <c r="M132" s="94"/>
      <c r="N132" s="94"/>
      <c r="O132" s="94"/>
      <c r="P132" s="94"/>
      <c r="Q132" s="94"/>
    </row>
    <row r="133" spans="3:17" ht="16.5" hidden="1" thickBot="1">
      <c r="C133" s="26" t="s">
        <v>18</v>
      </c>
      <c r="D133" s="131"/>
      <c r="E133" s="142"/>
      <c r="F133" s="152"/>
      <c r="G133" s="163"/>
      <c r="H133" s="173"/>
      <c r="I133" s="201"/>
      <c r="J133" s="36">
        <f t="shared" si="18"/>
        <v>0</v>
      </c>
      <c r="K133" s="94"/>
      <c r="L133" s="94"/>
      <c r="M133" s="94"/>
      <c r="N133" s="94"/>
      <c r="O133" s="94"/>
      <c r="P133" s="94"/>
      <c r="Q133" s="94"/>
    </row>
    <row r="134" spans="3:17" ht="16.5" hidden="1" thickBot="1">
      <c r="C134" s="26" t="s">
        <v>19</v>
      </c>
      <c r="D134" s="131"/>
      <c r="E134" s="142"/>
      <c r="F134" s="152"/>
      <c r="G134" s="163"/>
      <c r="H134" s="173"/>
      <c r="I134" s="201"/>
      <c r="J134" s="36">
        <f t="shared" si="18"/>
        <v>0</v>
      </c>
      <c r="K134" s="94"/>
      <c r="L134" s="94"/>
      <c r="M134" s="94"/>
      <c r="N134" s="94"/>
      <c r="O134" s="94"/>
      <c r="P134" s="94"/>
      <c r="Q134" s="94"/>
    </row>
    <row r="135" spans="3:17" ht="32.25" hidden="1" thickBot="1">
      <c r="C135" s="26" t="s">
        <v>20</v>
      </c>
      <c r="D135" s="131"/>
      <c r="E135" s="142"/>
      <c r="F135" s="152"/>
      <c r="G135" s="163"/>
      <c r="H135" s="173"/>
      <c r="I135" s="201"/>
      <c r="J135" s="36">
        <f t="shared" si="18"/>
        <v>0</v>
      </c>
      <c r="K135" s="94"/>
      <c r="L135" s="94"/>
      <c r="M135" s="94"/>
      <c r="N135" s="94"/>
      <c r="O135" s="94"/>
      <c r="P135" s="94"/>
      <c r="Q135" s="94"/>
    </row>
    <row r="136" spans="3:17" ht="16.5" hidden="1" thickBot="1">
      <c r="C136" s="30" t="s">
        <v>21</v>
      </c>
      <c r="D136" s="132">
        <f>SUM(D129:D135)</f>
        <v>0</v>
      </c>
      <c r="E136" s="143">
        <f>SUM(E129:E135)</f>
        <v>0</v>
      </c>
      <c r="F136" s="153">
        <f>SUM(F129:F135)</f>
        <v>0</v>
      </c>
      <c r="G136" s="164">
        <f t="shared" ref="G136:H136" si="19">SUM(G129:G135)</f>
        <v>0</v>
      </c>
      <c r="H136" s="174">
        <f t="shared" si="19"/>
        <v>0</v>
      </c>
      <c r="I136" s="175"/>
      <c r="J136" s="36">
        <f>SUM(D136:H136)</f>
        <v>0</v>
      </c>
      <c r="K136" s="94"/>
      <c r="L136" s="94"/>
      <c r="M136" s="94"/>
      <c r="N136" s="94"/>
      <c r="O136" s="94"/>
      <c r="P136" s="94"/>
      <c r="Q136" s="94"/>
    </row>
    <row r="137" spans="3:17" s="29" customFormat="1" hidden="1">
      <c r="C137" s="37"/>
      <c r="D137" s="38"/>
      <c r="E137" s="38"/>
      <c r="F137" s="38"/>
      <c r="G137" s="38"/>
      <c r="H137" s="38"/>
      <c r="I137" s="38"/>
      <c r="J137" s="39"/>
      <c r="K137" s="95"/>
      <c r="L137" s="95"/>
      <c r="M137" s="95"/>
      <c r="N137" s="95"/>
      <c r="O137" s="95"/>
      <c r="P137" s="95"/>
      <c r="Q137" s="95"/>
    </row>
    <row r="138" spans="3:17" hidden="1">
      <c r="C138" s="378" t="s">
        <v>44</v>
      </c>
      <c r="D138" s="379"/>
      <c r="E138" s="379"/>
      <c r="F138" s="379"/>
      <c r="G138" s="379"/>
      <c r="H138" s="379"/>
      <c r="I138" s="379"/>
      <c r="J138" s="380"/>
      <c r="K138" s="94"/>
      <c r="L138" s="94"/>
      <c r="M138" s="94"/>
      <c r="N138" s="94"/>
      <c r="O138" s="94"/>
      <c r="P138" s="94"/>
      <c r="Q138" s="94"/>
    </row>
    <row r="139" spans="3:17" ht="24" hidden="1" customHeight="1" thickBot="1">
      <c r="C139" s="35" t="s">
        <v>45</v>
      </c>
      <c r="D139" s="129" t="e">
        <f>'1) Tableau budgétaire 1'!#REF!</f>
        <v>#REF!</v>
      </c>
      <c r="E139" s="140" t="e">
        <f>'1) Tableau budgétaire 1'!#REF!</f>
        <v>#REF!</v>
      </c>
      <c r="F139" s="150" t="e">
        <f>'1) Tableau budgétaire 1'!#REF!</f>
        <v>#REF!</v>
      </c>
      <c r="G139" s="161" t="e">
        <f>'1) Tableau budgétaire 1'!#REF!</f>
        <v>#REF!</v>
      </c>
      <c r="H139" s="171" t="e">
        <f>'1) Tableau budgétaire 1'!#REF!</f>
        <v>#REF!</v>
      </c>
      <c r="I139" s="171"/>
      <c r="J139" s="36" t="e">
        <f>SUM(D139:H139)</f>
        <v>#REF!</v>
      </c>
      <c r="K139" s="94"/>
      <c r="L139" s="94"/>
      <c r="M139" s="94"/>
      <c r="N139" s="94"/>
      <c r="O139" s="94"/>
      <c r="P139" s="94"/>
      <c r="Q139" s="94"/>
    </row>
    <row r="140" spans="3:17" ht="15.75" hidden="1" customHeight="1" thickBot="1">
      <c r="C140" s="34" t="s">
        <v>14</v>
      </c>
      <c r="D140" s="130"/>
      <c r="E140" s="141"/>
      <c r="F140" s="151"/>
      <c r="G140" s="162"/>
      <c r="H140" s="172"/>
      <c r="I140" s="199"/>
      <c r="J140" s="36">
        <f t="shared" ref="J140:J147" si="20">SUM(D140:H140)</f>
        <v>0</v>
      </c>
      <c r="K140" s="94"/>
      <c r="L140" s="94"/>
      <c r="M140" s="94"/>
      <c r="N140" s="94"/>
      <c r="O140" s="94"/>
      <c r="P140" s="94"/>
      <c r="Q140" s="94"/>
    </row>
    <row r="141" spans="3:17" ht="16.5" hidden="1" thickBot="1">
      <c r="C141" s="26" t="s">
        <v>15</v>
      </c>
      <c r="D141" s="131"/>
      <c r="E141" s="109"/>
      <c r="F141" s="112"/>
      <c r="G141" s="115"/>
      <c r="H141" s="118"/>
      <c r="I141" s="200"/>
      <c r="J141" s="36">
        <f t="shared" si="20"/>
        <v>0</v>
      </c>
      <c r="K141" s="94"/>
      <c r="L141" s="94"/>
      <c r="M141" s="94"/>
      <c r="N141" s="94"/>
      <c r="O141" s="94"/>
      <c r="P141" s="94"/>
      <c r="Q141" s="94"/>
    </row>
    <row r="142" spans="3:17" ht="15.75" hidden="1" customHeight="1" thickBot="1">
      <c r="C142" s="26" t="s">
        <v>16</v>
      </c>
      <c r="D142" s="131"/>
      <c r="E142" s="142"/>
      <c r="F142" s="152"/>
      <c r="G142" s="163"/>
      <c r="H142" s="173"/>
      <c r="I142" s="201"/>
      <c r="J142" s="36">
        <f t="shared" si="20"/>
        <v>0</v>
      </c>
      <c r="K142" s="94"/>
      <c r="L142" s="94"/>
      <c r="M142" s="94"/>
      <c r="N142" s="94"/>
      <c r="O142" s="94"/>
      <c r="P142" s="94"/>
      <c r="Q142" s="94"/>
    </row>
    <row r="143" spans="3:17" ht="16.5" hidden="1" thickBot="1">
      <c r="C143" s="27" t="s">
        <v>17</v>
      </c>
      <c r="D143" s="131"/>
      <c r="E143" s="142"/>
      <c r="F143" s="152"/>
      <c r="G143" s="163"/>
      <c r="H143" s="173"/>
      <c r="I143" s="201"/>
      <c r="J143" s="36">
        <f t="shared" si="20"/>
        <v>0</v>
      </c>
      <c r="K143" s="94"/>
      <c r="L143" s="94"/>
      <c r="M143" s="94"/>
      <c r="N143" s="94"/>
      <c r="O143" s="94"/>
      <c r="P143" s="94"/>
      <c r="Q143" s="94"/>
    </row>
    <row r="144" spans="3:17" ht="16.5" hidden="1" thickBot="1">
      <c r="C144" s="26" t="s">
        <v>18</v>
      </c>
      <c r="D144" s="131"/>
      <c r="E144" s="142"/>
      <c r="F144" s="152"/>
      <c r="G144" s="163"/>
      <c r="H144" s="173"/>
      <c r="I144" s="201"/>
      <c r="J144" s="36">
        <f t="shared" si="20"/>
        <v>0</v>
      </c>
      <c r="K144" s="94"/>
      <c r="L144" s="94"/>
      <c r="M144" s="94"/>
      <c r="N144" s="94"/>
      <c r="O144" s="94"/>
      <c r="P144" s="94"/>
      <c r="Q144" s="94"/>
    </row>
    <row r="145" spans="2:10" ht="15.75" hidden="1" customHeight="1" thickBot="1">
      <c r="B145" s="94"/>
      <c r="C145" s="26" t="s">
        <v>19</v>
      </c>
      <c r="D145" s="131"/>
      <c r="E145" s="142"/>
      <c r="F145" s="152"/>
      <c r="G145" s="163"/>
      <c r="H145" s="173"/>
      <c r="I145" s="201"/>
      <c r="J145" s="36">
        <f t="shared" si="20"/>
        <v>0</v>
      </c>
    </row>
    <row r="146" spans="2:10" ht="32.25" hidden="1" thickBot="1">
      <c r="B146" s="94"/>
      <c r="C146" s="26" t="s">
        <v>20</v>
      </c>
      <c r="D146" s="131"/>
      <c r="E146" s="142"/>
      <c r="F146" s="152"/>
      <c r="G146" s="163"/>
      <c r="H146" s="173"/>
      <c r="I146" s="201"/>
      <c r="J146" s="36">
        <f t="shared" si="20"/>
        <v>0</v>
      </c>
    </row>
    <row r="147" spans="2:10" ht="16.5" hidden="1" thickBot="1">
      <c r="B147" s="94"/>
      <c r="C147" s="30" t="s">
        <v>21</v>
      </c>
      <c r="D147" s="132">
        <f>SUM(D140:D146)</f>
        <v>0</v>
      </c>
      <c r="E147" s="143">
        <f>SUM(E140:E146)</f>
        <v>0</v>
      </c>
      <c r="F147" s="153">
        <f>SUM(F140:F146)</f>
        <v>0</v>
      </c>
      <c r="G147" s="164">
        <f t="shared" ref="G147:H147" si="21">SUM(G140:G146)</f>
        <v>0</v>
      </c>
      <c r="H147" s="174">
        <f t="shared" si="21"/>
        <v>0</v>
      </c>
      <c r="I147" s="175"/>
      <c r="J147" s="36">
        <f t="shared" si="20"/>
        <v>0</v>
      </c>
    </row>
    <row r="148" spans="2:10" hidden="1">
      <c r="B148" s="94"/>
      <c r="C148" s="94"/>
      <c r="D148" s="95"/>
      <c r="E148" s="95"/>
      <c r="F148" s="95"/>
      <c r="G148" s="95"/>
      <c r="H148" s="95"/>
      <c r="I148" s="95"/>
      <c r="J148" s="94"/>
    </row>
    <row r="149" spans="2:10" hidden="1">
      <c r="B149" s="378" t="s">
        <v>46</v>
      </c>
      <c r="C149" s="379"/>
      <c r="D149" s="379"/>
      <c r="E149" s="379"/>
      <c r="F149" s="379"/>
      <c r="G149" s="379"/>
      <c r="H149" s="379"/>
      <c r="I149" s="379"/>
      <c r="J149" s="380"/>
    </row>
    <row r="150" spans="2:10" hidden="1">
      <c r="B150" s="94"/>
      <c r="C150" s="378" t="s">
        <v>47</v>
      </c>
      <c r="D150" s="379"/>
      <c r="E150" s="379"/>
      <c r="F150" s="379"/>
      <c r="G150" s="379"/>
      <c r="H150" s="379"/>
      <c r="I150" s="379"/>
      <c r="J150" s="380"/>
    </row>
    <row r="151" spans="2:10" ht="24" hidden="1" customHeight="1" thickBot="1">
      <c r="B151" s="94"/>
      <c r="C151" s="35" t="s">
        <v>48</v>
      </c>
      <c r="D151" s="129" t="e">
        <f>'1) Tableau budgétaire 1'!#REF!</f>
        <v>#REF!</v>
      </c>
      <c r="E151" s="140" t="e">
        <f>'1) Tableau budgétaire 1'!#REF!</f>
        <v>#REF!</v>
      </c>
      <c r="F151" s="150" t="e">
        <f>'1) Tableau budgétaire 1'!#REF!</f>
        <v>#REF!</v>
      </c>
      <c r="G151" s="161" t="e">
        <f>'1) Tableau budgétaire 1'!#REF!</f>
        <v>#REF!</v>
      </c>
      <c r="H151" s="171" t="e">
        <f>'1) Tableau budgétaire 1'!#REF!</f>
        <v>#REF!</v>
      </c>
      <c r="I151" s="171"/>
      <c r="J151" s="36" t="e">
        <f>SUM(D151:H151)</f>
        <v>#REF!</v>
      </c>
    </row>
    <row r="152" spans="2:10" ht="24.75" hidden="1" customHeight="1" thickBot="1">
      <c r="B152" s="94"/>
      <c r="C152" s="34" t="s">
        <v>14</v>
      </c>
      <c r="D152" s="130"/>
      <c r="E152" s="141"/>
      <c r="F152" s="151"/>
      <c r="G152" s="162"/>
      <c r="H152" s="172"/>
      <c r="I152" s="199"/>
      <c r="J152" s="36">
        <f t="shared" ref="J152:J159" si="22">SUM(D152:H152)</f>
        <v>0</v>
      </c>
    </row>
    <row r="153" spans="2:10" ht="15.75" hidden="1" customHeight="1" thickBot="1">
      <c r="B153" s="94"/>
      <c r="C153" s="26" t="s">
        <v>15</v>
      </c>
      <c r="D153" s="131"/>
      <c r="E153" s="109"/>
      <c r="F153" s="112"/>
      <c r="G153" s="115"/>
      <c r="H153" s="118"/>
      <c r="I153" s="200"/>
      <c r="J153" s="36">
        <f t="shared" si="22"/>
        <v>0</v>
      </c>
    </row>
    <row r="154" spans="2:10" ht="15.75" hidden="1" customHeight="1" thickBot="1">
      <c r="B154" s="94"/>
      <c r="C154" s="26" t="s">
        <v>16</v>
      </c>
      <c r="D154" s="131"/>
      <c r="E154" s="142"/>
      <c r="F154" s="152"/>
      <c r="G154" s="163"/>
      <c r="H154" s="173"/>
      <c r="I154" s="201"/>
      <c r="J154" s="36">
        <f t="shared" si="22"/>
        <v>0</v>
      </c>
    </row>
    <row r="155" spans="2:10" ht="15.75" hidden="1" customHeight="1" thickBot="1">
      <c r="B155" s="94"/>
      <c r="C155" s="27" t="s">
        <v>17</v>
      </c>
      <c r="D155" s="131"/>
      <c r="E155" s="142"/>
      <c r="F155" s="152"/>
      <c r="G155" s="163"/>
      <c r="H155" s="173"/>
      <c r="I155" s="201"/>
      <c r="J155" s="36">
        <f t="shared" si="22"/>
        <v>0</v>
      </c>
    </row>
    <row r="156" spans="2:10" ht="15.75" hidden="1" customHeight="1" thickBot="1">
      <c r="B156" s="94"/>
      <c r="C156" s="26" t="s">
        <v>18</v>
      </c>
      <c r="D156" s="131"/>
      <c r="E156" s="142"/>
      <c r="F156" s="152"/>
      <c r="G156" s="163"/>
      <c r="H156" s="173"/>
      <c r="I156" s="201"/>
      <c r="J156" s="36">
        <f>SUM(D156:H156)</f>
        <v>0</v>
      </c>
    </row>
    <row r="157" spans="2:10" ht="15.75" hidden="1" customHeight="1" thickBot="1">
      <c r="B157" s="94"/>
      <c r="C157" s="26" t="s">
        <v>19</v>
      </c>
      <c r="D157" s="131"/>
      <c r="E157" s="142"/>
      <c r="F157" s="152"/>
      <c r="G157" s="163"/>
      <c r="H157" s="173"/>
      <c r="I157" s="201"/>
      <c r="J157" s="36">
        <f t="shared" si="22"/>
        <v>0</v>
      </c>
    </row>
    <row r="158" spans="2:10" ht="15.75" hidden="1" customHeight="1" thickBot="1">
      <c r="B158" s="94"/>
      <c r="C158" s="26" t="s">
        <v>20</v>
      </c>
      <c r="D158" s="131"/>
      <c r="E158" s="142"/>
      <c r="F158" s="152"/>
      <c r="G158" s="163"/>
      <c r="H158" s="173"/>
      <c r="I158" s="201"/>
      <c r="J158" s="36">
        <f t="shared" si="22"/>
        <v>0</v>
      </c>
    </row>
    <row r="159" spans="2:10" ht="15.75" hidden="1" customHeight="1" thickBot="1">
      <c r="B159" s="94"/>
      <c r="C159" s="30" t="s">
        <v>21</v>
      </c>
      <c r="D159" s="132">
        <f>SUM(D152:D158)</f>
        <v>0</v>
      </c>
      <c r="E159" s="143">
        <f>SUM(E152:E158)</f>
        <v>0</v>
      </c>
      <c r="F159" s="153">
        <f>SUM(F152:F158)</f>
        <v>0</v>
      </c>
      <c r="G159" s="164">
        <f>SUM(G152:G158)</f>
        <v>0</v>
      </c>
      <c r="H159" s="174">
        <f>SUM(H152:H158)</f>
        <v>0</v>
      </c>
      <c r="I159" s="175"/>
      <c r="J159" s="36">
        <f t="shared" si="22"/>
        <v>0</v>
      </c>
    </row>
    <row r="160" spans="2:10" s="29" customFormat="1" ht="15.75" hidden="1" customHeight="1">
      <c r="B160" s="95"/>
      <c r="C160" s="37"/>
      <c r="D160" s="38"/>
      <c r="E160" s="38"/>
      <c r="F160" s="38"/>
      <c r="G160" s="38"/>
      <c r="H160" s="38"/>
      <c r="I160" s="38"/>
      <c r="J160" s="39"/>
    </row>
    <row r="161" spans="3:10" ht="15.75" hidden="1" customHeight="1">
      <c r="C161" s="378" t="s">
        <v>49</v>
      </c>
      <c r="D161" s="379"/>
      <c r="E161" s="379"/>
      <c r="F161" s="379"/>
      <c r="G161" s="379"/>
      <c r="H161" s="379"/>
      <c r="I161" s="379"/>
      <c r="J161" s="380"/>
    </row>
    <row r="162" spans="3:10" ht="21" hidden="1" customHeight="1" thickBot="1">
      <c r="C162" s="35" t="s">
        <v>50</v>
      </c>
      <c r="D162" s="129" t="e">
        <f>'1) Tableau budgétaire 1'!#REF!</f>
        <v>#REF!</v>
      </c>
      <c r="E162" s="140" t="e">
        <f>'1) Tableau budgétaire 1'!#REF!</f>
        <v>#REF!</v>
      </c>
      <c r="F162" s="150" t="e">
        <f>'1) Tableau budgétaire 1'!#REF!</f>
        <v>#REF!</v>
      </c>
      <c r="G162" s="161" t="e">
        <f>'1) Tableau budgétaire 1'!#REF!</f>
        <v>#REF!</v>
      </c>
      <c r="H162" s="171" t="e">
        <f>'1) Tableau budgétaire 1'!#REF!</f>
        <v>#REF!</v>
      </c>
      <c r="I162" s="171"/>
      <c r="J162" s="36" t="e">
        <f>SUM(D162:H162)</f>
        <v>#REF!</v>
      </c>
    </row>
    <row r="163" spans="3:10" ht="15.75" hidden="1" customHeight="1" thickBot="1">
      <c r="C163" s="34" t="s">
        <v>14</v>
      </c>
      <c r="D163" s="130"/>
      <c r="E163" s="141"/>
      <c r="F163" s="151"/>
      <c r="G163" s="162"/>
      <c r="H163" s="172"/>
      <c r="I163" s="199"/>
      <c r="J163" s="36">
        <f t="shared" ref="J163:J170" si="23">SUM(D163:H163)</f>
        <v>0</v>
      </c>
    </row>
    <row r="164" spans="3:10" ht="15.75" hidden="1" customHeight="1" thickBot="1">
      <c r="C164" s="26" t="s">
        <v>15</v>
      </c>
      <c r="D164" s="131"/>
      <c r="E164" s="109"/>
      <c r="F164" s="112"/>
      <c r="G164" s="115"/>
      <c r="H164" s="118"/>
      <c r="I164" s="200"/>
      <c r="J164" s="36">
        <f t="shared" si="23"/>
        <v>0</v>
      </c>
    </row>
    <row r="165" spans="3:10" ht="15.75" hidden="1" customHeight="1" thickBot="1">
      <c r="C165" s="26" t="s">
        <v>16</v>
      </c>
      <c r="D165" s="131"/>
      <c r="E165" s="142"/>
      <c r="F165" s="152"/>
      <c r="G165" s="163"/>
      <c r="H165" s="173"/>
      <c r="I165" s="201"/>
      <c r="J165" s="36">
        <f t="shared" si="23"/>
        <v>0</v>
      </c>
    </row>
    <row r="166" spans="3:10" ht="15.75" hidden="1" customHeight="1" thickBot="1">
      <c r="C166" s="27" t="s">
        <v>17</v>
      </c>
      <c r="D166" s="131"/>
      <c r="E166" s="142"/>
      <c r="F166" s="152"/>
      <c r="G166" s="163"/>
      <c r="H166" s="173"/>
      <c r="I166" s="201"/>
      <c r="J166" s="36">
        <f t="shared" si="23"/>
        <v>0</v>
      </c>
    </row>
    <row r="167" spans="3:10" ht="15.75" hidden="1" customHeight="1" thickBot="1">
      <c r="C167" s="26" t="s">
        <v>18</v>
      </c>
      <c r="D167" s="131"/>
      <c r="E167" s="142"/>
      <c r="F167" s="152"/>
      <c r="G167" s="163"/>
      <c r="H167" s="173"/>
      <c r="I167" s="201"/>
      <c r="J167" s="36">
        <f t="shared" si="23"/>
        <v>0</v>
      </c>
    </row>
    <row r="168" spans="3:10" ht="15.75" hidden="1" customHeight="1" thickBot="1">
      <c r="C168" s="26" t="s">
        <v>19</v>
      </c>
      <c r="D168" s="131"/>
      <c r="E168" s="142"/>
      <c r="F168" s="152"/>
      <c r="G168" s="163"/>
      <c r="H168" s="173"/>
      <c r="I168" s="201"/>
      <c r="J168" s="36">
        <f t="shared" si="23"/>
        <v>0</v>
      </c>
    </row>
    <row r="169" spans="3:10" ht="15.75" hidden="1" customHeight="1" thickBot="1">
      <c r="C169" s="26" t="s">
        <v>20</v>
      </c>
      <c r="D169" s="131"/>
      <c r="E169" s="142"/>
      <c r="F169" s="152"/>
      <c r="G169" s="163"/>
      <c r="H169" s="173"/>
      <c r="I169" s="201"/>
      <c r="J169" s="36">
        <f t="shared" si="23"/>
        <v>0</v>
      </c>
    </row>
    <row r="170" spans="3:10" ht="15.75" hidden="1" customHeight="1" thickBot="1">
      <c r="C170" s="30" t="s">
        <v>21</v>
      </c>
      <c r="D170" s="132">
        <f>SUM(D163:D169)</f>
        <v>0</v>
      </c>
      <c r="E170" s="143">
        <f>SUM(E163:E169)</f>
        <v>0</v>
      </c>
      <c r="F170" s="153">
        <f>SUM(F163:F169)</f>
        <v>0</v>
      </c>
      <c r="G170" s="164">
        <f t="shared" ref="G170:H170" si="24">SUM(G163:G169)</f>
        <v>0</v>
      </c>
      <c r="H170" s="174">
        <f t="shared" si="24"/>
        <v>0</v>
      </c>
      <c r="I170" s="175"/>
      <c r="J170" s="36">
        <f t="shared" si="23"/>
        <v>0</v>
      </c>
    </row>
    <row r="171" spans="3:10" s="29" customFormat="1" ht="15.75" hidden="1" customHeight="1">
      <c r="C171" s="37"/>
      <c r="D171" s="38"/>
      <c r="E171" s="38"/>
      <c r="F171" s="38"/>
      <c r="G171" s="38"/>
      <c r="H171" s="38"/>
      <c r="I171" s="38"/>
      <c r="J171" s="39"/>
    </row>
    <row r="172" spans="3:10" ht="15.75" hidden="1" customHeight="1">
      <c r="C172" s="378" t="s">
        <v>51</v>
      </c>
      <c r="D172" s="379"/>
      <c r="E172" s="379"/>
      <c r="F172" s="379"/>
      <c r="G172" s="379"/>
      <c r="H172" s="379"/>
      <c r="I172" s="379"/>
      <c r="J172" s="380"/>
    </row>
    <row r="173" spans="3:10" ht="19.5" hidden="1" customHeight="1" thickBot="1">
      <c r="C173" s="35" t="s">
        <v>52</v>
      </c>
      <c r="D173" s="129" t="e">
        <f>'1) Tableau budgétaire 1'!#REF!</f>
        <v>#REF!</v>
      </c>
      <c r="E173" s="140" t="e">
        <f>'1) Tableau budgétaire 1'!#REF!</f>
        <v>#REF!</v>
      </c>
      <c r="F173" s="150" t="e">
        <f>'1) Tableau budgétaire 1'!#REF!</f>
        <v>#REF!</v>
      </c>
      <c r="G173" s="161" t="e">
        <f>'1) Tableau budgétaire 1'!#REF!</f>
        <v>#REF!</v>
      </c>
      <c r="H173" s="171" t="e">
        <f>'1) Tableau budgétaire 1'!#REF!</f>
        <v>#REF!</v>
      </c>
      <c r="I173" s="171"/>
      <c r="J173" s="36" t="e">
        <f>SUM(D173:H173)</f>
        <v>#REF!</v>
      </c>
    </row>
    <row r="174" spans="3:10" ht="15.75" hidden="1" customHeight="1" thickBot="1">
      <c r="C174" s="34" t="s">
        <v>14</v>
      </c>
      <c r="D174" s="130"/>
      <c r="E174" s="141"/>
      <c r="F174" s="151"/>
      <c r="G174" s="162"/>
      <c r="H174" s="172"/>
      <c r="I174" s="199"/>
      <c r="J174" s="36">
        <f t="shared" ref="J174:J181" si="25">SUM(D174:H174)</f>
        <v>0</v>
      </c>
    </row>
    <row r="175" spans="3:10" ht="15.75" hidden="1" customHeight="1" thickBot="1">
      <c r="C175" s="26" t="s">
        <v>15</v>
      </c>
      <c r="D175" s="131"/>
      <c r="E175" s="109"/>
      <c r="F175" s="112"/>
      <c r="G175" s="115"/>
      <c r="H175" s="118"/>
      <c r="I175" s="200"/>
      <c r="J175" s="36">
        <f>SUM(D175:H175)</f>
        <v>0</v>
      </c>
    </row>
    <row r="176" spans="3:10" ht="15.75" hidden="1" customHeight="1" thickBot="1">
      <c r="C176" s="26" t="s">
        <v>16</v>
      </c>
      <c r="D176" s="131"/>
      <c r="E176" s="142"/>
      <c r="F176" s="152"/>
      <c r="G176" s="163"/>
      <c r="H176" s="173"/>
      <c r="I176" s="201"/>
      <c r="J176" s="36">
        <f t="shared" si="25"/>
        <v>0</v>
      </c>
    </row>
    <row r="177" spans="3:10" ht="15.75" hidden="1" customHeight="1" thickBot="1">
      <c r="C177" s="27" t="s">
        <v>17</v>
      </c>
      <c r="D177" s="131"/>
      <c r="E177" s="142"/>
      <c r="F177" s="152"/>
      <c r="G177" s="163"/>
      <c r="H177" s="173"/>
      <c r="I177" s="201"/>
      <c r="J177" s="36">
        <f t="shared" si="25"/>
        <v>0</v>
      </c>
    </row>
    <row r="178" spans="3:10" ht="15.75" hidden="1" customHeight="1" thickBot="1">
      <c r="C178" s="26" t="s">
        <v>18</v>
      </c>
      <c r="D178" s="131"/>
      <c r="E178" s="142"/>
      <c r="F178" s="152"/>
      <c r="G178" s="163"/>
      <c r="H178" s="173"/>
      <c r="I178" s="201"/>
      <c r="J178" s="36">
        <f t="shared" si="25"/>
        <v>0</v>
      </c>
    </row>
    <row r="179" spans="3:10" ht="15.75" hidden="1" customHeight="1" thickBot="1">
      <c r="C179" s="26" t="s">
        <v>19</v>
      </c>
      <c r="D179" s="131"/>
      <c r="E179" s="142"/>
      <c r="F179" s="152"/>
      <c r="G179" s="163"/>
      <c r="H179" s="173"/>
      <c r="I179" s="201"/>
      <c r="J179" s="36">
        <f t="shared" si="25"/>
        <v>0</v>
      </c>
    </row>
    <row r="180" spans="3:10" ht="15.75" hidden="1" customHeight="1" thickBot="1">
      <c r="C180" s="26" t="s">
        <v>20</v>
      </c>
      <c r="D180" s="131"/>
      <c r="E180" s="142"/>
      <c r="F180" s="152"/>
      <c r="G180" s="163"/>
      <c r="H180" s="173"/>
      <c r="I180" s="201"/>
      <c r="J180" s="36">
        <f t="shared" si="25"/>
        <v>0</v>
      </c>
    </row>
    <row r="181" spans="3:10" ht="15.75" hidden="1" customHeight="1" thickBot="1">
      <c r="C181" s="30" t="s">
        <v>21</v>
      </c>
      <c r="D181" s="132">
        <f>SUM(D174:D180)</f>
        <v>0</v>
      </c>
      <c r="E181" s="143">
        <f>SUM(E174:E180)</f>
        <v>0</v>
      </c>
      <c r="F181" s="153">
        <f>SUM(F174:F180)</f>
        <v>0</v>
      </c>
      <c r="G181" s="164">
        <f t="shared" ref="G181:H181" si="26">SUM(G174:G180)</f>
        <v>0</v>
      </c>
      <c r="H181" s="174">
        <f t="shared" si="26"/>
        <v>0</v>
      </c>
      <c r="I181" s="175"/>
      <c r="J181" s="36">
        <f t="shared" si="25"/>
        <v>0</v>
      </c>
    </row>
    <row r="182" spans="3:10" s="29" customFormat="1" ht="15.75" hidden="1" customHeight="1">
      <c r="C182" s="37"/>
      <c r="D182" s="38"/>
      <c r="E182" s="38"/>
      <c r="F182" s="38"/>
      <c r="G182" s="38"/>
      <c r="H182" s="38"/>
      <c r="I182" s="38"/>
      <c r="J182" s="39"/>
    </row>
    <row r="183" spans="3:10" ht="15.75" hidden="1" customHeight="1">
      <c r="C183" s="378" t="s">
        <v>53</v>
      </c>
      <c r="D183" s="379"/>
      <c r="E183" s="379"/>
      <c r="F183" s="379"/>
      <c r="G183" s="379"/>
      <c r="H183" s="379"/>
      <c r="I183" s="379"/>
      <c r="J183" s="380"/>
    </row>
    <row r="184" spans="3:10" ht="22.5" hidden="1" customHeight="1" thickBot="1">
      <c r="C184" s="35" t="s">
        <v>54</v>
      </c>
      <c r="D184" s="129" t="e">
        <f>'1) Tableau budgétaire 1'!#REF!</f>
        <v>#REF!</v>
      </c>
      <c r="E184" s="140" t="e">
        <f>'1) Tableau budgétaire 1'!#REF!</f>
        <v>#REF!</v>
      </c>
      <c r="F184" s="150" t="e">
        <f>'1) Tableau budgétaire 1'!#REF!</f>
        <v>#REF!</v>
      </c>
      <c r="G184" s="161" t="e">
        <f>'1) Tableau budgétaire 1'!#REF!</f>
        <v>#REF!</v>
      </c>
      <c r="H184" s="171" t="e">
        <f>'1) Tableau budgétaire 1'!#REF!</f>
        <v>#REF!</v>
      </c>
      <c r="I184" s="171"/>
      <c r="J184" s="36" t="e">
        <f>SUM(D184:H184)</f>
        <v>#REF!</v>
      </c>
    </row>
    <row r="185" spans="3:10" ht="15.75" hidden="1" customHeight="1" thickBot="1">
      <c r="C185" s="34" t="s">
        <v>14</v>
      </c>
      <c r="D185" s="130"/>
      <c r="E185" s="141"/>
      <c r="F185" s="151"/>
      <c r="G185" s="162"/>
      <c r="H185" s="172"/>
      <c r="I185" s="199"/>
      <c r="J185" s="36">
        <f t="shared" ref="J185:J192" si="27">SUM(D185:H185)</f>
        <v>0</v>
      </c>
    </row>
    <row r="186" spans="3:10" ht="15.75" hidden="1" customHeight="1" thickBot="1">
      <c r="C186" s="26" t="s">
        <v>15</v>
      </c>
      <c r="D186" s="131"/>
      <c r="E186" s="109"/>
      <c r="F186" s="112"/>
      <c r="G186" s="115"/>
      <c r="H186" s="118"/>
      <c r="I186" s="200"/>
      <c r="J186" s="36">
        <f t="shared" si="27"/>
        <v>0</v>
      </c>
    </row>
    <row r="187" spans="3:10" ht="15.75" hidden="1" customHeight="1" thickBot="1">
      <c r="C187" s="26" t="s">
        <v>16</v>
      </c>
      <c r="D187" s="131"/>
      <c r="E187" s="142"/>
      <c r="F187" s="152"/>
      <c r="G187" s="163"/>
      <c r="H187" s="173"/>
      <c r="I187" s="201"/>
      <c r="J187" s="36">
        <f t="shared" si="27"/>
        <v>0</v>
      </c>
    </row>
    <row r="188" spans="3:10" ht="15.75" hidden="1" customHeight="1" thickBot="1">
      <c r="C188" s="27" t="s">
        <v>17</v>
      </c>
      <c r="D188" s="131"/>
      <c r="E188" s="142"/>
      <c r="F188" s="152"/>
      <c r="G188" s="163"/>
      <c r="H188" s="173"/>
      <c r="I188" s="201"/>
      <c r="J188" s="36">
        <f t="shared" si="27"/>
        <v>0</v>
      </c>
    </row>
    <row r="189" spans="3:10" ht="15.75" hidden="1" customHeight="1" thickBot="1">
      <c r="C189" s="26" t="s">
        <v>18</v>
      </c>
      <c r="D189" s="131"/>
      <c r="E189" s="142"/>
      <c r="F189" s="152"/>
      <c r="G189" s="163"/>
      <c r="H189" s="173"/>
      <c r="I189" s="201"/>
      <c r="J189" s="36">
        <f t="shared" si="27"/>
        <v>0</v>
      </c>
    </row>
    <row r="190" spans="3:10" ht="15.75" hidden="1" customHeight="1" thickBot="1">
      <c r="C190" s="26" t="s">
        <v>19</v>
      </c>
      <c r="D190" s="131"/>
      <c r="E190" s="142"/>
      <c r="F190" s="152"/>
      <c r="G190" s="163"/>
      <c r="H190" s="173"/>
      <c r="I190" s="201"/>
      <c r="J190" s="36">
        <f t="shared" si="27"/>
        <v>0</v>
      </c>
    </row>
    <row r="191" spans="3:10" ht="15.75" hidden="1" customHeight="1" thickBot="1">
      <c r="C191" s="26" t="s">
        <v>20</v>
      </c>
      <c r="D191" s="131"/>
      <c r="E191" s="142"/>
      <c r="F191" s="152"/>
      <c r="G191" s="163"/>
      <c r="H191" s="173"/>
      <c r="I191" s="201"/>
      <c r="J191" s="36">
        <f>SUM(D191:H191)</f>
        <v>0</v>
      </c>
    </row>
    <row r="192" spans="3:10" ht="15.75" hidden="1" customHeight="1" thickBot="1">
      <c r="C192" s="30" t="s">
        <v>21</v>
      </c>
      <c r="D192" s="132">
        <f>SUM(D185:D191)</f>
        <v>0</v>
      </c>
      <c r="E192" s="143">
        <f>SUM(E185:E191)</f>
        <v>0</v>
      </c>
      <c r="F192" s="153">
        <f>SUM(F185:F191)</f>
        <v>0</v>
      </c>
      <c r="G192" s="164">
        <f>SUM(G185:G191)</f>
        <v>0</v>
      </c>
      <c r="H192" s="174">
        <f>SUM(H185:H191)</f>
        <v>0</v>
      </c>
      <c r="I192" s="175"/>
      <c r="J192" s="36">
        <f t="shared" si="27"/>
        <v>0</v>
      </c>
    </row>
    <row r="193" spans="3:13" ht="15.75" customHeight="1">
      <c r="C193" s="94"/>
      <c r="D193" s="95"/>
      <c r="E193" s="95"/>
      <c r="F193" s="95"/>
      <c r="G193" s="95"/>
      <c r="H193" s="95"/>
      <c r="I193" s="95"/>
      <c r="J193" s="94"/>
      <c r="K193" s="94"/>
      <c r="L193" s="94"/>
      <c r="M193" s="94"/>
    </row>
    <row r="194" spans="3:13" ht="15.75" customHeight="1">
      <c r="C194" s="378" t="s">
        <v>55</v>
      </c>
      <c r="D194" s="379"/>
      <c r="E194" s="379"/>
      <c r="F194" s="379"/>
      <c r="G194" s="379"/>
      <c r="H194" s="379"/>
      <c r="I194" s="379"/>
      <c r="J194" s="380"/>
      <c r="K194" s="94"/>
      <c r="L194" s="94"/>
      <c r="M194" s="94"/>
    </row>
    <row r="195" spans="3:13" ht="21.95" customHeight="1" thickBot="1">
      <c r="C195" s="35" t="s">
        <v>56</v>
      </c>
      <c r="D195" s="129">
        <f>'1) Tableau budgétaire 1'!D72</f>
        <v>450000</v>
      </c>
      <c r="E195" s="140">
        <f>'1) Tableau budgétaire 1'!F72</f>
        <v>205000</v>
      </c>
      <c r="F195" s="150">
        <f>'1) Tableau budgétaire 1'!H72</f>
        <v>137000</v>
      </c>
      <c r="G195" s="161">
        <f>'1) Tableau budgétaire 1'!J72</f>
        <v>137000</v>
      </c>
      <c r="H195" s="171">
        <f>'1) Tableau budgétaire 1'!L72</f>
        <v>64300</v>
      </c>
      <c r="I195" s="171">
        <f>'1) Tableau budgétaire 1'!N72</f>
        <v>46700</v>
      </c>
      <c r="J195" s="36">
        <f>SUM(D195:I195)</f>
        <v>1040000</v>
      </c>
      <c r="K195" s="94"/>
      <c r="L195" s="94"/>
      <c r="M195" s="94"/>
    </row>
    <row r="196" spans="3:13" ht="18" customHeight="1" thickBot="1">
      <c r="C196" s="34" t="s">
        <v>14</v>
      </c>
      <c r="D196" s="130">
        <f>'1) Tableau budgétaire 1'!D59</f>
        <v>206000</v>
      </c>
      <c r="E196" s="141">
        <v>135000</v>
      </c>
      <c r="F196" s="151">
        <f>'1) Tableau budgétaire 1'!H61</f>
        <v>70000</v>
      </c>
      <c r="G196" s="162">
        <v>70000</v>
      </c>
      <c r="H196" s="172">
        <f>'1) Tableau budgétaire 1'!L63</f>
        <v>36400</v>
      </c>
      <c r="I196" s="172">
        <f>'1) Tableau budgétaire 1'!N63</f>
        <v>28600</v>
      </c>
      <c r="J196" s="36">
        <f t="shared" ref="J196:J203" si="28">SUM(D196:I196)</f>
        <v>546000</v>
      </c>
      <c r="K196" s="94"/>
      <c r="L196" s="94"/>
      <c r="M196" s="94"/>
    </row>
    <row r="197" spans="3:13" ht="20.25" customHeight="1" thickBot="1">
      <c r="C197" s="26" t="s">
        <v>15</v>
      </c>
      <c r="D197" s="131">
        <f>'1) Tableau budgétaire 1'!D67</f>
        <v>12000</v>
      </c>
      <c r="E197" s="109"/>
      <c r="F197" s="112">
        <f>'1) Tableau budgétaire 1'!H67</f>
        <v>9000</v>
      </c>
      <c r="G197" s="115">
        <v>9000</v>
      </c>
      <c r="H197" s="118">
        <f>'1) Tableau budgétaire 1'!L67</f>
        <v>2800.0000000000005</v>
      </c>
      <c r="I197" s="118">
        <f>'1) Tableau budgétaire 1'!N67</f>
        <v>2200</v>
      </c>
      <c r="J197" s="36">
        <f t="shared" si="28"/>
        <v>35000</v>
      </c>
      <c r="K197" s="94"/>
      <c r="L197" s="94"/>
      <c r="M197" s="94"/>
    </row>
    <row r="198" spans="3:13" ht="39.75" customHeight="1" thickBot="1">
      <c r="C198" s="26" t="s">
        <v>16</v>
      </c>
      <c r="D198" s="131">
        <f>'1) Tableau budgétaire 1'!D64+'1) Tableau budgétaire 1'!D68</f>
        <v>25000</v>
      </c>
      <c r="E198" s="142"/>
      <c r="F198" s="152">
        <f>'1) Tableau budgétaire 1'!H64+'1) Tableau budgétaire 1'!J68</f>
        <v>15000</v>
      </c>
      <c r="G198" s="163">
        <v>15000</v>
      </c>
      <c r="H198" s="173">
        <f>'1) Tableau budgétaire 1'!L64</f>
        <v>5600.0000000000009</v>
      </c>
      <c r="I198" s="173">
        <f>'1) Tableau budgétaire 1'!N64</f>
        <v>4400</v>
      </c>
      <c r="J198" s="36">
        <f t="shared" si="28"/>
        <v>65000</v>
      </c>
      <c r="K198" s="94"/>
      <c r="L198" s="94"/>
      <c r="M198" s="94"/>
    </row>
    <row r="199" spans="3:13" ht="18" customHeight="1" thickBot="1">
      <c r="C199" s="27" t="s">
        <v>17</v>
      </c>
      <c r="D199" s="131">
        <f>'1) Tableau budgétaire 1'!D69+'1) Tableau budgétaire 1'!D71</f>
        <v>130000</v>
      </c>
      <c r="E199" s="142"/>
      <c r="F199" s="152"/>
      <c r="G199" s="163"/>
      <c r="H199" s="173"/>
      <c r="I199" s="201"/>
      <c r="J199" s="36">
        <f t="shared" si="28"/>
        <v>130000</v>
      </c>
      <c r="K199" s="94"/>
      <c r="L199" s="94"/>
      <c r="M199" s="94"/>
    </row>
    <row r="200" spans="3:13" ht="19.5" customHeight="1" thickBot="1">
      <c r="C200" s="26" t="s">
        <v>18</v>
      </c>
      <c r="D200" s="131">
        <f>'1) Tableau budgétaire 1'!D70</f>
        <v>55000</v>
      </c>
      <c r="E200" s="142">
        <v>30000</v>
      </c>
      <c r="F200" s="152">
        <f>'1) Tableau budgétaire 1'!H70</f>
        <v>25000</v>
      </c>
      <c r="G200" s="163">
        <v>25000</v>
      </c>
      <c r="H200" s="173">
        <f>'1) Tableau budgétaire 1'!L70</f>
        <v>8400</v>
      </c>
      <c r="I200" s="173">
        <f>'1) Tableau budgétaire 1'!N70</f>
        <v>6600</v>
      </c>
      <c r="J200" s="36">
        <f t="shared" si="28"/>
        <v>150000</v>
      </c>
      <c r="K200" s="94"/>
      <c r="L200" s="94"/>
      <c r="M200" s="94"/>
    </row>
    <row r="201" spans="3:13" ht="18" customHeight="1" thickBot="1">
      <c r="C201" s="26" t="s">
        <v>19</v>
      </c>
      <c r="D201" s="131"/>
      <c r="E201" s="142"/>
      <c r="F201" s="152"/>
      <c r="G201" s="163"/>
      <c r="H201" s="173"/>
      <c r="I201" s="201"/>
      <c r="J201" s="36">
        <f t="shared" si="28"/>
        <v>0</v>
      </c>
      <c r="K201" s="94"/>
      <c r="L201" s="94"/>
      <c r="M201" s="94"/>
    </row>
    <row r="202" spans="3:13" ht="19.5" customHeight="1" thickBot="1">
      <c r="C202" s="26" t="s">
        <v>20</v>
      </c>
      <c r="D202" s="131">
        <f>'1) Tableau budgétaire 1'!D65+'1) Tableau budgétaire 1'!D66</f>
        <v>22000</v>
      </c>
      <c r="E202" s="142">
        <v>40000</v>
      </c>
      <c r="F202" s="152">
        <f>'1) Tableau budgétaire 1'!H65+'1) Tableau budgétaire 1'!H66</f>
        <v>18000</v>
      </c>
      <c r="G202" s="163">
        <v>18000</v>
      </c>
      <c r="H202" s="173">
        <v>11100</v>
      </c>
      <c r="I202" s="173">
        <v>4900</v>
      </c>
      <c r="J202" s="36">
        <f>SUM(D202:I202)</f>
        <v>114000</v>
      </c>
      <c r="K202" s="94"/>
      <c r="L202" s="94"/>
      <c r="M202" s="94"/>
    </row>
    <row r="203" spans="3:13" ht="23.25" customHeight="1" thickBot="1">
      <c r="C203" s="30" t="s">
        <v>21</v>
      </c>
      <c r="D203" s="132">
        <f t="shared" ref="D203:I203" si="29">SUM(D196:D202)</f>
        <v>450000</v>
      </c>
      <c r="E203" s="143">
        <f t="shared" si="29"/>
        <v>205000</v>
      </c>
      <c r="F203" s="153">
        <f t="shared" si="29"/>
        <v>137000</v>
      </c>
      <c r="G203" s="164">
        <f t="shared" si="29"/>
        <v>137000</v>
      </c>
      <c r="H203" s="174">
        <f t="shared" si="29"/>
        <v>64300</v>
      </c>
      <c r="I203" s="174">
        <f t="shared" si="29"/>
        <v>46700</v>
      </c>
      <c r="J203" s="36">
        <f t="shared" si="28"/>
        <v>1040000</v>
      </c>
      <c r="K203" s="94"/>
      <c r="L203" s="94"/>
      <c r="M203" s="94"/>
    </row>
    <row r="204" spans="3:13" ht="15.75" customHeight="1" thickBot="1">
      <c r="C204" s="94"/>
      <c r="D204" s="95"/>
      <c r="E204" s="95"/>
      <c r="F204" s="95"/>
      <c r="G204" s="95"/>
      <c r="H204" s="95"/>
      <c r="I204" s="95"/>
      <c r="J204" s="94"/>
      <c r="K204" s="94"/>
      <c r="L204" s="94"/>
      <c r="M204" s="94"/>
    </row>
    <row r="205" spans="3:13" ht="19.5" customHeight="1" thickBot="1">
      <c r="C205" s="400" t="s">
        <v>57</v>
      </c>
      <c r="D205" s="401"/>
      <c r="E205" s="401"/>
      <c r="F205" s="401"/>
      <c r="G205" s="401"/>
      <c r="H205" s="401"/>
      <c r="I205" s="401"/>
      <c r="J205" s="402"/>
      <c r="K205" s="94"/>
      <c r="L205" s="94"/>
      <c r="M205" s="94"/>
    </row>
    <row r="206" spans="3:13" ht="42.75" customHeight="1">
      <c r="C206" s="42"/>
      <c r="D206" s="134" t="s">
        <v>5</v>
      </c>
      <c r="E206" s="110" t="s">
        <v>6</v>
      </c>
      <c r="F206" s="113" t="s">
        <v>7</v>
      </c>
      <c r="G206" s="116" t="s">
        <v>8</v>
      </c>
      <c r="H206" s="177" t="s">
        <v>9</v>
      </c>
      <c r="I206" s="177" t="s">
        <v>58</v>
      </c>
      <c r="J206" s="392" t="s">
        <v>57</v>
      </c>
      <c r="K206" s="94"/>
      <c r="L206" s="94"/>
      <c r="M206" s="94"/>
    </row>
    <row r="207" spans="3:13" ht="19.5" customHeight="1">
      <c r="C207" s="66"/>
      <c r="D207" s="135" t="str">
        <f>'1) Tableau budgétaire 1'!D13</f>
        <v>PNUD GUINEE</v>
      </c>
      <c r="E207" s="145" t="str">
        <f>'1) Tableau budgétaire 1'!F13</f>
        <v>PNUD MALI</v>
      </c>
      <c r="F207" s="156" t="str">
        <f>'1) Tableau budgétaire 1'!H13</f>
        <v>UNFPA GUINEE</v>
      </c>
      <c r="G207" s="166" t="str">
        <f>'1) Tableau budgétaire 1'!J13</f>
        <v>UNFPA MALI</v>
      </c>
      <c r="H207" s="177" t="str">
        <f>'1) Tableau budgétaire 1'!L13</f>
        <v>UNODC GUINEE</v>
      </c>
      <c r="I207" s="177" t="str">
        <f>'1) Tableau budgétaire 1'!N13</f>
        <v>UNODC MALI</v>
      </c>
      <c r="J207" s="393"/>
      <c r="K207" s="94"/>
      <c r="L207" s="94"/>
      <c r="M207" s="94"/>
    </row>
    <row r="208" spans="3:13" ht="19.5" customHeight="1">
      <c r="C208" s="63" t="s">
        <v>14</v>
      </c>
      <c r="D208" s="136">
        <f>SUM(D185,D174,D163,D152,D140,D129,D118,D107,D95,D84,D73,D62,D50,D39,D28,D17,D196)</f>
        <v>206000</v>
      </c>
      <c r="E208" s="146">
        <f t="shared" ref="E208:I208" si="30">SUM(E185,E174,E163,E152,E140,E129,E118,E107,E95,E84,E73,E62,E50,E39,E28,E17,E196)</f>
        <v>135000</v>
      </c>
      <c r="F208" s="157">
        <f t="shared" si="30"/>
        <v>70000</v>
      </c>
      <c r="G208" s="167">
        <f t="shared" si="30"/>
        <v>70000</v>
      </c>
      <c r="H208" s="178">
        <f>SUM(H185,H174,H163,H152,H140,H129,H118,H107,H95,H84,H73,H62,H50,H39,H28,H17,H196)</f>
        <v>36400</v>
      </c>
      <c r="I208" s="178">
        <f t="shared" si="30"/>
        <v>28600</v>
      </c>
      <c r="J208" s="41">
        <f>SUM(D208:I208)</f>
        <v>546000</v>
      </c>
      <c r="K208" s="94"/>
      <c r="L208" s="94"/>
      <c r="M208" s="94"/>
    </row>
    <row r="209" spans="3:17" ht="18.95" customHeight="1">
      <c r="C209" s="64" t="s">
        <v>15</v>
      </c>
      <c r="D209" s="136">
        <f>SUM(D186,D175,D164,D153,D141,D130,D119,D108,D96,D85,D74,D63,D51,D40,D29,D18,D197)</f>
        <v>22000</v>
      </c>
      <c r="E209" s="146">
        <f t="shared" ref="E209:G209" si="31">SUM(E186,E175,E164,E153,E141,E130,E119,E108,E96,E85,E74,E63,E51,E40,E29,E18,E197)</f>
        <v>46800</v>
      </c>
      <c r="F209" s="157">
        <f t="shared" si="31"/>
        <v>9000</v>
      </c>
      <c r="G209" s="167">
        <f t="shared" si="31"/>
        <v>9000</v>
      </c>
      <c r="H209" s="178">
        <f t="shared" ref="H209:I214" si="32">SUM(H186,H175,H164,H153,H141,H130,H119,H108,H96,H85,H74,H63,H51,H40,H29,H18,H197)</f>
        <v>8400.0000000000018</v>
      </c>
      <c r="I209" s="178">
        <f t="shared" si="32"/>
        <v>6600</v>
      </c>
      <c r="J209" s="41">
        <f t="shared" ref="J209:J216" si="33">SUM(D209:I209)</f>
        <v>101800</v>
      </c>
      <c r="K209" s="94"/>
      <c r="L209" s="94"/>
      <c r="M209" s="94"/>
      <c r="N209" s="94"/>
      <c r="O209" s="94"/>
      <c r="P209" s="94"/>
      <c r="Q209" s="94"/>
    </row>
    <row r="210" spans="3:17" ht="36.6" customHeight="1">
      <c r="C210" s="64" t="s">
        <v>16</v>
      </c>
      <c r="D210" s="136">
        <f t="shared" ref="D210:G214" si="34">SUM(D187,D176,D165,D154,D142,D131,D120,D109,D97,D86,D75,D64,D52,D41,D30,D19,D198)</f>
        <v>25000</v>
      </c>
      <c r="E210" s="146">
        <f t="shared" si="34"/>
        <v>0</v>
      </c>
      <c r="F210" s="157">
        <f t="shared" si="34"/>
        <v>15000</v>
      </c>
      <c r="G210" s="167">
        <f t="shared" si="34"/>
        <v>15000</v>
      </c>
      <c r="H210" s="178">
        <f>SUM(H187,H176,H165,H154,H142,H131,H120,H109,H97,H86,H75,H64,H52,H41,H30,H19,H198)</f>
        <v>22400</v>
      </c>
      <c r="I210" s="178">
        <f>SUM(I187,I176,I165,I154,I142,I131,I120,I109,I97,I86,I75,I64,I52,I41,I30,I19,I198)</f>
        <v>17600</v>
      </c>
      <c r="J210" s="41">
        <f t="shared" si="33"/>
        <v>95000</v>
      </c>
      <c r="K210" s="94"/>
      <c r="L210" s="94"/>
      <c r="M210" s="94"/>
      <c r="N210" s="94"/>
      <c r="O210" s="94"/>
      <c r="P210" s="94"/>
      <c r="Q210" s="94"/>
    </row>
    <row r="211" spans="3:17" ht="24" customHeight="1">
      <c r="C211" s="65" t="s">
        <v>17</v>
      </c>
      <c r="D211" s="136">
        <f t="shared" si="34"/>
        <v>265000</v>
      </c>
      <c r="E211" s="146">
        <f t="shared" si="34"/>
        <v>110773.83199999999</v>
      </c>
      <c r="F211" s="157">
        <f t="shared" si="34"/>
        <v>130000</v>
      </c>
      <c r="G211" s="167">
        <f t="shared" si="34"/>
        <v>130000</v>
      </c>
      <c r="H211" s="178">
        <f t="shared" si="32"/>
        <v>96124.000000000015</v>
      </c>
      <c r="I211" s="178">
        <f t="shared" si="32"/>
        <v>75526</v>
      </c>
      <c r="J211" s="41">
        <f t="shared" si="33"/>
        <v>807423.83199999994</v>
      </c>
      <c r="K211" s="94"/>
      <c r="L211" s="94"/>
      <c r="M211" s="88"/>
      <c r="N211" s="94"/>
      <c r="O211" s="94"/>
      <c r="P211" s="94"/>
      <c r="Q211" s="94"/>
    </row>
    <row r="212" spans="3:17" ht="21" customHeight="1">
      <c r="C212" s="64" t="s">
        <v>18</v>
      </c>
      <c r="D212" s="136">
        <f t="shared" si="34"/>
        <v>155000</v>
      </c>
      <c r="E212" s="146">
        <f t="shared" si="34"/>
        <v>196715.88800000001</v>
      </c>
      <c r="F212" s="157">
        <f t="shared" si="34"/>
        <v>43000</v>
      </c>
      <c r="G212" s="167">
        <f t="shared" si="34"/>
        <v>51000</v>
      </c>
      <c r="H212" s="178">
        <f t="shared" si="32"/>
        <v>67592</v>
      </c>
      <c r="I212" s="178">
        <f t="shared" si="32"/>
        <v>53108</v>
      </c>
      <c r="J212" s="41">
        <f t="shared" si="33"/>
        <v>566415.88800000004</v>
      </c>
      <c r="K212" s="88"/>
      <c r="L212" s="88"/>
      <c r="M212" s="88"/>
      <c r="N212" s="88"/>
      <c r="O212" s="88"/>
      <c r="P212" s="99"/>
      <c r="Q212" s="94"/>
    </row>
    <row r="213" spans="3:17" ht="24.6" customHeight="1">
      <c r="C213" s="64" t="s">
        <v>19</v>
      </c>
      <c r="D213" s="136">
        <f t="shared" si="34"/>
        <v>491000</v>
      </c>
      <c r="E213" s="146">
        <f t="shared" si="34"/>
        <v>410289.72</v>
      </c>
      <c r="F213" s="157">
        <f t="shared" si="34"/>
        <v>370000</v>
      </c>
      <c r="G213" s="167">
        <f t="shared" si="34"/>
        <v>370000</v>
      </c>
      <c r="H213" s="178">
        <f t="shared" si="32"/>
        <v>28000.000000000004</v>
      </c>
      <c r="I213" s="178">
        <f t="shared" si="32"/>
        <v>22000</v>
      </c>
      <c r="J213" s="41">
        <f t="shared" si="33"/>
        <v>1691289.72</v>
      </c>
      <c r="K213" s="88"/>
      <c r="L213" s="88"/>
      <c r="M213" s="88"/>
      <c r="N213" s="88"/>
      <c r="O213" s="88"/>
      <c r="P213" s="99"/>
      <c r="Q213" s="94"/>
    </row>
    <row r="214" spans="3:17" ht="39.75" customHeight="1">
      <c r="C214" s="64" t="s">
        <v>20</v>
      </c>
      <c r="D214" s="137">
        <f t="shared" si="34"/>
        <v>22000</v>
      </c>
      <c r="E214" s="147">
        <f t="shared" si="34"/>
        <v>40000</v>
      </c>
      <c r="F214" s="158">
        <f t="shared" si="34"/>
        <v>18000</v>
      </c>
      <c r="G214" s="168">
        <f t="shared" si="34"/>
        <v>18000</v>
      </c>
      <c r="H214" s="179">
        <f t="shared" si="32"/>
        <v>26584</v>
      </c>
      <c r="I214" s="179">
        <f t="shared" si="32"/>
        <v>17066</v>
      </c>
      <c r="J214" s="41">
        <f t="shared" si="33"/>
        <v>141650</v>
      </c>
      <c r="K214" s="88"/>
      <c r="L214" s="88"/>
      <c r="M214" s="88"/>
      <c r="N214" s="88"/>
      <c r="O214" s="88"/>
      <c r="P214" s="99"/>
      <c r="Q214" s="94"/>
    </row>
    <row r="215" spans="3:17" ht="22.5" customHeight="1">
      <c r="C215" s="75" t="s">
        <v>59</v>
      </c>
      <c r="D215" s="132">
        <f t="shared" ref="D215:G215" si="35">SUM(D208:D214)</f>
        <v>1186000</v>
      </c>
      <c r="E215" s="143">
        <f t="shared" si="35"/>
        <v>939579.44</v>
      </c>
      <c r="F215" s="153">
        <f t="shared" si="35"/>
        <v>655000</v>
      </c>
      <c r="G215" s="164">
        <f t="shared" si="35"/>
        <v>663000</v>
      </c>
      <c r="H215" s="174">
        <f>SUM(H208:H214)</f>
        <v>285500</v>
      </c>
      <c r="I215" s="174">
        <f>SUM(I208:I214)</f>
        <v>220500</v>
      </c>
      <c r="J215" s="41">
        <f t="shared" si="33"/>
        <v>3949579.44</v>
      </c>
      <c r="K215" s="88"/>
      <c r="L215" s="88"/>
      <c r="M215" s="17"/>
      <c r="N215" s="88"/>
      <c r="O215" s="88"/>
      <c r="P215" s="99"/>
      <c r="Q215" s="94"/>
    </row>
    <row r="216" spans="3:17" ht="23.45" customHeight="1" thickBot="1">
      <c r="C216" s="75" t="s">
        <v>60</v>
      </c>
      <c r="D216" s="138">
        <f>D215*0.07</f>
        <v>83020.000000000015</v>
      </c>
      <c r="E216" s="148">
        <f t="shared" ref="E216:G216" si="36">E215*0.07</f>
        <v>65770.560800000007</v>
      </c>
      <c r="F216" s="159">
        <f t="shared" si="36"/>
        <v>45850.000000000007</v>
      </c>
      <c r="G216" s="169">
        <f t="shared" si="36"/>
        <v>46410.000000000007</v>
      </c>
      <c r="H216" s="180">
        <f>H215*0.07</f>
        <v>19985.000000000004</v>
      </c>
      <c r="I216" s="180">
        <f>I215*0.07</f>
        <v>15435.000000000002</v>
      </c>
      <c r="J216" s="41">
        <f t="shared" si="33"/>
        <v>276470.56080000004</v>
      </c>
      <c r="K216" s="17"/>
      <c r="L216" s="17"/>
      <c r="M216" s="94"/>
      <c r="N216" s="17"/>
      <c r="O216" s="100"/>
      <c r="P216" s="95"/>
      <c r="Q216" s="94"/>
    </row>
    <row r="217" spans="3:17" ht="23.25" customHeight="1" thickBot="1">
      <c r="C217" s="59" t="s">
        <v>61</v>
      </c>
      <c r="D217" s="139">
        <f>SUM(D215:D216)</f>
        <v>1269020</v>
      </c>
      <c r="E217" s="149">
        <f t="shared" ref="E217:I217" si="37">SUM(E215:E216)</f>
        <v>1005350.0007999999</v>
      </c>
      <c r="F217" s="160">
        <f>SUM(F215:F216)</f>
        <v>700850</v>
      </c>
      <c r="G217" s="170">
        <f t="shared" si="37"/>
        <v>709410</v>
      </c>
      <c r="H217" s="181">
        <f>SUM(H215:H216)</f>
        <v>305485</v>
      </c>
      <c r="I217" s="181">
        <f t="shared" si="37"/>
        <v>235935</v>
      </c>
      <c r="J217" s="127">
        <f>SUM(J215:J216)</f>
        <v>4226050.0007999996</v>
      </c>
      <c r="K217" s="17"/>
      <c r="L217" s="17"/>
      <c r="M217" s="17"/>
      <c r="N217" s="17"/>
      <c r="O217" s="100"/>
      <c r="P217" s="95"/>
      <c r="Q217" s="94"/>
    </row>
    <row r="218" spans="3:17" ht="15.75" customHeight="1">
      <c r="C218" s="94"/>
      <c r="D218" s="95"/>
      <c r="E218" s="95"/>
      <c r="F218" s="95"/>
      <c r="G218" s="95"/>
      <c r="H218" s="95"/>
      <c r="I218" s="95"/>
      <c r="J218" s="94"/>
      <c r="K218" s="94"/>
      <c r="L218" s="94"/>
      <c r="M218" s="94"/>
      <c r="N218" s="94"/>
      <c r="O218" s="31"/>
      <c r="P218" s="94"/>
      <c r="Q218" s="94"/>
    </row>
    <row r="219" spans="3:17" ht="15.75" customHeight="1">
      <c r="C219" s="94"/>
      <c r="D219" s="95"/>
      <c r="E219" s="95"/>
      <c r="F219" s="95"/>
      <c r="G219" s="95"/>
      <c r="H219" s="95"/>
      <c r="I219" s="95"/>
      <c r="J219" s="94"/>
      <c r="K219" s="24"/>
      <c r="L219" s="24"/>
      <c r="M219" s="94"/>
      <c r="N219" s="94"/>
      <c r="O219" s="31"/>
      <c r="P219" s="94"/>
      <c r="Q219" s="94"/>
    </row>
    <row r="220" spans="3:17" ht="15.75" customHeight="1">
      <c r="C220" s="94"/>
      <c r="D220" s="95"/>
      <c r="E220" s="95"/>
      <c r="F220" s="95"/>
      <c r="G220" s="95"/>
      <c r="H220" s="203"/>
      <c r="I220" s="203"/>
      <c r="J220" s="94"/>
      <c r="K220" s="24"/>
      <c r="L220" s="24"/>
      <c r="M220" s="94"/>
      <c r="N220" s="94"/>
      <c r="O220" s="94"/>
      <c r="P220" s="94"/>
      <c r="Q220" s="94"/>
    </row>
    <row r="221" spans="3:17" ht="24.75" customHeight="1">
      <c r="C221" s="94"/>
      <c r="D221" s="95"/>
      <c r="E221" s="95"/>
      <c r="F221" s="95"/>
      <c r="G221" s="95"/>
      <c r="H221" s="95"/>
      <c r="I221" s="95"/>
      <c r="J221" s="94"/>
      <c r="K221" s="24"/>
      <c r="L221" s="24"/>
      <c r="M221" s="94"/>
      <c r="N221" s="94"/>
      <c r="O221" s="32"/>
      <c r="P221" s="94"/>
      <c r="Q221" s="94"/>
    </row>
    <row r="222" spans="3:17" ht="41.25" customHeight="1">
      <c r="C222" s="94"/>
      <c r="D222" s="95"/>
      <c r="E222" s="95"/>
      <c r="F222" s="95"/>
      <c r="G222" s="95"/>
      <c r="H222" s="95"/>
      <c r="I222" s="95"/>
      <c r="J222" s="94"/>
      <c r="K222" s="101"/>
      <c r="L222" s="24"/>
      <c r="M222" s="94"/>
      <c r="N222" s="94"/>
      <c r="O222" s="32"/>
      <c r="P222" s="94"/>
      <c r="Q222" s="94"/>
    </row>
    <row r="223" spans="3:17" s="29" customFormat="1" ht="42" customHeight="1">
      <c r="C223" s="94"/>
      <c r="D223" s="95"/>
      <c r="E223" s="95"/>
      <c r="F223" s="95"/>
      <c r="G223" s="95"/>
      <c r="H223" s="95"/>
      <c r="I223" s="95"/>
      <c r="J223" s="94"/>
      <c r="K223" s="94"/>
      <c r="L223" s="94"/>
      <c r="M223" s="94"/>
      <c r="N223" s="94"/>
      <c r="O223" s="94"/>
      <c r="P223" s="31"/>
      <c r="Q223" s="95"/>
    </row>
    <row r="224" spans="3:17" ht="23.25" customHeight="1">
      <c r="C224" s="94"/>
      <c r="D224" s="95"/>
      <c r="E224" s="95"/>
      <c r="F224" s="95"/>
      <c r="G224" s="95"/>
      <c r="H224" s="95"/>
      <c r="I224" s="95"/>
      <c r="J224" s="94"/>
      <c r="K224" s="94"/>
      <c r="L224" s="94"/>
      <c r="M224" s="94"/>
      <c r="N224" s="94"/>
      <c r="O224" s="94"/>
      <c r="P224" s="94"/>
      <c r="Q224" s="94"/>
    </row>
    <row r="225" spans="3:17" ht="27.75" customHeight="1">
      <c r="C225" s="94"/>
      <c r="D225" s="95"/>
      <c r="E225" s="95"/>
      <c r="F225" s="95"/>
      <c r="G225" s="95"/>
      <c r="H225" s="95"/>
      <c r="I225" s="95"/>
      <c r="J225" s="94"/>
      <c r="K225" s="94"/>
      <c r="L225" s="94"/>
      <c r="M225" s="94"/>
      <c r="N225" s="94"/>
      <c r="O225" s="94"/>
      <c r="P225" s="94"/>
      <c r="Q225" s="94"/>
    </row>
    <row r="226" spans="3:17" ht="55.5" customHeight="1">
      <c r="C226" s="94"/>
      <c r="D226" s="95"/>
      <c r="E226" s="95"/>
      <c r="F226" s="95"/>
      <c r="G226" s="95"/>
      <c r="H226" s="95"/>
      <c r="I226" s="95"/>
      <c r="J226" s="94"/>
      <c r="K226" s="94"/>
      <c r="L226" s="94"/>
      <c r="M226" s="94"/>
      <c r="N226" s="94"/>
      <c r="O226" s="94"/>
      <c r="P226" s="94"/>
      <c r="Q226" s="94"/>
    </row>
    <row r="227" spans="3:17" ht="57.75" customHeight="1">
      <c r="C227" s="94"/>
      <c r="D227" s="95"/>
      <c r="E227" s="95"/>
      <c r="F227" s="95"/>
      <c r="G227" s="95"/>
      <c r="H227" s="95"/>
      <c r="I227" s="95"/>
      <c r="J227" s="94"/>
      <c r="K227" s="94"/>
      <c r="L227" s="94"/>
      <c r="M227" s="94"/>
      <c r="N227" s="94"/>
      <c r="O227" s="94"/>
      <c r="P227" s="94"/>
      <c r="Q227" s="94"/>
    </row>
    <row r="228" spans="3:17" ht="21.75" customHeight="1">
      <c r="C228" s="94"/>
      <c r="D228" s="95"/>
      <c r="E228" s="95"/>
      <c r="F228" s="95"/>
      <c r="G228" s="95"/>
      <c r="H228" s="95"/>
      <c r="I228" s="95"/>
      <c r="J228" s="94"/>
      <c r="K228" s="94"/>
      <c r="L228" s="94"/>
      <c r="M228" s="94"/>
      <c r="N228" s="94"/>
      <c r="O228" s="94"/>
      <c r="P228" s="94"/>
      <c r="Q228" s="94"/>
    </row>
    <row r="229" spans="3:17" ht="49.5" customHeight="1">
      <c r="C229" s="94"/>
      <c r="D229" s="95"/>
      <c r="E229" s="95"/>
      <c r="F229" s="95"/>
      <c r="G229" s="95"/>
      <c r="H229" s="95"/>
      <c r="I229" s="95"/>
      <c r="J229" s="94"/>
      <c r="K229" s="94"/>
      <c r="L229" s="94"/>
      <c r="M229" s="94"/>
      <c r="N229" s="94"/>
      <c r="O229" s="94"/>
      <c r="P229" s="94"/>
      <c r="Q229" s="94"/>
    </row>
    <row r="230" spans="3:17" ht="28.5" customHeight="1">
      <c r="C230" s="94"/>
      <c r="D230" s="95"/>
      <c r="E230" s="95"/>
      <c r="F230" s="95"/>
      <c r="G230" s="95"/>
      <c r="H230" s="95"/>
      <c r="I230" s="95"/>
      <c r="J230" s="94"/>
      <c r="K230" s="94"/>
      <c r="L230" s="94"/>
      <c r="M230" s="94"/>
      <c r="N230" s="94"/>
      <c r="O230" s="94"/>
      <c r="P230" s="94"/>
      <c r="Q230" s="94"/>
    </row>
    <row r="231" spans="3:17" ht="28.5" customHeight="1">
      <c r="C231" s="94"/>
      <c r="D231" s="95"/>
      <c r="E231" s="95"/>
      <c r="F231" s="95"/>
      <c r="G231" s="95"/>
      <c r="H231" s="95"/>
      <c r="I231" s="95"/>
      <c r="J231" s="94"/>
      <c r="K231" s="94"/>
      <c r="L231" s="94"/>
      <c r="M231" s="94"/>
      <c r="N231" s="94"/>
      <c r="O231" s="94"/>
      <c r="P231" s="94"/>
      <c r="Q231" s="94"/>
    </row>
    <row r="232" spans="3:17" ht="28.5" customHeight="1">
      <c r="C232" s="94"/>
      <c r="D232" s="95"/>
      <c r="E232" s="95"/>
      <c r="F232" s="95"/>
      <c r="G232" s="95"/>
      <c r="H232" s="95"/>
      <c r="I232" s="95"/>
      <c r="J232" s="94"/>
      <c r="K232" s="94"/>
      <c r="L232" s="94"/>
      <c r="M232" s="94"/>
      <c r="N232" s="94"/>
      <c r="O232" s="94"/>
      <c r="P232" s="94"/>
      <c r="Q232" s="94"/>
    </row>
    <row r="233" spans="3:17" ht="23.25" customHeight="1">
      <c r="C233" s="94"/>
      <c r="D233" s="95"/>
      <c r="E233" s="95"/>
      <c r="F233" s="95"/>
      <c r="G233" s="95"/>
      <c r="H233" s="95"/>
      <c r="I233" s="95"/>
      <c r="J233" s="94"/>
      <c r="K233" s="94"/>
      <c r="L233" s="94"/>
      <c r="M233" s="94"/>
      <c r="N233" s="94"/>
      <c r="O233" s="94"/>
      <c r="P233" s="94"/>
      <c r="Q233" s="31"/>
    </row>
    <row r="234" spans="3:17" ht="43.5" customHeight="1">
      <c r="C234" s="94"/>
      <c r="D234" s="95"/>
      <c r="E234" s="95"/>
      <c r="F234" s="95"/>
      <c r="G234" s="95"/>
      <c r="H234" s="95"/>
      <c r="I234" s="95"/>
      <c r="J234" s="94"/>
      <c r="K234" s="94"/>
      <c r="L234" s="94"/>
      <c r="M234" s="94"/>
      <c r="N234" s="94"/>
      <c r="O234" s="94"/>
      <c r="P234" s="94"/>
      <c r="Q234" s="31"/>
    </row>
    <row r="235" spans="3:17" ht="55.5" customHeight="1">
      <c r="C235" s="94"/>
      <c r="D235" s="95"/>
      <c r="E235" s="95"/>
      <c r="F235" s="95"/>
      <c r="G235" s="95"/>
      <c r="H235" s="95"/>
      <c r="I235" s="95"/>
      <c r="J235" s="94"/>
      <c r="K235" s="94"/>
      <c r="L235" s="94"/>
      <c r="M235" s="94"/>
      <c r="N235" s="94"/>
      <c r="O235" s="94"/>
      <c r="P235" s="94"/>
      <c r="Q235" s="94"/>
    </row>
    <row r="236" spans="3:17" ht="42.75" customHeight="1">
      <c r="C236" s="94"/>
      <c r="D236" s="95"/>
      <c r="E236" s="95"/>
      <c r="F236" s="95"/>
      <c r="G236" s="95"/>
      <c r="H236" s="95"/>
      <c r="I236" s="95"/>
      <c r="J236" s="94"/>
      <c r="K236" s="94"/>
      <c r="L236" s="94"/>
      <c r="M236" s="94"/>
      <c r="N236" s="94"/>
      <c r="O236" s="94"/>
      <c r="P236" s="94"/>
      <c r="Q236" s="31"/>
    </row>
    <row r="237" spans="3:17" ht="21.75" customHeight="1">
      <c r="C237" s="94"/>
      <c r="D237" s="95"/>
      <c r="E237" s="95"/>
      <c r="F237" s="95"/>
      <c r="G237" s="95"/>
      <c r="H237" s="95"/>
      <c r="I237" s="95"/>
      <c r="J237" s="94"/>
      <c r="K237" s="94"/>
      <c r="L237" s="94"/>
      <c r="M237" s="94"/>
      <c r="N237" s="94"/>
      <c r="O237" s="94"/>
      <c r="P237" s="94"/>
      <c r="Q237" s="31"/>
    </row>
    <row r="238" spans="3:17" ht="21.75" customHeight="1">
      <c r="C238" s="94"/>
      <c r="D238" s="95"/>
      <c r="E238" s="95"/>
      <c r="F238" s="95"/>
      <c r="G238" s="95"/>
      <c r="H238" s="95"/>
      <c r="I238" s="95"/>
      <c r="J238" s="94"/>
      <c r="K238" s="94"/>
      <c r="L238" s="94"/>
      <c r="M238" s="94"/>
      <c r="N238" s="94"/>
      <c r="O238" s="94"/>
      <c r="P238" s="94"/>
      <c r="Q238" s="31"/>
    </row>
    <row r="239" spans="3:17" ht="23.25" customHeight="1">
      <c r="C239" s="94"/>
      <c r="D239" s="95"/>
      <c r="E239" s="95"/>
      <c r="F239" s="95"/>
      <c r="G239" s="95"/>
      <c r="H239" s="95"/>
      <c r="I239" s="95"/>
      <c r="J239" s="94"/>
      <c r="K239" s="94"/>
      <c r="L239" s="94"/>
      <c r="M239" s="94"/>
      <c r="N239" s="94"/>
      <c r="O239" s="94"/>
      <c r="P239" s="94"/>
      <c r="Q239" s="94"/>
    </row>
    <row r="240" spans="3:17" ht="23.25" customHeight="1">
      <c r="C240" s="94"/>
      <c r="D240" s="95"/>
      <c r="E240" s="95"/>
      <c r="F240" s="95"/>
      <c r="G240" s="95"/>
      <c r="H240" s="95"/>
      <c r="I240" s="95"/>
      <c r="J240" s="94"/>
      <c r="K240" s="94"/>
      <c r="L240" s="94"/>
      <c r="M240" s="94"/>
      <c r="N240" s="94"/>
      <c r="O240" s="94"/>
      <c r="P240" s="94"/>
      <c r="Q240" s="94"/>
    </row>
    <row r="241" spans="3:17" ht="21.75" customHeight="1">
      <c r="C241" s="94"/>
      <c r="D241" s="95"/>
      <c r="E241" s="95"/>
      <c r="F241" s="95"/>
      <c r="G241" s="95"/>
      <c r="H241" s="95"/>
      <c r="I241" s="95"/>
      <c r="J241" s="94"/>
      <c r="K241" s="94"/>
      <c r="L241" s="94"/>
      <c r="M241" s="94"/>
      <c r="N241" s="94"/>
      <c r="O241" s="94"/>
      <c r="P241" s="94"/>
      <c r="Q241" s="94"/>
    </row>
    <row r="242" spans="3:17" ht="16.5" customHeight="1">
      <c r="C242" s="94"/>
      <c r="D242" s="95"/>
      <c r="E242" s="95"/>
      <c r="F242" s="95"/>
      <c r="G242" s="95"/>
      <c r="H242" s="95"/>
      <c r="I242" s="95"/>
      <c r="J242" s="94"/>
      <c r="K242" s="94"/>
      <c r="L242" s="94"/>
      <c r="M242" s="94"/>
      <c r="N242" s="94"/>
      <c r="O242" s="94"/>
      <c r="P242" s="94"/>
      <c r="Q242" s="94"/>
    </row>
    <row r="243" spans="3:17" ht="29.25" customHeight="1">
      <c r="C243" s="94"/>
      <c r="D243" s="95"/>
      <c r="E243" s="95"/>
      <c r="F243" s="95"/>
      <c r="G243" s="95"/>
      <c r="H243" s="95"/>
      <c r="I243" s="95"/>
      <c r="J243" s="94"/>
      <c r="K243" s="94"/>
      <c r="L243" s="94"/>
      <c r="M243" s="94"/>
      <c r="N243" s="94"/>
      <c r="O243" s="94"/>
      <c r="P243" s="94"/>
      <c r="Q243" s="94"/>
    </row>
    <row r="244" spans="3:17" ht="24.75" customHeight="1">
      <c r="C244" s="94"/>
      <c r="D244" s="95"/>
      <c r="E244" s="95"/>
      <c r="F244" s="95"/>
      <c r="G244" s="95"/>
      <c r="H244" s="95"/>
      <c r="I244" s="95"/>
      <c r="J244" s="94"/>
      <c r="K244" s="94"/>
      <c r="L244" s="94"/>
      <c r="M244" s="94"/>
      <c r="N244" s="94"/>
      <c r="O244" s="94"/>
      <c r="P244" s="94"/>
      <c r="Q244" s="94"/>
    </row>
    <row r="245" spans="3:17" ht="33" customHeight="1">
      <c r="C245" s="94"/>
      <c r="D245" s="95"/>
      <c r="E245" s="95"/>
      <c r="F245" s="95"/>
      <c r="G245" s="95"/>
      <c r="H245" s="95"/>
      <c r="I245" s="95"/>
      <c r="J245" s="94"/>
      <c r="K245" s="94"/>
      <c r="L245" s="94"/>
      <c r="M245" s="94"/>
      <c r="N245" s="94"/>
      <c r="O245" s="94"/>
      <c r="P245" s="94"/>
      <c r="Q245" s="94"/>
    </row>
    <row r="247" spans="3:17" ht="15" customHeight="1">
      <c r="C247" s="94"/>
      <c r="D247" s="95"/>
      <c r="E247" s="95"/>
      <c r="F247" s="95"/>
      <c r="G247" s="95"/>
      <c r="H247" s="95"/>
      <c r="I247" s="95"/>
      <c r="J247" s="94"/>
      <c r="K247" s="94"/>
      <c r="L247" s="94"/>
      <c r="M247" s="94"/>
      <c r="N247" s="94"/>
      <c r="O247" s="94"/>
      <c r="P247" s="94"/>
      <c r="Q247" s="94"/>
    </row>
    <row r="248" spans="3:17" ht="25.5" customHeight="1">
      <c r="C248" s="94"/>
      <c r="D248" s="95"/>
      <c r="E248" s="95"/>
      <c r="F248" s="95"/>
      <c r="G248" s="95"/>
      <c r="H248" s="95"/>
      <c r="I248" s="95"/>
      <c r="J248" s="94"/>
      <c r="K248" s="94"/>
      <c r="L248" s="94"/>
      <c r="M248" s="94"/>
      <c r="N248" s="94"/>
      <c r="O248" s="94"/>
      <c r="P248" s="94"/>
      <c r="Q248" s="94"/>
    </row>
  </sheetData>
  <sheetProtection insertColumns="0" insertRows="0" deleteRows="0"/>
  <mergeCells count="28">
    <mergeCell ref="C194:J194"/>
    <mergeCell ref="J206:J207"/>
    <mergeCell ref="C172:J172"/>
    <mergeCell ref="C183:J183"/>
    <mergeCell ref="C6:J8"/>
    <mergeCell ref="C161:J161"/>
    <mergeCell ref="C60:J60"/>
    <mergeCell ref="C105:J105"/>
    <mergeCell ref="C116:J116"/>
    <mergeCell ref="C127:J127"/>
    <mergeCell ref="C205:J205"/>
    <mergeCell ref="C138:J138"/>
    <mergeCell ref="B149:J149"/>
    <mergeCell ref="C150:J150"/>
    <mergeCell ref="C71:J71"/>
    <mergeCell ref="C82:J82"/>
    <mergeCell ref="C93:J93"/>
    <mergeCell ref="B104:J104"/>
    <mergeCell ref="C2:F2"/>
    <mergeCell ref="B14:J14"/>
    <mergeCell ref="C15:J15"/>
    <mergeCell ref="B59:J59"/>
    <mergeCell ref="J12:J13"/>
    <mergeCell ref="C5:J5"/>
    <mergeCell ref="C26:J26"/>
    <mergeCell ref="C37:J37"/>
    <mergeCell ref="C48:J48"/>
    <mergeCell ref="C10:G10"/>
  </mergeCells>
  <phoneticPr fontId="24" type="noConversion"/>
  <conditionalFormatting sqref="J57">
    <cfRule type="cellIs" dxfId="19" priority="15" operator="notEqual">
      <formula>$J$49</formula>
    </cfRule>
  </conditionalFormatting>
  <conditionalFormatting sqref="J69">
    <cfRule type="cellIs" dxfId="18" priority="14" operator="notEqual">
      <formula>$J$61</formula>
    </cfRule>
  </conditionalFormatting>
  <conditionalFormatting sqref="J102">
    <cfRule type="cellIs" dxfId="17" priority="11" operator="notEqual">
      <formula>$J$94</formula>
    </cfRule>
  </conditionalFormatting>
  <conditionalFormatting sqref="J114">
    <cfRule type="cellIs" dxfId="16" priority="10" operator="notEqual">
      <formula>$J$106</formula>
    </cfRule>
  </conditionalFormatting>
  <conditionalFormatting sqref="J125">
    <cfRule type="cellIs" dxfId="15" priority="9" operator="notEqual">
      <formula>$J$117</formula>
    </cfRule>
  </conditionalFormatting>
  <conditionalFormatting sqref="J136">
    <cfRule type="cellIs" dxfId="14" priority="8" operator="notEqual">
      <formula>$J$128</formula>
    </cfRule>
  </conditionalFormatting>
  <conditionalFormatting sqref="J147">
    <cfRule type="cellIs" dxfId="13" priority="7" operator="notEqual">
      <formula>$J$139</formula>
    </cfRule>
  </conditionalFormatting>
  <conditionalFormatting sqref="J159">
    <cfRule type="cellIs" dxfId="12" priority="6" operator="notEqual">
      <formula>$J$151</formula>
    </cfRule>
  </conditionalFormatting>
  <conditionalFormatting sqref="J170">
    <cfRule type="cellIs" dxfId="11" priority="5" operator="notEqual">
      <formula>$J$162</formula>
    </cfRule>
  </conditionalFormatting>
  <conditionalFormatting sqref="J181">
    <cfRule type="cellIs" dxfId="10" priority="4" operator="notEqual">
      <formula>$J$173</formula>
    </cfRule>
  </conditionalFormatting>
  <conditionalFormatting sqref="J192">
    <cfRule type="cellIs" dxfId="9" priority="3" operator="notEqual">
      <formula>$J$184</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s>
  <pageMargins left="0.7" right="0.7" top="0.75" bottom="0.75" header="0.3" footer="0.3"/>
  <pageSetup scale="47" orientation="landscape" r:id="rId1"/>
  <rowBreaks count="1" manualBreakCount="1">
    <brk id="70" max="16383" man="1"/>
  </rowBreaks>
  <colBreaks count="1" manualBreakCount="1">
    <brk id="10" max="1048575" man="1"/>
  </col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1'!$P$84</xm:f>
            <x14:dxf>
              <font>
                <color rgb="FF9C0006"/>
              </font>
              <fill>
                <patternFill>
                  <bgColor rgb="FFFFC7CE"/>
                </patternFill>
              </fill>
            </x14:dxf>
          </x14:cfRule>
          <xm:sqref>J217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T1970"/>
  <sheetViews>
    <sheetView showGridLines="0" showZeros="0" tabSelected="1" topLeftCell="B1" zoomScale="60" zoomScaleNormal="60" workbookViewId="0">
      <selection activeCell="C4" sqref="C4:R4"/>
    </sheetView>
  </sheetViews>
  <sheetFormatPr defaultColWidth="9.140625" defaultRowHeight="21"/>
  <cols>
    <col min="1" max="1" width="2.42578125" style="20" customWidth="1"/>
    <col min="2" max="2" width="19" style="20" customWidth="1"/>
    <col min="3" max="3" width="35.7109375" style="20" customWidth="1"/>
    <col min="4" max="4" width="25" style="213" customWidth="1"/>
    <col min="5" max="5" width="25" style="226" customWidth="1"/>
    <col min="6" max="6" width="29.42578125" style="213" customWidth="1"/>
    <col min="7" max="7" width="29.42578125" style="227" customWidth="1"/>
    <col min="8" max="8" width="25.28515625" style="213" customWidth="1"/>
    <col min="9" max="9" width="25.28515625" style="228" customWidth="1"/>
    <col min="10" max="10" width="27.85546875" style="213" customWidth="1"/>
    <col min="11" max="11" width="27.85546875" style="229" customWidth="1"/>
    <col min="12" max="12" width="24.85546875" style="213" customWidth="1"/>
    <col min="13" max="13" width="24.85546875" style="230" customWidth="1"/>
    <col min="14" max="15" width="27.85546875" style="213" customWidth="1"/>
    <col min="16" max="16" width="28.28515625" style="330" customWidth="1"/>
    <col min="17" max="17" width="24.5703125" style="231" customWidth="1"/>
    <col min="18" max="18" width="20.42578125" style="231" customWidth="1"/>
    <col min="19" max="19" width="20.7109375" style="20" customWidth="1"/>
    <col min="20" max="20" width="25.85546875" style="20" customWidth="1"/>
    <col min="21" max="21" width="22.42578125" style="20" customWidth="1"/>
    <col min="22" max="22" width="29.7109375" style="20" customWidth="1"/>
    <col min="23" max="23" width="23.42578125" style="20" customWidth="1"/>
    <col min="24" max="24" width="18.42578125" style="20" customWidth="1"/>
    <col min="25" max="25" width="17.42578125" style="20" customWidth="1"/>
    <col min="26" max="26" width="25.140625" style="20" customWidth="1"/>
    <col min="27" max="16384" width="9.140625" style="20"/>
  </cols>
  <sheetData>
    <row r="2" spans="2:20" s="21" customFormat="1" ht="36" customHeight="1">
      <c r="B2" s="411" t="s">
        <v>2</v>
      </c>
      <c r="C2" s="411"/>
      <c r="D2" s="411"/>
      <c r="E2" s="411"/>
      <c r="F2" s="411"/>
      <c r="G2" s="222"/>
      <c r="H2" s="223"/>
      <c r="I2" s="223"/>
      <c r="J2" s="223"/>
      <c r="K2" s="224"/>
      <c r="L2" s="223"/>
      <c r="M2" s="223"/>
      <c r="N2" s="223"/>
      <c r="O2" s="223"/>
      <c r="P2" s="329"/>
      <c r="Q2" s="225"/>
      <c r="R2" s="225"/>
      <c r="S2" s="207"/>
      <c r="T2" s="207"/>
    </row>
    <row r="3" spans="2:20">
      <c r="B3" s="62"/>
    </row>
    <row r="4" spans="2:20" ht="29.1" customHeight="1">
      <c r="B4" s="22"/>
      <c r="C4" s="421" t="s">
        <v>62</v>
      </c>
      <c r="D4" s="421"/>
      <c r="E4" s="421"/>
      <c r="F4" s="421"/>
      <c r="G4" s="421"/>
      <c r="H4" s="421"/>
      <c r="I4" s="421"/>
      <c r="J4" s="421"/>
      <c r="K4" s="421"/>
      <c r="L4" s="421"/>
      <c r="M4" s="421"/>
      <c r="N4" s="421"/>
      <c r="O4" s="421"/>
      <c r="P4" s="421"/>
      <c r="Q4" s="421"/>
      <c r="R4" s="421"/>
    </row>
    <row r="7" spans="2:20">
      <c r="B7" s="23"/>
    </row>
    <row r="9" spans="2:20" s="350" customFormat="1" ht="42" customHeight="1">
      <c r="B9" s="417" t="s">
        <v>63</v>
      </c>
      <c r="C9" s="418"/>
      <c r="D9" s="418"/>
      <c r="E9" s="418"/>
      <c r="F9" s="418"/>
      <c r="G9" s="418"/>
      <c r="H9" s="418"/>
      <c r="I9" s="418"/>
      <c r="J9" s="418"/>
      <c r="K9" s="418"/>
      <c r="L9" s="418"/>
      <c r="M9" s="418"/>
      <c r="N9" s="418"/>
      <c r="O9" s="418"/>
      <c r="P9" s="418"/>
      <c r="Q9" s="418"/>
      <c r="R9" s="418"/>
      <c r="S9" s="419"/>
    </row>
    <row r="11" spans="2:20" ht="25.5" customHeight="1" thickBot="1">
      <c r="D11" s="232"/>
      <c r="E11" s="233"/>
      <c r="F11" s="232"/>
      <c r="G11" s="234"/>
      <c r="H11" s="232"/>
      <c r="I11" s="235"/>
      <c r="J11" s="232"/>
      <c r="K11" s="236"/>
      <c r="L11" s="232"/>
      <c r="M11" s="237"/>
      <c r="N11" s="232"/>
      <c r="O11" s="232"/>
      <c r="P11" s="331"/>
      <c r="S11" s="21"/>
    </row>
    <row r="12" spans="2:20" ht="210" customHeight="1">
      <c r="B12" s="12" t="s">
        <v>64</v>
      </c>
      <c r="C12" s="216" t="s">
        <v>65</v>
      </c>
      <c r="D12" s="238" t="s">
        <v>66</v>
      </c>
      <c r="E12" s="218" t="s">
        <v>67</v>
      </c>
      <c r="F12" s="238" t="s">
        <v>68</v>
      </c>
      <c r="G12" s="219" t="s">
        <v>69</v>
      </c>
      <c r="H12" s="238" t="s">
        <v>70</v>
      </c>
      <c r="I12" s="220" t="s">
        <v>71</v>
      </c>
      <c r="J12" s="238" t="s">
        <v>72</v>
      </c>
      <c r="K12" s="215" t="s">
        <v>73</v>
      </c>
      <c r="L12" s="238" t="s">
        <v>74</v>
      </c>
      <c r="M12" s="214" t="s">
        <v>75</v>
      </c>
      <c r="N12" s="238" t="s">
        <v>76</v>
      </c>
      <c r="O12" s="214" t="s">
        <v>77</v>
      </c>
      <c r="P12" s="332" t="s">
        <v>78</v>
      </c>
      <c r="Q12" s="239" t="s">
        <v>79</v>
      </c>
      <c r="R12" s="240" t="s">
        <v>80</v>
      </c>
      <c r="S12" s="12" t="s">
        <v>81</v>
      </c>
      <c r="T12" s="12" t="s">
        <v>82</v>
      </c>
    </row>
    <row r="13" spans="2:20" s="213" customFormat="1" ht="29.1" customHeight="1">
      <c r="B13" s="211"/>
      <c r="C13" s="217"/>
      <c r="D13" s="432" t="s">
        <v>83</v>
      </c>
      <c r="E13" s="433"/>
      <c r="F13" s="425" t="s">
        <v>84</v>
      </c>
      <c r="G13" s="426"/>
      <c r="H13" s="434" t="s">
        <v>85</v>
      </c>
      <c r="I13" s="435"/>
      <c r="J13" s="427" t="s">
        <v>86</v>
      </c>
      <c r="K13" s="428"/>
      <c r="L13" s="429" t="s">
        <v>87</v>
      </c>
      <c r="M13" s="431"/>
      <c r="N13" s="429" t="s">
        <v>88</v>
      </c>
      <c r="O13" s="430"/>
      <c r="P13" s="431"/>
      <c r="Q13" s="221"/>
      <c r="R13" s="212"/>
      <c r="S13" s="211"/>
      <c r="T13" s="211"/>
    </row>
    <row r="14" spans="2:20" ht="37.5" customHeight="1">
      <c r="B14" s="51" t="s">
        <v>89</v>
      </c>
      <c r="C14" s="414" t="s">
        <v>90</v>
      </c>
      <c r="D14" s="420"/>
      <c r="E14" s="420"/>
      <c r="F14" s="420"/>
      <c r="G14" s="420"/>
      <c r="H14" s="420"/>
      <c r="I14" s="420"/>
      <c r="J14" s="420"/>
      <c r="K14" s="420"/>
      <c r="L14" s="420"/>
      <c r="M14" s="420"/>
      <c r="N14" s="420"/>
      <c r="O14" s="420"/>
      <c r="P14" s="420"/>
      <c r="Q14" s="413"/>
      <c r="R14" s="413"/>
      <c r="S14" s="414"/>
    </row>
    <row r="15" spans="2:20" ht="37.5" customHeight="1">
      <c r="B15" s="51" t="s">
        <v>91</v>
      </c>
      <c r="C15" s="414" t="s">
        <v>92</v>
      </c>
      <c r="D15" s="414"/>
      <c r="E15" s="414"/>
      <c r="F15" s="414"/>
      <c r="G15" s="414"/>
      <c r="H15" s="414"/>
      <c r="I15" s="414"/>
      <c r="J15" s="414"/>
      <c r="K15" s="414"/>
      <c r="L15" s="414"/>
      <c r="M15" s="414"/>
      <c r="N15" s="414"/>
      <c r="O15" s="414"/>
      <c r="P15" s="414"/>
      <c r="Q15" s="413"/>
      <c r="R15" s="413"/>
      <c r="S15" s="414"/>
    </row>
    <row r="16" spans="2:20" ht="173.25" customHeight="1">
      <c r="B16" s="51" t="s">
        <v>93</v>
      </c>
      <c r="C16" s="105" t="s">
        <v>94</v>
      </c>
      <c r="D16" s="241">
        <v>0</v>
      </c>
      <c r="E16" s="241">
        <v>0</v>
      </c>
      <c r="F16" s="242">
        <v>80000</v>
      </c>
      <c r="G16" s="242">
        <v>70000</v>
      </c>
      <c r="H16" s="243">
        <v>0</v>
      </c>
      <c r="I16" s="243">
        <v>0</v>
      </c>
      <c r="J16" s="244">
        <v>0</v>
      </c>
      <c r="K16" s="244">
        <v>0</v>
      </c>
      <c r="L16" s="245">
        <v>0</v>
      </c>
      <c r="M16" s="245">
        <v>0</v>
      </c>
      <c r="N16" s="245">
        <v>0</v>
      </c>
      <c r="O16" s="245">
        <v>0</v>
      </c>
      <c r="P16" s="333">
        <f>D16+F16+H16+J16+L16+N16</f>
        <v>80000</v>
      </c>
      <c r="Q16" s="247">
        <f>E16+G16+I16+K16+M16+O16</f>
        <v>70000</v>
      </c>
      <c r="R16" s="247">
        <f>P16-Q16</f>
        <v>10000</v>
      </c>
      <c r="S16" s="85"/>
      <c r="T16" s="83">
        <v>0.5</v>
      </c>
    </row>
    <row r="17" spans="1:20" ht="148.5" customHeight="1">
      <c r="B17" s="51" t="s">
        <v>95</v>
      </c>
      <c r="C17" s="82" t="s">
        <v>96</v>
      </c>
      <c r="D17" s="241">
        <v>80000</v>
      </c>
      <c r="E17" s="241">
        <f>41897.47-5158.39</f>
        <v>36739.08</v>
      </c>
      <c r="F17" s="242">
        <v>0</v>
      </c>
      <c r="G17" s="242">
        <v>0</v>
      </c>
      <c r="H17" s="243">
        <v>0</v>
      </c>
      <c r="I17" s="243">
        <v>0</v>
      </c>
      <c r="J17" s="244">
        <v>0</v>
      </c>
      <c r="K17" s="244">
        <v>0</v>
      </c>
      <c r="L17" s="245">
        <v>0</v>
      </c>
      <c r="M17" s="245">
        <v>0</v>
      </c>
      <c r="N17" s="245">
        <v>0</v>
      </c>
      <c r="O17" s="245">
        <v>0</v>
      </c>
      <c r="P17" s="333">
        <f t="shared" ref="P17:P21" si="0">D17+F17+H17+J17+L17+N17</f>
        <v>80000</v>
      </c>
      <c r="Q17" s="247">
        <f t="shared" ref="Q17:Q20" si="1">E17+G17+I17+K17+M17+O17</f>
        <v>36739.08</v>
      </c>
      <c r="R17" s="247">
        <f t="shared" ref="R17:R19" si="2">P17-Q17</f>
        <v>43260.92</v>
      </c>
      <c r="S17" s="84"/>
      <c r="T17" s="83">
        <v>0.3</v>
      </c>
    </row>
    <row r="18" spans="1:20" ht="186.75" customHeight="1">
      <c r="B18" s="51" t="s">
        <v>97</v>
      </c>
      <c r="C18" s="82" t="s">
        <v>98</v>
      </c>
      <c r="D18" s="241">
        <v>25000</v>
      </c>
      <c r="E18" s="241">
        <v>19928.330000000002</v>
      </c>
      <c r="F18" s="242">
        <v>25000</v>
      </c>
      <c r="G18" s="242">
        <v>15000</v>
      </c>
      <c r="H18" s="243">
        <v>0</v>
      </c>
      <c r="I18" s="243">
        <v>0</v>
      </c>
      <c r="J18" s="244">
        <v>0</v>
      </c>
      <c r="K18" s="244">
        <v>0</v>
      </c>
      <c r="L18" s="245">
        <v>0</v>
      </c>
      <c r="M18" s="245">
        <v>0</v>
      </c>
      <c r="N18" s="245">
        <v>0</v>
      </c>
      <c r="O18" s="245">
        <v>0</v>
      </c>
      <c r="P18" s="333">
        <f t="shared" si="0"/>
        <v>50000</v>
      </c>
      <c r="Q18" s="247">
        <f t="shared" si="1"/>
        <v>34928.33</v>
      </c>
      <c r="R18" s="247">
        <f t="shared" si="2"/>
        <v>15071.669999999998</v>
      </c>
      <c r="S18" s="84"/>
      <c r="T18" s="83">
        <v>0.3</v>
      </c>
    </row>
    <row r="19" spans="1:20" ht="204.75" customHeight="1">
      <c r="B19" s="51" t="s">
        <v>99</v>
      </c>
      <c r="C19" s="105" t="s">
        <v>100</v>
      </c>
      <c r="D19" s="241">
        <v>60000</v>
      </c>
      <c r="E19" s="241">
        <f>43000</f>
        <v>43000</v>
      </c>
      <c r="F19" s="242">
        <v>60000</v>
      </c>
      <c r="G19" s="242">
        <v>31000</v>
      </c>
      <c r="H19" s="243">
        <v>0</v>
      </c>
      <c r="I19" s="243">
        <v>0</v>
      </c>
      <c r="J19" s="244">
        <v>0</v>
      </c>
      <c r="K19" s="244">
        <v>0</v>
      </c>
      <c r="L19" s="245">
        <v>0</v>
      </c>
      <c r="M19" s="245">
        <v>0</v>
      </c>
      <c r="N19" s="245">
        <v>0</v>
      </c>
      <c r="O19" s="245">
        <v>0</v>
      </c>
      <c r="P19" s="333">
        <f t="shared" si="0"/>
        <v>120000</v>
      </c>
      <c r="Q19" s="247">
        <f>E19+G19+I19+K19+M19+O19</f>
        <v>74000</v>
      </c>
      <c r="R19" s="247">
        <f t="shared" si="2"/>
        <v>46000</v>
      </c>
      <c r="S19" s="84"/>
      <c r="T19" s="83">
        <v>0.5</v>
      </c>
    </row>
    <row r="20" spans="1:20" ht="101.25" customHeight="1">
      <c r="B20" s="51" t="s">
        <v>101</v>
      </c>
      <c r="C20" s="82" t="s">
        <v>102</v>
      </c>
      <c r="D20" s="241">
        <v>0</v>
      </c>
      <c r="E20" s="241">
        <v>0</v>
      </c>
      <c r="F20" s="242">
        <v>57579.44</v>
      </c>
      <c r="G20" s="242">
        <v>57579.44</v>
      </c>
      <c r="H20" s="243">
        <v>0</v>
      </c>
      <c r="I20" s="243">
        <v>0</v>
      </c>
      <c r="J20" s="244">
        <v>0</v>
      </c>
      <c r="K20" s="244"/>
      <c r="L20" s="245">
        <v>0</v>
      </c>
      <c r="M20" s="245">
        <v>0</v>
      </c>
      <c r="N20" s="245">
        <v>0</v>
      </c>
      <c r="O20" s="245">
        <v>0</v>
      </c>
      <c r="P20" s="333">
        <f t="shared" si="0"/>
        <v>57579.44</v>
      </c>
      <c r="Q20" s="247">
        <f t="shared" si="1"/>
        <v>57579.44</v>
      </c>
      <c r="R20" s="247">
        <f>P20-Q20</f>
        <v>0</v>
      </c>
      <c r="S20" s="84"/>
      <c r="T20" s="83">
        <v>0.5</v>
      </c>
    </row>
    <row r="21" spans="1:20" ht="106.5" customHeight="1">
      <c r="B21" s="51" t="s">
        <v>103</v>
      </c>
      <c r="C21" s="82" t="s">
        <v>104</v>
      </c>
      <c r="D21" s="241">
        <v>80000</v>
      </c>
      <c r="E21" s="241">
        <f>46774.17</f>
        <v>46774.17</v>
      </c>
      <c r="F21" s="242">
        <v>0</v>
      </c>
      <c r="G21" s="242">
        <v>0</v>
      </c>
      <c r="H21" s="243">
        <v>0</v>
      </c>
      <c r="I21" s="243">
        <v>0</v>
      </c>
      <c r="J21" s="244">
        <v>0</v>
      </c>
      <c r="K21" s="244"/>
      <c r="L21" s="245">
        <v>0</v>
      </c>
      <c r="M21" s="245">
        <v>0</v>
      </c>
      <c r="N21" s="245">
        <v>0</v>
      </c>
      <c r="O21" s="245">
        <v>0</v>
      </c>
      <c r="P21" s="333">
        <f t="shared" si="0"/>
        <v>80000</v>
      </c>
      <c r="Q21" s="247">
        <f>E21+G21+I21+K21+M21+O21</f>
        <v>46774.17</v>
      </c>
      <c r="R21" s="247">
        <f t="shared" ref="R21" si="3">P21-Q21</f>
        <v>33225.83</v>
      </c>
      <c r="S21" s="84"/>
      <c r="T21" s="83">
        <v>0.3</v>
      </c>
    </row>
    <row r="22" spans="1:20" ht="25.5" customHeight="1">
      <c r="A22" s="21"/>
      <c r="C22" s="52" t="s">
        <v>105</v>
      </c>
      <c r="D22" s="324">
        <f>SUM(D16:D21)</f>
        <v>245000</v>
      </c>
      <c r="E22" s="324">
        <f t="shared" ref="E22:R22" si="4">SUM(E16:E21)</f>
        <v>146441.58000000002</v>
      </c>
      <c r="F22" s="324">
        <f t="shared" si="4"/>
        <v>222579.44</v>
      </c>
      <c r="G22" s="324">
        <f t="shared" si="4"/>
        <v>173579.44</v>
      </c>
      <c r="H22" s="324">
        <f t="shared" si="4"/>
        <v>0</v>
      </c>
      <c r="I22" s="324">
        <f t="shared" si="4"/>
        <v>0</v>
      </c>
      <c r="J22" s="324">
        <f t="shared" si="4"/>
        <v>0</v>
      </c>
      <c r="K22" s="324">
        <f t="shared" si="4"/>
        <v>0</v>
      </c>
      <c r="L22" s="324">
        <f t="shared" si="4"/>
        <v>0</v>
      </c>
      <c r="M22" s="324">
        <f t="shared" si="4"/>
        <v>0</v>
      </c>
      <c r="N22" s="324">
        <f t="shared" si="4"/>
        <v>0</v>
      </c>
      <c r="O22" s="324">
        <f>SUM(O16:O21)</f>
        <v>0</v>
      </c>
      <c r="P22" s="333">
        <f t="shared" si="4"/>
        <v>467579.44</v>
      </c>
      <c r="Q22" s="324">
        <f t="shared" si="4"/>
        <v>320021.01999999996</v>
      </c>
      <c r="R22" s="324">
        <f t="shared" si="4"/>
        <v>147558.41999999998</v>
      </c>
      <c r="S22" s="7">
        <f>SUM(S16:S21)</f>
        <v>0</v>
      </c>
      <c r="T22" s="7">
        <f>P18*T18+P19*T19+P20*T20+P21*T21</f>
        <v>127789.72</v>
      </c>
    </row>
    <row r="23" spans="1:20" ht="33" customHeight="1">
      <c r="A23" s="21"/>
      <c r="B23" s="51" t="s">
        <v>106</v>
      </c>
      <c r="C23" s="412" t="s">
        <v>107</v>
      </c>
      <c r="D23" s="412"/>
      <c r="E23" s="412"/>
      <c r="F23" s="412"/>
      <c r="G23" s="412"/>
      <c r="H23" s="412"/>
      <c r="I23" s="412"/>
      <c r="J23" s="412"/>
      <c r="K23" s="412"/>
      <c r="L23" s="412"/>
      <c r="M23" s="412"/>
      <c r="N23" s="412"/>
      <c r="O23" s="412"/>
      <c r="P23" s="412"/>
      <c r="Q23" s="413"/>
      <c r="R23" s="413"/>
      <c r="S23" s="412"/>
    </row>
    <row r="24" spans="1:20" ht="267.75" customHeight="1">
      <c r="A24" s="21"/>
      <c r="B24" s="51" t="s">
        <v>108</v>
      </c>
      <c r="C24" s="82" t="s">
        <v>109</v>
      </c>
      <c r="D24" s="241">
        <v>90000</v>
      </c>
      <c r="E24" s="241">
        <v>3979.49</v>
      </c>
      <c r="F24" s="242">
        <v>90000</v>
      </c>
      <c r="G24" s="242">
        <v>63365.18</v>
      </c>
      <c r="H24" s="243">
        <v>0</v>
      </c>
      <c r="I24" s="243">
        <v>0</v>
      </c>
      <c r="J24" s="244">
        <v>0</v>
      </c>
      <c r="K24" s="244">
        <v>0</v>
      </c>
      <c r="L24" s="245">
        <v>0</v>
      </c>
      <c r="M24" s="245">
        <v>0</v>
      </c>
      <c r="N24" s="245">
        <v>0</v>
      </c>
      <c r="O24" s="245">
        <v>0</v>
      </c>
      <c r="P24" s="333">
        <f t="shared" ref="P24:P26" si="5">D24+F24+H24+J24+L24+N24</f>
        <v>180000</v>
      </c>
      <c r="Q24" s="247">
        <f>E24+G24+I24+K24+M24+O24</f>
        <v>67344.67</v>
      </c>
      <c r="R24" s="247">
        <f t="shared" ref="R24:R26" si="6">P24-Q24</f>
        <v>112655.33</v>
      </c>
      <c r="S24" s="84"/>
      <c r="T24" s="83">
        <v>0.4</v>
      </c>
    </row>
    <row r="25" spans="1:20" ht="251.25" customHeight="1">
      <c r="A25" s="21"/>
      <c r="B25" s="51" t="s">
        <v>110</v>
      </c>
      <c r="C25" s="184" t="s">
        <v>111</v>
      </c>
      <c r="D25" s="241">
        <v>70000</v>
      </c>
      <c r="E25" s="241">
        <v>0</v>
      </c>
      <c r="F25" s="242">
        <v>70000</v>
      </c>
      <c r="G25" s="242">
        <v>51000</v>
      </c>
      <c r="H25" s="243">
        <v>0</v>
      </c>
      <c r="I25" s="243">
        <v>0</v>
      </c>
      <c r="J25" s="244">
        <v>0</v>
      </c>
      <c r="K25" s="244">
        <v>0</v>
      </c>
      <c r="L25" s="245">
        <v>0</v>
      </c>
      <c r="M25" s="245">
        <v>0</v>
      </c>
      <c r="N25" s="245">
        <v>0</v>
      </c>
      <c r="O25" s="245">
        <v>0</v>
      </c>
      <c r="P25" s="333">
        <f t="shared" si="5"/>
        <v>140000</v>
      </c>
      <c r="Q25" s="247">
        <f t="shared" ref="Q25:Q26" si="7">E25+G25+I25+K25+M25+O25</f>
        <v>51000</v>
      </c>
      <c r="R25" s="247">
        <f t="shared" si="6"/>
        <v>89000</v>
      </c>
      <c r="S25" s="84"/>
      <c r="T25" s="83">
        <v>0.8</v>
      </c>
    </row>
    <row r="26" spans="1:20" ht="230.25" customHeight="1">
      <c r="A26" s="21"/>
      <c r="B26" s="51" t="s">
        <v>112</v>
      </c>
      <c r="C26" s="82" t="s">
        <v>113</v>
      </c>
      <c r="D26" s="241">
        <v>60000</v>
      </c>
      <c r="E26" s="241">
        <v>0</v>
      </c>
      <c r="F26" s="242">
        <v>60000</v>
      </c>
      <c r="G26" s="242">
        <v>35000</v>
      </c>
      <c r="H26" s="243">
        <v>0</v>
      </c>
      <c r="I26" s="243">
        <v>0</v>
      </c>
      <c r="J26" s="244">
        <v>0</v>
      </c>
      <c r="K26" s="244">
        <v>0</v>
      </c>
      <c r="L26" s="245">
        <v>0</v>
      </c>
      <c r="M26" s="245">
        <v>0</v>
      </c>
      <c r="N26" s="245">
        <v>0</v>
      </c>
      <c r="O26" s="245">
        <v>0</v>
      </c>
      <c r="P26" s="333">
        <f t="shared" si="5"/>
        <v>120000</v>
      </c>
      <c r="Q26" s="247">
        <f t="shared" si="7"/>
        <v>35000</v>
      </c>
      <c r="R26" s="247">
        <f t="shared" si="6"/>
        <v>85000</v>
      </c>
      <c r="S26" s="84"/>
      <c r="T26" s="83">
        <v>0.5</v>
      </c>
    </row>
    <row r="27" spans="1:20" ht="22.5" customHeight="1">
      <c r="A27" s="21"/>
      <c r="C27" s="52" t="s">
        <v>105</v>
      </c>
      <c r="D27" s="327">
        <f>SUM(D24:D26)</f>
        <v>220000</v>
      </c>
      <c r="E27" s="327">
        <f t="shared" ref="E27:R27" si="8">SUM(E24:E26)</f>
        <v>3979.49</v>
      </c>
      <c r="F27" s="327">
        <f t="shared" si="8"/>
        <v>220000</v>
      </c>
      <c r="G27" s="327">
        <f t="shared" si="8"/>
        <v>149365.18</v>
      </c>
      <c r="H27" s="327">
        <f t="shared" si="8"/>
        <v>0</v>
      </c>
      <c r="I27" s="327">
        <f t="shared" si="8"/>
        <v>0</v>
      </c>
      <c r="J27" s="327">
        <f t="shared" si="8"/>
        <v>0</v>
      </c>
      <c r="K27" s="327">
        <f t="shared" si="8"/>
        <v>0</v>
      </c>
      <c r="L27" s="327">
        <f t="shared" si="8"/>
        <v>0</v>
      </c>
      <c r="M27" s="327">
        <f t="shared" si="8"/>
        <v>0</v>
      </c>
      <c r="N27" s="327">
        <f t="shared" si="8"/>
        <v>0</v>
      </c>
      <c r="O27" s="327">
        <f t="shared" si="8"/>
        <v>0</v>
      </c>
      <c r="P27" s="334">
        <f t="shared" si="8"/>
        <v>440000</v>
      </c>
      <c r="Q27" s="327">
        <f>SUM(Q24:Q26)</f>
        <v>153344.66999999998</v>
      </c>
      <c r="R27" s="327">
        <f t="shared" si="8"/>
        <v>286655.33</v>
      </c>
      <c r="S27" s="86"/>
      <c r="T27" s="7">
        <f>P24*T24+P25*T25+P26*T26</f>
        <v>244000</v>
      </c>
    </row>
    <row r="28" spans="1:20" ht="22.5" customHeight="1">
      <c r="A28" s="21"/>
      <c r="B28" s="51" t="s">
        <v>114</v>
      </c>
      <c r="C28" s="412" t="s">
        <v>115</v>
      </c>
      <c r="D28" s="412"/>
      <c r="E28" s="412"/>
      <c r="F28" s="412"/>
      <c r="G28" s="412"/>
      <c r="H28" s="412"/>
      <c r="I28" s="412"/>
      <c r="J28" s="412"/>
      <c r="K28" s="412"/>
      <c r="L28" s="412"/>
      <c r="M28" s="412"/>
      <c r="N28" s="412"/>
      <c r="O28" s="412"/>
      <c r="P28" s="412"/>
      <c r="Q28" s="413"/>
      <c r="R28" s="413"/>
      <c r="S28" s="412"/>
    </row>
    <row r="29" spans="1:20" ht="156.75" customHeight="1">
      <c r="A29" s="21"/>
      <c r="B29" s="51" t="s">
        <v>116</v>
      </c>
      <c r="C29" s="106" t="s">
        <v>117</v>
      </c>
      <c r="D29" s="241">
        <f>18000*11</f>
        <v>198000</v>
      </c>
      <c r="E29" s="241">
        <f>157711.59-30000-15000-6500</f>
        <v>106211.59</v>
      </c>
      <c r="F29" s="242">
        <f>18000*12</f>
        <v>216000</v>
      </c>
      <c r="G29" s="242">
        <v>89462</v>
      </c>
      <c r="H29" s="243">
        <v>0</v>
      </c>
      <c r="I29" s="243">
        <v>0</v>
      </c>
      <c r="J29" s="244">
        <v>0</v>
      </c>
      <c r="K29" s="244">
        <v>0</v>
      </c>
      <c r="L29" s="245">
        <v>0</v>
      </c>
      <c r="M29" s="245">
        <v>0</v>
      </c>
      <c r="N29" s="245">
        <v>0</v>
      </c>
      <c r="O29" s="245">
        <v>0</v>
      </c>
      <c r="P29" s="333">
        <f t="shared" ref="P29:P31" si="9">D29+F29+H29+J29+L29+N29</f>
        <v>414000</v>
      </c>
      <c r="Q29" s="247">
        <f>E29+G29+I29+K29+M29+O29</f>
        <v>195673.59</v>
      </c>
      <c r="R29" s="247">
        <f t="shared" ref="R29:R31" si="10">P29-Q29</f>
        <v>218326.41</v>
      </c>
      <c r="S29" s="84"/>
      <c r="T29" s="83">
        <v>0.4</v>
      </c>
    </row>
    <row r="30" spans="1:20" ht="151.5" customHeight="1">
      <c r="A30" s="21"/>
      <c r="B30" s="51" t="s">
        <v>118</v>
      </c>
      <c r="C30" s="82" t="s">
        <v>119</v>
      </c>
      <c r="D30" s="241">
        <f>3*11000</f>
        <v>33000</v>
      </c>
      <c r="E30" s="241">
        <f>30000-15000+26240.31</f>
        <v>41240.31</v>
      </c>
      <c r="F30" s="242">
        <f>3*12000</f>
        <v>36000</v>
      </c>
      <c r="G30" s="242">
        <v>36000</v>
      </c>
      <c r="H30" s="243">
        <v>0</v>
      </c>
      <c r="I30" s="243">
        <v>0</v>
      </c>
      <c r="J30" s="244">
        <v>0</v>
      </c>
      <c r="K30" s="244">
        <v>0</v>
      </c>
      <c r="L30" s="245">
        <v>0</v>
      </c>
      <c r="M30" s="245">
        <v>0</v>
      </c>
      <c r="N30" s="245">
        <v>0</v>
      </c>
      <c r="O30" s="245">
        <v>0</v>
      </c>
      <c r="P30" s="333">
        <f t="shared" si="9"/>
        <v>69000</v>
      </c>
      <c r="Q30" s="247">
        <f t="shared" ref="Q30" si="11">E30+G30+I30+K30+M30+O30</f>
        <v>77240.31</v>
      </c>
      <c r="R30" s="247">
        <f t="shared" si="10"/>
        <v>-8240.3099999999977</v>
      </c>
      <c r="S30" s="84"/>
      <c r="T30" s="83">
        <v>1</v>
      </c>
    </row>
    <row r="31" spans="1:20" ht="168" customHeight="1">
      <c r="A31" s="21"/>
      <c r="B31" s="51" t="s">
        <v>120</v>
      </c>
      <c r="C31" s="82" t="s">
        <v>121</v>
      </c>
      <c r="D31" s="241">
        <v>40000</v>
      </c>
      <c r="E31" s="241">
        <v>36500</v>
      </c>
      <c r="F31" s="242">
        <v>40000</v>
      </c>
      <c r="G31" s="242">
        <v>35000</v>
      </c>
      <c r="H31" s="243">
        <v>0</v>
      </c>
      <c r="I31" s="243">
        <v>0</v>
      </c>
      <c r="J31" s="244">
        <v>0</v>
      </c>
      <c r="K31" s="244">
        <v>0</v>
      </c>
      <c r="L31" s="245">
        <v>0</v>
      </c>
      <c r="M31" s="245">
        <v>0</v>
      </c>
      <c r="N31" s="245">
        <v>0</v>
      </c>
      <c r="O31" s="245">
        <v>0</v>
      </c>
      <c r="P31" s="333">
        <f t="shared" si="9"/>
        <v>80000</v>
      </c>
      <c r="Q31" s="247">
        <f>E31+G31+I31+K31+M31+O31</f>
        <v>71500</v>
      </c>
      <c r="R31" s="247">
        <f t="shared" si="10"/>
        <v>8500</v>
      </c>
      <c r="S31" s="84"/>
      <c r="T31" s="83">
        <v>0.3</v>
      </c>
    </row>
    <row r="32" spans="1:20" ht="31.5" customHeight="1">
      <c r="C32" s="52" t="s">
        <v>105</v>
      </c>
      <c r="D32" s="326">
        <f>SUM(D29:D31)</f>
        <v>271000</v>
      </c>
      <c r="E32" s="326">
        <f t="shared" ref="E32:R32" si="12">SUM(E29:E31)</f>
        <v>183951.9</v>
      </c>
      <c r="F32" s="326">
        <f t="shared" si="12"/>
        <v>292000</v>
      </c>
      <c r="G32" s="326">
        <f t="shared" si="12"/>
        <v>160462</v>
      </c>
      <c r="H32" s="326">
        <f t="shared" si="12"/>
        <v>0</v>
      </c>
      <c r="I32" s="326">
        <f t="shared" si="12"/>
        <v>0</v>
      </c>
      <c r="J32" s="326">
        <f t="shared" si="12"/>
        <v>0</v>
      </c>
      <c r="K32" s="326">
        <f t="shared" si="12"/>
        <v>0</v>
      </c>
      <c r="L32" s="326">
        <f t="shared" si="12"/>
        <v>0</v>
      </c>
      <c r="M32" s="326">
        <f t="shared" si="12"/>
        <v>0</v>
      </c>
      <c r="N32" s="326">
        <f t="shared" si="12"/>
        <v>0</v>
      </c>
      <c r="O32" s="326">
        <f t="shared" si="12"/>
        <v>0</v>
      </c>
      <c r="P32" s="335">
        <f t="shared" si="12"/>
        <v>563000</v>
      </c>
      <c r="Q32" s="326">
        <f t="shared" si="12"/>
        <v>344413.9</v>
      </c>
      <c r="R32" s="326">
        <f t="shared" si="12"/>
        <v>218586.1</v>
      </c>
      <c r="S32" s="86"/>
      <c r="T32" s="10">
        <f>P29*T29+P30*T30+P31*T31</f>
        <v>258600</v>
      </c>
    </row>
    <row r="33" spans="1:20" ht="22.5" customHeight="1">
      <c r="B33" s="52" t="s">
        <v>122</v>
      </c>
      <c r="C33" s="412" t="s">
        <v>123</v>
      </c>
      <c r="D33" s="412"/>
      <c r="E33" s="412"/>
      <c r="F33" s="412"/>
      <c r="G33" s="412"/>
      <c r="H33" s="412"/>
      <c r="I33" s="412"/>
      <c r="J33" s="412"/>
      <c r="K33" s="412"/>
      <c r="L33" s="412"/>
      <c r="M33" s="412"/>
      <c r="N33" s="412"/>
      <c r="O33" s="412"/>
      <c r="P33" s="412"/>
      <c r="Q33" s="413"/>
      <c r="R33" s="413"/>
      <c r="S33" s="412"/>
    </row>
    <row r="34" spans="1:20" ht="36.75" customHeight="1">
      <c r="B34" s="51" t="s">
        <v>29</v>
      </c>
      <c r="C34" s="412" t="s">
        <v>124</v>
      </c>
      <c r="D34" s="412"/>
      <c r="E34" s="412"/>
      <c r="F34" s="412"/>
      <c r="G34" s="412"/>
      <c r="H34" s="412"/>
      <c r="I34" s="412"/>
      <c r="J34" s="412"/>
      <c r="K34" s="412"/>
      <c r="L34" s="412"/>
      <c r="M34" s="412"/>
      <c r="N34" s="412"/>
      <c r="O34" s="412"/>
      <c r="P34" s="412"/>
      <c r="Q34" s="413"/>
      <c r="R34" s="413"/>
      <c r="S34" s="412"/>
    </row>
    <row r="35" spans="1:20" ht="212.25" customHeight="1">
      <c r="B35" s="51" t="s">
        <v>125</v>
      </c>
      <c r="C35" s="82" t="s">
        <v>126</v>
      </c>
      <c r="D35" s="241">
        <v>0</v>
      </c>
      <c r="E35" s="241">
        <v>0</v>
      </c>
      <c r="F35" s="242">
        <v>0</v>
      </c>
      <c r="G35" s="242">
        <v>0</v>
      </c>
      <c r="H35" s="243">
        <v>0</v>
      </c>
      <c r="I35" s="243">
        <v>0</v>
      </c>
      <c r="J35" s="244">
        <v>0</v>
      </c>
      <c r="K35" s="244">
        <v>0</v>
      </c>
      <c r="L35" s="245">
        <f>50000*56%</f>
        <v>28000.000000000004</v>
      </c>
      <c r="M35" s="245">
        <v>15200</v>
      </c>
      <c r="N35" s="245">
        <f>50000*44%</f>
        <v>22000</v>
      </c>
      <c r="O35" s="245">
        <v>15455</v>
      </c>
      <c r="P35" s="333">
        <f t="shared" ref="P35:P36" si="13">D35+F35+H35+J35+L35+N35</f>
        <v>50000</v>
      </c>
      <c r="Q35" s="247">
        <f>E35+G35+I35+K35+M35+O35</f>
        <v>30655</v>
      </c>
      <c r="R35" s="247">
        <f t="shared" ref="R35:R36" si="14">P35-Q35</f>
        <v>19345</v>
      </c>
      <c r="S35" s="84"/>
      <c r="T35" s="83">
        <v>0.3</v>
      </c>
    </row>
    <row r="36" spans="1:20" ht="312.75" customHeight="1">
      <c r="B36" s="51" t="s">
        <v>127</v>
      </c>
      <c r="C36" s="106" t="s">
        <v>128</v>
      </c>
      <c r="D36" s="241">
        <v>0</v>
      </c>
      <c r="E36" s="241">
        <v>0</v>
      </c>
      <c r="F36" s="242">
        <v>0</v>
      </c>
      <c r="G36" s="242">
        <v>0</v>
      </c>
      <c r="H36" s="243">
        <v>0</v>
      </c>
      <c r="I36" s="243">
        <v>0</v>
      </c>
      <c r="J36" s="244">
        <v>0</v>
      </c>
      <c r="K36" s="244">
        <v>0</v>
      </c>
      <c r="L36" s="245">
        <f>60000*56%</f>
        <v>33600</v>
      </c>
      <c r="M36" s="245">
        <v>19588.7</v>
      </c>
      <c r="N36" s="245">
        <f>60000*44%</f>
        <v>26400</v>
      </c>
      <c r="O36" s="245">
        <v>19402.13</v>
      </c>
      <c r="P36" s="333">
        <f t="shared" si="13"/>
        <v>60000</v>
      </c>
      <c r="Q36" s="247">
        <f>E36+G36+I36+K36+M36+O36</f>
        <v>38990.83</v>
      </c>
      <c r="R36" s="247">
        <f t="shared" si="14"/>
        <v>21009.17</v>
      </c>
      <c r="S36" s="84"/>
      <c r="T36" s="83">
        <v>0.15</v>
      </c>
    </row>
    <row r="37" spans="1:20" s="21" customFormat="1">
      <c r="A37" s="20"/>
      <c r="B37" s="20"/>
      <c r="C37" s="52" t="s">
        <v>105</v>
      </c>
      <c r="D37" s="324">
        <f>SUM(D35:D36)</f>
        <v>0</v>
      </c>
      <c r="E37" s="324">
        <f t="shared" ref="E37:R37" si="15">SUM(E35:E36)</f>
        <v>0</v>
      </c>
      <c r="F37" s="324">
        <f t="shared" si="15"/>
        <v>0</v>
      </c>
      <c r="G37" s="324">
        <f t="shared" si="15"/>
        <v>0</v>
      </c>
      <c r="H37" s="324">
        <f t="shared" si="15"/>
        <v>0</v>
      </c>
      <c r="I37" s="324">
        <f t="shared" si="15"/>
        <v>0</v>
      </c>
      <c r="J37" s="324">
        <f t="shared" si="15"/>
        <v>0</v>
      </c>
      <c r="K37" s="324">
        <f t="shared" si="15"/>
        <v>0</v>
      </c>
      <c r="L37" s="324">
        <f t="shared" si="15"/>
        <v>61600</v>
      </c>
      <c r="M37" s="324">
        <f t="shared" si="15"/>
        <v>34788.699999999997</v>
      </c>
      <c r="N37" s="324">
        <f t="shared" si="15"/>
        <v>48400</v>
      </c>
      <c r="O37" s="324">
        <f t="shared" si="15"/>
        <v>34857.130000000005</v>
      </c>
      <c r="P37" s="333">
        <f>SUM(P35:P36)</f>
        <v>110000</v>
      </c>
      <c r="Q37" s="324">
        <f t="shared" si="15"/>
        <v>69645.83</v>
      </c>
      <c r="R37" s="324">
        <f t="shared" si="15"/>
        <v>40354.17</v>
      </c>
      <c r="S37" s="86"/>
      <c r="T37" s="7">
        <f>P35*T35+P36*T36</f>
        <v>24000</v>
      </c>
    </row>
    <row r="38" spans="1:20" ht="18.75" customHeight="1">
      <c r="B38" s="51" t="s">
        <v>31</v>
      </c>
      <c r="C38" s="412" t="s">
        <v>129</v>
      </c>
      <c r="D38" s="412"/>
      <c r="E38" s="412"/>
      <c r="F38" s="412"/>
      <c r="G38" s="412"/>
      <c r="H38" s="412"/>
      <c r="I38" s="412"/>
      <c r="J38" s="412"/>
      <c r="K38" s="412"/>
      <c r="L38" s="412"/>
      <c r="M38" s="412"/>
      <c r="N38" s="412"/>
      <c r="O38" s="412"/>
      <c r="P38" s="412"/>
      <c r="Q38" s="413"/>
      <c r="R38" s="413"/>
      <c r="S38" s="412"/>
    </row>
    <row r="39" spans="1:20" ht="249.75" customHeight="1">
      <c r="B39" s="51" t="s">
        <v>130</v>
      </c>
      <c r="C39" s="82" t="s">
        <v>131</v>
      </c>
      <c r="D39" s="241">
        <v>0</v>
      </c>
      <c r="E39" s="241">
        <v>0</v>
      </c>
      <c r="F39" s="242">
        <v>0</v>
      </c>
      <c r="G39" s="242">
        <v>0</v>
      </c>
      <c r="H39" s="243">
        <v>0</v>
      </c>
      <c r="I39" s="243">
        <v>0</v>
      </c>
      <c r="J39" s="244">
        <v>0</v>
      </c>
      <c r="K39" s="244">
        <v>0</v>
      </c>
      <c r="L39" s="245">
        <f>55000*56%</f>
        <v>30800.000000000004</v>
      </c>
      <c r="M39" s="245">
        <v>12900</v>
      </c>
      <c r="N39" s="245">
        <f>55000*44%</f>
        <v>24200</v>
      </c>
      <c r="O39" s="245">
        <v>11900</v>
      </c>
      <c r="P39" s="333">
        <f>D39+F39+H39+J39+L39+N39</f>
        <v>55000</v>
      </c>
      <c r="Q39" s="247">
        <f>E39+G39+I39+K39+M39+O39</f>
        <v>24800</v>
      </c>
      <c r="R39" s="247">
        <f t="shared" ref="R39:R40" si="16">P39-Q39</f>
        <v>30200</v>
      </c>
      <c r="S39" s="84"/>
      <c r="T39" s="83">
        <v>0.5</v>
      </c>
    </row>
    <row r="40" spans="1:20" ht="165" customHeight="1">
      <c r="B40" s="51" t="s">
        <v>132</v>
      </c>
      <c r="C40" s="82" t="s">
        <v>133</v>
      </c>
      <c r="D40" s="241">
        <v>0</v>
      </c>
      <c r="E40" s="241">
        <v>0</v>
      </c>
      <c r="F40" s="242">
        <v>0</v>
      </c>
      <c r="G40" s="242">
        <v>0</v>
      </c>
      <c r="H40" s="243">
        <v>0</v>
      </c>
      <c r="I40" s="243">
        <v>0</v>
      </c>
      <c r="J40" s="244">
        <v>0</v>
      </c>
      <c r="K40" s="244">
        <v>0</v>
      </c>
      <c r="L40" s="245">
        <f>50000*56%</f>
        <v>28000.000000000004</v>
      </c>
      <c r="M40" s="245">
        <v>28503.85</v>
      </c>
      <c r="N40" s="245">
        <f>50000*44%</f>
        <v>22000</v>
      </c>
      <c r="O40" s="245">
        <v>6200.88</v>
      </c>
      <c r="P40" s="333">
        <f t="shared" ref="P40" si="17">D40+F40+H40+J40+L40+N40</f>
        <v>50000</v>
      </c>
      <c r="Q40" s="247">
        <f>E40+G40+I40+K40+M40+O40</f>
        <v>34704.729999999996</v>
      </c>
      <c r="R40" s="247">
        <f t="shared" si="16"/>
        <v>15295.270000000004</v>
      </c>
      <c r="S40" s="84"/>
      <c r="T40" s="83">
        <v>0.3</v>
      </c>
    </row>
    <row r="41" spans="1:20" ht="24" customHeight="1">
      <c r="B41" s="124"/>
      <c r="C41" s="52" t="s">
        <v>105</v>
      </c>
      <c r="D41" s="324">
        <f>SUM(D39:D40)</f>
        <v>0</v>
      </c>
      <c r="E41" s="324">
        <f t="shared" ref="E41:R41" si="18">SUM(E39:E40)</f>
        <v>0</v>
      </c>
      <c r="F41" s="324">
        <f t="shared" si="18"/>
        <v>0</v>
      </c>
      <c r="G41" s="324">
        <f t="shared" si="18"/>
        <v>0</v>
      </c>
      <c r="H41" s="324">
        <f t="shared" si="18"/>
        <v>0</v>
      </c>
      <c r="I41" s="324">
        <f t="shared" si="18"/>
        <v>0</v>
      </c>
      <c r="J41" s="324">
        <f t="shared" si="18"/>
        <v>0</v>
      </c>
      <c r="K41" s="324">
        <f t="shared" si="18"/>
        <v>0</v>
      </c>
      <c r="L41" s="324">
        <f t="shared" si="18"/>
        <v>58800.000000000007</v>
      </c>
      <c r="M41" s="324">
        <f t="shared" si="18"/>
        <v>41403.85</v>
      </c>
      <c r="N41" s="324">
        <f t="shared" si="18"/>
        <v>46200</v>
      </c>
      <c r="O41" s="324">
        <f t="shared" si="18"/>
        <v>18100.88</v>
      </c>
      <c r="P41" s="333">
        <f>SUM(P39:P40)</f>
        <v>105000</v>
      </c>
      <c r="Q41" s="324">
        <f t="shared" si="18"/>
        <v>59504.729999999996</v>
      </c>
      <c r="R41" s="324">
        <f t="shared" si="18"/>
        <v>45495.270000000004</v>
      </c>
      <c r="S41" s="84"/>
      <c r="T41" s="206">
        <f>P39*T39+P40*T40</f>
        <v>42500</v>
      </c>
    </row>
    <row r="42" spans="1:20" ht="15.2" customHeight="1">
      <c r="B42" s="51" t="s">
        <v>33</v>
      </c>
      <c r="C42" s="412" t="s">
        <v>134</v>
      </c>
      <c r="D42" s="412"/>
      <c r="E42" s="412"/>
      <c r="F42" s="412"/>
      <c r="G42" s="412"/>
      <c r="H42" s="412"/>
      <c r="I42" s="412"/>
      <c r="J42" s="412"/>
      <c r="K42" s="412"/>
      <c r="L42" s="412"/>
      <c r="M42" s="412"/>
      <c r="N42" s="412"/>
      <c r="O42" s="412"/>
      <c r="P42" s="412"/>
      <c r="Q42" s="413"/>
      <c r="R42" s="413"/>
      <c r="S42" s="412"/>
    </row>
    <row r="43" spans="1:20" ht="231" customHeight="1">
      <c r="B43" s="51" t="s">
        <v>135</v>
      </c>
      <c r="C43" s="82" t="s">
        <v>136</v>
      </c>
      <c r="D43" s="241">
        <v>0</v>
      </c>
      <c r="E43" s="241">
        <v>0</v>
      </c>
      <c r="F43" s="242">
        <v>0</v>
      </c>
      <c r="G43" s="242">
        <v>0</v>
      </c>
      <c r="H43" s="243">
        <v>0</v>
      </c>
      <c r="I43" s="243">
        <v>0</v>
      </c>
      <c r="J43" s="244">
        <v>0</v>
      </c>
      <c r="K43" s="244">
        <v>0</v>
      </c>
      <c r="L43" s="245">
        <f>60000*56%</f>
        <v>33600</v>
      </c>
      <c r="M43" s="245">
        <v>4500</v>
      </c>
      <c r="N43" s="245">
        <f>60000*44%</f>
        <v>26400</v>
      </c>
      <c r="O43" s="245">
        <v>20155</v>
      </c>
      <c r="P43" s="333">
        <f>D43+F43+H43+J43+L43+N43</f>
        <v>60000</v>
      </c>
      <c r="Q43" s="247">
        <f>E43+G43+I43+K43+M43+O43</f>
        <v>24655</v>
      </c>
      <c r="R43" s="247">
        <f t="shared" ref="R43:R45" si="19">P43-Q43</f>
        <v>35345</v>
      </c>
      <c r="S43" s="84"/>
      <c r="T43" s="83">
        <v>0.3</v>
      </c>
    </row>
    <row r="44" spans="1:20" ht="180.75" customHeight="1">
      <c r="B44" s="51" t="s">
        <v>137</v>
      </c>
      <c r="C44" s="82" t="s">
        <v>138</v>
      </c>
      <c r="D44" s="241">
        <v>0</v>
      </c>
      <c r="E44" s="241">
        <v>0</v>
      </c>
      <c r="F44" s="242">
        <v>0</v>
      </c>
      <c r="G44" s="242">
        <v>0</v>
      </c>
      <c r="H44" s="243">
        <v>0</v>
      </c>
      <c r="I44" s="243">
        <v>0</v>
      </c>
      <c r="J44" s="244">
        <v>0</v>
      </c>
      <c r="K44" s="244">
        <v>0</v>
      </c>
      <c r="L44" s="245">
        <f>70000*56%</f>
        <v>39200.000000000007</v>
      </c>
      <c r="M44" s="245">
        <v>0</v>
      </c>
      <c r="N44" s="245">
        <f>70000*44%</f>
        <v>30800</v>
      </c>
      <c r="O44" s="245">
        <v>0</v>
      </c>
      <c r="P44" s="333">
        <f>D44+F44+H44+J44+L44+N44</f>
        <v>70000</v>
      </c>
      <c r="Q44" s="247">
        <f>+E44+G44+I44+K44+M44+O44</f>
        <v>0</v>
      </c>
      <c r="R44" s="247">
        <f t="shared" si="19"/>
        <v>70000</v>
      </c>
      <c r="S44" s="84"/>
      <c r="T44" s="83">
        <v>0.15</v>
      </c>
    </row>
    <row r="45" spans="1:20" ht="409.6" customHeight="1">
      <c r="B45" s="51" t="s">
        <v>139</v>
      </c>
      <c r="C45" s="82" t="s">
        <v>140</v>
      </c>
      <c r="D45" s="241">
        <v>0</v>
      </c>
      <c r="E45" s="241">
        <v>0</v>
      </c>
      <c r="F45" s="242">
        <v>0</v>
      </c>
      <c r="G45" s="242">
        <v>0</v>
      </c>
      <c r="H45" s="243">
        <v>0</v>
      </c>
      <c r="I45" s="243">
        <v>0</v>
      </c>
      <c r="J45" s="244">
        <v>0</v>
      </c>
      <c r="K45" s="244">
        <v>0</v>
      </c>
      <c r="L45" s="245">
        <f>50000*56%</f>
        <v>28000.000000000004</v>
      </c>
      <c r="M45" s="245">
        <v>32330</v>
      </c>
      <c r="N45" s="245">
        <f>50000*44%</f>
        <v>22000</v>
      </c>
      <c r="O45" s="245">
        <v>27353</v>
      </c>
      <c r="P45" s="333">
        <f>D45+F45+H45+J45+L45+N45</f>
        <v>50000</v>
      </c>
      <c r="Q45" s="247">
        <f>+E45+G45+I45+K45+M45+O45</f>
        <v>59683</v>
      </c>
      <c r="R45" s="247">
        <f t="shared" si="19"/>
        <v>-9683</v>
      </c>
      <c r="S45" s="84"/>
      <c r="T45" s="83">
        <v>0.3</v>
      </c>
    </row>
    <row r="46" spans="1:20">
      <c r="C46" s="52" t="s">
        <v>105</v>
      </c>
      <c r="D46" s="326">
        <f>SUM(D43:D45)</f>
        <v>0</v>
      </c>
      <c r="E46" s="326">
        <f t="shared" ref="E46:R46" si="20">SUM(E43:E45)</f>
        <v>0</v>
      </c>
      <c r="F46" s="326">
        <f t="shared" si="20"/>
        <v>0</v>
      </c>
      <c r="G46" s="326">
        <f t="shared" si="20"/>
        <v>0</v>
      </c>
      <c r="H46" s="326">
        <f t="shared" si="20"/>
        <v>0</v>
      </c>
      <c r="I46" s="326">
        <f t="shared" si="20"/>
        <v>0</v>
      </c>
      <c r="J46" s="326">
        <f t="shared" si="20"/>
        <v>0</v>
      </c>
      <c r="K46" s="326">
        <f t="shared" si="20"/>
        <v>0</v>
      </c>
      <c r="L46" s="326">
        <f t="shared" si="20"/>
        <v>100800</v>
      </c>
      <c r="M46" s="326">
        <f t="shared" si="20"/>
        <v>36830</v>
      </c>
      <c r="N46" s="326">
        <f t="shared" si="20"/>
        <v>79200</v>
      </c>
      <c r="O46" s="326">
        <f t="shared" si="20"/>
        <v>47508</v>
      </c>
      <c r="P46" s="335">
        <f t="shared" si="20"/>
        <v>180000</v>
      </c>
      <c r="Q46" s="326">
        <f t="shared" si="20"/>
        <v>84338</v>
      </c>
      <c r="R46" s="326">
        <f t="shared" si="20"/>
        <v>95662</v>
      </c>
      <c r="S46" s="86"/>
      <c r="T46" s="206">
        <f>P43*T43+P44*T44+P45*T45</f>
        <v>43500</v>
      </c>
    </row>
    <row r="47" spans="1:20" ht="21" customHeight="1">
      <c r="B47" s="52" t="s">
        <v>141</v>
      </c>
      <c r="C47" s="412" t="s">
        <v>142</v>
      </c>
      <c r="D47" s="412"/>
      <c r="E47" s="412"/>
      <c r="F47" s="412"/>
      <c r="G47" s="412"/>
      <c r="H47" s="412"/>
      <c r="I47" s="412"/>
      <c r="J47" s="412"/>
      <c r="K47" s="412"/>
      <c r="L47" s="412"/>
      <c r="M47" s="412"/>
      <c r="N47" s="412"/>
      <c r="O47" s="412"/>
      <c r="P47" s="412"/>
      <c r="Q47" s="413"/>
      <c r="R47" s="413"/>
      <c r="S47" s="412"/>
    </row>
    <row r="48" spans="1:20" ht="38.25" customHeight="1">
      <c r="B48" s="51" t="s">
        <v>38</v>
      </c>
      <c r="C48" s="412" t="s">
        <v>143</v>
      </c>
      <c r="D48" s="412"/>
      <c r="E48" s="412"/>
      <c r="F48" s="412"/>
      <c r="G48" s="412"/>
      <c r="H48" s="412"/>
      <c r="I48" s="412"/>
      <c r="J48" s="412"/>
      <c r="K48" s="412"/>
      <c r="L48" s="412"/>
      <c r="M48" s="412"/>
      <c r="N48" s="412"/>
      <c r="O48" s="412"/>
      <c r="P48" s="412"/>
      <c r="Q48" s="413"/>
      <c r="R48" s="413"/>
      <c r="S48" s="412"/>
    </row>
    <row r="49" spans="2:20" ht="200.25" customHeight="1">
      <c r="B49" s="51" t="s">
        <v>144</v>
      </c>
      <c r="C49" s="82" t="s">
        <v>145</v>
      </c>
      <c r="D49" s="241">
        <v>0</v>
      </c>
      <c r="E49" s="241">
        <v>0</v>
      </c>
      <c r="F49" s="242">
        <v>0</v>
      </c>
      <c r="G49" s="242">
        <v>0</v>
      </c>
      <c r="H49" s="243">
        <v>70000</v>
      </c>
      <c r="I49" s="243">
        <v>56000</v>
      </c>
      <c r="J49" s="244">
        <v>70000</v>
      </c>
      <c r="K49" s="244">
        <v>55109.82</v>
      </c>
      <c r="L49" s="245">
        <v>0</v>
      </c>
      <c r="M49" s="245"/>
      <c r="N49" s="245">
        <v>0</v>
      </c>
      <c r="O49" s="245">
        <v>0</v>
      </c>
      <c r="P49" s="333">
        <f>D49+F49+H49+J49+L49+N49</f>
        <v>140000</v>
      </c>
      <c r="Q49" s="247">
        <f>+E49+G49+I49+K49+M49+O49</f>
        <v>111109.82</v>
      </c>
      <c r="R49" s="247">
        <f t="shared" ref="R49" si="21">P49-Q49</f>
        <v>28890.179999999993</v>
      </c>
      <c r="S49" s="84"/>
      <c r="T49" s="83">
        <v>0.6</v>
      </c>
    </row>
    <row r="50" spans="2:20" ht="359.25" customHeight="1">
      <c r="B50" s="51" t="s">
        <v>146</v>
      </c>
      <c r="C50" s="82" t="s">
        <v>147</v>
      </c>
      <c r="D50" s="241">
        <v>0</v>
      </c>
      <c r="E50" s="241">
        <v>0</v>
      </c>
      <c r="F50" s="242">
        <v>0</v>
      </c>
      <c r="G50" s="242">
        <v>0</v>
      </c>
      <c r="H50" s="243">
        <v>40000</v>
      </c>
      <c r="I50" s="243">
        <v>35000</v>
      </c>
      <c r="J50" s="244">
        <v>40000</v>
      </c>
      <c r="K50" s="244">
        <v>67239.98</v>
      </c>
      <c r="L50" s="245">
        <v>0</v>
      </c>
      <c r="M50" s="245"/>
      <c r="N50" s="245">
        <v>0</v>
      </c>
      <c r="O50" s="245">
        <v>0</v>
      </c>
      <c r="P50" s="333">
        <f>D50+F50+H50+J50+L50+N50</f>
        <v>80000</v>
      </c>
      <c r="Q50" s="247">
        <f>+E50+G50+I50+K50+M50+O50</f>
        <v>102239.98</v>
      </c>
      <c r="R50" s="247">
        <f>P50-Q50</f>
        <v>-22239.979999999996</v>
      </c>
      <c r="S50" s="84"/>
      <c r="T50" s="83">
        <v>0.4</v>
      </c>
    </row>
    <row r="51" spans="2:20">
      <c r="C51" s="52" t="s">
        <v>105</v>
      </c>
      <c r="D51" s="324">
        <f>SUM(D49:D50)</f>
        <v>0</v>
      </c>
      <c r="E51" s="324">
        <f t="shared" ref="E51:R51" si="22">SUM(E49:E50)</f>
        <v>0</v>
      </c>
      <c r="F51" s="324">
        <f t="shared" si="22"/>
        <v>0</v>
      </c>
      <c r="G51" s="324">
        <f t="shared" si="22"/>
        <v>0</v>
      </c>
      <c r="H51" s="324">
        <f t="shared" si="22"/>
        <v>110000</v>
      </c>
      <c r="I51" s="324">
        <f t="shared" si="22"/>
        <v>91000</v>
      </c>
      <c r="J51" s="324">
        <f t="shared" si="22"/>
        <v>110000</v>
      </c>
      <c r="K51" s="324">
        <f xml:space="preserve"> K49+K50</f>
        <v>122349.79999999999</v>
      </c>
      <c r="L51" s="324">
        <f t="shared" si="22"/>
        <v>0</v>
      </c>
      <c r="M51" s="324">
        <f t="shared" si="22"/>
        <v>0</v>
      </c>
      <c r="N51" s="324">
        <f t="shared" si="22"/>
        <v>0</v>
      </c>
      <c r="O51" s="324">
        <f t="shared" si="22"/>
        <v>0</v>
      </c>
      <c r="P51" s="333">
        <f t="shared" si="22"/>
        <v>220000</v>
      </c>
      <c r="Q51" s="324">
        <f t="shared" si="22"/>
        <v>213349.8</v>
      </c>
      <c r="R51" s="324">
        <f t="shared" si="22"/>
        <v>6650.1999999999971</v>
      </c>
      <c r="S51" s="86"/>
      <c r="T51" s="7">
        <f>P49*T49+P50*T50</f>
        <v>116000</v>
      </c>
    </row>
    <row r="52" spans="2:20" ht="35.25" customHeight="1">
      <c r="B52" s="51" t="s">
        <v>148</v>
      </c>
      <c r="C52" s="412" t="s">
        <v>149</v>
      </c>
      <c r="D52" s="415"/>
      <c r="E52" s="415"/>
      <c r="F52" s="415"/>
      <c r="G52" s="415"/>
      <c r="H52" s="415"/>
      <c r="I52" s="415"/>
      <c r="J52" s="415"/>
      <c r="K52" s="415"/>
      <c r="L52" s="415"/>
      <c r="M52" s="415"/>
      <c r="N52" s="415"/>
      <c r="O52" s="415"/>
      <c r="P52" s="415"/>
      <c r="Q52" s="416"/>
      <c r="R52" s="416"/>
      <c r="S52" s="415"/>
    </row>
    <row r="53" spans="2:20" ht="370.5" customHeight="1">
      <c r="B53" s="51" t="s">
        <v>150</v>
      </c>
      <c r="C53" s="82" t="s">
        <v>151</v>
      </c>
      <c r="D53" s="241">
        <v>0</v>
      </c>
      <c r="E53" s="241">
        <v>0</v>
      </c>
      <c r="F53" s="242">
        <v>0</v>
      </c>
      <c r="G53" s="242">
        <v>0</v>
      </c>
      <c r="H53" s="243">
        <f>8000*11</f>
        <v>88000</v>
      </c>
      <c r="I53" s="243">
        <v>45000</v>
      </c>
      <c r="J53" s="244">
        <f>12*8000</f>
        <v>96000</v>
      </c>
      <c r="K53" s="244">
        <v>75133.48</v>
      </c>
      <c r="L53" s="245">
        <v>0</v>
      </c>
      <c r="M53" s="245">
        <v>0</v>
      </c>
      <c r="N53" s="245">
        <v>0</v>
      </c>
      <c r="O53" s="245">
        <v>0</v>
      </c>
      <c r="P53" s="333">
        <f>D53+F53+H53+J53+L53+N53</f>
        <v>184000</v>
      </c>
      <c r="Q53" s="247">
        <f>+E53+G53+I53+K53+M53+O53</f>
        <v>120133.48</v>
      </c>
      <c r="R53" s="247">
        <f t="shared" ref="R53:R56" si="23">P53-Q53</f>
        <v>63866.520000000004</v>
      </c>
      <c r="S53" s="84"/>
      <c r="T53" s="83">
        <v>0.5</v>
      </c>
    </row>
    <row r="54" spans="2:20" ht="150.75" customHeight="1">
      <c r="B54" s="51" t="s">
        <v>152</v>
      </c>
      <c r="C54" s="351" t="s">
        <v>153</v>
      </c>
      <c r="D54" s="241">
        <v>0</v>
      </c>
      <c r="E54" s="241">
        <v>0</v>
      </c>
      <c r="F54" s="242">
        <v>0</v>
      </c>
      <c r="G54" s="242">
        <v>0</v>
      </c>
      <c r="H54" s="243">
        <v>260000</v>
      </c>
      <c r="I54" s="243">
        <v>115000</v>
      </c>
      <c r="J54" s="244">
        <v>260000</v>
      </c>
      <c r="K54" s="244" t="s">
        <v>154</v>
      </c>
      <c r="L54" s="245">
        <v>0</v>
      </c>
      <c r="M54" s="245">
        <v>0</v>
      </c>
      <c r="N54" s="245">
        <v>0</v>
      </c>
      <c r="O54" s="245">
        <v>0</v>
      </c>
      <c r="P54" s="333">
        <f>D54+F54+H54+J54+L54+N54</f>
        <v>520000</v>
      </c>
      <c r="Q54" s="247" t="e">
        <f>+E54+G54+I54+K54+M54+O54</f>
        <v>#VALUE!</v>
      </c>
      <c r="R54" s="247" t="e">
        <f t="shared" si="23"/>
        <v>#VALUE!</v>
      </c>
      <c r="S54" s="84"/>
      <c r="T54" s="83">
        <v>0.75</v>
      </c>
    </row>
    <row r="55" spans="2:20" ht="136.5" customHeight="1">
      <c r="B55" s="51" t="s">
        <v>155</v>
      </c>
      <c r="C55" s="125" t="s">
        <v>156</v>
      </c>
      <c r="D55" s="241">
        <v>0</v>
      </c>
      <c r="E55" s="241">
        <v>0</v>
      </c>
      <c r="F55" s="242">
        <v>0</v>
      </c>
      <c r="G55" s="242">
        <v>0</v>
      </c>
      <c r="H55" s="243">
        <v>20000</v>
      </c>
      <c r="I55" s="243"/>
      <c r="J55" s="244">
        <v>20000</v>
      </c>
      <c r="K55" s="244"/>
      <c r="L55" s="245">
        <v>0</v>
      </c>
      <c r="M55" s="245"/>
      <c r="N55" s="245">
        <v>0</v>
      </c>
      <c r="O55" s="245">
        <v>0</v>
      </c>
      <c r="P55" s="333">
        <f t="shared" ref="P55" si="24">D55+F55+H55+J55+L55+N55</f>
        <v>40000</v>
      </c>
      <c r="Q55" s="247">
        <f>+E55+G55+I55+K55+M55+O55</f>
        <v>0</v>
      </c>
      <c r="R55" s="247">
        <f t="shared" si="23"/>
        <v>40000</v>
      </c>
      <c r="S55" s="84"/>
      <c r="T55" s="83">
        <v>0.75</v>
      </c>
    </row>
    <row r="56" spans="2:20" ht="247.5" customHeight="1">
      <c r="B56" s="51" t="s">
        <v>157</v>
      </c>
      <c r="C56" s="82" t="s">
        <v>158</v>
      </c>
      <c r="D56" s="241">
        <v>0</v>
      </c>
      <c r="E56" s="241">
        <v>0</v>
      </c>
      <c r="F56" s="242">
        <v>0</v>
      </c>
      <c r="G56" s="242">
        <v>0</v>
      </c>
      <c r="H56" s="243">
        <v>40000</v>
      </c>
      <c r="I56" s="243">
        <v>40000</v>
      </c>
      <c r="J56" s="244">
        <v>40000</v>
      </c>
      <c r="K56" s="244">
        <v>34390.07</v>
      </c>
      <c r="L56" s="245">
        <v>0</v>
      </c>
      <c r="M56" s="245">
        <v>0</v>
      </c>
      <c r="N56" s="245">
        <v>0</v>
      </c>
      <c r="O56" s="245">
        <v>0</v>
      </c>
      <c r="P56" s="333">
        <f>D56+F56+H56+J56+L56+N56</f>
        <v>80000</v>
      </c>
      <c r="Q56" s="247">
        <f>+E56+G56+I56+K56+M56+O56</f>
        <v>74390.070000000007</v>
      </c>
      <c r="R56" s="247">
        <f t="shared" si="23"/>
        <v>5609.929999999993</v>
      </c>
      <c r="S56" s="84"/>
      <c r="T56" s="83">
        <v>0.75</v>
      </c>
    </row>
    <row r="57" spans="2:20" ht="24" customHeight="1">
      <c r="C57" s="52" t="s">
        <v>105</v>
      </c>
      <c r="D57" s="324">
        <f>SUM(D53:D56)</f>
        <v>0</v>
      </c>
      <c r="E57" s="324">
        <f t="shared" ref="E57:R57" si="25">SUM(E53:E56)</f>
        <v>0</v>
      </c>
      <c r="F57" s="324">
        <f t="shared" si="25"/>
        <v>0</v>
      </c>
      <c r="G57" s="324">
        <f t="shared" si="25"/>
        <v>0</v>
      </c>
      <c r="H57" s="324">
        <f t="shared" si="25"/>
        <v>408000</v>
      </c>
      <c r="I57" s="324">
        <f t="shared" si="25"/>
        <v>200000</v>
      </c>
      <c r="J57" s="324">
        <f t="shared" si="25"/>
        <v>416000</v>
      </c>
      <c r="K57" s="324">
        <f>SUM(K53:K56)</f>
        <v>109523.54999999999</v>
      </c>
      <c r="L57" s="324">
        <f t="shared" si="25"/>
        <v>0</v>
      </c>
      <c r="M57" s="324">
        <f t="shared" si="25"/>
        <v>0</v>
      </c>
      <c r="N57" s="324">
        <f>SUM(N53:N56)</f>
        <v>0</v>
      </c>
      <c r="O57" s="324">
        <f>SUM(O53:O56)</f>
        <v>0</v>
      </c>
      <c r="P57" s="324">
        <f t="shared" ref="P57:Q57" si="26">SUM(P53:P56)</f>
        <v>824000</v>
      </c>
      <c r="Q57" s="324" t="e">
        <f t="shared" si="26"/>
        <v>#VALUE!</v>
      </c>
      <c r="R57" s="324" t="e">
        <f t="shared" si="25"/>
        <v>#VALUE!</v>
      </c>
      <c r="S57" s="86"/>
      <c r="T57" s="7">
        <f>P53*T53+P54*T54+P56*T56</f>
        <v>542000</v>
      </c>
    </row>
    <row r="58" spans="2:20" s="21" customFormat="1" ht="24" customHeight="1">
      <c r="B58" s="204"/>
      <c r="C58" s="87"/>
      <c r="D58" s="251"/>
      <c r="E58" s="251"/>
      <c r="F58" s="321"/>
      <c r="G58" s="321"/>
      <c r="H58" s="321"/>
      <c r="I58" s="321"/>
      <c r="J58" s="321"/>
      <c r="K58" s="321"/>
      <c r="L58" s="321"/>
      <c r="M58" s="321"/>
      <c r="N58" s="321"/>
      <c r="O58" s="321"/>
      <c r="P58" s="336"/>
      <c r="Q58" s="321"/>
      <c r="R58" s="251"/>
      <c r="S58" s="87"/>
      <c r="T58" s="88"/>
    </row>
    <row r="59" spans="2:20" ht="87.75" customHeight="1">
      <c r="B59" s="422" t="s">
        <v>159</v>
      </c>
      <c r="C59" s="89" t="s">
        <v>160</v>
      </c>
      <c r="D59" s="252">
        <v>206000</v>
      </c>
      <c r="E59" s="252">
        <v>174968.05</v>
      </c>
      <c r="F59" s="253">
        <v>0</v>
      </c>
      <c r="G59" s="253">
        <v>0</v>
      </c>
      <c r="H59" s="254">
        <v>0</v>
      </c>
      <c r="I59" s="254">
        <v>0</v>
      </c>
      <c r="J59" s="255">
        <v>0</v>
      </c>
      <c r="K59" s="255">
        <v>0</v>
      </c>
      <c r="L59" s="256">
        <v>0</v>
      </c>
      <c r="M59" s="256">
        <v>0</v>
      </c>
      <c r="N59" s="256">
        <v>0</v>
      </c>
      <c r="O59" s="256">
        <v>0</v>
      </c>
      <c r="P59" s="333">
        <f>D59+F59+H59+J59+L59+N59</f>
        <v>206000</v>
      </c>
      <c r="Q59" s="247">
        <f>+E59+G59+I59+K59+M59+O59</f>
        <v>174968.05</v>
      </c>
      <c r="R59" s="247">
        <f>P59-Q59</f>
        <v>31031.950000000012</v>
      </c>
      <c r="S59" s="90"/>
      <c r="T59" s="83">
        <v>0.2</v>
      </c>
    </row>
    <row r="60" spans="2:20" ht="71.25" customHeight="1">
      <c r="B60" s="423"/>
      <c r="C60" s="89" t="s">
        <v>161</v>
      </c>
      <c r="D60" s="252">
        <v>0</v>
      </c>
      <c r="E60" s="252">
        <v>0</v>
      </c>
      <c r="F60" s="253">
        <v>135000</v>
      </c>
      <c r="G60" s="253">
        <v>92150</v>
      </c>
      <c r="H60" s="254"/>
      <c r="I60" s="254">
        <v>0</v>
      </c>
      <c r="J60" s="255">
        <v>0</v>
      </c>
      <c r="K60" s="255">
        <v>0</v>
      </c>
      <c r="L60" s="256">
        <v>0</v>
      </c>
      <c r="M60" s="256">
        <v>0</v>
      </c>
      <c r="N60" s="256">
        <v>0</v>
      </c>
      <c r="O60" s="256">
        <v>0</v>
      </c>
      <c r="P60" s="333">
        <f t="shared" ref="P60:P71" si="27">D60+F60+H60+J60+L60+N60</f>
        <v>135000</v>
      </c>
      <c r="Q60" s="247">
        <f t="shared" ref="Q60:Q69" si="28">+E60+G60+I60+K60+M60+O60</f>
        <v>92150</v>
      </c>
      <c r="R60" s="247">
        <f t="shared" ref="R60:R71" si="29">P60-Q60</f>
        <v>42850</v>
      </c>
      <c r="S60" s="90"/>
      <c r="T60" s="83">
        <v>0.15</v>
      </c>
    </row>
    <row r="61" spans="2:20" ht="39.75" customHeight="1">
      <c r="B61" s="423"/>
      <c r="C61" s="89" t="s">
        <v>162</v>
      </c>
      <c r="D61" s="252">
        <v>0</v>
      </c>
      <c r="E61" s="252">
        <v>0</v>
      </c>
      <c r="F61" s="253">
        <v>0</v>
      </c>
      <c r="G61" s="253">
        <v>0</v>
      </c>
      <c r="H61" s="254">
        <v>70000</v>
      </c>
      <c r="I61" s="254">
        <v>43165</v>
      </c>
      <c r="J61" s="255">
        <v>0</v>
      </c>
      <c r="K61" s="255"/>
      <c r="L61" s="256">
        <v>0</v>
      </c>
      <c r="M61" s="256">
        <v>0</v>
      </c>
      <c r="N61" s="256">
        <v>0</v>
      </c>
      <c r="O61" s="256">
        <v>0</v>
      </c>
      <c r="P61" s="333">
        <f t="shared" si="27"/>
        <v>70000</v>
      </c>
      <c r="Q61" s="247">
        <f t="shared" si="28"/>
        <v>43165</v>
      </c>
      <c r="R61" s="247">
        <f t="shared" si="29"/>
        <v>26835</v>
      </c>
      <c r="S61" s="90"/>
      <c r="T61" s="83">
        <v>0.15</v>
      </c>
    </row>
    <row r="62" spans="2:20" ht="44.25" customHeight="1">
      <c r="B62" s="423"/>
      <c r="C62" s="89" t="s">
        <v>163</v>
      </c>
      <c r="D62" s="252">
        <v>0</v>
      </c>
      <c r="E62" s="252">
        <v>0</v>
      </c>
      <c r="F62" s="253">
        <v>0</v>
      </c>
      <c r="G62" s="253">
        <v>0</v>
      </c>
      <c r="H62" s="254">
        <v>0</v>
      </c>
      <c r="I62" s="254">
        <v>0</v>
      </c>
      <c r="J62" s="255">
        <v>70000</v>
      </c>
      <c r="K62" s="255">
        <v>61165</v>
      </c>
      <c r="L62" s="256">
        <v>0</v>
      </c>
      <c r="M62" s="256">
        <v>0</v>
      </c>
      <c r="N62" s="256">
        <v>0</v>
      </c>
      <c r="O62" s="256">
        <v>0</v>
      </c>
      <c r="P62" s="333">
        <f t="shared" si="27"/>
        <v>70000</v>
      </c>
      <c r="Q62" s="247">
        <f t="shared" si="28"/>
        <v>61165</v>
      </c>
      <c r="R62" s="247">
        <f t="shared" si="29"/>
        <v>8835</v>
      </c>
      <c r="S62" s="90"/>
      <c r="T62" s="83">
        <v>0.15</v>
      </c>
    </row>
    <row r="63" spans="2:20" ht="55.5" customHeight="1">
      <c r="B63" s="424"/>
      <c r="C63" s="120" t="s">
        <v>164</v>
      </c>
      <c r="D63" s="252">
        <v>0</v>
      </c>
      <c r="E63" s="252">
        <v>0</v>
      </c>
      <c r="F63" s="253">
        <v>0</v>
      </c>
      <c r="G63" s="253">
        <v>0</v>
      </c>
      <c r="H63" s="254">
        <v>0</v>
      </c>
      <c r="I63" s="254">
        <v>0</v>
      </c>
      <c r="J63" s="255">
        <v>0</v>
      </c>
      <c r="K63" s="255"/>
      <c r="L63" s="256">
        <f>65000*56%</f>
        <v>36400</v>
      </c>
      <c r="M63" s="256">
        <v>39266.9</v>
      </c>
      <c r="N63" s="256">
        <f>65000*44%</f>
        <v>28600</v>
      </c>
      <c r="O63" s="256">
        <v>64435</v>
      </c>
      <c r="P63" s="333">
        <f t="shared" si="27"/>
        <v>65000</v>
      </c>
      <c r="Q63" s="247">
        <f t="shared" si="28"/>
        <v>103701.9</v>
      </c>
      <c r="R63" s="247">
        <f t="shared" si="29"/>
        <v>-38701.899999999994</v>
      </c>
      <c r="S63" s="90"/>
      <c r="T63" s="83">
        <v>0.15</v>
      </c>
    </row>
    <row r="64" spans="2:20">
      <c r="B64" s="436" t="s">
        <v>165</v>
      </c>
      <c r="C64" s="121" t="s">
        <v>166</v>
      </c>
      <c r="D64" s="252">
        <v>20000</v>
      </c>
      <c r="E64" s="252">
        <f>32387.1+513.06</f>
        <v>32900.159999999996</v>
      </c>
      <c r="F64" s="253">
        <v>10000</v>
      </c>
      <c r="G64" s="253">
        <v>8200</v>
      </c>
      <c r="H64" s="254">
        <v>10000</v>
      </c>
      <c r="I64" s="254">
        <v>54000</v>
      </c>
      <c r="J64" s="255">
        <v>10000</v>
      </c>
      <c r="K64" s="255">
        <v>10000</v>
      </c>
      <c r="L64" s="256">
        <f>10000*56%</f>
        <v>5600.0000000000009</v>
      </c>
      <c r="M64" s="256">
        <v>2020</v>
      </c>
      <c r="N64" s="256">
        <f>10000*44%</f>
        <v>4400</v>
      </c>
      <c r="O64" s="256">
        <v>2106</v>
      </c>
      <c r="P64" s="333">
        <f t="shared" si="27"/>
        <v>60000</v>
      </c>
      <c r="Q64" s="247">
        <f t="shared" si="28"/>
        <v>109226.16</v>
      </c>
      <c r="R64" s="247">
        <f t="shared" si="29"/>
        <v>-49226.16</v>
      </c>
      <c r="S64" s="90"/>
      <c r="T64" s="83">
        <v>0.15</v>
      </c>
    </row>
    <row r="65" spans="2:20" ht="32.25">
      <c r="B65" s="437"/>
      <c r="C65" s="121" t="s">
        <v>167</v>
      </c>
      <c r="D65" s="252">
        <v>12000</v>
      </c>
      <c r="E65" s="252">
        <f>12591.77+37000</f>
        <v>49591.770000000004</v>
      </c>
      <c r="F65" s="253">
        <v>11000</v>
      </c>
      <c r="G65" s="253">
        <v>8500</v>
      </c>
      <c r="H65" s="254">
        <v>10000</v>
      </c>
      <c r="I65" s="254">
        <v>10000</v>
      </c>
      <c r="J65" s="255">
        <v>10000</v>
      </c>
      <c r="K65" s="255">
        <v>10000</v>
      </c>
      <c r="L65" s="256">
        <f>6000</f>
        <v>6000</v>
      </c>
      <c r="M65" s="256">
        <v>0</v>
      </c>
      <c r="N65" s="256">
        <v>0</v>
      </c>
      <c r="O65" s="256">
        <v>0</v>
      </c>
      <c r="P65" s="333">
        <f t="shared" si="27"/>
        <v>49000</v>
      </c>
      <c r="Q65" s="247">
        <f t="shared" si="28"/>
        <v>78091.77</v>
      </c>
      <c r="R65" s="247">
        <f t="shared" si="29"/>
        <v>-29091.770000000004</v>
      </c>
      <c r="S65" s="90"/>
      <c r="T65" s="83">
        <v>0.15</v>
      </c>
    </row>
    <row r="66" spans="2:20">
      <c r="B66" s="437"/>
      <c r="C66" s="121" t="s">
        <v>168</v>
      </c>
      <c r="D66" s="252">
        <v>10000</v>
      </c>
      <c r="E66" s="252">
        <f>2961.57+54.73</f>
        <v>3016.3</v>
      </c>
      <c r="F66" s="253">
        <v>6000</v>
      </c>
      <c r="G66" s="253">
        <v>4000</v>
      </c>
      <c r="H66" s="254">
        <v>8000</v>
      </c>
      <c r="I66" s="254">
        <v>5000</v>
      </c>
      <c r="J66" s="255">
        <v>8000</v>
      </c>
      <c r="K66" s="255">
        <v>8000</v>
      </c>
      <c r="L66" s="256">
        <f>5000*56%</f>
        <v>2800.0000000000005</v>
      </c>
      <c r="M66" s="256">
        <v>0</v>
      </c>
      <c r="N66" s="256">
        <f>5000*44%</f>
        <v>2200</v>
      </c>
      <c r="O66" s="256">
        <v>0</v>
      </c>
      <c r="P66" s="333">
        <f t="shared" si="27"/>
        <v>37000</v>
      </c>
      <c r="Q66" s="247">
        <f t="shared" si="28"/>
        <v>20016.3</v>
      </c>
      <c r="R66" s="247">
        <f t="shared" si="29"/>
        <v>16983.7</v>
      </c>
      <c r="S66" s="90"/>
      <c r="T66" s="83">
        <v>0.15</v>
      </c>
    </row>
    <row r="67" spans="2:20" ht="31.5">
      <c r="B67" s="437"/>
      <c r="C67" s="121" t="s">
        <v>169</v>
      </c>
      <c r="D67" s="252">
        <v>12000</v>
      </c>
      <c r="E67" s="252">
        <v>9873.33</v>
      </c>
      <c r="F67" s="253">
        <v>8000</v>
      </c>
      <c r="G67" s="253">
        <v>7720</v>
      </c>
      <c r="H67" s="254">
        <v>9000</v>
      </c>
      <c r="I67" s="254">
        <v>5000</v>
      </c>
      <c r="J67" s="255">
        <v>9000</v>
      </c>
      <c r="K67" s="255">
        <v>9000</v>
      </c>
      <c r="L67" s="256">
        <f>5000*56%</f>
        <v>2800.0000000000005</v>
      </c>
      <c r="M67" s="256">
        <v>0</v>
      </c>
      <c r="N67" s="256">
        <f>5000*44%</f>
        <v>2200</v>
      </c>
      <c r="O67" s="256">
        <v>0</v>
      </c>
      <c r="P67" s="333">
        <f t="shared" si="27"/>
        <v>43000</v>
      </c>
      <c r="Q67" s="247">
        <f t="shared" si="28"/>
        <v>31593.33</v>
      </c>
      <c r="R67" s="247">
        <f t="shared" si="29"/>
        <v>11406.669999999998</v>
      </c>
      <c r="S67" s="90"/>
      <c r="T67" s="83">
        <v>0.15</v>
      </c>
    </row>
    <row r="68" spans="2:20">
      <c r="B68" s="438"/>
      <c r="C68" s="121" t="s">
        <v>170</v>
      </c>
      <c r="D68" s="252">
        <v>5000</v>
      </c>
      <c r="E68" s="252">
        <f>12247.82+34731.77+1500</f>
        <v>48479.59</v>
      </c>
      <c r="F68" s="253">
        <v>5000</v>
      </c>
      <c r="G68" s="253">
        <v>5000</v>
      </c>
      <c r="H68" s="254">
        <v>5000</v>
      </c>
      <c r="I68" s="254">
        <v>3000</v>
      </c>
      <c r="J68" s="255">
        <v>5000</v>
      </c>
      <c r="K68" s="255"/>
      <c r="L68" s="256">
        <v>2300</v>
      </c>
      <c r="M68" s="256"/>
      <c r="N68" s="256">
        <v>2700.0000000000005</v>
      </c>
      <c r="O68" s="256">
        <v>0</v>
      </c>
      <c r="P68" s="333">
        <f>D68+F68+H68+J68+L68+N68</f>
        <v>25000</v>
      </c>
      <c r="Q68" s="247">
        <f>+E68+G68+I68+K68+M68+O68</f>
        <v>56479.59</v>
      </c>
      <c r="R68" s="247">
        <f t="shared" si="29"/>
        <v>-31479.589999999997</v>
      </c>
      <c r="S68" s="90"/>
      <c r="T68" s="83">
        <v>0.15</v>
      </c>
    </row>
    <row r="69" spans="2:20" ht="33.75" customHeight="1">
      <c r="B69" s="439"/>
      <c r="C69" s="121" t="s">
        <v>171</v>
      </c>
      <c r="D69" s="252">
        <v>60000</v>
      </c>
      <c r="E69" s="252">
        <v>30000</v>
      </c>
      <c r="F69" s="253">
        <v>0</v>
      </c>
      <c r="G69" s="253">
        <v>0</v>
      </c>
      <c r="H69" s="254">
        <v>0</v>
      </c>
      <c r="I69" s="254">
        <v>0</v>
      </c>
      <c r="J69" s="255">
        <v>0</v>
      </c>
      <c r="K69" s="255">
        <v>0</v>
      </c>
      <c r="L69" s="256">
        <v>0</v>
      </c>
      <c r="M69" s="256">
        <v>0</v>
      </c>
      <c r="N69" s="256">
        <v>0</v>
      </c>
      <c r="O69" s="256">
        <v>0</v>
      </c>
      <c r="P69" s="333">
        <f>D69+F69+H69+J69+L69+N69</f>
        <v>60000</v>
      </c>
      <c r="Q69" s="247">
        <f t="shared" si="28"/>
        <v>30000</v>
      </c>
      <c r="R69" s="247">
        <f t="shared" si="29"/>
        <v>30000</v>
      </c>
      <c r="S69" s="90"/>
      <c r="T69" s="83">
        <v>0.15</v>
      </c>
    </row>
    <row r="70" spans="2:20" ht="21.75" customHeight="1" thickBot="1">
      <c r="B70" s="383"/>
      <c r="C70" s="121" t="s">
        <v>172</v>
      </c>
      <c r="D70" s="252">
        <v>55000</v>
      </c>
      <c r="E70" s="252">
        <f>34627.92+15538.5+11078.41-1471.18</f>
        <v>59773.65</v>
      </c>
      <c r="F70" s="253">
        <v>30000</v>
      </c>
      <c r="G70" s="253">
        <v>24032.799999999999</v>
      </c>
      <c r="H70" s="254">
        <v>25000</v>
      </c>
      <c r="I70" s="254">
        <v>5000</v>
      </c>
      <c r="J70" s="255">
        <v>25000</v>
      </c>
      <c r="K70" s="255">
        <v>0</v>
      </c>
      <c r="L70" s="256">
        <f>15000*56%</f>
        <v>8400</v>
      </c>
      <c r="M70" s="256">
        <v>0</v>
      </c>
      <c r="N70" s="256">
        <f>15000*44%</f>
        <v>6600</v>
      </c>
      <c r="O70" s="256">
        <v>0</v>
      </c>
      <c r="P70" s="333">
        <f>D70+F70+H70+J70+L70+N70</f>
        <v>150000</v>
      </c>
      <c r="Q70" s="247">
        <f>+E70+G70+I70+K70+M70+O70</f>
        <v>88806.45</v>
      </c>
      <c r="R70" s="247">
        <f t="shared" si="29"/>
        <v>61193.55</v>
      </c>
      <c r="S70" s="90"/>
      <c r="T70" s="83">
        <v>0.15</v>
      </c>
    </row>
    <row r="71" spans="2:20" ht="75" customHeight="1" thickBot="1">
      <c r="B71" s="55" t="s">
        <v>173</v>
      </c>
      <c r="C71" s="122" t="s">
        <v>174</v>
      </c>
      <c r="D71" s="252">
        <v>70000</v>
      </c>
      <c r="E71" s="252">
        <v>0</v>
      </c>
      <c r="F71" s="253">
        <v>0</v>
      </c>
      <c r="G71" s="253">
        <v>0</v>
      </c>
      <c r="H71" s="254">
        <v>0</v>
      </c>
      <c r="I71" s="349">
        <v>0</v>
      </c>
      <c r="J71" s="255">
        <v>0</v>
      </c>
      <c r="K71" s="255">
        <v>0</v>
      </c>
      <c r="L71" s="256">
        <v>0</v>
      </c>
      <c r="M71" s="256">
        <v>0</v>
      </c>
      <c r="N71" s="256">
        <v>0</v>
      </c>
      <c r="O71" s="256">
        <v>0</v>
      </c>
      <c r="P71" s="333">
        <f t="shared" si="27"/>
        <v>70000</v>
      </c>
      <c r="Q71" s="247">
        <f t="shared" ref="Q71" si="30">E71+I71+M71</f>
        <v>0</v>
      </c>
      <c r="R71" s="247">
        <f t="shared" si="29"/>
        <v>70000</v>
      </c>
      <c r="S71" s="90"/>
      <c r="T71" s="83">
        <v>0.15</v>
      </c>
    </row>
    <row r="72" spans="2:20" ht="34.5" customHeight="1">
      <c r="B72" s="3"/>
      <c r="C72" s="56" t="s">
        <v>175</v>
      </c>
      <c r="D72" s="325">
        <f>SUM(D59:D71)</f>
        <v>450000</v>
      </c>
      <c r="E72" s="325">
        <f t="shared" ref="E72:P72" si="31">SUM(E59:E71)</f>
        <v>408602.85</v>
      </c>
      <c r="F72" s="325">
        <f t="shared" si="31"/>
        <v>205000</v>
      </c>
      <c r="G72" s="325">
        <f t="shared" si="31"/>
        <v>149602.79999999999</v>
      </c>
      <c r="H72" s="325">
        <f t="shared" si="31"/>
        <v>137000</v>
      </c>
      <c r="I72" s="325">
        <f>SUM(I59:I71)</f>
        <v>125165</v>
      </c>
      <c r="J72" s="325">
        <f t="shared" si="31"/>
        <v>137000</v>
      </c>
      <c r="K72" s="325">
        <f t="shared" si="31"/>
        <v>98165</v>
      </c>
      <c r="L72" s="325">
        <f t="shared" si="31"/>
        <v>64300</v>
      </c>
      <c r="M72" s="325">
        <f>SUM(M59:M71)</f>
        <v>41286.9</v>
      </c>
      <c r="N72" s="325">
        <f t="shared" si="31"/>
        <v>46700</v>
      </c>
      <c r="O72" s="325">
        <f t="shared" si="31"/>
        <v>66541</v>
      </c>
      <c r="P72" s="325">
        <f t="shared" si="31"/>
        <v>1040000</v>
      </c>
      <c r="Q72" s="325">
        <f>SUM(Q59:Q71)</f>
        <v>889363.54999999993</v>
      </c>
      <c r="R72" s="325">
        <f>SUM(R59:R71)</f>
        <v>150636.45000000001</v>
      </c>
      <c r="S72" s="107">
        <f t="shared" ref="S72" si="32">SUM(S59:S71)</f>
        <v>0</v>
      </c>
      <c r="T72" s="7">
        <f>P59*T59+P68*T68+P70*T70+P71*T71</f>
        <v>77950</v>
      </c>
    </row>
    <row r="73" spans="2:20" s="21" customFormat="1" ht="15.75" customHeight="1">
      <c r="B73" s="3"/>
      <c r="C73" s="87"/>
      <c r="D73" s="251"/>
      <c r="E73" s="251"/>
      <c r="F73" s="321"/>
      <c r="G73" s="321"/>
      <c r="H73" s="321"/>
      <c r="I73" s="321"/>
      <c r="J73" s="321"/>
      <c r="K73" s="321"/>
      <c r="L73" s="321"/>
      <c r="M73" s="321"/>
      <c r="N73" s="321"/>
      <c r="O73" s="321"/>
      <c r="P73" s="321"/>
      <c r="Q73" s="251"/>
      <c r="R73" s="251"/>
      <c r="S73" s="87"/>
      <c r="T73" s="88"/>
    </row>
    <row r="74" spans="2:20" s="21" customFormat="1" ht="15.75" customHeight="1">
      <c r="B74" s="3"/>
      <c r="C74" s="87"/>
      <c r="D74" s="251"/>
      <c r="E74" s="251"/>
      <c r="F74" s="321"/>
      <c r="G74" s="321"/>
      <c r="H74" s="321"/>
      <c r="I74" s="321"/>
      <c r="J74" s="321"/>
      <c r="K74" s="321"/>
      <c r="L74" s="321"/>
      <c r="M74" s="321"/>
      <c r="N74" s="321"/>
      <c r="O74" s="321"/>
      <c r="P74" s="321"/>
      <c r="Q74" s="251"/>
      <c r="R74" s="251"/>
      <c r="S74" s="87"/>
      <c r="T74" s="88"/>
    </row>
    <row r="75" spans="2:20" s="21" customFormat="1" ht="15.75" customHeight="1">
      <c r="B75" s="3"/>
      <c r="C75" s="87"/>
      <c r="D75" s="251"/>
      <c r="E75" s="251"/>
      <c r="F75" s="321"/>
      <c r="G75" s="321"/>
      <c r="H75" s="321"/>
      <c r="I75" s="321"/>
      <c r="J75" s="321"/>
      <c r="K75" s="321"/>
      <c r="L75" s="321"/>
      <c r="M75" s="321"/>
      <c r="N75" s="321"/>
      <c r="O75" s="321"/>
      <c r="P75" s="321"/>
      <c r="Q75" s="251"/>
      <c r="R75" s="251"/>
      <c r="S75" s="87"/>
    </row>
    <row r="76" spans="2:20" s="21" customFormat="1" ht="15.75" customHeight="1">
      <c r="B76" s="3"/>
      <c r="C76" s="87"/>
      <c r="D76" s="251"/>
      <c r="E76" s="251"/>
      <c r="F76" s="321"/>
      <c r="G76" s="321"/>
      <c r="H76" s="321"/>
      <c r="I76" s="321"/>
      <c r="J76" s="321"/>
      <c r="K76" s="321"/>
      <c r="L76" s="321"/>
      <c r="M76" s="321"/>
      <c r="N76" s="321"/>
      <c r="O76" s="321"/>
      <c r="P76" s="321"/>
      <c r="Q76" s="251"/>
      <c r="R76" s="251"/>
      <c r="S76" s="87"/>
      <c r="T76" s="88"/>
    </row>
    <row r="77" spans="2:20">
      <c r="E77" s="352"/>
      <c r="F77" s="353"/>
      <c r="G77" s="213"/>
      <c r="I77" s="213"/>
      <c r="K77" s="213"/>
      <c r="M77" s="213"/>
      <c r="P77" s="213"/>
      <c r="Q77" s="321"/>
      <c r="R77" s="321"/>
    </row>
    <row r="78" spans="2:20" s="21" customFormat="1" ht="15.75" customHeight="1" thickBot="1">
      <c r="B78" s="3"/>
      <c r="C78" s="87"/>
      <c r="D78" s="251"/>
      <c r="E78" s="251"/>
      <c r="F78" s="321"/>
      <c r="G78" s="321"/>
      <c r="H78" s="321"/>
      <c r="I78" s="321"/>
      <c r="J78" s="321"/>
      <c r="K78" s="321"/>
      <c r="L78" s="321"/>
      <c r="M78" s="321"/>
      <c r="N78" s="321"/>
      <c r="O78" s="321"/>
      <c r="P78" s="336"/>
      <c r="Q78" s="251"/>
      <c r="R78" s="251"/>
      <c r="S78" s="205"/>
      <c r="T78" s="88"/>
    </row>
    <row r="79" spans="2:20" ht="21.75" thickBot="1">
      <c r="B79" s="3"/>
      <c r="C79" s="454" t="s">
        <v>57</v>
      </c>
      <c r="D79" s="455"/>
      <c r="E79" s="455"/>
      <c r="F79" s="455"/>
      <c r="G79" s="455"/>
      <c r="H79" s="455"/>
      <c r="I79" s="455"/>
      <c r="J79" s="455"/>
      <c r="K79" s="455"/>
      <c r="L79" s="455"/>
      <c r="M79" s="455"/>
      <c r="N79" s="455"/>
      <c r="O79" s="455"/>
      <c r="P79" s="456"/>
      <c r="Q79" s="258"/>
      <c r="R79" s="258"/>
      <c r="S79" s="123"/>
      <c r="T79" s="6"/>
    </row>
    <row r="80" spans="2:20" ht="40.5" customHeight="1" thickBot="1">
      <c r="B80" s="3"/>
      <c r="C80" s="446"/>
      <c r="D80" s="259" t="s">
        <v>5</v>
      </c>
      <c r="E80" s="260" t="s">
        <v>176</v>
      </c>
      <c r="F80" s="261" t="s">
        <v>6</v>
      </c>
      <c r="G80" s="262" t="s">
        <v>176</v>
      </c>
      <c r="H80" s="261" t="s">
        <v>7</v>
      </c>
      <c r="I80" s="263" t="s">
        <v>176</v>
      </c>
      <c r="J80" s="261" t="s">
        <v>8</v>
      </c>
      <c r="K80" s="264" t="s">
        <v>176</v>
      </c>
      <c r="L80" s="261" t="s">
        <v>8</v>
      </c>
      <c r="M80" s="265" t="s">
        <v>176</v>
      </c>
      <c r="N80" s="261" t="s">
        <v>9</v>
      </c>
      <c r="O80" s="265" t="s">
        <v>176</v>
      </c>
      <c r="P80" s="448" t="s">
        <v>10</v>
      </c>
      <c r="Q80" s="251"/>
      <c r="R80" s="348" t="s">
        <v>177</v>
      </c>
      <c r="S80" s="6"/>
      <c r="T80" s="87"/>
    </row>
    <row r="81" spans="2:20" ht="24.75" customHeight="1" thickBot="1">
      <c r="B81" s="3"/>
      <c r="C81" s="447"/>
      <c r="D81" s="457" t="str">
        <f>D13</f>
        <v>PNUD GUINEE</v>
      </c>
      <c r="E81" s="458"/>
      <c r="F81" s="459" t="str">
        <f>F13</f>
        <v>PNUD MALI</v>
      </c>
      <c r="G81" s="460"/>
      <c r="H81" s="461" t="str">
        <f>H13</f>
        <v>UNFPA GUINEE</v>
      </c>
      <c r="I81" s="462"/>
      <c r="J81" s="463" t="s">
        <v>86</v>
      </c>
      <c r="K81" s="464"/>
      <c r="L81" s="465" t="str">
        <f>L13</f>
        <v>UNODC GUINEE</v>
      </c>
      <c r="M81" s="466"/>
      <c r="N81" s="465" t="str">
        <f>N13</f>
        <v>UNODC MALI</v>
      </c>
      <c r="O81" s="466"/>
      <c r="P81" s="449"/>
      <c r="Q81" s="251"/>
      <c r="R81" s="251"/>
      <c r="S81" s="6"/>
      <c r="T81" s="87"/>
    </row>
    <row r="82" spans="2:20" ht="32.25" customHeight="1">
      <c r="B82" s="91"/>
      <c r="C82" s="208" t="s">
        <v>59</v>
      </c>
      <c r="D82" s="266">
        <f t="shared" ref="D82:H82" si="33">SUM(D22,D27,D32,D37,D41,D46,D51,D57,D72)</f>
        <v>1186000</v>
      </c>
      <c r="E82" s="266">
        <f t="shared" si="33"/>
        <v>742975.82</v>
      </c>
      <c r="F82" s="267">
        <f t="shared" si="33"/>
        <v>939579.44</v>
      </c>
      <c r="G82" s="267">
        <f t="shared" si="33"/>
        <v>633009.41999999993</v>
      </c>
      <c r="H82" s="269">
        <f t="shared" si="33"/>
        <v>655000</v>
      </c>
      <c r="I82" s="269">
        <f>SUM(I22,I27,I32,I37,I41,I46,I51,I57,I72)</f>
        <v>416165</v>
      </c>
      <c r="J82" s="270">
        <f t="shared" ref="J82:O82" si="34">SUM(J22,J27,J32,J37,J41,J46,J51,J57,J72)</f>
        <v>663000</v>
      </c>
      <c r="K82" s="270">
        <f t="shared" si="34"/>
        <v>330038.34999999998</v>
      </c>
      <c r="L82" s="271">
        <f>SUM(L22,L27,L32,L37,L41,L46,L51,L57,L72)</f>
        <v>285500</v>
      </c>
      <c r="M82" s="271">
        <f>SUM(M22,M27,M32,M37,M41,M46,M51,M57,M72)</f>
        <v>154309.44999999998</v>
      </c>
      <c r="N82" s="271">
        <f t="shared" si="34"/>
        <v>220500</v>
      </c>
      <c r="O82" s="271">
        <f t="shared" si="34"/>
        <v>167007.01</v>
      </c>
      <c r="P82" s="338">
        <f>D82+F82+H82+J82+L82+N82</f>
        <v>3949579.44</v>
      </c>
      <c r="Q82" s="225"/>
      <c r="R82" s="268">
        <f>E82+G82+I82+K82+M82+O82</f>
        <v>2443505.0499999998</v>
      </c>
      <c r="S82" s="91"/>
      <c r="T82" s="126"/>
    </row>
    <row r="83" spans="2:20" ht="21.75" customHeight="1">
      <c r="B83" s="92"/>
      <c r="C83" s="208" t="s">
        <v>60</v>
      </c>
      <c r="D83" s="266">
        <f t="shared" ref="D83:O83" si="35">D82*0.07</f>
        <v>83020.000000000015</v>
      </c>
      <c r="E83" s="266">
        <f>27872.23+7985.53</f>
        <v>35857.760000000002</v>
      </c>
      <c r="F83" s="267">
        <f>F82*0.07</f>
        <v>65770.560800000007</v>
      </c>
      <c r="G83" s="267">
        <f t="shared" si="35"/>
        <v>44310.659399999997</v>
      </c>
      <c r="H83" s="269">
        <f t="shared" si="35"/>
        <v>45850.000000000007</v>
      </c>
      <c r="I83" s="269">
        <f t="shared" si="35"/>
        <v>29131.550000000003</v>
      </c>
      <c r="J83" s="270">
        <f t="shared" si="35"/>
        <v>46410.000000000007</v>
      </c>
      <c r="K83" s="270">
        <f t="shared" si="35"/>
        <v>23102.684499999999</v>
      </c>
      <c r="L83" s="271">
        <f t="shared" si="35"/>
        <v>19985.000000000004</v>
      </c>
      <c r="M83" s="271">
        <f t="shared" si="35"/>
        <v>10801.6615</v>
      </c>
      <c r="N83" s="271">
        <f t="shared" si="35"/>
        <v>15435.000000000002</v>
      </c>
      <c r="O83" s="271">
        <f t="shared" si="35"/>
        <v>11690.490700000002</v>
      </c>
      <c r="P83" s="338">
        <f>D83+F83+H83+J83+L83+N83</f>
        <v>276470.56080000004</v>
      </c>
      <c r="Q83" s="225"/>
      <c r="R83" s="272">
        <f>E83+G83+I83+K83+M83+O83</f>
        <v>154894.80609999999</v>
      </c>
      <c r="S83" s="93"/>
      <c r="T83" s="92"/>
    </row>
    <row r="84" spans="2:20" ht="29.25" customHeight="1">
      <c r="B84" s="92"/>
      <c r="C84" s="209" t="s">
        <v>10</v>
      </c>
      <c r="D84" s="273">
        <f t="shared" ref="D84:H84" si="36">SUM(D82:D83)</f>
        <v>1269020</v>
      </c>
      <c r="E84" s="273">
        <f t="shared" si="36"/>
        <v>778833.58</v>
      </c>
      <c r="F84" s="275">
        <f t="shared" si="36"/>
        <v>1005350.0007999999</v>
      </c>
      <c r="G84" s="275">
        <f t="shared" si="36"/>
        <v>677320.07939999993</v>
      </c>
      <c r="H84" s="276">
        <f t="shared" si="36"/>
        <v>700850</v>
      </c>
      <c r="I84" s="276">
        <f>SUM(I82:I83)</f>
        <v>445296.55</v>
      </c>
      <c r="J84" s="277">
        <f>J82+J83</f>
        <v>709410</v>
      </c>
      <c r="K84" s="277">
        <f>K82+K83</f>
        <v>353141.03449999995</v>
      </c>
      <c r="L84" s="278">
        <f>SUM(L82:L83)</f>
        <v>305485</v>
      </c>
      <c r="M84" s="278">
        <f>SUM(M82:M83)</f>
        <v>165111.11149999997</v>
      </c>
      <c r="N84" s="278">
        <f>SUM(N82:N83)</f>
        <v>235935</v>
      </c>
      <c r="O84" s="278">
        <f>SUM(O82:O83)</f>
        <v>178697.5007</v>
      </c>
      <c r="P84" s="339">
        <f>SUM(P82:P83)</f>
        <v>4226050.0007999996</v>
      </c>
      <c r="Q84" s="225"/>
      <c r="R84" s="279">
        <f>SUM(R82:R83)</f>
        <v>2598399.8561</v>
      </c>
      <c r="S84" s="93"/>
      <c r="T84" s="92"/>
    </row>
    <row r="85" spans="2:20" s="21" customFormat="1" ht="42" customHeight="1">
      <c r="B85" s="87"/>
      <c r="D85" s="280"/>
      <c r="E85" s="280"/>
      <c r="F85" s="322"/>
      <c r="G85" s="322"/>
      <c r="H85" s="322"/>
      <c r="I85" s="322"/>
      <c r="J85" s="322"/>
      <c r="K85" s="322"/>
      <c r="L85" s="323"/>
      <c r="M85" s="323"/>
      <c r="N85" s="323"/>
      <c r="O85" s="323"/>
      <c r="P85" s="340"/>
      <c r="Q85" s="225"/>
      <c r="R85" s="225"/>
      <c r="S85" s="6"/>
    </row>
    <row r="86" spans="2:20" s="328" customFormat="1" ht="25.5" customHeight="1" thickBot="1">
      <c r="B86" s="3"/>
      <c r="C86" s="6"/>
      <c r="D86" s="457" t="s">
        <v>83</v>
      </c>
      <c r="E86" s="458"/>
      <c r="F86" s="467" t="s">
        <v>84</v>
      </c>
      <c r="G86" s="468"/>
      <c r="H86" s="461" t="s">
        <v>85</v>
      </c>
      <c r="I86" s="462"/>
      <c r="J86" s="463" t="s">
        <v>86</v>
      </c>
      <c r="K86" s="464"/>
      <c r="L86" s="465" t="s">
        <v>87</v>
      </c>
      <c r="M86" s="466"/>
      <c r="N86" s="465" t="s">
        <v>88</v>
      </c>
      <c r="O86" s="466"/>
      <c r="P86" s="337"/>
      <c r="Q86" s="258"/>
      <c r="R86" s="258"/>
      <c r="S86" s="6"/>
      <c r="T86" s="74"/>
    </row>
    <row r="87" spans="2:20" ht="23.25" customHeight="1">
      <c r="B87" s="93"/>
      <c r="C87" s="441" t="s">
        <v>178</v>
      </c>
      <c r="D87" s="442"/>
      <c r="E87" s="443"/>
      <c r="F87" s="443"/>
      <c r="G87" s="443"/>
      <c r="H87" s="443"/>
      <c r="I87" s="443"/>
      <c r="J87" s="443"/>
      <c r="K87" s="443"/>
      <c r="L87" s="443"/>
      <c r="M87" s="443"/>
      <c r="N87" s="443"/>
      <c r="O87" s="443"/>
      <c r="P87" s="443"/>
      <c r="Q87" s="283"/>
      <c r="R87" s="284"/>
      <c r="S87" s="93"/>
    </row>
    <row r="88" spans="2:20" ht="41.25" customHeight="1">
      <c r="B88" s="93"/>
      <c r="C88" s="14"/>
      <c r="D88" s="285" t="s">
        <v>5</v>
      </c>
      <c r="E88" s="248" t="s">
        <v>179</v>
      </c>
      <c r="F88" s="285" t="s">
        <v>6</v>
      </c>
      <c r="G88" s="249" t="s">
        <v>179</v>
      </c>
      <c r="H88" s="285" t="s">
        <v>7</v>
      </c>
      <c r="I88" s="286" t="s">
        <v>179</v>
      </c>
      <c r="J88" s="285" t="s">
        <v>8</v>
      </c>
      <c r="K88" s="250" t="s">
        <v>179</v>
      </c>
      <c r="L88" s="285" t="s">
        <v>9</v>
      </c>
      <c r="M88" s="246" t="s">
        <v>179</v>
      </c>
      <c r="N88" s="285" t="s">
        <v>58</v>
      </c>
      <c r="O88" s="246" t="s">
        <v>179</v>
      </c>
      <c r="P88" s="450" t="s">
        <v>10</v>
      </c>
      <c r="Q88" s="403" t="s">
        <v>180</v>
      </c>
      <c r="R88" s="284"/>
      <c r="S88" s="93"/>
    </row>
    <row r="89" spans="2:20" ht="21" customHeight="1">
      <c r="B89" s="93"/>
      <c r="C89" s="14"/>
      <c r="D89" s="475" t="str">
        <f>D13</f>
        <v>PNUD GUINEE</v>
      </c>
      <c r="E89" s="476"/>
      <c r="F89" s="477" t="str">
        <f>F13</f>
        <v>PNUD MALI</v>
      </c>
      <c r="G89" s="478"/>
      <c r="H89" s="469" t="str">
        <f>H13</f>
        <v>UNFPA GUINEE</v>
      </c>
      <c r="I89" s="470"/>
      <c r="J89" s="471" t="s">
        <v>86</v>
      </c>
      <c r="K89" s="472"/>
      <c r="L89" s="473" t="str">
        <f>L13</f>
        <v>UNODC GUINEE</v>
      </c>
      <c r="M89" s="474"/>
      <c r="N89" s="473" t="str">
        <f>N13</f>
        <v>UNODC MALI</v>
      </c>
      <c r="O89" s="474"/>
      <c r="P89" s="451"/>
      <c r="Q89" s="404"/>
      <c r="R89" s="284"/>
      <c r="S89" s="93"/>
    </row>
    <row r="90" spans="2:20" ht="22.5" customHeight="1">
      <c r="B90" s="93"/>
      <c r="C90" s="13" t="s">
        <v>181</v>
      </c>
      <c r="D90" s="257">
        <f>D84*Q90</f>
        <v>888314</v>
      </c>
      <c r="E90" s="257">
        <f>+E84</f>
        <v>778833.58</v>
      </c>
      <c r="F90" s="287">
        <f>F84*Q90</f>
        <v>703745.00055999996</v>
      </c>
      <c r="G90" s="287">
        <f>G84</f>
        <v>677320.07939999993</v>
      </c>
      <c r="H90" s="288">
        <f>H84*Q90</f>
        <v>490594.99999999994</v>
      </c>
      <c r="I90" s="288">
        <f>+I84</f>
        <v>445296.55</v>
      </c>
      <c r="J90" s="289">
        <f>J84*Q90</f>
        <v>496586.99999999994</v>
      </c>
      <c r="K90" s="289">
        <f>+K84</f>
        <v>353141.03449999995</v>
      </c>
      <c r="L90" s="290">
        <f>L84*Q90</f>
        <v>213839.5</v>
      </c>
      <c r="M90" s="290">
        <f>M84</f>
        <v>165111.11149999997</v>
      </c>
      <c r="N90" s="290">
        <f>N84*Q90</f>
        <v>165154.5</v>
      </c>
      <c r="O90" s="290">
        <f>O84</f>
        <v>178697.5007</v>
      </c>
      <c r="P90" s="342">
        <f>P84*Q90</f>
        <v>2958235.0005599996</v>
      </c>
      <c r="Q90" s="291">
        <v>0.7</v>
      </c>
      <c r="R90" s="258"/>
      <c r="S90" s="93"/>
    </row>
    <row r="91" spans="2:20" ht="25.5" customHeight="1">
      <c r="B91" s="440"/>
      <c r="C91" s="57" t="s">
        <v>182</v>
      </c>
      <c r="D91" s="257">
        <f>D84*Q91</f>
        <v>380706</v>
      </c>
      <c r="E91" s="257">
        <f>E84*R91</f>
        <v>0</v>
      </c>
      <c r="F91" s="287">
        <f>F84*Q91</f>
        <v>301605.00023999996</v>
      </c>
      <c r="G91" s="287">
        <v>0</v>
      </c>
      <c r="H91" s="288">
        <f>H84*Q91</f>
        <v>210255</v>
      </c>
      <c r="I91" s="288">
        <v>0</v>
      </c>
      <c r="J91" s="289">
        <f>J84*Q91</f>
        <v>212823</v>
      </c>
      <c r="K91" s="289">
        <v>0</v>
      </c>
      <c r="L91" s="290">
        <f>L84*Q91</f>
        <v>91645.5</v>
      </c>
      <c r="M91" s="290">
        <v>0</v>
      </c>
      <c r="N91" s="290">
        <f>N84*Q91</f>
        <v>70780.5</v>
      </c>
      <c r="O91" s="292">
        <v>0</v>
      </c>
      <c r="P91" s="343">
        <f>P84*Q91</f>
        <v>1267815.0002399997</v>
      </c>
      <c r="Q91" s="293">
        <v>0.3</v>
      </c>
      <c r="R91" s="258"/>
    </row>
    <row r="92" spans="2:20" ht="36.75" customHeight="1" thickBot="1">
      <c r="B92" s="440"/>
      <c r="C92" s="5" t="s">
        <v>183</v>
      </c>
      <c r="D92" s="274">
        <f>$D$84*Q92</f>
        <v>0</v>
      </c>
      <c r="E92" s="294">
        <v>0</v>
      </c>
      <c r="F92" s="295">
        <f>$F$84*Q92</f>
        <v>0</v>
      </c>
      <c r="G92" s="295">
        <v>0</v>
      </c>
      <c r="H92" s="296">
        <f>$H$84*Q92</f>
        <v>0</v>
      </c>
      <c r="I92" s="296">
        <v>0</v>
      </c>
      <c r="J92" s="297">
        <f>$H$84*Q92</f>
        <v>0</v>
      </c>
      <c r="K92" s="297">
        <v>0</v>
      </c>
      <c r="L92" s="298">
        <f>$L$84*Q92</f>
        <v>0</v>
      </c>
      <c r="M92" s="298">
        <v>0</v>
      </c>
      <c r="N92" s="298">
        <f>$L$84*Q92</f>
        <v>0</v>
      </c>
      <c r="O92" s="298">
        <v>0</v>
      </c>
      <c r="P92" s="344">
        <f>D92+H92+L92</f>
        <v>0</v>
      </c>
      <c r="Q92" s="299">
        <v>0</v>
      </c>
      <c r="R92" s="300"/>
    </row>
    <row r="93" spans="2:20" ht="30.95" customHeight="1">
      <c r="B93" s="440"/>
      <c r="C93" s="210" t="s">
        <v>10</v>
      </c>
      <c r="D93" s="301">
        <f t="shared" ref="D93:P93" si="37">SUM(D90:D92)</f>
        <v>1269020</v>
      </c>
      <c r="E93" s="301">
        <f t="shared" si="37"/>
        <v>778833.58</v>
      </c>
      <c r="F93" s="302">
        <f t="shared" si="37"/>
        <v>1005350.0007999999</v>
      </c>
      <c r="G93" s="302">
        <f t="shared" si="37"/>
        <v>677320.07939999993</v>
      </c>
      <c r="H93" s="303">
        <f t="shared" si="37"/>
        <v>700850</v>
      </c>
      <c r="I93" s="303">
        <f t="shared" si="37"/>
        <v>445296.55</v>
      </c>
      <c r="J93" s="304">
        <f t="shared" si="37"/>
        <v>709410</v>
      </c>
      <c r="K93" s="304">
        <f>SUM(K90:K92)</f>
        <v>353141.03449999995</v>
      </c>
      <c r="L93" s="305">
        <f t="shared" si="37"/>
        <v>305485</v>
      </c>
      <c r="M93" s="305">
        <f>M90</f>
        <v>165111.11149999997</v>
      </c>
      <c r="N93" s="305">
        <f t="shared" si="37"/>
        <v>235935</v>
      </c>
      <c r="O93" s="305">
        <f t="shared" si="37"/>
        <v>178697.5007</v>
      </c>
      <c r="P93" s="345">
        <f t="shared" si="37"/>
        <v>4226050.0007999996</v>
      </c>
      <c r="Q93" s="306">
        <f t="shared" ref="Q93" si="38">SUM(Q90:Q92)</f>
        <v>1</v>
      </c>
      <c r="R93" s="307"/>
    </row>
    <row r="94" spans="2:20" ht="21.75" customHeight="1">
      <c r="B94" s="440"/>
      <c r="C94" s="1"/>
      <c r="D94" s="308"/>
      <c r="E94" s="251"/>
      <c r="F94" s="308"/>
      <c r="G94" s="308"/>
      <c r="H94" s="308"/>
      <c r="I94" s="308"/>
      <c r="J94" s="308"/>
      <c r="K94" s="308"/>
      <c r="L94" s="281"/>
      <c r="M94" s="281"/>
      <c r="N94" s="308"/>
      <c r="O94" s="308"/>
      <c r="P94" s="341"/>
      <c r="Q94" s="282"/>
      <c r="R94" s="282"/>
      <c r="S94" s="354" t="s">
        <v>184</v>
      </c>
      <c r="T94" s="4"/>
    </row>
    <row r="95" spans="2:20" ht="35.25" customHeight="1">
      <c r="B95" s="440"/>
      <c r="C95" s="53" t="s">
        <v>185</v>
      </c>
      <c r="D95" s="309">
        <f>SUM(T22,T27,T32,T37,T41,T46,T51,T57,T72)*1.07</f>
        <v>1579683.5004</v>
      </c>
      <c r="E95" s="281"/>
      <c r="G95" s="213"/>
      <c r="I95" s="213"/>
      <c r="K95" s="213"/>
      <c r="L95" s="310"/>
      <c r="M95" s="405" t="s">
        <v>186</v>
      </c>
      <c r="N95" s="406"/>
      <c r="O95" s="406"/>
      <c r="P95" s="407"/>
      <c r="Q95" s="358">
        <f>R84</f>
        <v>2598399.8561</v>
      </c>
      <c r="R95" s="311"/>
      <c r="S95" s="356">
        <f>Q95*37.38/100</f>
        <v>971281.8662101801</v>
      </c>
      <c r="T95" s="357">
        <v>0.37380000000000002</v>
      </c>
    </row>
    <row r="96" spans="2:20" ht="25.5" customHeight="1">
      <c r="B96" s="440"/>
      <c r="C96" s="54" t="s">
        <v>187</v>
      </c>
      <c r="D96" s="312">
        <f>D95/P84</f>
        <v>0.37379668960399492</v>
      </c>
      <c r="E96" s="281"/>
      <c r="G96" s="213"/>
      <c r="I96" s="213"/>
      <c r="K96" s="213"/>
      <c r="L96" s="313"/>
      <c r="M96" s="408" t="s">
        <v>188</v>
      </c>
      <c r="N96" s="409"/>
      <c r="O96" s="409"/>
      <c r="P96" s="410"/>
      <c r="Q96" s="366">
        <f>Q95/P90</f>
        <v>0.87836154180047155</v>
      </c>
      <c r="R96" s="314"/>
    </row>
    <row r="97" spans="2:18" ht="41.25" customHeight="1">
      <c r="B97" s="440"/>
      <c r="C97" s="452"/>
      <c r="D97" s="453"/>
      <c r="E97" s="281"/>
      <c r="F97" s="361" t="s">
        <v>189</v>
      </c>
      <c r="G97" s="362" t="s">
        <v>190</v>
      </c>
      <c r="H97" s="363" t="s">
        <v>191</v>
      </c>
      <c r="I97" s="364" t="s">
        <v>192</v>
      </c>
      <c r="J97" s="365" t="s">
        <v>193</v>
      </c>
      <c r="K97" s="365" t="s">
        <v>194</v>
      </c>
      <c r="L97" s="315"/>
      <c r="M97" s="315"/>
      <c r="N97" s="315"/>
      <c r="O97" s="315"/>
      <c r="P97" s="346"/>
      <c r="Q97" s="225"/>
      <c r="R97" s="225"/>
    </row>
    <row r="98" spans="2:18" ht="34.5" customHeight="1">
      <c r="B98" s="440"/>
      <c r="C98" s="54" t="s">
        <v>195</v>
      </c>
      <c r="D98" s="316">
        <f>(P70+P71)*1.07</f>
        <v>235400</v>
      </c>
      <c r="E98" s="281"/>
      <c r="F98" s="367">
        <f>+E90/D90</f>
        <v>0.87675481867898053</v>
      </c>
      <c r="G98" s="367">
        <f>+G90/F90</f>
        <v>0.96245099980962912</v>
      </c>
      <c r="H98" s="367">
        <f>+I90/H90</f>
        <v>0.90766630316248642</v>
      </c>
      <c r="I98" s="367">
        <f>+K90/J90</f>
        <v>0.71113628528334405</v>
      </c>
      <c r="J98" s="367">
        <f>+M90/L90</f>
        <v>0.77212634475856878</v>
      </c>
      <c r="K98" s="367">
        <f>+O90/N90</f>
        <v>1.0820020084224167</v>
      </c>
      <c r="L98" s="310"/>
      <c r="M98" s="405" t="s">
        <v>196</v>
      </c>
      <c r="N98" s="406"/>
      <c r="O98" s="406"/>
      <c r="P98" s="407"/>
      <c r="Q98" s="359">
        <f>R84</f>
        <v>2598399.8561</v>
      </c>
      <c r="R98" s="225"/>
    </row>
    <row r="99" spans="2:18" ht="23.25" customHeight="1">
      <c r="B99" s="440"/>
      <c r="C99" s="54" t="s">
        <v>197</v>
      </c>
      <c r="D99" s="312">
        <v>5.5702133187122325E-2</v>
      </c>
      <c r="E99" s="281"/>
      <c r="F99" s="319"/>
      <c r="G99" s="319"/>
      <c r="H99" s="319"/>
      <c r="I99" s="319"/>
      <c r="J99" s="319"/>
      <c r="K99" s="319"/>
      <c r="L99" s="310"/>
      <c r="M99" s="408" t="s">
        <v>198</v>
      </c>
      <c r="N99" s="409"/>
      <c r="O99" s="409"/>
      <c r="P99" s="410"/>
      <c r="Q99" s="360">
        <f>Q98/P93</f>
        <v>0.61485307926033006</v>
      </c>
      <c r="R99" s="225"/>
    </row>
    <row r="100" spans="2:18" ht="66.75" customHeight="1">
      <c r="B100" s="440"/>
      <c r="C100" s="444" t="s">
        <v>199</v>
      </c>
      <c r="D100" s="445"/>
      <c r="E100" s="281"/>
      <c r="F100" s="320"/>
      <c r="G100" s="355"/>
      <c r="H100" s="368" t="s">
        <v>200</v>
      </c>
      <c r="I100" s="369">
        <f>+R84/P90</f>
        <v>0.87836154180047155</v>
      </c>
      <c r="J100" s="320"/>
      <c r="K100" s="320"/>
      <c r="L100" s="317"/>
      <c r="M100" s="317"/>
      <c r="N100" s="317"/>
      <c r="O100" s="317"/>
      <c r="P100" s="347"/>
      <c r="Q100" s="225"/>
      <c r="R100" s="225"/>
    </row>
    <row r="101" spans="2:18" ht="55.5" customHeight="1">
      <c r="B101" s="440"/>
      <c r="E101" s="370"/>
      <c r="G101" s="353"/>
      <c r="I101" s="213"/>
      <c r="K101" s="213"/>
      <c r="L101" s="318"/>
      <c r="M101" s="318"/>
      <c r="Q101" s="225"/>
      <c r="R101" s="225"/>
    </row>
    <row r="102" spans="2:18" ht="42.75" customHeight="1">
      <c r="B102" s="440"/>
      <c r="E102" s="318"/>
      <c r="G102" s="213"/>
      <c r="I102" s="213"/>
      <c r="K102" s="213"/>
      <c r="L102" s="318"/>
      <c r="M102" s="318"/>
      <c r="Q102" s="225"/>
      <c r="R102" s="225"/>
    </row>
    <row r="103" spans="2:18" ht="21.75" customHeight="1">
      <c r="B103" s="440"/>
      <c r="E103" s="318"/>
      <c r="G103" s="213"/>
      <c r="I103" s="213"/>
      <c r="K103" s="213"/>
      <c r="L103" s="318"/>
      <c r="M103" s="318"/>
      <c r="Q103" s="225"/>
      <c r="R103" s="225"/>
    </row>
    <row r="104" spans="2:18" ht="21.75" customHeight="1">
      <c r="B104" s="440"/>
      <c r="E104" s="318"/>
      <c r="G104" s="213"/>
      <c r="I104" s="213"/>
      <c r="K104" s="213"/>
      <c r="L104" s="318"/>
      <c r="M104" s="318"/>
      <c r="Q104" s="225"/>
      <c r="R104" s="225"/>
    </row>
    <row r="105" spans="2:18" ht="23.25" customHeight="1">
      <c r="B105" s="440"/>
      <c r="E105" s="318"/>
      <c r="G105" s="213"/>
      <c r="I105" s="213"/>
      <c r="K105" s="213"/>
      <c r="L105" s="318"/>
      <c r="M105" s="318"/>
      <c r="Q105" s="225"/>
      <c r="R105" s="225"/>
    </row>
    <row r="106" spans="2:18" ht="23.25" customHeight="1">
      <c r="E106" s="318"/>
      <c r="G106" s="213"/>
      <c r="I106" s="213"/>
      <c r="K106" s="213"/>
      <c r="L106" s="318"/>
      <c r="M106" s="318"/>
      <c r="Q106" s="225"/>
      <c r="R106" s="225"/>
    </row>
    <row r="107" spans="2:18" ht="21.75" customHeight="1">
      <c r="E107" s="318"/>
      <c r="G107" s="213"/>
      <c r="I107" s="213"/>
      <c r="K107" s="213"/>
      <c r="L107" s="318"/>
      <c r="M107" s="318"/>
      <c r="Q107" s="225"/>
      <c r="R107" s="225"/>
    </row>
    <row r="108" spans="2:18" ht="16.5" customHeight="1">
      <c r="E108" s="318"/>
      <c r="G108" s="213"/>
      <c r="I108" s="213"/>
      <c r="K108" s="213"/>
      <c r="L108" s="318"/>
      <c r="M108" s="318"/>
      <c r="Q108" s="225"/>
      <c r="R108" s="225"/>
    </row>
    <row r="109" spans="2:18" ht="29.25" customHeight="1">
      <c r="E109" s="318"/>
      <c r="G109" s="213"/>
      <c r="I109" s="213"/>
      <c r="K109" s="213"/>
      <c r="L109" s="318"/>
      <c r="M109" s="318"/>
      <c r="Q109" s="225"/>
      <c r="R109" s="225"/>
    </row>
    <row r="110" spans="2:18" ht="24.75" customHeight="1">
      <c r="E110" s="318"/>
      <c r="G110" s="213"/>
      <c r="I110" s="213"/>
      <c r="K110" s="213"/>
      <c r="L110" s="318"/>
      <c r="M110" s="318"/>
      <c r="Q110" s="225"/>
      <c r="R110" s="225"/>
    </row>
    <row r="111" spans="2:18" ht="33" customHeight="1">
      <c r="E111" s="318"/>
      <c r="G111" s="213"/>
      <c r="I111" s="213"/>
      <c r="K111" s="213"/>
      <c r="L111" s="318"/>
      <c r="M111" s="318"/>
      <c r="Q111" s="225"/>
      <c r="R111" s="225"/>
    </row>
    <row r="112" spans="2:18">
      <c r="E112" s="318"/>
      <c r="G112" s="213"/>
      <c r="I112" s="213"/>
      <c r="K112" s="213"/>
      <c r="L112" s="318"/>
      <c r="M112" s="318"/>
      <c r="Q112" s="225"/>
      <c r="R112" s="225"/>
    </row>
    <row r="113" spans="5:18" ht="15" customHeight="1">
      <c r="E113" s="318"/>
      <c r="G113" s="213"/>
      <c r="I113" s="213"/>
      <c r="K113" s="213"/>
      <c r="L113" s="318"/>
      <c r="M113" s="318"/>
      <c r="Q113" s="225"/>
      <c r="R113" s="225"/>
    </row>
    <row r="114" spans="5:18" ht="25.5" customHeight="1">
      <c r="E114" s="318"/>
      <c r="G114" s="213"/>
      <c r="I114" s="213"/>
      <c r="K114" s="213"/>
      <c r="L114" s="318"/>
      <c r="M114" s="318"/>
      <c r="Q114" s="225"/>
      <c r="R114" s="225"/>
    </row>
    <row r="115" spans="5:18">
      <c r="E115" s="318"/>
      <c r="G115" s="213"/>
      <c r="I115" s="213"/>
      <c r="K115" s="213"/>
      <c r="L115" s="318"/>
      <c r="M115" s="318"/>
      <c r="Q115" s="225"/>
      <c r="R115" s="225"/>
    </row>
    <row r="116" spans="5:18">
      <c r="E116" s="318"/>
      <c r="G116" s="213"/>
      <c r="I116" s="213"/>
      <c r="K116" s="213"/>
      <c r="L116" s="318"/>
      <c r="M116" s="318"/>
      <c r="Q116" s="225"/>
      <c r="R116" s="225"/>
    </row>
    <row r="117" spans="5:18">
      <c r="E117" s="318"/>
      <c r="G117" s="213"/>
      <c r="I117" s="213"/>
      <c r="K117" s="213"/>
      <c r="L117" s="318"/>
      <c r="M117" s="318"/>
      <c r="Q117" s="225"/>
      <c r="R117" s="225"/>
    </row>
    <row r="118" spans="5:18">
      <c r="E118" s="318"/>
      <c r="G118" s="213"/>
      <c r="I118" s="213"/>
      <c r="K118" s="213"/>
      <c r="L118" s="318"/>
      <c r="M118" s="318"/>
      <c r="Q118" s="225"/>
      <c r="R118" s="225"/>
    </row>
    <row r="119" spans="5:18">
      <c r="E119" s="318"/>
      <c r="G119" s="213"/>
      <c r="I119" s="213"/>
      <c r="K119" s="213"/>
      <c r="L119" s="318"/>
      <c r="M119" s="318"/>
      <c r="Q119" s="225"/>
      <c r="R119" s="225"/>
    </row>
    <row r="120" spans="5:18">
      <c r="E120" s="318"/>
      <c r="G120" s="213"/>
      <c r="I120" s="213"/>
      <c r="K120" s="213"/>
      <c r="L120" s="318"/>
      <c r="M120" s="318"/>
      <c r="Q120" s="225"/>
      <c r="R120" s="225"/>
    </row>
    <row r="121" spans="5:18">
      <c r="E121" s="318"/>
      <c r="G121" s="213"/>
      <c r="I121" s="213"/>
      <c r="K121" s="213"/>
      <c r="L121" s="318"/>
      <c r="M121" s="318"/>
      <c r="Q121" s="225"/>
      <c r="R121" s="225"/>
    </row>
    <row r="122" spans="5:18">
      <c r="E122" s="318"/>
      <c r="G122" s="213"/>
      <c r="I122" s="213"/>
      <c r="K122" s="213"/>
      <c r="L122" s="318"/>
      <c r="M122" s="318"/>
      <c r="Q122" s="225"/>
      <c r="R122" s="225"/>
    </row>
    <row r="123" spans="5:18">
      <c r="E123" s="318"/>
      <c r="G123" s="213"/>
      <c r="I123" s="213"/>
      <c r="K123" s="213"/>
      <c r="L123" s="318"/>
      <c r="M123" s="318"/>
      <c r="Q123" s="225"/>
      <c r="R123" s="225"/>
    </row>
    <row r="124" spans="5:18">
      <c r="E124" s="318"/>
      <c r="G124" s="213"/>
      <c r="I124" s="213"/>
      <c r="K124" s="213"/>
      <c r="L124" s="318"/>
      <c r="M124" s="318"/>
      <c r="Q124" s="225"/>
      <c r="R124" s="225"/>
    </row>
    <row r="125" spans="5:18">
      <c r="E125" s="318"/>
      <c r="G125" s="213"/>
      <c r="I125" s="213"/>
      <c r="K125" s="213"/>
      <c r="L125" s="318"/>
      <c r="M125" s="318"/>
      <c r="Q125" s="225"/>
      <c r="R125" s="225"/>
    </row>
    <row r="126" spans="5:18">
      <c r="E126" s="318"/>
      <c r="G126" s="213"/>
      <c r="I126" s="213"/>
      <c r="K126" s="213"/>
      <c r="L126" s="318"/>
      <c r="M126" s="318"/>
      <c r="Q126" s="225"/>
      <c r="R126" s="225"/>
    </row>
    <row r="127" spans="5:18">
      <c r="E127" s="318"/>
      <c r="G127" s="213"/>
      <c r="I127" s="213"/>
      <c r="K127" s="213"/>
      <c r="L127" s="318"/>
      <c r="M127" s="318"/>
      <c r="Q127" s="225"/>
      <c r="R127" s="225"/>
    </row>
    <row r="128" spans="5:18">
      <c r="E128" s="318"/>
      <c r="G128" s="213"/>
      <c r="I128" s="213"/>
      <c r="K128" s="213"/>
      <c r="L128" s="318"/>
      <c r="M128" s="318"/>
      <c r="Q128" s="225"/>
      <c r="R128" s="225"/>
    </row>
    <row r="129" spans="5:18">
      <c r="E129" s="318"/>
      <c r="G129" s="213"/>
      <c r="I129" s="213"/>
      <c r="K129" s="213"/>
      <c r="L129" s="318"/>
      <c r="M129" s="318"/>
      <c r="Q129" s="225"/>
      <c r="R129" s="225"/>
    </row>
    <row r="130" spans="5:18">
      <c r="E130" s="318"/>
      <c r="G130" s="213"/>
      <c r="I130" s="213"/>
      <c r="K130" s="213"/>
      <c r="L130" s="318"/>
      <c r="M130" s="318"/>
      <c r="Q130" s="225"/>
      <c r="R130" s="225"/>
    </row>
    <row r="131" spans="5:18">
      <c r="E131" s="318"/>
      <c r="G131" s="213"/>
      <c r="I131" s="213"/>
      <c r="K131" s="213"/>
      <c r="L131" s="318"/>
      <c r="M131" s="318"/>
      <c r="Q131" s="225"/>
      <c r="R131" s="225"/>
    </row>
    <row r="132" spans="5:18">
      <c r="E132" s="318"/>
      <c r="G132" s="213"/>
      <c r="I132" s="213"/>
      <c r="K132" s="213"/>
      <c r="L132" s="318"/>
      <c r="M132" s="318"/>
      <c r="Q132" s="225"/>
      <c r="R132" s="225"/>
    </row>
    <row r="133" spans="5:18">
      <c r="E133" s="318"/>
      <c r="G133" s="213"/>
      <c r="I133" s="213"/>
      <c r="K133" s="213"/>
      <c r="L133" s="318"/>
      <c r="M133" s="318"/>
      <c r="Q133" s="225"/>
      <c r="R133" s="225"/>
    </row>
    <row r="134" spans="5:18">
      <c r="E134" s="318"/>
      <c r="G134" s="213"/>
      <c r="I134" s="213"/>
      <c r="K134" s="213"/>
      <c r="L134" s="318"/>
      <c r="M134" s="318"/>
      <c r="Q134" s="225"/>
      <c r="R134" s="225"/>
    </row>
    <row r="135" spans="5:18">
      <c r="E135" s="318"/>
      <c r="G135" s="213"/>
      <c r="I135" s="213"/>
      <c r="K135" s="213"/>
      <c r="L135" s="318"/>
      <c r="M135" s="318"/>
      <c r="Q135" s="225"/>
      <c r="R135" s="225"/>
    </row>
    <row r="136" spans="5:18">
      <c r="E136" s="318"/>
      <c r="G136" s="213"/>
      <c r="I136" s="213"/>
      <c r="K136" s="213"/>
      <c r="L136" s="318"/>
      <c r="M136" s="318"/>
      <c r="Q136" s="225"/>
      <c r="R136" s="225"/>
    </row>
    <row r="137" spans="5:18">
      <c r="E137" s="318"/>
      <c r="G137" s="213"/>
      <c r="I137" s="213"/>
      <c r="K137" s="213"/>
      <c r="L137" s="318"/>
      <c r="M137" s="318"/>
      <c r="Q137" s="225"/>
      <c r="R137" s="225"/>
    </row>
    <row r="138" spans="5:18">
      <c r="E138" s="318"/>
      <c r="G138" s="213"/>
      <c r="I138" s="213"/>
      <c r="K138" s="213"/>
      <c r="L138" s="318"/>
      <c r="M138" s="318"/>
      <c r="Q138" s="225"/>
      <c r="R138" s="225"/>
    </row>
    <row r="139" spans="5:18">
      <c r="E139" s="318"/>
      <c r="G139" s="213"/>
      <c r="I139" s="213"/>
      <c r="K139" s="213"/>
      <c r="L139" s="318"/>
      <c r="M139" s="318"/>
      <c r="Q139" s="225"/>
      <c r="R139" s="225"/>
    </row>
    <row r="140" spans="5:18">
      <c r="E140" s="318"/>
      <c r="G140" s="213"/>
      <c r="I140" s="213"/>
      <c r="K140" s="213"/>
      <c r="L140" s="318"/>
      <c r="M140" s="318"/>
      <c r="Q140" s="225"/>
      <c r="R140" s="225"/>
    </row>
    <row r="141" spans="5:18">
      <c r="E141" s="318"/>
      <c r="G141" s="213"/>
      <c r="I141" s="213"/>
      <c r="K141" s="213"/>
      <c r="L141" s="318"/>
      <c r="M141" s="318"/>
      <c r="Q141" s="225"/>
      <c r="R141" s="225"/>
    </row>
    <row r="142" spans="5:18">
      <c r="E142" s="318"/>
      <c r="G142" s="213"/>
      <c r="I142" s="213"/>
      <c r="K142" s="213"/>
      <c r="L142" s="318"/>
      <c r="M142" s="318"/>
      <c r="Q142" s="225"/>
      <c r="R142" s="225"/>
    </row>
    <row r="143" spans="5:18">
      <c r="E143" s="318"/>
      <c r="G143" s="213"/>
      <c r="I143" s="213"/>
      <c r="K143" s="213"/>
      <c r="L143" s="318"/>
      <c r="M143" s="318"/>
      <c r="Q143" s="225"/>
      <c r="R143" s="225"/>
    </row>
    <row r="144" spans="5:18">
      <c r="E144" s="318"/>
      <c r="G144" s="213"/>
      <c r="I144" s="213"/>
      <c r="K144" s="213"/>
      <c r="L144" s="318"/>
      <c r="M144" s="318"/>
      <c r="Q144" s="225"/>
      <c r="R144" s="225"/>
    </row>
    <row r="145" spans="5:18">
      <c r="E145" s="318"/>
      <c r="G145" s="213"/>
      <c r="I145" s="213"/>
      <c r="K145" s="213"/>
      <c r="L145" s="318"/>
      <c r="M145" s="318"/>
      <c r="Q145" s="225"/>
      <c r="R145" s="225"/>
    </row>
    <row r="146" spans="5:18">
      <c r="E146" s="318"/>
      <c r="G146" s="213"/>
      <c r="I146" s="213"/>
      <c r="K146" s="213"/>
      <c r="L146" s="318"/>
      <c r="M146" s="318"/>
      <c r="Q146" s="225"/>
      <c r="R146" s="225"/>
    </row>
    <row r="147" spans="5:18">
      <c r="E147" s="318"/>
      <c r="G147" s="213"/>
      <c r="I147" s="213"/>
      <c r="K147" s="213"/>
      <c r="L147" s="318"/>
      <c r="M147" s="318"/>
      <c r="Q147" s="225"/>
      <c r="R147" s="225"/>
    </row>
    <row r="148" spans="5:18">
      <c r="E148" s="318"/>
      <c r="G148" s="213"/>
      <c r="I148" s="213"/>
      <c r="K148" s="213"/>
      <c r="L148" s="318"/>
      <c r="M148" s="318"/>
      <c r="Q148" s="225"/>
      <c r="R148" s="225"/>
    </row>
    <row r="149" spans="5:18">
      <c r="E149" s="318"/>
      <c r="G149" s="213"/>
      <c r="I149" s="213"/>
      <c r="K149" s="213"/>
      <c r="L149" s="318"/>
      <c r="M149" s="318"/>
      <c r="Q149" s="225"/>
      <c r="R149" s="225"/>
    </row>
    <row r="150" spans="5:18">
      <c r="E150" s="318"/>
      <c r="G150" s="213"/>
      <c r="I150" s="213"/>
      <c r="K150" s="213"/>
      <c r="L150" s="318"/>
      <c r="M150" s="318"/>
      <c r="Q150" s="225"/>
      <c r="R150" s="225"/>
    </row>
    <row r="151" spans="5:18">
      <c r="E151" s="318"/>
      <c r="G151" s="213"/>
      <c r="I151" s="213"/>
      <c r="K151" s="213"/>
      <c r="L151" s="318"/>
      <c r="M151" s="318"/>
      <c r="Q151" s="225"/>
      <c r="R151" s="225"/>
    </row>
    <row r="152" spans="5:18">
      <c r="E152" s="318"/>
      <c r="G152" s="213"/>
      <c r="I152" s="213"/>
      <c r="K152" s="213"/>
      <c r="L152" s="318"/>
      <c r="M152" s="318"/>
      <c r="Q152" s="225"/>
      <c r="R152" s="225"/>
    </row>
    <row r="153" spans="5:18">
      <c r="E153" s="318"/>
      <c r="G153" s="213"/>
      <c r="I153" s="213"/>
      <c r="K153" s="213"/>
      <c r="L153" s="318"/>
      <c r="M153" s="318"/>
      <c r="Q153" s="225"/>
      <c r="R153" s="225"/>
    </row>
    <row r="154" spans="5:18">
      <c r="E154" s="318"/>
      <c r="G154" s="213"/>
      <c r="I154" s="213"/>
      <c r="K154" s="213"/>
      <c r="L154" s="318"/>
      <c r="M154" s="318"/>
      <c r="Q154" s="225"/>
      <c r="R154" s="225"/>
    </row>
    <row r="155" spans="5:18">
      <c r="E155" s="318"/>
      <c r="G155" s="213"/>
      <c r="I155" s="213"/>
      <c r="K155" s="213"/>
      <c r="L155" s="318"/>
      <c r="M155" s="318"/>
      <c r="Q155" s="225"/>
      <c r="R155" s="225"/>
    </row>
    <row r="156" spans="5:18">
      <c r="E156" s="318"/>
      <c r="G156" s="213"/>
      <c r="I156" s="213"/>
      <c r="K156" s="213"/>
      <c r="L156" s="318"/>
      <c r="M156" s="318"/>
      <c r="Q156" s="225"/>
      <c r="R156" s="225"/>
    </row>
    <row r="157" spans="5:18">
      <c r="E157" s="318"/>
      <c r="G157" s="213"/>
      <c r="I157" s="213"/>
      <c r="K157" s="213"/>
      <c r="L157" s="318"/>
      <c r="M157" s="318"/>
      <c r="Q157" s="225"/>
      <c r="R157" s="225"/>
    </row>
    <row r="158" spans="5:18">
      <c r="E158" s="318"/>
      <c r="G158" s="213"/>
      <c r="I158" s="213"/>
      <c r="K158" s="213"/>
      <c r="L158" s="318"/>
      <c r="M158" s="318"/>
      <c r="Q158" s="225"/>
      <c r="R158" s="225"/>
    </row>
    <row r="159" spans="5:18">
      <c r="E159" s="318"/>
      <c r="G159" s="213"/>
      <c r="I159" s="213"/>
      <c r="K159" s="213"/>
      <c r="L159" s="318"/>
      <c r="M159" s="318"/>
      <c r="Q159" s="225"/>
      <c r="R159" s="225"/>
    </row>
    <row r="160" spans="5:18">
      <c r="E160" s="318"/>
      <c r="G160" s="213"/>
      <c r="I160" s="213"/>
      <c r="K160" s="213"/>
      <c r="L160" s="318"/>
      <c r="M160" s="318"/>
      <c r="Q160" s="225"/>
      <c r="R160" s="225"/>
    </row>
    <row r="161" spans="1:18">
      <c r="E161" s="318"/>
      <c r="G161" s="213"/>
      <c r="I161" s="213"/>
      <c r="K161" s="213"/>
      <c r="L161" s="318"/>
      <c r="M161" s="318"/>
      <c r="Q161" s="225"/>
      <c r="R161" s="225"/>
    </row>
    <row r="162" spans="1:18">
      <c r="E162" s="318"/>
      <c r="G162" s="213"/>
      <c r="I162" s="213"/>
      <c r="K162" s="213"/>
      <c r="L162" s="318"/>
      <c r="M162" s="318"/>
      <c r="Q162" s="225"/>
      <c r="R162" s="225"/>
    </row>
    <row r="163" spans="1:18">
      <c r="E163" s="318"/>
      <c r="G163" s="213"/>
      <c r="I163" s="213"/>
      <c r="K163" s="213"/>
      <c r="L163" s="318"/>
      <c r="M163" s="318"/>
      <c r="Q163" s="225"/>
      <c r="R163" s="225"/>
    </row>
    <row r="164" spans="1:18">
      <c r="E164" s="318"/>
      <c r="G164" s="213"/>
      <c r="I164" s="213"/>
      <c r="K164" s="213"/>
      <c r="L164" s="318"/>
      <c r="M164" s="318"/>
      <c r="Q164" s="225"/>
      <c r="R164" s="225"/>
    </row>
    <row r="165" spans="1:18">
      <c r="A165" s="20" t="s">
        <v>201</v>
      </c>
      <c r="E165" s="318"/>
      <c r="G165" s="213"/>
      <c r="I165" s="213"/>
      <c r="K165" s="213"/>
      <c r="L165" s="318"/>
      <c r="M165" s="318"/>
      <c r="Q165" s="225"/>
      <c r="R165" s="225"/>
    </row>
    <row r="166" spans="1:18">
      <c r="E166" s="318"/>
      <c r="G166" s="213"/>
      <c r="I166" s="213"/>
      <c r="K166" s="213"/>
      <c r="L166" s="318"/>
      <c r="M166" s="318"/>
      <c r="Q166" s="225"/>
      <c r="R166" s="225"/>
    </row>
    <row r="167" spans="1:18">
      <c r="E167" s="318"/>
      <c r="G167" s="213"/>
      <c r="I167" s="213"/>
      <c r="K167" s="213"/>
      <c r="L167" s="318"/>
      <c r="M167" s="318"/>
      <c r="Q167" s="225"/>
      <c r="R167" s="225"/>
    </row>
    <row r="168" spans="1:18">
      <c r="E168" s="318"/>
      <c r="G168" s="213"/>
      <c r="I168" s="213"/>
      <c r="K168" s="213"/>
      <c r="L168" s="318"/>
      <c r="M168" s="318"/>
      <c r="Q168" s="225"/>
      <c r="R168" s="225"/>
    </row>
    <row r="169" spans="1:18">
      <c r="E169" s="318"/>
      <c r="G169" s="213"/>
      <c r="I169" s="213"/>
      <c r="K169" s="213"/>
      <c r="L169" s="318"/>
      <c r="M169" s="318"/>
      <c r="Q169" s="225"/>
      <c r="R169" s="225"/>
    </row>
    <row r="170" spans="1:18">
      <c r="E170" s="318"/>
      <c r="G170" s="213"/>
      <c r="I170" s="213"/>
      <c r="K170" s="213"/>
      <c r="L170" s="318"/>
      <c r="M170" s="318"/>
      <c r="Q170" s="225"/>
      <c r="R170" s="225"/>
    </row>
    <row r="171" spans="1:18">
      <c r="E171" s="318"/>
      <c r="G171" s="213"/>
      <c r="I171" s="213"/>
      <c r="K171" s="213"/>
      <c r="L171" s="318"/>
      <c r="M171" s="318"/>
      <c r="Q171" s="225"/>
      <c r="R171" s="225"/>
    </row>
    <row r="172" spans="1:18">
      <c r="E172" s="318"/>
      <c r="G172" s="213"/>
      <c r="I172" s="213"/>
      <c r="K172" s="213"/>
      <c r="L172" s="318"/>
      <c r="M172" s="318"/>
      <c r="Q172" s="225"/>
      <c r="R172" s="225"/>
    </row>
    <row r="173" spans="1:18">
      <c r="E173" s="318"/>
      <c r="G173" s="213"/>
      <c r="I173" s="213"/>
      <c r="K173" s="213"/>
      <c r="L173" s="318"/>
      <c r="M173" s="318"/>
      <c r="Q173" s="225"/>
      <c r="R173" s="225"/>
    </row>
    <row r="174" spans="1:18">
      <c r="E174" s="318"/>
      <c r="G174" s="213"/>
      <c r="I174" s="213"/>
      <c r="K174" s="213"/>
      <c r="L174" s="318"/>
      <c r="M174" s="318"/>
      <c r="Q174" s="225"/>
      <c r="R174" s="225"/>
    </row>
    <row r="175" spans="1:18">
      <c r="E175" s="318"/>
      <c r="G175" s="213"/>
      <c r="I175" s="213"/>
      <c r="K175" s="213"/>
      <c r="L175" s="318"/>
      <c r="M175" s="318"/>
      <c r="Q175" s="225"/>
      <c r="R175" s="225"/>
    </row>
    <row r="176" spans="1:18">
      <c r="E176" s="318"/>
      <c r="G176" s="213"/>
      <c r="I176" s="213"/>
      <c r="K176" s="213"/>
      <c r="L176" s="318"/>
      <c r="M176" s="318"/>
      <c r="Q176" s="225"/>
      <c r="R176" s="225"/>
    </row>
    <row r="177" spans="5:18">
      <c r="E177" s="318"/>
      <c r="G177" s="213"/>
      <c r="I177" s="213"/>
      <c r="K177" s="213"/>
      <c r="L177" s="318"/>
      <c r="M177" s="318"/>
      <c r="Q177" s="225"/>
      <c r="R177" s="225"/>
    </row>
    <row r="178" spans="5:18">
      <c r="E178" s="318"/>
      <c r="G178" s="213"/>
      <c r="I178" s="213"/>
      <c r="K178" s="213"/>
      <c r="L178" s="318"/>
      <c r="M178" s="318"/>
      <c r="Q178" s="225"/>
      <c r="R178" s="225"/>
    </row>
    <row r="179" spans="5:18">
      <c r="E179" s="318"/>
      <c r="G179" s="213"/>
      <c r="I179" s="213"/>
      <c r="K179" s="213"/>
      <c r="L179" s="318"/>
      <c r="M179" s="318"/>
      <c r="Q179" s="225"/>
      <c r="R179" s="225"/>
    </row>
    <row r="180" spans="5:18">
      <c r="E180" s="318"/>
      <c r="G180" s="213"/>
      <c r="I180" s="213"/>
      <c r="K180" s="213"/>
      <c r="L180" s="318"/>
      <c r="M180" s="318"/>
      <c r="Q180" s="225"/>
      <c r="R180" s="225"/>
    </row>
    <row r="181" spans="5:18">
      <c r="E181" s="318"/>
      <c r="G181" s="213"/>
      <c r="I181" s="213"/>
      <c r="K181" s="213"/>
      <c r="L181" s="318"/>
      <c r="M181" s="318"/>
      <c r="Q181" s="225"/>
      <c r="R181" s="225"/>
    </row>
    <row r="182" spans="5:18">
      <c r="E182" s="318"/>
      <c r="G182" s="213"/>
      <c r="I182" s="213"/>
      <c r="K182" s="213"/>
      <c r="L182" s="318"/>
      <c r="M182" s="318"/>
      <c r="Q182" s="225"/>
      <c r="R182" s="225"/>
    </row>
    <row r="183" spans="5:18">
      <c r="E183" s="318"/>
      <c r="G183" s="213"/>
      <c r="I183" s="213"/>
      <c r="K183" s="213"/>
      <c r="L183" s="318"/>
      <c r="M183" s="318"/>
      <c r="Q183" s="225"/>
      <c r="R183" s="225"/>
    </row>
    <row r="184" spans="5:18">
      <c r="E184" s="318"/>
      <c r="G184" s="213"/>
      <c r="I184" s="213"/>
      <c r="K184" s="213"/>
      <c r="L184" s="318"/>
      <c r="M184" s="318"/>
      <c r="Q184" s="225"/>
      <c r="R184" s="225"/>
    </row>
    <row r="185" spans="5:18">
      <c r="E185" s="318"/>
      <c r="G185" s="213"/>
      <c r="I185" s="213"/>
      <c r="K185" s="213"/>
      <c r="L185" s="318"/>
      <c r="M185" s="318"/>
      <c r="Q185" s="225"/>
      <c r="R185" s="225"/>
    </row>
    <row r="186" spans="5:18">
      <c r="E186" s="318"/>
      <c r="G186" s="213"/>
      <c r="I186" s="213"/>
      <c r="K186" s="213"/>
      <c r="L186" s="318"/>
      <c r="M186" s="318"/>
      <c r="Q186" s="225"/>
      <c r="R186" s="225"/>
    </row>
    <row r="187" spans="5:18">
      <c r="E187" s="318"/>
      <c r="G187" s="213"/>
      <c r="I187" s="213"/>
      <c r="K187" s="213"/>
      <c r="L187" s="318"/>
      <c r="M187" s="318"/>
      <c r="Q187" s="225"/>
      <c r="R187" s="225"/>
    </row>
    <row r="188" spans="5:18">
      <c r="E188" s="318"/>
      <c r="G188" s="213"/>
      <c r="I188" s="213"/>
      <c r="K188" s="213"/>
      <c r="L188" s="318"/>
      <c r="M188" s="318"/>
      <c r="Q188" s="225"/>
      <c r="R188" s="225"/>
    </row>
    <row r="189" spans="5:18">
      <c r="E189" s="318"/>
      <c r="G189" s="213"/>
      <c r="I189" s="213"/>
      <c r="K189" s="213"/>
      <c r="L189" s="318"/>
      <c r="M189" s="318"/>
      <c r="Q189" s="225"/>
      <c r="R189" s="225"/>
    </row>
    <row r="190" spans="5:18">
      <c r="E190" s="318"/>
      <c r="G190" s="213"/>
      <c r="I190" s="213"/>
      <c r="K190" s="213"/>
      <c r="L190" s="318"/>
      <c r="M190" s="318"/>
      <c r="Q190" s="225"/>
      <c r="R190" s="225"/>
    </row>
    <row r="191" spans="5:18">
      <c r="E191" s="318"/>
      <c r="G191" s="213"/>
      <c r="I191" s="213"/>
      <c r="K191" s="213"/>
      <c r="L191" s="318"/>
      <c r="M191" s="318"/>
      <c r="Q191" s="225"/>
      <c r="R191" s="225"/>
    </row>
    <row r="192" spans="5:18">
      <c r="E192" s="318"/>
      <c r="G192" s="213"/>
      <c r="I192" s="213"/>
      <c r="K192" s="213"/>
      <c r="L192" s="318"/>
      <c r="M192" s="318"/>
      <c r="Q192" s="225"/>
      <c r="R192" s="225"/>
    </row>
    <row r="193" spans="5:18">
      <c r="E193" s="318"/>
      <c r="G193" s="213"/>
      <c r="I193" s="213"/>
      <c r="K193" s="213"/>
      <c r="L193" s="318"/>
      <c r="M193" s="318"/>
      <c r="Q193" s="225"/>
      <c r="R193" s="225"/>
    </row>
    <row r="194" spans="5:18">
      <c r="E194" s="318"/>
      <c r="G194" s="213"/>
      <c r="I194" s="213"/>
      <c r="K194" s="213"/>
      <c r="L194" s="318"/>
      <c r="M194" s="318"/>
      <c r="Q194" s="225"/>
      <c r="R194" s="225"/>
    </row>
    <row r="195" spans="5:18">
      <c r="E195" s="318"/>
      <c r="G195" s="213"/>
      <c r="I195" s="213"/>
      <c r="K195" s="213"/>
      <c r="L195" s="318"/>
      <c r="M195" s="318"/>
      <c r="Q195" s="225"/>
      <c r="R195" s="225"/>
    </row>
    <row r="196" spans="5:18">
      <c r="E196" s="318"/>
      <c r="G196" s="213"/>
      <c r="I196" s="213"/>
      <c r="K196" s="213"/>
      <c r="L196" s="318"/>
      <c r="M196" s="318"/>
      <c r="Q196" s="225"/>
      <c r="R196" s="225"/>
    </row>
    <row r="197" spans="5:18">
      <c r="E197" s="318"/>
      <c r="G197" s="213"/>
      <c r="I197" s="213"/>
      <c r="K197" s="213"/>
      <c r="L197" s="318"/>
      <c r="M197" s="318"/>
      <c r="Q197" s="225"/>
      <c r="R197" s="225"/>
    </row>
    <row r="198" spans="5:18">
      <c r="E198" s="318"/>
      <c r="G198" s="213"/>
      <c r="I198" s="213"/>
      <c r="K198" s="213"/>
      <c r="L198" s="318"/>
      <c r="M198" s="318"/>
      <c r="Q198" s="225"/>
      <c r="R198" s="225"/>
    </row>
    <row r="199" spans="5:18">
      <c r="E199" s="318"/>
      <c r="G199" s="213"/>
      <c r="I199" s="213"/>
      <c r="K199" s="213"/>
      <c r="L199" s="318"/>
      <c r="M199" s="318"/>
      <c r="Q199" s="225"/>
      <c r="R199" s="225"/>
    </row>
    <row r="200" spans="5:18">
      <c r="E200" s="318"/>
      <c r="G200" s="213"/>
      <c r="I200" s="213"/>
      <c r="K200" s="213"/>
      <c r="L200" s="318"/>
      <c r="M200" s="318"/>
      <c r="Q200" s="225"/>
      <c r="R200" s="225"/>
    </row>
    <row r="201" spans="5:18">
      <c r="E201" s="318"/>
      <c r="G201" s="213"/>
      <c r="I201" s="213"/>
      <c r="K201" s="213"/>
      <c r="L201" s="318"/>
      <c r="M201" s="318"/>
      <c r="Q201" s="225"/>
      <c r="R201" s="225"/>
    </row>
    <row r="202" spans="5:18">
      <c r="E202" s="318"/>
      <c r="G202" s="213"/>
      <c r="I202" s="213"/>
      <c r="K202" s="213"/>
      <c r="L202" s="318"/>
      <c r="M202" s="318"/>
      <c r="Q202" s="225"/>
      <c r="R202" s="225"/>
    </row>
    <row r="203" spans="5:18">
      <c r="E203" s="318"/>
      <c r="G203" s="213"/>
      <c r="I203" s="213"/>
      <c r="K203" s="213"/>
      <c r="L203" s="318"/>
      <c r="M203" s="318"/>
      <c r="Q203" s="225"/>
      <c r="R203" s="225"/>
    </row>
    <row r="204" spans="5:18">
      <c r="E204" s="318"/>
      <c r="G204" s="213"/>
      <c r="I204" s="213"/>
      <c r="K204" s="213"/>
      <c r="L204" s="318"/>
      <c r="M204" s="318"/>
      <c r="Q204" s="225"/>
      <c r="R204" s="225"/>
    </row>
    <row r="205" spans="5:18">
      <c r="E205" s="318"/>
      <c r="G205" s="213"/>
      <c r="I205" s="213"/>
      <c r="K205" s="213"/>
      <c r="L205" s="318"/>
      <c r="M205" s="318"/>
      <c r="Q205" s="225"/>
      <c r="R205" s="225"/>
    </row>
    <row r="206" spans="5:18">
      <c r="E206" s="318"/>
      <c r="G206" s="213"/>
      <c r="I206" s="213"/>
      <c r="K206" s="213"/>
      <c r="L206" s="318"/>
      <c r="M206" s="318"/>
      <c r="Q206" s="225"/>
      <c r="R206" s="225"/>
    </row>
    <row r="207" spans="5:18">
      <c r="E207" s="318"/>
      <c r="G207" s="213"/>
      <c r="I207" s="213"/>
      <c r="K207" s="213"/>
      <c r="L207" s="318"/>
      <c r="M207" s="318"/>
      <c r="Q207" s="225"/>
      <c r="R207" s="225"/>
    </row>
    <row r="208" spans="5:18">
      <c r="E208" s="318"/>
      <c r="G208" s="213"/>
      <c r="I208" s="213"/>
      <c r="K208" s="213"/>
      <c r="L208" s="318"/>
      <c r="M208" s="318"/>
      <c r="Q208" s="225"/>
      <c r="R208" s="225"/>
    </row>
    <row r="209" spans="5:18">
      <c r="E209" s="318"/>
      <c r="G209" s="213"/>
      <c r="I209" s="213"/>
      <c r="K209" s="213"/>
      <c r="L209" s="318"/>
      <c r="M209" s="318"/>
      <c r="Q209" s="225"/>
      <c r="R209" s="225"/>
    </row>
    <row r="210" spans="5:18">
      <c r="E210" s="318"/>
      <c r="G210" s="213"/>
      <c r="I210" s="213"/>
      <c r="K210" s="213"/>
      <c r="L210" s="318"/>
      <c r="M210" s="318"/>
      <c r="Q210" s="225"/>
      <c r="R210" s="225"/>
    </row>
    <row r="211" spans="5:18">
      <c r="E211" s="318"/>
      <c r="G211" s="213"/>
      <c r="I211" s="213"/>
      <c r="K211" s="213"/>
      <c r="L211" s="318"/>
      <c r="M211" s="318"/>
      <c r="Q211" s="225"/>
      <c r="R211" s="225"/>
    </row>
    <row r="212" spans="5:18">
      <c r="E212" s="318"/>
      <c r="G212" s="213"/>
      <c r="I212" s="213"/>
      <c r="K212" s="213"/>
      <c r="L212" s="318"/>
      <c r="M212" s="318"/>
      <c r="Q212" s="225"/>
      <c r="R212" s="225"/>
    </row>
    <row r="213" spans="5:18">
      <c r="E213" s="318"/>
      <c r="G213" s="213"/>
      <c r="I213" s="213"/>
      <c r="K213" s="213"/>
      <c r="L213" s="318"/>
      <c r="M213" s="318"/>
      <c r="Q213" s="225"/>
      <c r="R213" s="225"/>
    </row>
    <row r="214" spans="5:18">
      <c r="E214" s="318"/>
      <c r="G214" s="213"/>
      <c r="I214" s="213"/>
      <c r="K214" s="213"/>
      <c r="L214" s="318"/>
      <c r="M214" s="318"/>
      <c r="Q214" s="225"/>
      <c r="R214" s="225"/>
    </row>
    <row r="215" spans="5:18">
      <c r="E215" s="318"/>
      <c r="G215" s="213"/>
      <c r="I215" s="213"/>
      <c r="K215" s="213"/>
      <c r="L215" s="318"/>
      <c r="M215" s="318"/>
      <c r="Q215" s="225"/>
      <c r="R215" s="225"/>
    </row>
    <row r="216" spans="5:18">
      <c r="E216" s="318"/>
      <c r="G216" s="213"/>
      <c r="I216" s="213"/>
      <c r="K216" s="213"/>
      <c r="L216" s="318"/>
      <c r="M216" s="318"/>
      <c r="Q216" s="225"/>
      <c r="R216" s="225"/>
    </row>
    <row r="217" spans="5:18">
      <c r="E217" s="318"/>
      <c r="G217" s="213"/>
      <c r="I217" s="213"/>
      <c r="K217" s="213"/>
      <c r="L217" s="318"/>
      <c r="M217" s="318"/>
      <c r="Q217" s="225"/>
      <c r="R217" s="225"/>
    </row>
    <row r="218" spans="5:18">
      <c r="E218" s="318"/>
      <c r="G218" s="213"/>
      <c r="I218" s="213"/>
      <c r="K218" s="213"/>
      <c r="L218" s="318"/>
      <c r="M218" s="318"/>
      <c r="Q218" s="225"/>
      <c r="R218" s="225"/>
    </row>
    <row r="219" spans="5:18">
      <c r="E219" s="318"/>
      <c r="G219" s="213"/>
      <c r="I219" s="213"/>
      <c r="K219" s="213"/>
      <c r="L219" s="318"/>
      <c r="M219" s="318"/>
      <c r="Q219" s="225"/>
      <c r="R219" s="225"/>
    </row>
    <row r="220" spans="5:18">
      <c r="E220" s="318"/>
      <c r="G220" s="213"/>
      <c r="I220" s="213"/>
      <c r="K220" s="213"/>
      <c r="L220" s="318"/>
      <c r="M220" s="318"/>
      <c r="Q220" s="225"/>
      <c r="R220" s="225"/>
    </row>
    <row r="221" spans="5:18">
      <c r="E221" s="318"/>
      <c r="G221" s="213"/>
      <c r="I221" s="213"/>
      <c r="K221" s="213"/>
      <c r="L221" s="318"/>
      <c r="M221" s="318"/>
      <c r="Q221" s="225"/>
      <c r="R221" s="225"/>
    </row>
    <row r="222" spans="5:18">
      <c r="E222" s="318"/>
      <c r="G222" s="213"/>
      <c r="I222" s="213"/>
      <c r="K222" s="213"/>
      <c r="L222" s="318"/>
      <c r="M222" s="318"/>
      <c r="Q222" s="225"/>
      <c r="R222" s="225"/>
    </row>
    <row r="223" spans="5:18">
      <c r="E223" s="318"/>
      <c r="G223" s="213"/>
      <c r="I223" s="213"/>
      <c r="K223" s="213"/>
      <c r="L223" s="318"/>
      <c r="M223" s="318"/>
      <c r="Q223" s="225"/>
      <c r="R223" s="225"/>
    </row>
    <row r="224" spans="5:18">
      <c r="E224" s="318"/>
      <c r="G224" s="213"/>
      <c r="I224" s="213"/>
      <c r="K224" s="213"/>
      <c r="L224" s="318"/>
      <c r="M224" s="318"/>
      <c r="Q224" s="225"/>
      <c r="R224" s="225"/>
    </row>
    <row r="225" spans="5:18">
      <c r="E225" s="318"/>
      <c r="G225" s="213"/>
      <c r="I225" s="213"/>
      <c r="K225" s="213"/>
      <c r="L225" s="318"/>
      <c r="M225" s="318"/>
      <c r="Q225" s="225"/>
      <c r="R225" s="225"/>
    </row>
    <row r="226" spans="5:18">
      <c r="E226" s="318"/>
      <c r="G226" s="213"/>
      <c r="I226" s="213"/>
      <c r="K226" s="213"/>
      <c r="L226" s="318"/>
      <c r="M226" s="318"/>
      <c r="Q226" s="225"/>
      <c r="R226" s="225"/>
    </row>
    <row r="227" spans="5:18">
      <c r="E227" s="318"/>
      <c r="G227" s="213"/>
      <c r="I227" s="213"/>
      <c r="K227" s="213"/>
      <c r="L227" s="318"/>
      <c r="M227" s="318"/>
      <c r="Q227" s="225"/>
      <c r="R227" s="225"/>
    </row>
    <row r="228" spans="5:18">
      <c r="E228" s="318"/>
      <c r="G228" s="213"/>
      <c r="I228" s="213"/>
      <c r="K228" s="213"/>
      <c r="L228" s="318"/>
      <c r="M228" s="318"/>
      <c r="Q228" s="225"/>
      <c r="R228" s="225"/>
    </row>
    <row r="229" spans="5:18">
      <c r="E229" s="318"/>
      <c r="G229" s="213"/>
      <c r="I229" s="213"/>
      <c r="K229" s="213"/>
      <c r="L229" s="318"/>
      <c r="M229" s="318"/>
      <c r="Q229" s="225"/>
      <c r="R229" s="225"/>
    </row>
    <row r="230" spans="5:18">
      <c r="E230" s="318"/>
      <c r="G230" s="213"/>
      <c r="I230" s="213"/>
      <c r="K230" s="213"/>
      <c r="L230" s="318"/>
      <c r="M230" s="318"/>
      <c r="Q230" s="225"/>
      <c r="R230" s="225"/>
    </row>
    <row r="231" spans="5:18">
      <c r="E231" s="318"/>
      <c r="G231" s="213"/>
      <c r="I231" s="213"/>
      <c r="K231" s="213"/>
      <c r="L231" s="318"/>
      <c r="M231" s="318"/>
      <c r="Q231" s="225"/>
      <c r="R231" s="225"/>
    </row>
    <row r="232" spans="5:18">
      <c r="E232" s="318"/>
      <c r="G232" s="213"/>
      <c r="I232" s="213"/>
      <c r="K232" s="213"/>
      <c r="L232" s="318"/>
      <c r="M232" s="318"/>
      <c r="Q232" s="225"/>
      <c r="R232" s="225"/>
    </row>
    <row r="233" spans="5:18">
      <c r="E233" s="318"/>
      <c r="G233" s="213"/>
      <c r="I233" s="213"/>
      <c r="K233" s="213"/>
      <c r="L233" s="318"/>
      <c r="M233" s="318"/>
      <c r="Q233" s="225"/>
      <c r="R233" s="225"/>
    </row>
    <row r="234" spans="5:18">
      <c r="E234" s="318"/>
      <c r="G234" s="213"/>
      <c r="I234" s="213"/>
      <c r="K234" s="213"/>
      <c r="L234" s="318"/>
      <c r="M234" s="318"/>
      <c r="Q234" s="225"/>
      <c r="R234" s="225"/>
    </row>
    <row r="235" spans="5:18">
      <c r="E235" s="318"/>
      <c r="G235" s="213"/>
      <c r="I235" s="213"/>
      <c r="K235" s="213"/>
      <c r="L235" s="318"/>
      <c r="M235" s="318"/>
      <c r="Q235" s="225"/>
      <c r="R235" s="225"/>
    </row>
    <row r="236" spans="5:18">
      <c r="E236" s="318"/>
      <c r="G236" s="213"/>
      <c r="I236" s="213"/>
      <c r="K236" s="213"/>
      <c r="L236" s="318"/>
      <c r="M236" s="318"/>
      <c r="Q236" s="225"/>
      <c r="R236" s="225"/>
    </row>
    <row r="237" spans="5:18">
      <c r="E237" s="318"/>
      <c r="G237" s="213"/>
      <c r="I237" s="213"/>
      <c r="K237" s="213"/>
      <c r="L237" s="318"/>
      <c r="M237" s="318"/>
      <c r="Q237" s="225"/>
      <c r="R237" s="225"/>
    </row>
    <row r="238" spans="5:18">
      <c r="E238" s="318"/>
      <c r="G238" s="213"/>
      <c r="I238" s="213"/>
      <c r="K238" s="213"/>
      <c r="L238" s="318"/>
      <c r="M238" s="318"/>
      <c r="Q238" s="225"/>
      <c r="R238" s="225"/>
    </row>
    <row r="239" spans="5:18">
      <c r="E239" s="318"/>
      <c r="G239" s="213"/>
      <c r="I239" s="213"/>
      <c r="K239" s="213"/>
      <c r="L239" s="318"/>
      <c r="M239" s="318"/>
      <c r="Q239" s="225"/>
      <c r="R239" s="225"/>
    </row>
    <row r="240" spans="5:18">
      <c r="E240" s="318"/>
      <c r="G240" s="213"/>
      <c r="I240" s="213"/>
      <c r="K240" s="213"/>
      <c r="L240" s="318"/>
      <c r="M240" s="318"/>
      <c r="Q240" s="225"/>
      <c r="R240" s="225"/>
    </row>
    <row r="241" spans="5:18">
      <c r="E241" s="318"/>
      <c r="G241" s="213"/>
      <c r="I241" s="213"/>
      <c r="K241" s="213"/>
      <c r="L241" s="318"/>
      <c r="M241" s="318"/>
      <c r="Q241" s="225"/>
      <c r="R241" s="225"/>
    </row>
    <row r="242" spans="5:18">
      <c r="E242" s="318"/>
      <c r="G242" s="213"/>
      <c r="I242" s="213"/>
      <c r="K242" s="213"/>
      <c r="L242" s="318"/>
      <c r="M242" s="318"/>
      <c r="Q242" s="225"/>
      <c r="R242" s="225"/>
    </row>
    <row r="243" spans="5:18">
      <c r="E243" s="318"/>
      <c r="G243" s="213"/>
      <c r="I243" s="213"/>
      <c r="K243" s="213"/>
      <c r="L243" s="318"/>
      <c r="M243" s="318"/>
      <c r="Q243" s="225"/>
      <c r="R243" s="225"/>
    </row>
    <row r="244" spans="5:18">
      <c r="E244" s="318"/>
      <c r="G244" s="213"/>
      <c r="I244" s="213"/>
      <c r="K244" s="213"/>
      <c r="L244" s="318"/>
      <c r="M244" s="318"/>
      <c r="Q244" s="225"/>
      <c r="R244" s="225"/>
    </row>
    <row r="245" spans="5:18">
      <c r="E245" s="318"/>
      <c r="G245" s="213"/>
      <c r="I245" s="213"/>
      <c r="K245" s="213"/>
      <c r="L245" s="318"/>
      <c r="M245" s="318"/>
      <c r="Q245" s="225"/>
      <c r="R245" s="225"/>
    </row>
    <row r="246" spans="5:18">
      <c r="E246" s="318"/>
      <c r="G246" s="213"/>
      <c r="I246" s="213"/>
      <c r="K246" s="213"/>
      <c r="L246" s="318"/>
      <c r="M246" s="318"/>
      <c r="Q246" s="225"/>
      <c r="R246" s="225"/>
    </row>
    <row r="247" spans="5:18">
      <c r="E247" s="318"/>
      <c r="G247" s="213"/>
      <c r="I247" s="213"/>
      <c r="K247" s="213"/>
      <c r="L247" s="318"/>
      <c r="M247" s="318"/>
      <c r="Q247" s="225"/>
      <c r="R247" s="225"/>
    </row>
    <row r="248" spans="5:18">
      <c r="E248" s="318"/>
      <c r="G248" s="213"/>
      <c r="I248" s="213"/>
      <c r="K248" s="213"/>
      <c r="L248" s="318"/>
      <c r="M248" s="318"/>
      <c r="Q248" s="225"/>
      <c r="R248" s="225"/>
    </row>
    <row r="249" spans="5:18">
      <c r="E249" s="318"/>
      <c r="G249" s="213"/>
      <c r="I249" s="213"/>
      <c r="K249" s="213"/>
      <c r="L249" s="318"/>
      <c r="M249" s="318"/>
      <c r="Q249" s="225"/>
      <c r="R249" s="225"/>
    </row>
    <row r="250" spans="5:18">
      <c r="E250" s="318"/>
      <c r="G250" s="213"/>
      <c r="I250" s="213"/>
      <c r="K250" s="213"/>
      <c r="L250" s="318"/>
      <c r="M250" s="318"/>
      <c r="Q250" s="225"/>
      <c r="R250" s="225"/>
    </row>
    <row r="251" spans="5:18">
      <c r="E251" s="318"/>
      <c r="G251" s="213"/>
      <c r="I251" s="213"/>
      <c r="K251" s="213"/>
      <c r="L251" s="318"/>
      <c r="M251" s="318"/>
      <c r="Q251" s="225"/>
      <c r="R251" s="225"/>
    </row>
    <row r="252" spans="5:18">
      <c r="E252" s="318"/>
      <c r="G252" s="213"/>
      <c r="I252" s="213"/>
      <c r="K252" s="213"/>
      <c r="L252" s="318"/>
      <c r="M252" s="318"/>
      <c r="Q252" s="225"/>
      <c r="R252" s="225"/>
    </row>
    <row r="253" spans="5:18">
      <c r="E253" s="318"/>
      <c r="G253" s="213"/>
      <c r="I253" s="213"/>
      <c r="K253" s="213"/>
      <c r="L253" s="318"/>
      <c r="M253" s="318"/>
      <c r="Q253" s="225"/>
      <c r="R253" s="225"/>
    </row>
    <row r="254" spans="5:18">
      <c r="E254" s="318"/>
      <c r="G254" s="213"/>
      <c r="I254" s="213"/>
      <c r="K254" s="213"/>
      <c r="L254" s="318"/>
      <c r="M254" s="318"/>
      <c r="Q254" s="225"/>
      <c r="R254" s="225"/>
    </row>
    <row r="255" spans="5:18">
      <c r="E255" s="318"/>
      <c r="G255" s="213"/>
      <c r="I255" s="213"/>
      <c r="K255" s="213"/>
      <c r="L255" s="318"/>
      <c r="M255" s="318"/>
      <c r="Q255" s="225"/>
      <c r="R255" s="225"/>
    </row>
    <row r="256" spans="5:18">
      <c r="E256" s="318"/>
      <c r="G256" s="213"/>
      <c r="I256" s="213"/>
      <c r="K256" s="213"/>
      <c r="L256" s="318"/>
      <c r="M256" s="318"/>
      <c r="Q256" s="225"/>
      <c r="R256" s="225"/>
    </row>
    <row r="257" spans="5:18">
      <c r="E257" s="318"/>
      <c r="G257" s="213"/>
      <c r="I257" s="213"/>
      <c r="K257" s="213"/>
      <c r="L257" s="318"/>
      <c r="M257" s="318"/>
      <c r="Q257" s="225"/>
      <c r="R257" s="225"/>
    </row>
    <row r="258" spans="5:18">
      <c r="E258" s="318"/>
      <c r="G258" s="213"/>
      <c r="I258" s="213"/>
      <c r="K258" s="213"/>
      <c r="L258" s="318"/>
      <c r="M258" s="318"/>
      <c r="Q258" s="225"/>
      <c r="R258" s="225"/>
    </row>
    <row r="259" spans="5:18">
      <c r="E259" s="318"/>
      <c r="G259" s="213"/>
      <c r="I259" s="213"/>
      <c r="K259" s="213"/>
      <c r="L259" s="318"/>
      <c r="M259" s="318"/>
      <c r="Q259" s="225"/>
      <c r="R259" s="225"/>
    </row>
    <row r="260" spans="5:18">
      <c r="E260" s="318"/>
      <c r="G260" s="213"/>
      <c r="I260" s="213"/>
      <c r="K260" s="213"/>
      <c r="L260" s="318"/>
      <c r="M260" s="318"/>
      <c r="Q260" s="225"/>
      <c r="R260" s="225"/>
    </row>
    <row r="261" spans="5:18">
      <c r="E261" s="318"/>
      <c r="G261" s="213"/>
      <c r="I261" s="213"/>
      <c r="K261" s="213"/>
      <c r="L261" s="318"/>
      <c r="M261" s="318"/>
      <c r="Q261" s="225"/>
      <c r="R261" s="225"/>
    </row>
    <row r="262" spans="5:18">
      <c r="E262" s="318"/>
      <c r="G262" s="213"/>
      <c r="I262" s="213"/>
      <c r="K262" s="213"/>
      <c r="L262" s="318"/>
      <c r="M262" s="318"/>
      <c r="Q262" s="225"/>
      <c r="R262" s="225"/>
    </row>
    <row r="263" spans="5:18">
      <c r="E263" s="318"/>
      <c r="G263" s="213"/>
      <c r="I263" s="213"/>
      <c r="K263" s="213"/>
      <c r="L263" s="318"/>
      <c r="M263" s="318"/>
      <c r="Q263" s="225"/>
      <c r="R263" s="225"/>
    </row>
    <row r="264" spans="5:18">
      <c r="E264" s="318"/>
      <c r="G264" s="213"/>
      <c r="I264" s="213"/>
      <c r="K264" s="213"/>
      <c r="L264" s="318"/>
      <c r="M264" s="318"/>
      <c r="Q264" s="225"/>
      <c r="R264" s="225"/>
    </row>
    <row r="265" spans="5:18">
      <c r="E265" s="318"/>
      <c r="G265" s="213"/>
      <c r="I265" s="213"/>
      <c r="K265" s="213"/>
      <c r="L265" s="318"/>
      <c r="M265" s="318"/>
      <c r="Q265" s="225"/>
      <c r="R265" s="225"/>
    </row>
    <row r="266" spans="5:18">
      <c r="E266" s="318"/>
      <c r="G266" s="213"/>
      <c r="I266" s="213"/>
      <c r="K266" s="213"/>
      <c r="L266" s="318"/>
      <c r="M266" s="318"/>
      <c r="Q266" s="225"/>
      <c r="R266" s="225"/>
    </row>
    <row r="267" spans="5:18">
      <c r="E267" s="318"/>
      <c r="G267" s="213"/>
      <c r="I267" s="213"/>
      <c r="K267" s="213"/>
      <c r="L267" s="318"/>
      <c r="M267" s="318"/>
      <c r="Q267" s="225"/>
      <c r="R267" s="225"/>
    </row>
    <row r="268" spans="5:18">
      <c r="E268" s="318"/>
      <c r="G268" s="213"/>
      <c r="I268" s="213"/>
      <c r="K268" s="213"/>
      <c r="L268" s="318"/>
      <c r="M268" s="318"/>
      <c r="Q268" s="225"/>
      <c r="R268" s="225"/>
    </row>
    <row r="269" spans="5:18">
      <c r="E269" s="318"/>
      <c r="G269" s="213"/>
      <c r="I269" s="213"/>
      <c r="K269" s="213"/>
      <c r="L269" s="318"/>
      <c r="M269" s="318"/>
      <c r="Q269" s="225"/>
      <c r="R269" s="225"/>
    </row>
    <row r="270" spans="5:18">
      <c r="E270" s="318"/>
      <c r="G270" s="213"/>
      <c r="I270" s="213"/>
      <c r="K270" s="213"/>
      <c r="L270" s="318"/>
      <c r="M270" s="318"/>
      <c r="Q270" s="225"/>
      <c r="R270" s="225"/>
    </row>
    <row r="271" spans="5:18">
      <c r="E271" s="318"/>
      <c r="G271" s="213"/>
      <c r="I271" s="213"/>
      <c r="K271" s="213"/>
      <c r="L271" s="318"/>
      <c r="M271" s="318"/>
      <c r="Q271" s="225"/>
      <c r="R271" s="225"/>
    </row>
    <row r="272" spans="5:18">
      <c r="E272" s="318"/>
      <c r="G272" s="213"/>
      <c r="I272" s="213"/>
      <c r="K272" s="213"/>
      <c r="L272" s="318"/>
      <c r="M272" s="318"/>
      <c r="Q272" s="225"/>
      <c r="R272" s="225"/>
    </row>
    <row r="273" spans="5:18">
      <c r="E273" s="318"/>
      <c r="G273" s="213"/>
      <c r="I273" s="213"/>
      <c r="K273" s="213"/>
      <c r="L273" s="318"/>
      <c r="M273" s="318"/>
      <c r="Q273" s="225"/>
      <c r="R273" s="225"/>
    </row>
    <row r="274" spans="5:18">
      <c r="E274" s="318"/>
      <c r="G274" s="213"/>
      <c r="I274" s="213"/>
      <c r="K274" s="213"/>
      <c r="L274" s="318"/>
      <c r="M274" s="318"/>
      <c r="Q274" s="225"/>
      <c r="R274" s="225"/>
    </row>
    <row r="275" spans="5:18">
      <c r="E275" s="318"/>
      <c r="G275" s="213"/>
      <c r="I275" s="213"/>
      <c r="K275" s="213"/>
      <c r="L275" s="318"/>
      <c r="M275" s="318"/>
      <c r="Q275" s="225"/>
      <c r="R275" s="225"/>
    </row>
    <row r="276" spans="5:18">
      <c r="E276" s="318"/>
      <c r="G276" s="213"/>
      <c r="I276" s="213"/>
      <c r="K276" s="213"/>
      <c r="L276" s="318"/>
      <c r="M276" s="318"/>
      <c r="Q276" s="225"/>
      <c r="R276" s="225"/>
    </row>
    <row r="277" spans="5:18">
      <c r="E277" s="318"/>
      <c r="G277" s="213"/>
      <c r="I277" s="213"/>
      <c r="K277" s="213"/>
      <c r="L277" s="318"/>
      <c r="M277" s="318"/>
      <c r="Q277" s="225"/>
      <c r="R277" s="225"/>
    </row>
    <row r="278" spans="5:18">
      <c r="E278" s="318"/>
      <c r="G278" s="213"/>
      <c r="I278" s="213"/>
      <c r="K278" s="213"/>
      <c r="L278" s="318"/>
      <c r="M278" s="318"/>
      <c r="Q278" s="225"/>
      <c r="R278" s="225"/>
    </row>
    <row r="279" spans="5:18">
      <c r="E279" s="318"/>
      <c r="G279" s="213"/>
      <c r="I279" s="213"/>
      <c r="K279" s="213"/>
      <c r="L279" s="318"/>
      <c r="M279" s="318"/>
      <c r="Q279" s="225"/>
      <c r="R279" s="225"/>
    </row>
    <row r="280" spans="5:18">
      <c r="E280" s="318"/>
      <c r="G280" s="213"/>
      <c r="I280" s="213"/>
      <c r="K280" s="213"/>
      <c r="L280" s="318"/>
      <c r="M280" s="318"/>
      <c r="Q280" s="225"/>
      <c r="R280" s="225"/>
    </row>
    <row r="281" spans="5:18">
      <c r="E281" s="318"/>
      <c r="G281" s="213"/>
      <c r="I281" s="213"/>
      <c r="K281" s="213"/>
      <c r="L281" s="318"/>
      <c r="M281" s="318"/>
      <c r="Q281" s="225"/>
      <c r="R281" s="225"/>
    </row>
    <row r="282" spans="5:18">
      <c r="E282" s="318"/>
      <c r="G282" s="213"/>
      <c r="I282" s="213"/>
      <c r="K282" s="213"/>
      <c r="L282" s="318"/>
      <c r="M282" s="318"/>
      <c r="Q282" s="225"/>
      <c r="R282" s="225"/>
    </row>
    <row r="283" spans="5:18">
      <c r="E283" s="318"/>
      <c r="G283" s="213"/>
      <c r="I283" s="213"/>
      <c r="K283" s="213"/>
      <c r="L283" s="318"/>
      <c r="M283" s="318"/>
      <c r="Q283" s="225"/>
      <c r="R283" s="225"/>
    </row>
    <row r="284" spans="5:18">
      <c r="E284" s="318"/>
      <c r="G284" s="213"/>
      <c r="I284" s="213"/>
      <c r="K284" s="213"/>
      <c r="L284" s="318"/>
      <c r="M284" s="318"/>
      <c r="Q284" s="225"/>
      <c r="R284" s="225"/>
    </row>
    <row r="285" spans="5:18">
      <c r="E285" s="318"/>
      <c r="G285" s="213"/>
      <c r="I285" s="213"/>
      <c r="K285" s="213"/>
      <c r="L285" s="318"/>
      <c r="M285" s="318"/>
      <c r="Q285" s="225"/>
      <c r="R285" s="225"/>
    </row>
    <row r="286" spans="5:18">
      <c r="E286" s="318"/>
      <c r="G286" s="213"/>
      <c r="I286" s="213"/>
      <c r="K286" s="213"/>
      <c r="L286" s="318"/>
      <c r="M286" s="318"/>
      <c r="Q286" s="225"/>
      <c r="R286" s="225"/>
    </row>
    <row r="287" spans="5:18">
      <c r="E287" s="318"/>
      <c r="G287" s="213"/>
      <c r="I287" s="213"/>
      <c r="K287" s="213"/>
      <c r="L287" s="318"/>
      <c r="M287" s="318"/>
      <c r="Q287" s="225"/>
      <c r="R287" s="225"/>
    </row>
    <row r="288" spans="5:18">
      <c r="E288" s="318"/>
      <c r="G288" s="213"/>
      <c r="I288" s="213"/>
      <c r="K288" s="213"/>
      <c r="L288" s="318"/>
      <c r="M288" s="318"/>
      <c r="Q288" s="225"/>
      <c r="R288" s="225"/>
    </row>
    <row r="289" spans="5:18">
      <c r="E289" s="318"/>
      <c r="G289" s="213"/>
      <c r="I289" s="213"/>
      <c r="K289" s="213"/>
      <c r="L289" s="318"/>
      <c r="M289" s="318"/>
      <c r="Q289" s="225"/>
      <c r="R289" s="225"/>
    </row>
    <row r="290" spans="5:18">
      <c r="E290" s="318"/>
      <c r="G290" s="213"/>
      <c r="I290" s="213"/>
      <c r="K290" s="213"/>
      <c r="L290" s="318"/>
      <c r="M290" s="318"/>
      <c r="Q290" s="225"/>
      <c r="R290" s="225"/>
    </row>
    <row r="291" spans="5:18">
      <c r="E291" s="318"/>
      <c r="G291" s="213"/>
      <c r="I291" s="213"/>
      <c r="K291" s="213"/>
      <c r="L291" s="318"/>
      <c r="M291" s="318"/>
      <c r="Q291" s="225"/>
      <c r="R291" s="225"/>
    </row>
    <row r="292" spans="5:18">
      <c r="E292" s="318"/>
      <c r="G292" s="213"/>
      <c r="I292" s="213"/>
      <c r="K292" s="213"/>
      <c r="L292" s="318"/>
      <c r="M292" s="318"/>
      <c r="Q292" s="225"/>
      <c r="R292" s="225"/>
    </row>
    <row r="293" spans="5:18">
      <c r="E293" s="318"/>
      <c r="G293" s="213"/>
      <c r="I293" s="213"/>
      <c r="K293" s="213"/>
      <c r="L293" s="318"/>
      <c r="M293" s="318"/>
      <c r="Q293" s="225"/>
      <c r="R293" s="225"/>
    </row>
    <row r="294" spans="5:18">
      <c r="E294" s="318"/>
      <c r="G294" s="213"/>
      <c r="I294" s="213"/>
      <c r="K294" s="213"/>
      <c r="L294" s="318"/>
      <c r="M294" s="318"/>
      <c r="Q294" s="225"/>
      <c r="R294" s="225"/>
    </row>
    <row r="295" spans="5:18">
      <c r="E295" s="318"/>
      <c r="G295" s="213"/>
      <c r="I295" s="213"/>
      <c r="K295" s="213"/>
      <c r="L295" s="318"/>
      <c r="M295" s="318"/>
      <c r="Q295" s="225"/>
      <c r="R295" s="225"/>
    </row>
    <row r="296" spans="5:18">
      <c r="E296" s="318"/>
      <c r="G296" s="213"/>
      <c r="I296" s="213"/>
      <c r="K296" s="213"/>
      <c r="L296" s="318"/>
      <c r="M296" s="318"/>
      <c r="Q296" s="225"/>
      <c r="R296" s="225"/>
    </row>
    <row r="297" spans="5:18">
      <c r="E297" s="318"/>
      <c r="G297" s="213"/>
      <c r="I297" s="213"/>
      <c r="K297" s="213"/>
      <c r="L297" s="318"/>
      <c r="M297" s="318"/>
      <c r="Q297" s="225"/>
      <c r="R297" s="225"/>
    </row>
    <row r="298" spans="5:18">
      <c r="E298" s="318"/>
      <c r="G298" s="213"/>
      <c r="I298" s="213"/>
      <c r="K298" s="213"/>
      <c r="L298" s="318"/>
      <c r="M298" s="318"/>
      <c r="Q298" s="225"/>
      <c r="R298" s="225"/>
    </row>
    <row r="299" spans="5:18">
      <c r="E299" s="318"/>
      <c r="G299" s="213"/>
      <c r="I299" s="213"/>
      <c r="K299" s="213"/>
      <c r="L299" s="318"/>
      <c r="M299" s="318"/>
      <c r="Q299" s="225"/>
      <c r="R299" s="225"/>
    </row>
    <row r="300" spans="5:18">
      <c r="E300" s="318"/>
      <c r="G300" s="213"/>
      <c r="I300" s="213"/>
      <c r="K300" s="213"/>
      <c r="L300" s="318"/>
      <c r="M300" s="318"/>
      <c r="Q300" s="225"/>
      <c r="R300" s="225"/>
    </row>
    <row r="301" spans="5:18">
      <c r="E301" s="318"/>
      <c r="G301" s="213"/>
      <c r="I301" s="213"/>
      <c r="K301" s="213"/>
      <c r="L301" s="318"/>
      <c r="M301" s="318"/>
      <c r="Q301" s="225"/>
      <c r="R301" s="225"/>
    </row>
    <row r="302" spans="5:18">
      <c r="E302" s="318"/>
      <c r="G302" s="213"/>
      <c r="I302" s="213"/>
      <c r="K302" s="213"/>
      <c r="L302" s="318"/>
      <c r="M302" s="318"/>
      <c r="Q302" s="225"/>
      <c r="R302" s="225"/>
    </row>
    <row r="303" spans="5:18">
      <c r="E303" s="318"/>
      <c r="G303" s="213"/>
      <c r="I303" s="213"/>
      <c r="K303" s="213"/>
      <c r="L303" s="318"/>
      <c r="M303" s="318"/>
      <c r="Q303" s="225"/>
      <c r="R303" s="225"/>
    </row>
    <row r="304" spans="5:18">
      <c r="E304" s="318"/>
      <c r="G304" s="213"/>
      <c r="I304" s="213"/>
      <c r="K304" s="213"/>
      <c r="L304" s="318"/>
      <c r="M304" s="318"/>
      <c r="Q304" s="225"/>
      <c r="R304" s="225"/>
    </row>
    <row r="305" spans="5:18">
      <c r="E305" s="318"/>
      <c r="G305" s="213"/>
      <c r="I305" s="213"/>
      <c r="K305" s="213"/>
      <c r="L305" s="318"/>
      <c r="M305" s="318"/>
      <c r="Q305" s="225"/>
      <c r="R305" s="225"/>
    </row>
    <row r="306" spans="5:18">
      <c r="E306" s="318"/>
      <c r="G306" s="213"/>
      <c r="I306" s="213"/>
      <c r="K306" s="213"/>
      <c r="L306" s="318"/>
      <c r="M306" s="318"/>
      <c r="Q306" s="225"/>
      <c r="R306" s="225"/>
    </row>
    <row r="307" spans="5:18">
      <c r="E307" s="318"/>
      <c r="G307" s="213"/>
      <c r="I307" s="213"/>
      <c r="K307" s="213"/>
      <c r="L307" s="318"/>
      <c r="M307" s="318"/>
      <c r="Q307" s="225"/>
      <c r="R307" s="225"/>
    </row>
    <row r="308" spans="5:18">
      <c r="E308" s="318"/>
      <c r="G308" s="213"/>
      <c r="I308" s="213"/>
      <c r="K308" s="213"/>
      <c r="L308" s="318"/>
      <c r="M308" s="318"/>
      <c r="Q308" s="225"/>
      <c r="R308" s="225"/>
    </row>
    <row r="309" spans="5:18">
      <c r="E309" s="318"/>
      <c r="G309" s="213"/>
      <c r="I309" s="213"/>
      <c r="K309" s="213"/>
      <c r="L309" s="318"/>
      <c r="M309" s="318"/>
      <c r="Q309" s="225"/>
      <c r="R309" s="225"/>
    </row>
    <row r="310" spans="5:18">
      <c r="E310" s="318"/>
      <c r="G310" s="213"/>
      <c r="I310" s="213"/>
      <c r="K310" s="213"/>
      <c r="L310" s="318"/>
      <c r="M310" s="318"/>
      <c r="Q310" s="225"/>
      <c r="R310" s="225"/>
    </row>
    <row r="311" spans="5:18">
      <c r="E311" s="318"/>
      <c r="G311" s="213"/>
      <c r="I311" s="213"/>
      <c r="K311" s="213"/>
      <c r="L311" s="318"/>
      <c r="M311" s="318"/>
      <c r="Q311" s="225"/>
      <c r="R311" s="225"/>
    </row>
    <row r="312" spans="5:18">
      <c r="E312" s="318"/>
      <c r="G312" s="213"/>
      <c r="I312" s="213"/>
      <c r="K312" s="213"/>
      <c r="L312" s="318"/>
      <c r="M312" s="318"/>
      <c r="Q312" s="225"/>
      <c r="R312" s="225"/>
    </row>
    <row r="313" spans="5:18">
      <c r="E313" s="318"/>
      <c r="G313" s="213"/>
      <c r="I313" s="213"/>
      <c r="K313" s="213"/>
      <c r="L313" s="318"/>
      <c r="M313" s="318"/>
      <c r="Q313" s="225"/>
      <c r="R313" s="225"/>
    </row>
    <row r="314" spans="5:18">
      <c r="E314" s="318"/>
      <c r="G314" s="213"/>
      <c r="I314" s="213"/>
      <c r="K314" s="213"/>
      <c r="L314" s="318"/>
      <c r="M314" s="318"/>
      <c r="Q314" s="225"/>
      <c r="R314" s="225"/>
    </row>
    <row r="315" spans="5:18">
      <c r="E315" s="318"/>
      <c r="G315" s="213"/>
      <c r="I315" s="213"/>
      <c r="K315" s="213"/>
      <c r="L315" s="318"/>
      <c r="M315" s="318"/>
      <c r="Q315" s="225"/>
      <c r="R315" s="225"/>
    </row>
    <row r="316" spans="5:18">
      <c r="E316" s="318"/>
      <c r="G316" s="213"/>
      <c r="I316" s="213"/>
      <c r="K316" s="213"/>
      <c r="L316" s="318"/>
      <c r="M316" s="318"/>
      <c r="Q316" s="225"/>
      <c r="R316" s="225"/>
    </row>
    <row r="317" spans="5:18">
      <c r="E317" s="318"/>
      <c r="G317" s="213"/>
      <c r="I317" s="213"/>
      <c r="K317" s="213"/>
      <c r="L317" s="318"/>
      <c r="M317" s="318"/>
      <c r="Q317" s="225"/>
      <c r="R317" s="225"/>
    </row>
    <row r="318" spans="5:18">
      <c r="E318" s="318"/>
      <c r="G318" s="213"/>
      <c r="I318" s="213"/>
      <c r="K318" s="213"/>
      <c r="L318" s="318"/>
      <c r="M318" s="318"/>
      <c r="Q318" s="225"/>
      <c r="R318" s="225"/>
    </row>
    <row r="319" spans="5:18">
      <c r="E319" s="318"/>
      <c r="G319" s="213"/>
      <c r="I319" s="213"/>
      <c r="K319" s="213"/>
      <c r="L319" s="318"/>
      <c r="M319" s="318"/>
      <c r="Q319" s="225"/>
      <c r="R319" s="225"/>
    </row>
    <row r="320" spans="5:18">
      <c r="E320" s="318"/>
      <c r="G320" s="213"/>
      <c r="I320" s="213"/>
      <c r="K320" s="213"/>
      <c r="L320" s="318"/>
      <c r="M320" s="318"/>
      <c r="Q320" s="225"/>
      <c r="R320" s="225"/>
    </row>
    <row r="321" spans="5:18">
      <c r="E321" s="318"/>
      <c r="G321" s="213"/>
      <c r="I321" s="213"/>
      <c r="K321" s="213"/>
      <c r="L321" s="318"/>
      <c r="M321" s="318"/>
      <c r="Q321" s="225"/>
      <c r="R321" s="225"/>
    </row>
    <row r="322" spans="5:18">
      <c r="E322" s="318"/>
      <c r="G322" s="213"/>
      <c r="I322" s="213"/>
      <c r="K322" s="213"/>
      <c r="L322" s="318"/>
      <c r="M322" s="318"/>
      <c r="Q322" s="225"/>
      <c r="R322" s="225"/>
    </row>
    <row r="323" spans="5:18">
      <c r="E323" s="318"/>
      <c r="G323" s="213"/>
      <c r="I323" s="213"/>
      <c r="K323" s="213"/>
      <c r="L323" s="318"/>
      <c r="M323" s="318"/>
      <c r="Q323" s="225"/>
      <c r="R323" s="225"/>
    </row>
    <row r="324" spans="5:18">
      <c r="E324" s="318"/>
      <c r="G324" s="213"/>
      <c r="I324" s="213"/>
      <c r="K324" s="213"/>
      <c r="L324" s="318"/>
      <c r="M324" s="318"/>
      <c r="Q324" s="225"/>
      <c r="R324" s="225"/>
    </row>
    <row r="325" spans="5:18">
      <c r="E325" s="318"/>
      <c r="G325" s="213"/>
      <c r="I325" s="213"/>
      <c r="K325" s="213"/>
      <c r="L325" s="318"/>
      <c r="M325" s="318"/>
      <c r="Q325" s="225"/>
      <c r="R325" s="225"/>
    </row>
    <row r="326" spans="5:18">
      <c r="E326" s="318"/>
      <c r="G326" s="213"/>
      <c r="I326" s="213"/>
      <c r="K326" s="213"/>
      <c r="L326" s="318"/>
      <c r="M326" s="318"/>
      <c r="Q326" s="225"/>
      <c r="R326" s="225"/>
    </row>
    <row r="327" spans="5:18">
      <c r="E327" s="318"/>
      <c r="G327" s="213"/>
      <c r="I327" s="213"/>
      <c r="K327" s="213"/>
      <c r="L327" s="318"/>
      <c r="M327" s="318"/>
      <c r="Q327" s="225"/>
      <c r="R327" s="225"/>
    </row>
    <row r="328" spans="5:18">
      <c r="E328" s="318"/>
      <c r="G328" s="213"/>
      <c r="I328" s="213"/>
      <c r="K328" s="213"/>
      <c r="L328" s="318"/>
      <c r="M328" s="318"/>
      <c r="Q328" s="225"/>
      <c r="R328" s="225"/>
    </row>
    <row r="329" spans="5:18">
      <c r="E329" s="318"/>
      <c r="G329" s="213"/>
      <c r="I329" s="213"/>
      <c r="K329" s="213"/>
      <c r="L329" s="318"/>
      <c r="M329" s="318"/>
      <c r="Q329" s="225"/>
      <c r="R329" s="225"/>
    </row>
    <row r="330" spans="5:18">
      <c r="E330" s="318"/>
      <c r="G330" s="213"/>
      <c r="I330" s="213"/>
      <c r="K330" s="213"/>
      <c r="L330" s="318"/>
      <c r="M330" s="318"/>
      <c r="Q330" s="225"/>
      <c r="R330" s="225"/>
    </row>
    <row r="331" spans="5:18">
      <c r="E331" s="318"/>
      <c r="G331" s="213"/>
      <c r="I331" s="213"/>
      <c r="K331" s="213"/>
      <c r="L331" s="318"/>
      <c r="M331" s="318"/>
      <c r="Q331" s="225"/>
      <c r="R331" s="225"/>
    </row>
    <row r="332" spans="5:18">
      <c r="E332" s="318"/>
      <c r="G332" s="213"/>
      <c r="I332" s="213"/>
      <c r="K332" s="213"/>
      <c r="L332" s="318"/>
      <c r="M332" s="318"/>
      <c r="Q332" s="225"/>
      <c r="R332" s="225"/>
    </row>
    <row r="333" spans="5:18">
      <c r="E333" s="318"/>
      <c r="G333" s="213"/>
      <c r="I333" s="213"/>
      <c r="K333" s="213"/>
      <c r="L333" s="318"/>
      <c r="M333" s="318"/>
      <c r="Q333" s="225"/>
      <c r="R333" s="225"/>
    </row>
    <row r="334" spans="5:18">
      <c r="E334" s="318"/>
      <c r="G334" s="213"/>
      <c r="I334" s="213"/>
      <c r="K334" s="213"/>
      <c r="L334" s="318"/>
      <c r="M334" s="318"/>
      <c r="Q334" s="225"/>
      <c r="R334" s="225"/>
    </row>
    <row r="335" spans="5:18">
      <c r="E335" s="318"/>
      <c r="G335" s="213"/>
      <c r="I335" s="213"/>
      <c r="K335" s="213"/>
      <c r="L335" s="318"/>
      <c r="M335" s="318"/>
      <c r="Q335" s="225"/>
      <c r="R335" s="225"/>
    </row>
    <row r="336" spans="5:18">
      <c r="E336" s="318"/>
      <c r="G336" s="213"/>
      <c r="I336" s="213"/>
      <c r="K336" s="213"/>
      <c r="L336" s="318"/>
      <c r="M336" s="318"/>
      <c r="Q336" s="225"/>
      <c r="R336" s="225"/>
    </row>
    <row r="337" spans="5:18">
      <c r="E337" s="318"/>
      <c r="G337" s="213"/>
      <c r="I337" s="213"/>
      <c r="K337" s="213"/>
      <c r="L337" s="318"/>
      <c r="M337" s="318"/>
      <c r="Q337" s="225"/>
      <c r="R337" s="225"/>
    </row>
    <row r="338" spans="5:18">
      <c r="E338" s="318"/>
      <c r="G338" s="213"/>
      <c r="I338" s="213"/>
      <c r="K338" s="213"/>
      <c r="L338" s="318"/>
      <c r="M338" s="318"/>
      <c r="Q338" s="225"/>
      <c r="R338" s="225"/>
    </row>
    <row r="339" spans="5:18">
      <c r="E339" s="318"/>
      <c r="G339" s="213"/>
      <c r="I339" s="213"/>
      <c r="K339" s="213"/>
      <c r="L339" s="318"/>
      <c r="M339" s="318"/>
      <c r="Q339" s="225"/>
      <c r="R339" s="225"/>
    </row>
    <row r="340" spans="5:18">
      <c r="E340" s="318"/>
      <c r="G340" s="213"/>
      <c r="I340" s="213"/>
      <c r="K340" s="213"/>
      <c r="L340" s="318"/>
      <c r="M340" s="318"/>
      <c r="Q340" s="225"/>
      <c r="R340" s="225"/>
    </row>
    <row r="341" spans="5:18">
      <c r="E341" s="318"/>
      <c r="G341" s="213"/>
      <c r="I341" s="213"/>
      <c r="K341" s="213"/>
      <c r="L341" s="318"/>
      <c r="M341" s="318"/>
      <c r="Q341" s="225"/>
      <c r="R341" s="225"/>
    </row>
    <row r="342" spans="5:18">
      <c r="E342" s="318"/>
      <c r="G342" s="213"/>
      <c r="I342" s="213"/>
      <c r="K342" s="213"/>
      <c r="L342" s="318"/>
      <c r="M342" s="318"/>
      <c r="Q342" s="225"/>
      <c r="R342" s="225"/>
    </row>
    <row r="343" spans="5:18">
      <c r="E343" s="318"/>
      <c r="G343" s="213"/>
      <c r="I343" s="213"/>
      <c r="K343" s="213"/>
      <c r="L343" s="318"/>
      <c r="M343" s="318"/>
      <c r="Q343" s="225"/>
      <c r="R343" s="225"/>
    </row>
    <row r="344" spans="5:18">
      <c r="E344" s="318"/>
      <c r="G344" s="213"/>
      <c r="I344" s="213"/>
      <c r="K344" s="213"/>
      <c r="L344" s="318"/>
      <c r="M344" s="318"/>
      <c r="Q344" s="225"/>
      <c r="R344" s="225"/>
    </row>
    <row r="345" spans="5:18">
      <c r="E345" s="318"/>
      <c r="G345" s="213"/>
      <c r="I345" s="213"/>
      <c r="K345" s="213"/>
      <c r="L345" s="318"/>
      <c r="M345" s="318"/>
      <c r="Q345" s="225"/>
      <c r="R345" s="225"/>
    </row>
    <row r="346" spans="5:18">
      <c r="E346" s="318"/>
      <c r="G346" s="213"/>
      <c r="I346" s="213"/>
      <c r="K346" s="213"/>
      <c r="L346" s="318"/>
      <c r="M346" s="318"/>
      <c r="Q346" s="225"/>
      <c r="R346" s="225"/>
    </row>
    <row r="347" spans="5:18">
      <c r="E347" s="318"/>
      <c r="G347" s="213"/>
      <c r="I347" s="213"/>
      <c r="K347" s="213"/>
      <c r="L347" s="318"/>
      <c r="M347" s="318"/>
      <c r="Q347" s="225"/>
      <c r="R347" s="225"/>
    </row>
    <row r="348" spans="5:18">
      <c r="E348" s="318"/>
      <c r="G348" s="213"/>
      <c r="I348" s="213"/>
      <c r="K348" s="213"/>
      <c r="L348" s="318"/>
      <c r="M348" s="318"/>
      <c r="Q348" s="225"/>
      <c r="R348" s="225"/>
    </row>
    <row r="349" spans="5:18">
      <c r="E349" s="318"/>
      <c r="G349" s="213"/>
      <c r="I349" s="213"/>
      <c r="K349" s="213"/>
      <c r="L349" s="318"/>
      <c r="M349" s="318"/>
      <c r="Q349" s="225"/>
      <c r="R349" s="225"/>
    </row>
    <row r="350" spans="5:18">
      <c r="E350" s="318"/>
      <c r="G350" s="213"/>
      <c r="I350" s="213"/>
      <c r="K350" s="213"/>
      <c r="L350" s="318"/>
      <c r="M350" s="318"/>
      <c r="Q350" s="225"/>
      <c r="R350" s="225"/>
    </row>
    <row r="351" spans="5:18">
      <c r="E351" s="318"/>
      <c r="G351" s="213"/>
      <c r="I351" s="213"/>
      <c r="K351" s="213"/>
      <c r="L351" s="318"/>
      <c r="M351" s="318"/>
      <c r="Q351" s="225"/>
      <c r="R351" s="225"/>
    </row>
    <row r="352" spans="5:18">
      <c r="E352" s="318"/>
      <c r="G352" s="213"/>
      <c r="I352" s="213"/>
      <c r="K352" s="213"/>
      <c r="L352" s="318"/>
      <c r="M352" s="318"/>
      <c r="Q352" s="225"/>
      <c r="R352" s="225"/>
    </row>
    <row r="353" spans="5:18">
      <c r="E353" s="318"/>
      <c r="G353" s="213"/>
      <c r="I353" s="213"/>
      <c r="K353" s="213"/>
      <c r="L353" s="318"/>
      <c r="M353" s="318"/>
      <c r="Q353" s="225"/>
      <c r="R353" s="225"/>
    </row>
    <row r="354" spans="5:18">
      <c r="E354" s="318"/>
      <c r="G354" s="213"/>
      <c r="I354" s="213"/>
      <c r="K354" s="213"/>
      <c r="L354" s="318"/>
      <c r="M354" s="318"/>
      <c r="Q354" s="225"/>
      <c r="R354" s="225"/>
    </row>
    <row r="355" spans="5:18">
      <c r="E355" s="318"/>
      <c r="G355" s="213"/>
      <c r="I355" s="213"/>
      <c r="K355" s="213"/>
      <c r="L355" s="318"/>
      <c r="M355" s="318"/>
      <c r="Q355" s="225"/>
      <c r="R355" s="225"/>
    </row>
    <row r="356" spans="5:18">
      <c r="E356" s="318"/>
      <c r="G356" s="213"/>
      <c r="I356" s="213"/>
      <c r="K356" s="213"/>
      <c r="L356" s="318"/>
      <c r="M356" s="318"/>
      <c r="Q356" s="225"/>
      <c r="R356" s="225"/>
    </row>
    <row r="357" spans="5:18">
      <c r="E357" s="318"/>
      <c r="G357" s="213"/>
      <c r="I357" s="213"/>
      <c r="K357" s="213"/>
      <c r="L357" s="318"/>
      <c r="M357" s="318"/>
      <c r="Q357" s="225"/>
      <c r="R357" s="225"/>
    </row>
    <row r="358" spans="5:18">
      <c r="E358" s="318"/>
      <c r="G358" s="213"/>
      <c r="I358" s="213"/>
      <c r="K358" s="213"/>
      <c r="L358" s="318"/>
      <c r="M358" s="318"/>
      <c r="Q358" s="225"/>
      <c r="R358" s="225"/>
    </row>
    <row r="359" spans="5:18">
      <c r="E359" s="318"/>
      <c r="G359" s="213"/>
      <c r="I359" s="213"/>
      <c r="K359" s="213"/>
      <c r="L359" s="318"/>
      <c r="M359" s="318"/>
      <c r="Q359" s="225"/>
      <c r="R359" s="225"/>
    </row>
    <row r="360" spans="5:18">
      <c r="E360" s="318"/>
      <c r="G360" s="213"/>
      <c r="I360" s="213"/>
      <c r="K360" s="213"/>
      <c r="L360" s="318"/>
      <c r="M360" s="318"/>
      <c r="Q360" s="225"/>
      <c r="R360" s="225"/>
    </row>
    <row r="361" spans="5:18">
      <c r="E361" s="318"/>
      <c r="G361" s="213"/>
      <c r="I361" s="213"/>
      <c r="K361" s="213"/>
      <c r="L361" s="318"/>
      <c r="M361" s="318"/>
      <c r="Q361" s="225"/>
      <c r="R361" s="225"/>
    </row>
    <row r="362" spans="5:18">
      <c r="E362" s="318"/>
      <c r="G362" s="213"/>
      <c r="I362" s="213"/>
      <c r="K362" s="213"/>
      <c r="L362" s="318"/>
      <c r="M362" s="318"/>
      <c r="Q362" s="225"/>
      <c r="R362" s="225"/>
    </row>
    <row r="363" spans="5:18">
      <c r="E363" s="318"/>
      <c r="G363" s="213"/>
      <c r="I363" s="213"/>
      <c r="K363" s="213"/>
      <c r="L363" s="318"/>
      <c r="M363" s="318"/>
      <c r="Q363" s="225"/>
      <c r="R363" s="225"/>
    </row>
    <row r="364" spans="5:18">
      <c r="E364" s="318"/>
      <c r="G364" s="213"/>
      <c r="I364" s="213"/>
      <c r="K364" s="213"/>
      <c r="L364" s="318"/>
      <c r="M364" s="318"/>
      <c r="Q364" s="225"/>
      <c r="R364" s="225"/>
    </row>
    <row r="365" spans="5:18">
      <c r="E365" s="318"/>
      <c r="G365" s="213"/>
      <c r="I365" s="213"/>
      <c r="K365" s="213"/>
      <c r="L365" s="318"/>
      <c r="M365" s="318"/>
      <c r="Q365" s="225"/>
      <c r="R365" s="225"/>
    </row>
    <row r="366" spans="5:18">
      <c r="E366" s="318"/>
      <c r="G366" s="213"/>
      <c r="I366" s="213"/>
      <c r="K366" s="213"/>
      <c r="L366" s="318"/>
      <c r="M366" s="318"/>
      <c r="Q366" s="225"/>
      <c r="R366" s="225"/>
    </row>
    <row r="367" spans="5:18">
      <c r="E367" s="318"/>
      <c r="G367" s="213"/>
      <c r="I367" s="213"/>
      <c r="K367" s="213"/>
      <c r="L367" s="318"/>
      <c r="M367" s="318"/>
      <c r="Q367" s="225"/>
      <c r="R367" s="225"/>
    </row>
    <row r="368" spans="5:18">
      <c r="E368" s="318"/>
      <c r="G368" s="213"/>
      <c r="I368" s="213"/>
      <c r="K368" s="213"/>
      <c r="L368" s="318"/>
      <c r="M368" s="318"/>
      <c r="Q368" s="225"/>
      <c r="R368" s="225"/>
    </row>
    <row r="369" spans="5:18">
      <c r="E369" s="318"/>
      <c r="G369" s="213"/>
      <c r="I369" s="213"/>
      <c r="K369" s="213"/>
      <c r="L369" s="318"/>
      <c r="M369" s="318"/>
      <c r="Q369" s="225"/>
      <c r="R369" s="225"/>
    </row>
    <row r="370" spans="5:18">
      <c r="E370" s="318"/>
      <c r="G370" s="213"/>
      <c r="I370" s="213"/>
      <c r="K370" s="213"/>
      <c r="L370" s="318"/>
      <c r="M370" s="318"/>
      <c r="Q370" s="225"/>
      <c r="R370" s="225"/>
    </row>
    <row r="371" spans="5:18">
      <c r="E371" s="318"/>
      <c r="G371" s="213"/>
      <c r="I371" s="213"/>
      <c r="K371" s="213"/>
      <c r="L371" s="318"/>
      <c r="M371" s="318"/>
      <c r="Q371" s="225"/>
      <c r="R371" s="225"/>
    </row>
    <row r="372" spans="5:18">
      <c r="E372" s="318"/>
      <c r="G372" s="213"/>
      <c r="I372" s="213"/>
      <c r="K372" s="213"/>
      <c r="L372" s="318"/>
      <c r="M372" s="318"/>
      <c r="Q372" s="225"/>
      <c r="R372" s="225"/>
    </row>
    <row r="373" spans="5:18">
      <c r="E373" s="318"/>
      <c r="G373" s="213"/>
      <c r="I373" s="213"/>
      <c r="K373" s="213"/>
      <c r="L373" s="318"/>
      <c r="M373" s="318"/>
      <c r="Q373" s="225"/>
      <c r="R373" s="225"/>
    </row>
    <row r="374" spans="5:18">
      <c r="E374" s="318"/>
      <c r="G374" s="213"/>
      <c r="I374" s="213"/>
      <c r="K374" s="213"/>
      <c r="L374" s="318"/>
      <c r="M374" s="318"/>
      <c r="Q374" s="225"/>
      <c r="R374" s="225"/>
    </row>
    <row r="375" spans="5:18">
      <c r="E375" s="318"/>
      <c r="G375" s="213"/>
      <c r="I375" s="213"/>
      <c r="K375" s="213"/>
      <c r="L375" s="318"/>
      <c r="M375" s="318"/>
      <c r="Q375" s="225"/>
      <c r="R375" s="225"/>
    </row>
    <row r="376" spans="5:18">
      <c r="E376" s="318"/>
      <c r="G376" s="213"/>
      <c r="I376" s="213"/>
      <c r="K376" s="213"/>
      <c r="L376" s="318"/>
      <c r="M376" s="318"/>
      <c r="Q376" s="225"/>
      <c r="R376" s="225"/>
    </row>
    <row r="377" spans="5:18">
      <c r="E377" s="318"/>
      <c r="G377" s="213"/>
      <c r="I377" s="213"/>
      <c r="K377" s="213"/>
      <c r="L377" s="318"/>
      <c r="M377" s="318"/>
      <c r="Q377" s="225"/>
      <c r="R377" s="225"/>
    </row>
    <row r="378" spans="5:18">
      <c r="E378" s="318"/>
      <c r="G378" s="213"/>
      <c r="I378" s="213"/>
      <c r="K378" s="213"/>
      <c r="L378" s="318"/>
      <c r="M378" s="318"/>
      <c r="Q378" s="225"/>
      <c r="R378" s="225"/>
    </row>
    <row r="379" spans="5:18">
      <c r="E379" s="318"/>
      <c r="G379" s="213"/>
      <c r="I379" s="213"/>
      <c r="K379" s="213"/>
      <c r="L379" s="318"/>
      <c r="M379" s="318"/>
      <c r="Q379" s="225"/>
      <c r="R379" s="225"/>
    </row>
    <row r="380" spans="5:18">
      <c r="E380" s="318"/>
      <c r="G380" s="213"/>
      <c r="I380" s="213"/>
      <c r="K380" s="213"/>
      <c r="L380" s="318"/>
      <c r="M380" s="318"/>
      <c r="Q380" s="225"/>
      <c r="R380" s="225"/>
    </row>
    <row r="381" spans="5:18">
      <c r="E381" s="318"/>
      <c r="G381" s="213"/>
      <c r="I381" s="213"/>
      <c r="K381" s="213"/>
      <c r="L381" s="318"/>
      <c r="M381" s="318"/>
      <c r="Q381" s="225"/>
      <c r="R381" s="225"/>
    </row>
    <row r="382" spans="5:18">
      <c r="E382" s="318"/>
      <c r="G382" s="213"/>
      <c r="I382" s="213"/>
      <c r="K382" s="213"/>
      <c r="L382" s="318"/>
      <c r="M382" s="318"/>
      <c r="Q382" s="225"/>
      <c r="R382" s="225"/>
    </row>
    <row r="383" spans="5:18">
      <c r="E383" s="318"/>
      <c r="G383" s="213"/>
      <c r="I383" s="213"/>
      <c r="K383" s="213"/>
      <c r="L383" s="318"/>
      <c r="M383" s="318"/>
      <c r="Q383" s="225"/>
      <c r="R383" s="225"/>
    </row>
    <row r="384" spans="5:18">
      <c r="E384" s="318"/>
      <c r="G384" s="213"/>
      <c r="I384" s="213"/>
      <c r="K384" s="213"/>
      <c r="L384" s="318"/>
      <c r="M384" s="318"/>
      <c r="Q384" s="225"/>
      <c r="R384" s="225"/>
    </row>
    <row r="385" spans="5:18">
      <c r="E385" s="318"/>
      <c r="G385" s="213"/>
      <c r="I385" s="213"/>
      <c r="K385" s="213"/>
      <c r="L385" s="318"/>
      <c r="M385" s="318"/>
      <c r="Q385" s="225"/>
      <c r="R385" s="225"/>
    </row>
    <row r="386" spans="5:18">
      <c r="E386" s="318"/>
      <c r="G386" s="213"/>
      <c r="I386" s="213"/>
      <c r="K386" s="213"/>
      <c r="L386" s="318"/>
      <c r="M386" s="318"/>
      <c r="Q386" s="225"/>
      <c r="R386" s="225"/>
    </row>
    <row r="387" spans="5:18">
      <c r="E387" s="318"/>
      <c r="G387" s="213"/>
      <c r="I387" s="213"/>
      <c r="K387" s="213"/>
      <c r="L387" s="318"/>
      <c r="M387" s="318"/>
      <c r="Q387" s="225"/>
      <c r="R387" s="225"/>
    </row>
    <row r="388" spans="5:18">
      <c r="E388" s="318"/>
      <c r="G388" s="213"/>
      <c r="I388" s="213"/>
      <c r="K388" s="213"/>
      <c r="L388" s="318"/>
      <c r="M388" s="318"/>
      <c r="Q388" s="225"/>
      <c r="R388" s="225"/>
    </row>
    <row r="389" spans="5:18">
      <c r="E389" s="318"/>
      <c r="G389" s="213"/>
      <c r="I389" s="213"/>
      <c r="K389" s="213"/>
      <c r="L389" s="318"/>
      <c r="M389" s="318"/>
      <c r="Q389" s="225"/>
      <c r="R389" s="225"/>
    </row>
    <row r="390" spans="5:18">
      <c r="E390" s="318"/>
      <c r="G390" s="213"/>
      <c r="I390" s="213"/>
      <c r="K390" s="213"/>
      <c r="L390" s="318"/>
      <c r="M390" s="318"/>
      <c r="Q390" s="225"/>
      <c r="R390" s="225"/>
    </row>
    <row r="391" spans="5:18">
      <c r="E391" s="318"/>
      <c r="G391" s="213"/>
      <c r="I391" s="213"/>
      <c r="K391" s="213"/>
      <c r="L391" s="318"/>
      <c r="M391" s="318"/>
      <c r="Q391" s="225"/>
      <c r="R391" s="225"/>
    </row>
    <row r="392" spans="5:18">
      <c r="E392" s="318"/>
      <c r="G392" s="213"/>
      <c r="I392" s="213"/>
      <c r="K392" s="213"/>
      <c r="L392" s="318"/>
      <c r="M392" s="318"/>
      <c r="Q392" s="225"/>
      <c r="R392" s="225"/>
    </row>
    <row r="393" spans="5:18">
      <c r="E393" s="318"/>
      <c r="G393" s="213"/>
      <c r="I393" s="213"/>
      <c r="K393" s="213"/>
      <c r="L393" s="318"/>
      <c r="M393" s="318"/>
      <c r="Q393" s="225"/>
      <c r="R393" s="225"/>
    </row>
    <row r="394" spans="5:18">
      <c r="E394" s="318"/>
      <c r="G394" s="213"/>
      <c r="I394" s="213"/>
      <c r="K394" s="213"/>
      <c r="L394" s="318"/>
      <c r="M394" s="318"/>
      <c r="Q394" s="225"/>
      <c r="R394" s="225"/>
    </row>
    <row r="395" spans="5:18">
      <c r="E395" s="318"/>
      <c r="G395" s="213"/>
      <c r="I395" s="213"/>
      <c r="K395" s="213"/>
      <c r="L395" s="318"/>
      <c r="M395" s="318"/>
      <c r="Q395" s="225"/>
      <c r="R395" s="225"/>
    </row>
    <row r="396" spans="5:18">
      <c r="E396" s="318"/>
      <c r="G396" s="213"/>
      <c r="I396" s="213"/>
      <c r="K396" s="213"/>
      <c r="L396" s="318"/>
      <c r="M396" s="318"/>
      <c r="Q396" s="225"/>
      <c r="R396" s="225"/>
    </row>
    <row r="397" spans="5:18">
      <c r="E397" s="318"/>
      <c r="G397" s="213"/>
      <c r="I397" s="213"/>
      <c r="K397" s="213"/>
      <c r="L397" s="318"/>
      <c r="M397" s="318"/>
      <c r="Q397" s="225"/>
      <c r="R397" s="225"/>
    </row>
    <row r="398" spans="5:18">
      <c r="E398" s="318"/>
      <c r="G398" s="213"/>
      <c r="I398" s="213"/>
      <c r="K398" s="213"/>
      <c r="L398" s="318"/>
      <c r="M398" s="318"/>
      <c r="Q398" s="225"/>
      <c r="R398" s="225"/>
    </row>
    <row r="399" spans="5:18">
      <c r="E399" s="318"/>
      <c r="G399" s="213"/>
      <c r="I399" s="213"/>
      <c r="K399" s="213"/>
      <c r="L399" s="318"/>
      <c r="M399" s="318"/>
      <c r="Q399" s="225"/>
      <c r="R399" s="225"/>
    </row>
    <row r="400" spans="5:18">
      <c r="E400" s="318"/>
      <c r="G400" s="213"/>
      <c r="I400" s="213"/>
      <c r="K400" s="213"/>
      <c r="L400" s="318"/>
      <c r="M400" s="318"/>
      <c r="Q400" s="225"/>
      <c r="R400" s="225"/>
    </row>
    <row r="401" spans="5:18">
      <c r="E401" s="318"/>
      <c r="G401" s="213"/>
      <c r="I401" s="213"/>
      <c r="K401" s="213"/>
      <c r="L401" s="318"/>
      <c r="M401" s="318"/>
      <c r="Q401" s="225"/>
      <c r="R401" s="225"/>
    </row>
    <row r="402" spans="5:18">
      <c r="E402" s="318"/>
      <c r="G402" s="213"/>
      <c r="I402" s="213"/>
      <c r="K402" s="213"/>
      <c r="L402" s="318"/>
      <c r="M402" s="318"/>
      <c r="Q402" s="225"/>
      <c r="R402" s="225"/>
    </row>
    <row r="403" spans="5:18">
      <c r="E403" s="318"/>
      <c r="G403" s="213"/>
      <c r="I403" s="213"/>
      <c r="K403" s="213"/>
      <c r="L403" s="318"/>
      <c r="M403" s="318"/>
      <c r="Q403" s="225"/>
      <c r="R403" s="225"/>
    </row>
    <row r="404" spans="5:18">
      <c r="E404" s="318"/>
      <c r="G404" s="213"/>
      <c r="I404" s="213"/>
      <c r="K404" s="213"/>
      <c r="L404" s="318"/>
      <c r="M404" s="318"/>
      <c r="Q404" s="225"/>
      <c r="R404" s="225"/>
    </row>
    <row r="405" spans="5:18">
      <c r="E405" s="318"/>
      <c r="G405" s="213"/>
      <c r="I405" s="213"/>
      <c r="K405" s="213"/>
      <c r="L405" s="318"/>
      <c r="M405" s="318"/>
      <c r="Q405" s="225"/>
      <c r="R405" s="225"/>
    </row>
    <row r="406" spans="5:18">
      <c r="E406" s="318"/>
      <c r="G406" s="213"/>
      <c r="I406" s="213"/>
      <c r="K406" s="213"/>
      <c r="L406" s="318"/>
      <c r="M406" s="318"/>
      <c r="Q406" s="225"/>
      <c r="R406" s="225"/>
    </row>
    <row r="407" spans="5:18">
      <c r="E407" s="318"/>
      <c r="G407" s="213"/>
      <c r="I407" s="213"/>
      <c r="K407" s="213"/>
      <c r="L407" s="318"/>
      <c r="M407" s="318"/>
      <c r="Q407" s="225"/>
      <c r="R407" s="225"/>
    </row>
    <row r="408" spans="5:18">
      <c r="E408" s="318"/>
      <c r="G408" s="213"/>
      <c r="I408" s="213"/>
      <c r="K408" s="213"/>
      <c r="L408" s="318"/>
      <c r="M408" s="318"/>
      <c r="Q408" s="225"/>
      <c r="R408" s="225"/>
    </row>
    <row r="409" spans="5:18">
      <c r="E409" s="318"/>
      <c r="G409" s="213"/>
      <c r="I409" s="213"/>
      <c r="K409" s="213"/>
      <c r="L409" s="318"/>
      <c r="M409" s="318"/>
      <c r="Q409" s="225"/>
      <c r="R409" s="225"/>
    </row>
    <row r="410" spans="5:18">
      <c r="E410" s="318"/>
      <c r="G410" s="213"/>
      <c r="I410" s="213"/>
      <c r="K410" s="213"/>
      <c r="L410" s="318"/>
      <c r="M410" s="318"/>
      <c r="Q410" s="225"/>
      <c r="R410" s="225"/>
    </row>
    <row r="411" spans="5:18">
      <c r="E411" s="318"/>
      <c r="G411" s="213"/>
      <c r="I411" s="213"/>
      <c r="K411" s="213"/>
      <c r="L411" s="318"/>
      <c r="M411" s="318"/>
      <c r="Q411" s="225"/>
      <c r="R411" s="225"/>
    </row>
    <row r="412" spans="5:18">
      <c r="E412" s="318"/>
      <c r="G412" s="213"/>
      <c r="I412" s="213"/>
      <c r="K412" s="213"/>
      <c r="L412" s="318"/>
      <c r="M412" s="318"/>
      <c r="Q412" s="225"/>
      <c r="R412" s="225"/>
    </row>
    <row r="413" spans="5:18">
      <c r="E413" s="318"/>
      <c r="G413" s="213"/>
      <c r="I413" s="213"/>
      <c r="K413" s="213"/>
      <c r="L413" s="318"/>
      <c r="M413" s="318"/>
      <c r="Q413" s="225"/>
      <c r="R413" s="225"/>
    </row>
    <row r="414" spans="5:18">
      <c r="E414" s="318"/>
      <c r="G414" s="213"/>
      <c r="I414" s="213"/>
      <c r="K414" s="213"/>
      <c r="L414" s="318"/>
      <c r="M414" s="318"/>
      <c r="Q414" s="225"/>
      <c r="R414" s="225"/>
    </row>
    <row r="415" spans="5:18">
      <c r="E415" s="318"/>
      <c r="G415" s="213"/>
      <c r="I415" s="213"/>
      <c r="K415" s="213"/>
      <c r="L415" s="318"/>
      <c r="M415" s="318"/>
      <c r="Q415" s="225"/>
      <c r="R415" s="225"/>
    </row>
    <row r="416" spans="5:18">
      <c r="E416" s="318"/>
      <c r="G416" s="213"/>
      <c r="I416" s="213"/>
      <c r="K416" s="213"/>
      <c r="L416" s="318"/>
      <c r="M416" s="318"/>
      <c r="Q416" s="225"/>
      <c r="R416" s="225"/>
    </row>
    <row r="417" spans="5:18">
      <c r="E417" s="318"/>
      <c r="G417" s="213"/>
      <c r="I417" s="213"/>
      <c r="K417" s="213"/>
      <c r="L417" s="318"/>
      <c r="M417" s="318"/>
      <c r="Q417" s="225"/>
      <c r="R417" s="225"/>
    </row>
    <row r="418" spans="5:18">
      <c r="E418" s="318"/>
      <c r="G418" s="213"/>
      <c r="I418" s="213"/>
      <c r="K418" s="213"/>
      <c r="L418" s="318"/>
      <c r="M418" s="318"/>
      <c r="Q418" s="225"/>
      <c r="R418" s="225"/>
    </row>
    <row r="419" spans="5:18">
      <c r="E419" s="318"/>
      <c r="G419" s="213"/>
      <c r="I419" s="213"/>
      <c r="K419" s="213"/>
      <c r="L419" s="318"/>
      <c r="M419" s="318"/>
      <c r="Q419" s="225"/>
      <c r="R419" s="225"/>
    </row>
    <row r="420" spans="5:18">
      <c r="E420" s="318"/>
      <c r="G420" s="213"/>
      <c r="I420" s="213"/>
      <c r="K420" s="213"/>
      <c r="L420" s="318"/>
      <c r="M420" s="318"/>
      <c r="Q420" s="225"/>
      <c r="R420" s="225"/>
    </row>
    <row r="421" spans="5:18">
      <c r="E421" s="318"/>
      <c r="G421" s="213"/>
      <c r="I421" s="213"/>
      <c r="K421" s="213"/>
      <c r="L421" s="318"/>
      <c r="M421" s="318"/>
      <c r="Q421" s="225"/>
      <c r="R421" s="225"/>
    </row>
    <row r="422" spans="5:18">
      <c r="E422" s="318"/>
      <c r="G422" s="213"/>
      <c r="I422" s="213"/>
      <c r="K422" s="213"/>
      <c r="L422" s="318"/>
      <c r="M422" s="318"/>
      <c r="Q422" s="225"/>
      <c r="R422" s="225"/>
    </row>
    <row r="423" spans="5:18">
      <c r="E423" s="318"/>
      <c r="G423" s="213"/>
      <c r="I423" s="213"/>
      <c r="K423" s="213"/>
      <c r="L423" s="318"/>
      <c r="M423" s="318"/>
      <c r="Q423" s="225"/>
      <c r="R423" s="225"/>
    </row>
    <row r="424" spans="5:18">
      <c r="E424" s="318"/>
      <c r="G424" s="213"/>
      <c r="I424" s="213"/>
      <c r="K424" s="213"/>
      <c r="L424" s="318"/>
      <c r="M424" s="318"/>
      <c r="Q424" s="225"/>
      <c r="R424" s="225"/>
    </row>
    <row r="425" spans="5:18">
      <c r="E425" s="318"/>
      <c r="G425" s="213"/>
      <c r="I425" s="213"/>
      <c r="K425" s="213"/>
      <c r="L425" s="318"/>
      <c r="M425" s="318"/>
      <c r="Q425" s="225"/>
      <c r="R425" s="225"/>
    </row>
    <row r="426" spans="5:18">
      <c r="E426" s="318"/>
      <c r="G426" s="213"/>
      <c r="I426" s="213"/>
      <c r="K426" s="213"/>
      <c r="L426" s="318"/>
      <c r="M426" s="318"/>
      <c r="Q426" s="225"/>
      <c r="R426" s="225"/>
    </row>
    <row r="427" spans="5:18">
      <c r="E427" s="318"/>
      <c r="G427" s="213"/>
      <c r="I427" s="213"/>
      <c r="K427" s="213"/>
      <c r="L427" s="318"/>
      <c r="M427" s="318"/>
      <c r="Q427" s="225"/>
      <c r="R427" s="225"/>
    </row>
    <row r="428" spans="5:18">
      <c r="E428" s="318"/>
      <c r="G428" s="213"/>
      <c r="I428" s="213"/>
      <c r="K428" s="213"/>
      <c r="L428" s="318"/>
      <c r="M428" s="318"/>
      <c r="Q428" s="225"/>
      <c r="R428" s="225"/>
    </row>
    <row r="429" spans="5:18">
      <c r="E429" s="318"/>
      <c r="G429" s="213"/>
      <c r="I429" s="213"/>
      <c r="K429" s="213"/>
      <c r="L429" s="318"/>
      <c r="M429" s="318"/>
      <c r="Q429" s="225"/>
      <c r="R429" s="225"/>
    </row>
    <row r="430" spans="5:18">
      <c r="E430" s="318"/>
      <c r="G430" s="213"/>
      <c r="I430" s="213"/>
      <c r="K430" s="213"/>
      <c r="L430" s="318"/>
      <c r="M430" s="318"/>
      <c r="Q430" s="225"/>
      <c r="R430" s="225"/>
    </row>
    <row r="431" spans="5:18">
      <c r="E431" s="318"/>
      <c r="G431" s="213"/>
      <c r="I431" s="213"/>
      <c r="K431" s="213"/>
      <c r="L431" s="318"/>
      <c r="M431" s="318"/>
      <c r="Q431" s="225"/>
      <c r="R431" s="225"/>
    </row>
    <row r="432" spans="5:18">
      <c r="E432" s="318"/>
      <c r="G432" s="213"/>
      <c r="I432" s="213"/>
      <c r="K432" s="213"/>
      <c r="L432" s="318"/>
      <c r="M432" s="318"/>
      <c r="Q432" s="225"/>
      <c r="R432" s="225"/>
    </row>
    <row r="433" spans="5:18">
      <c r="E433" s="318"/>
      <c r="G433" s="213"/>
      <c r="I433" s="213"/>
      <c r="K433" s="213"/>
      <c r="L433" s="318"/>
      <c r="M433" s="318"/>
      <c r="Q433" s="225"/>
      <c r="R433" s="225"/>
    </row>
    <row r="434" spans="5:18">
      <c r="E434" s="318"/>
      <c r="G434" s="213"/>
      <c r="I434" s="213"/>
      <c r="K434" s="213"/>
      <c r="L434" s="318"/>
      <c r="M434" s="318"/>
      <c r="Q434" s="225"/>
      <c r="R434" s="225"/>
    </row>
    <row r="435" spans="5:18">
      <c r="E435" s="318"/>
      <c r="G435" s="213"/>
      <c r="I435" s="213"/>
      <c r="K435" s="213"/>
      <c r="L435" s="318"/>
      <c r="M435" s="318"/>
      <c r="Q435" s="225"/>
      <c r="R435" s="225"/>
    </row>
    <row r="436" spans="5:18">
      <c r="E436" s="318"/>
      <c r="G436" s="213"/>
      <c r="I436" s="213"/>
      <c r="K436" s="213"/>
      <c r="L436" s="318"/>
      <c r="M436" s="318"/>
      <c r="Q436" s="225"/>
      <c r="R436" s="225"/>
    </row>
    <row r="437" spans="5:18">
      <c r="E437" s="318"/>
      <c r="G437" s="213"/>
      <c r="I437" s="213"/>
      <c r="K437" s="213"/>
      <c r="L437" s="318"/>
      <c r="M437" s="318"/>
      <c r="Q437" s="225"/>
      <c r="R437" s="225"/>
    </row>
    <row r="438" spans="5:18">
      <c r="E438" s="318"/>
      <c r="G438" s="213"/>
      <c r="I438" s="213"/>
      <c r="K438" s="213"/>
      <c r="L438" s="318"/>
      <c r="M438" s="318"/>
      <c r="Q438" s="225"/>
      <c r="R438" s="225"/>
    </row>
    <row r="439" spans="5:18">
      <c r="E439" s="318"/>
      <c r="G439" s="213"/>
      <c r="I439" s="213"/>
      <c r="K439" s="213"/>
      <c r="L439" s="318"/>
      <c r="M439" s="318"/>
      <c r="Q439" s="225"/>
      <c r="R439" s="225"/>
    </row>
    <row r="440" spans="5:18">
      <c r="E440" s="318"/>
      <c r="G440" s="213"/>
      <c r="I440" s="213"/>
      <c r="K440" s="213"/>
      <c r="L440" s="318"/>
      <c r="M440" s="318"/>
      <c r="Q440" s="225"/>
      <c r="R440" s="225"/>
    </row>
    <row r="441" spans="5:18">
      <c r="E441" s="318"/>
      <c r="G441" s="213"/>
      <c r="I441" s="213"/>
      <c r="K441" s="213"/>
      <c r="L441" s="318"/>
      <c r="M441" s="318"/>
      <c r="Q441" s="225"/>
      <c r="R441" s="225"/>
    </row>
    <row r="442" spans="5:18">
      <c r="E442" s="318"/>
      <c r="G442" s="213"/>
      <c r="I442" s="213"/>
      <c r="K442" s="213"/>
      <c r="L442" s="318"/>
      <c r="M442" s="318"/>
      <c r="Q442" s="225"/>
      <c r="R442" s="225"/>
    </row>
    <row r="443" spans="5:18">
      <c r="E443" s="318"/>
      <c r="G443" s="213"/>
      <c r="I443" s="213"/>
      <c r="K443" s="213"/>
      <c r="L443" s="318"/>
      <c r="M443" s="318"/>
      <c r="Q443" s="225"/>
      <c r="R443" s="225"/>
    </row>
    <row r="444" spans="5:18">
      <c r="E444" s="318"/>
      <c r="G444" s="213"/>
      <c r="I444" s="213"/>
      <c r="K444" s="213"/>
      <c r="L444" s="318"/>
      <c r="M444" s="318"/>
      <c r="Q444" s="225"/>
      <c r="R444" s="225"/>
    </row>
    <row r="445" spans="5:18">
      <c r="E445" s="318"/>
      <c r="G445" s="213"/>
      <c r="I445" s="213"/>
      <c r="K445" s="213"/>
      <c r="L445" s="318"/>
      <c r="M445" s="318"/>
      <c r="Q445" s="225"/>
      <c r="R445" s="225"/>
    </row>
    <row r="446" spans="5:18">
      <c r="E446" s="318"/>
      <c r="G446" s="213"/>
      <c r="I446" s="213"/>
      <c r="K446" s="213"/>
      <c r="L446" s="318"/>
      <c r="M446" s="318"/>
      <c r="Q446" s="225"/>
      <c r="R446" s="225"/>
    </row>
    <row r="447" spans="5:18">
      <c r="E447" s="318"/>
      <c r="G447" s="213"/>
      <c r="I447" s="213"/>
      <c r="K447" s="213"/>
      <c r="L447" s="318"/>
      <c r="M447" s="318"/>
      <c r="Q447" s="225"/>
      <c r="R447" s="225"/>
    </row>
    <row r="448" spans="5:18">
      <c r="E448" s="318"/>
      <c r="G448" s="213"/>
      <c r="I448" s="213"/>
      <c r="K448" s="213"/>
      <c r="L448" s="318"/>
      <c r="M448" s="318"/>
      <c r="Q448" s="225"/>
      <c r="R448" s="225"/>
    </row>
    <row r="449" spans="5:18">
      <c r="E449" s="318"/>
      <c r="G449" s="213"/>
      <c r="I449" s="213"/>
      <c r="K449" s="213"/>
      <c r="L449" s="318"/>
      <c r="M449" s="318"/>
      <c r="Q449" s="225"/>
      <c r="R449" s="225"/>
    </row>
    <row r="450" spans="5:18">
      <c r="E450" s="318"/>
      <c r="G450" s="213"/>
      <c r="I450" s="213"/>
      <c r="K450" s="213"/>
      <c r="L450" s="318"/>
      <c r="M450" s="318"/>
      <c r="Q450" s="225"/>
      <c r="R450" s="225"/>
    </row>
    <row r="451" spans="5:18">
      <c r="E451" s="318"/>
      <c r="G451" s="213"/>
      <c r="I451" s="213"/>
      <c r="K451" s="213"/>
      <c r="L451" s="318"/>
      <c r="M451" s="318"/>
      <c r="Q451" s="225"/>
      <c r="R451" s="225"/>
    </row>
    <row r="452" spans="5:18">
      <c r="E452" s="318"/>
      <c r="G452" s="213"/>
      <c r="I452" s="213"/>
      <c r="K452" s="213"/>
      <c r="L452" s="318"/>
      <c r="M452" s="318"/>
      <c r="Q452" s="225"/>
      <c r="R452" s="225"/>
    </row>
    <row r="453" spans="5:18">
      <c r="E453" s="318"/>
      <c r="G453" s="213"/>
      <c r="I453" s="213"/>
      <c r="K453" s="213"/>
      <c r="L453" s="318"/>
      <c r="M453" s="318"/>
      <c r="Q453" s="225"/>
      <c r="R453" s="225"/>
    </row>
    <row r="454" spans="5:18">
      <c r="E454" s="318"/>
      <c r="G454" s="213"/>
      <c r="I454" s="213"/>
      <c r="K454" s="213"/>
      <c r="L454" s="318"/>
      <c r="M454" s="318"/>
      <c r="Q454" s="225"/>
      <c r="R454" s="225"/>
    </row>
    <row r="455" spans="5:18">
      <c r="E455" s="318"/>
      <c r="G455" s="213"/>
      <c r="I455" s="213"/>
      <c r="K455" s="213"/>
      <c r="L455" s="318"/>
      <c r="M455" s="318"/>
      <c r="Q455" s="225"/>
      <c r="R455" s="225"/>
    </row>
    <row r="456" spans="5:18">
      <c r="E456" s="318"/>
      <c r="G456" s="213"/>
      <c r="I456" s="213"/>
      <c r="K456" s="213"/>
      <c r="L456" s="318"/>
      <c r="M456" s="318"/>
      <c r="Q456" s="225"/>
      <c r="R456" s="225"/>
    </row>
    <row r="457" spans="5:18">
      <c r="E457" s="318"/>
      <c r="G457" s="213"/>
      <c r="I457" s="213"/>
      <c r="K457" s="213"/>
      <c r="L457" s="318"/>
      <c r="M457" s="318"/>
      <c r="Q457" s="225"/>
      <c r="R457" s="225"/>
    </row>
    <row r="458" spans="5:18">
      <c r="E458" s="318"/>
      <c r="G458" s="213"/>
      <c r="I458" s="213"/>
      <c r="K458" s="213"/>
      <c r="L458" s="318"/>
      <c r="M458" s="318"/>
      <c r="Q458" s="225"/>
      <c r="R458" s="225"/>
    </row>
    <row r="459" spans="5:18">
      <c r="E459" s="318"/>
      <c r="G459" s="213"/>
      <c r="I459" s="213"/>
      <c r="K459" s="213"/>
      <c r="L459" s="318"/>
      <c r="M459" s="318"/>
      <c r="Q459" s="225"/>
      <c r="R459" s="225"/>
    </row>
    <row r="460" spans="5:18">
      <c r="E460" s="318"/>
      <c r="G460" s="213"/>
      <c r="I460" s="213"/>
      <c r="K460" s="213"/>
      <c r="L460" s="318"/>
      <c r="M460" s="318"/>
      <c r="Q460" s="225"/>
      <c r="R460" s="225"/>
    </row>
    <row r="461" spans="5:18">
      <c r="E461" s="318"/>
      <c r="G461" s="213"/>
      <c r="I461" s="213"/>
      <c r="K461" s="213"/>
      <c r="L461" s="318"/>
      <c r="M461" s="318"/>
      <c r="Q461" s="225"/>
      <c r="R461" s="225"/>
    </row>
    <row r="462" spans="5:18">
      <c r="E462" s="318"/>
      <c r="G462" s="213"/>
      <c r="I462" s="213"/>
      <c r="K462" s="213"/>
      <c r="L462" s="318"/>
      <c r="M462" s="318"/>
      <c r="Q462" s="225"/>
      <c r="R462" s="225"/>
    </row>
    <row r="463" spans="5:18">
      <c r="E463" s="318"/>
      <c r="G463" s="213"/>
      <c r="I463" s="213"/>
      <c r="K463" s="213"/>
      <c r="L463" s="318"/>
      <c r="M463" s="318"/>
      <c r="Q463" s="225"/>
      <c r="R463" s="225"/>
    </row>
    <row r="464" spans="5:18">
      <c r="E464" s="318"/>
      <c r="G464" s="213"/>
      <c r="I464" s="213"/>
      <c r="K464" s="213"/>
      <c r="L464" s="318"/>
      <c r="M464" s="318"/>
      <c r="Q464" s="225"/>
      <c r="R464" s="225"/>
    </row>
    <row r="465" spans="5:18">
      <c r="E465" s="318"/>
      <c r="G465" s="213"/>
      <c r="I465" s="213"/>
      <c r="K465" s="213"/>
      <c r="L465" s="318"/>
      <c r="M465" s="318"/>
      <c r="Q465" s="225"/>
      <c r="R465" s="225"/>
    </row>
    <row r="466" spans="5:18">
      <c r="E466" s="318"/>
      <c r="G466" s="213"/>
      <c r="I466" s="213"/>
      <c r="K466" s="213"/>
      <c r="L466" s="318"/>
      <c r="M466" s="318"/>
      <c r="Q466" s="225"/>
      <c r="R466" s="225"/>
    </row>
    <row r="467" spans="5:18">
      <c r="E467" s="318"/>
      <c r="G467" s="213"/>
      <c r="I467" s="213"/>
      <c r="K467" s="213"/>
      <c r="L467" s="318"/>
      <c r="M467" s="318"/>
      <c r="Q467" s="225"/>
      <c r="R467" s="225"/>
    </row>
    <row r="468" spans="5:18">
      <c r="E468" s="318"/>
      <c r="G468" s="213"/>
      <c r="I468" s="213"/>
      <c r="K468" s="213"/>
      <c r="L468" s="318"/>
      <c r="M468" s="318"/>
      <c r="Q468" s="225"/>
      <c r="R468" s="225"/>
    </row>
    <row r="469" spans="5:18">
      <c r="E469" s="318"/>
      <c r="G469" s="213"/>
      <c r="I469" s="213"/>
      <c r="K469" s="213"/>
      <c r="L469" s="318"/>
      <c r="M469" s="318"/>
      <c r="Q469" s="225"/>
      <c r="R469" s="225"/>
    </row>
    <row r="470" spans="5:18">
      <c r="E470" s="318"/>
      <c r="G470" s="213"/>
      <c r="I470" s="213"/>
      <c r="K470" s="213"/>
      <c r="L470" s="318"/>
      <c r="M470" s="318"/>
      <c r="Q470" s="225"/>
      <c r="R470" s="225"/>
    </row>
    <row r="471" spans="5:18">
      <c r="E471" s="318"/>
      <c r="G471" s="213"/>
      <c r="I471" s="213"/>
      <c r="K471" s="213"/>
      <c r="L471" s="318"/>
      <c r="M471" s="318"/>
      <c r="Q471" s="225"/>
      <c r="R471" s="225"/>
    </row>
    <row r="472" spans="5:18">
      <c r="E472" s="318"/>
      <c r="G472" s="213"/>
      <c r="I472" s="213"/>
      <c r="K472" s="213"/>
      <c r="L472" s="318"/>
      <c r="M472" s="318"/>
      <c r="Q472" s="225"/>
      <c r="R472" s="225"/>
    </row>
    <row r="473" spans="5:18">
      <c r="E473" s="318"/>
      <c r="G473" s="213"/>
      <c r="I473" s="213"/>
      <c r="K473" s="213"/>
      <c r="L473" s="318"/>
      <c r="M473" s="318"/>
      <c r="Q473" s="225"/>
      <c r="R473" s="225"/>
    </row>
    <row r="474" spans="5:18">
      <c r="E474" s="318"/>
      <c r="G474" s="213"/>
      <c r="I474" s="213"/>
      <c r="K474" s="213"/>
      <c r="L474" s="318"/>
      <c r="M474" s="318"/>
      <c r="Q474" s="225"/>
      <c r="R474" s="225"/>
    </row>
    <row r="475" spans="5:18">
      <c r="E475" s="318"/>
      <c r="G475" s="213"/>
      <c r="I475" s="213"/>
      <c r="K475" s="213"/>
      <c r="L475" s="318"/>
      <c r="M475" s="318"/>
      <c r="Q475" s="225"/>
      <c r="R475" s="225"/>
    </row>
    <row r="476" spans="5:18">
      <c r="E476" s="318"/>
      <c r="G476" s="213"/>
      <c r="I476" s="213"/>
      <c r="K476" s="213"/>
      <c r="L476" s="318"/>
      <c r="M476" s="318"/>
      <c r="Q476" s="225"/>
      <c r="R476" s="225"/>
    </row>
    <row r="477" spans="5:18">
      <c r="E477" s="318"/>
      <c r="G477" s="213"/>
      <c r="I477" s="213"/>
      <c r="K477" s="213"/>
      <c r="L477" s="318"/>
      <c r="M477" s="318"/>
      <c r="Q477" s="225"/>
      <c r="R477" s="225"/>
    </row>
    <row r="478" spans="5:18">
      <c r="E478" s="318"/>
      <c r="G478" s="213"/>
      <c r="I478" s="213"/>
      <c r="K478" s="213"/>
      <c r="L478" s="318"/>
      <c r="M478" s="318"/>
      <c r="Q478" s="225"/>
      <c r="R478" s="225"/>
    </row>
    <row r="479" spans="5:18">
      <c r="E479" s="318"/>
      <c r="G479" s="213"/>
      <c r="I479" s="213"/>
      <c r="K479" s="213"/>
      <c r="L479" s="318"/>
      <c r="M479" s="318"/>
      <c r="Q479" s="225"/>
      <c r="R479" s="225"/>
    </row>
    <row r="480" spans="5:18">
      <c r="E480" s="318"/>
      <c r="G480" s="213"/>
      <c r="I480" s="213"/>
      <c r="K480" s="213"/>
      <c r="L480" s="318"/>
      <c r="M480" s="318"/>
      <c r="Q480" s="225"/>
      <c r="R480" s="225"/>
    </row>
    <row r="481" spans="5:18">
      <c r="E481" s="318"/>
      <c r="G481" s="213"/>
      <c r="I481" s="213"/>
      <c r="K481" s="213"/>
      <c r="L481" s="318"/>
      <c r="M481" s="318"/>
      <c r="Q481" s="225"/>
      <c r="R481" s="225"/>
    </row>
    <row r="482" spans="5:18">
      <c r="E482" s="318"/>
      <c r="G482" s="213"/>
      <c r="I482" s="213"/>
      <c r="K482" s="213"/>
      <c r="L482" s="318"/>
      <c r="M482" s="318"/>
      <c r="Q482" s="225"/>
      <c r="R482" s="225"/>
    </row>
    <row r="483" spans="5:18">
      <c r="E483" s="318"/>
      <c r="G483" s="213"/>
      <c r="I483" s="213"/>
      <c r="K483" s="213"/>
      <c r="L483" s="318"/>
      <c r="M483" s="318"/>
      <c r="Q483" s="225"/>
      <c r="R483" s="225"/>
    </row>
    <row r="484" spans="5:18">
      <c r="E484" s="318"/>
      <c r="G484" s="213"/>
      <c r="I484" s="213"/>
      <c r="K484" s="213"/>
      <c r="L484" s="318"/>
      <c r="M484" s="318"/>
      <c r="Q484" s="225"/>
      <c r="R484" s="225"/>
    </row>
    <row r="485" spans="5:18">
      <c r="E485" s="318"/>
      <c r="G485" s="213"/>
      <c r="I485" s="213"/>
      <c r="K485" s="213"/>
      <c r="L485" s="318"/>
      <c r="M485" s="318"/>
      <c r="Q485" s="225"/>
      <c r="R485" s="225"/>
    </row>
    <row r="486" spans="5:18">
      <c r="E486" s="318"/>
      <c r="G486" s="213"/>
      <c r="I486" s="213"/>
      <c r="K486" s="213"/>
      <c r="L486" s="318"/>
      <c r="M486" s="318"/>
      <c r="Q486" s="225"/>
      <c r="R486" s="225"/>
    </row>
    <row r="487" spans="5:18">
      <c r="E487" s="318"/>
      <c r="G487" s="213"/>
      <c r="I487" s="213"/>
      <c r="K487" s="213"/>
      <c r="L487" s="318"/>
      <c r="M487" s="318"/>
      <c r="Q487" s="225"/>
      <c r="R487" s="225"/>
    </row>
    <row r="488" spans="5:18">
      <c r="E488" s="318"/>
      <c r="G488" s="213"/>
      <c r="I488" s="213"/>
      <c r="K488" s="213"/>
      <c r="L488" s="318"/>
      <c r="M488" s="318"/>
      <c r="Q488" s="225"/>
      <c r="R488" s="225"/>
    </row>
    <row r="489" spans="5:18">
      <c r="E489" s="318"/>
      <c r="G489" s="213"/>
      <c r="I489" s="213"/>
      <c r="K489" s="213"/>
      <c r="L489" s="318"/>
      <c r="M489" s="318"/>
      <c r="Q489" s="225"/>
      <c r="R489" s="225"/>
    </row>
    <row r="490" spans="5:18">
      <c r="E490" s="318"/>
      <c r="G490" s="213"/>
      <c r="I490" s="213"/>
      <c r="K490" s="213"/>
      <c r="L490" s="318"/>
      <c r="M490" s="318"/>
      <c r="Q490" s="225"/>
      <c r="R490" s="225"/>
    </row>
    <row r="491" spans="5:18">
      <c r="E491" s="318"/>
      <c r="G491" s="213"/>
      <c r="I491" s="213"/>
      <c r="K491" s="213"/>
      <c r="L491" s="318"/>
      <c r="M491" s="318"/>
      <c r="Q491" s="225"/>
      <c r="R491" s="225"/>
    </row>
    <row r="492" spans="5:18">
      <c r="E492" s="318"/>
      <c r="G492" s="213"/>
      <c r="I492" s="213"/>
      <c r="K492" s="213"/>
      <c r="L492" s="318"/>
      <c r="M492" s="318"/>
      <c r="Q492" s="225"/>
      <c r="R492" s="225"/>
    </row>
    <row r="493" spans="5:18">
      <c r="E493" s="318"/>
      <c r="G493" s="213"/>
      <c r="I493" s="213"/>
      <c r="K493" s="213"/>
      <c r="L493" s="318"/>
      <c r="M493" s="318"/>
      <c r="Q493" s="225"/>
      <c r="R493" s="225"/>
    </row>
    <row r="494" spans="5:18">
      <c r="E494" s="318"/>
      <c r="G494" s="213"/>
      <c r="I494" s="213"/>
      <c r="K494" s="213"/>
      <c r="L494" s="318"/>
      <c r="M494" s="318"/>
      <c r="Q494" s="225"/>
      <c r="R494" s="225"/>
    </row>
    <row r="495" spans="5:18">
      <c r="E495" s="318"/>
      <c r="G495" s="213"/>
      <c r="I495" s="213"/>
      <c r="K495" s="213"/>
      <c r="L495" s="318"/>
      <c r="M495" s="318"/>
      <c r="Q495" s="225"/>
      <c r="R495" s="225"/>
    </row>
    <row r="496" spans="5:18">
      <c r="E496" s="318"/>
      <c r="G496" s="213"/>
      <c r="I496" s="213"/>
      <c r="K496" s="213"/>
      <c r="L496" s="318"/>
      <c r="M496" s="318"/>
      <c r="Q496" s="225"/>
      <c r="R496" s="225"/>
    </row>
    <row r="497" spans="5:18">
      <c r="E497" s="318"/>
      <c r="G497" s="213"/>
      <c r="I497" s="213"/>
      <c r="K497" s="213"/>
      <c r="L497" s="318"/>
      <c r="M497" s="318"/>
      <c r="Q497" s="225"/>
      <c r="R497" s="225"/>
    </row>
    <row r="498" spans="5:18">
      <c r="E498" s="318"/>
      <c r="G498" s="213"/>
      <c r="I498" s="213"/>
      <c r="K498" s="213"/>
      <c r="L498" s="318"/>
      <c r="M498" s="318"/>
      <c r="Q498" s="225"/>
      <c r="R498" s="225"/>
    </row>
    <row r="499" spans="5:18">
      <c r="E499" s="318"/>
      <c r="G499" s="213"/>
      <c r="I499" s="213"/>
      <c r="K499" s="213"/>
      <c r="L499" s="318"/>
      <c r="M499" s="318"/>
      <c r="Q499" s="225"/>
      <c r="R499" s="225"/>
    </row>
    <row r="500" spans="5:18">
      <c r="E500" s="318"/>
      <c r="G500" s="213"/>
      <c r="I500" s="213"/>
      <c r="K500" s="213"/>
      <c r="L500" s="318"/>
      <c r="M500" s="318"/>
      <c r="Q500" s="225"/>
      <c r="R500" s="225"/>
    </row>
    <row r="501" spans="5:18">
      <c r="E501" s="318"/>
      <c r="G501" s="213"/>
      <c r="I501" s="213"/>
      <c r="K501" s="213"/>
      <c r="L501" s="318"/>
      <c r="M501" s="318"/>
      <c r="Q501" s="225"/>
      <c r="R501" s="225"/>
    </row>
    <row r="502" spans="5:18">
      <c r="E502" s="318"/>
      <c r="G502" s="213"/>
      <c r="I502" s="213"/>
      <c r="K502" s="213"/>
      <c r="L502" s="318"/>
      <c r="M502" s="318"/>
      <c r="Q502" s="225"/>
      <c r="R502" s="225"/>
    </row>
    <row r="503" spans="5:18">
      <c r="E503" s="318"/>
      <c r="G503" s="213"/>
      <c r="I503" s="213"/>
      <c r="K503" s="213"/>
      <c r="L503" s="318"/>
      <c r="M503" s="318"/>
      <c r="Q503" s="225"/>
      <c r="R503" s="225"/>
    </row>
    <row r="504" spans="5:18">
      <c r="E504" s="318"/>
      <c r="G504" s="213"/>
      <c r="I504" s="213"/>
      <c r="K504" s="213"/>
      <c r="L504" s="318"/>
      <c r="M504" s="318"/>
      <c r="Q504" s="225"/>
      <c r="R504" s="225"/>
    </row>
    <row r="505" spans="5:18">
      <c r="E505" s="318"/>
      <c r="G505" s="213"/>
      <c r="I505" s="213"/>
      <c r="K505" s="213"/>
      <c r="L505" s="318"/>
      <c r="M505" s="318"/>
      <c r="Q505" s="225"/>
      <c r="R505" s="225"/>
    </row>
    <row r="506" spans="5:18">
      <c r="E506" s="318"/>
      <c r="G506" s="213"/>
      <c r="I506" s="213"/>
      <c r="K506" s="213"/>
      <c r="L506" s="318"/>
      <c r="M506" s="318"/>
      <c r="Q506" s="225"/>
      <c r="R506" s="225"/>
    </row>
    <row r="507" spans="5:18">
      <c r="E507" s="318"/>
      <c r="G507" s="213"/>
      <c r="I507" s="213"/>
      <c r="K507" s="213"/>
      <c r="L507" s="318"/>
      <c r="M507" s="318"/>
      <c r="Q507" s="225"/>
      <c r="R507" s="225"/>
    </row>
    <row r="508" spans="5:18">
      <c r="E508" s="318"/>
      <c r="G508" s="213"/>
      <c r="I508" s="213"/>
      <c r="K508" s="213"/>
      <c r="L508" s="318"/>
      <c r="M508" s="318"/>
      <c r="Q508" s="225"/>
      <c r="R508" s="225"/>
    </row>
    <row r="509" spans="5:18">
      <c r="E509" s="318"/>
      <c r="G509" s="213"/>
      <c r="I509" s="213"/>
      <c r="K509" s="213"/>
      <c r="L509" s="318"/>
      <c r="M509" s="318"/>
      <c r="Q509" s="225"/>
      <c r="R509" s="225"/>
    </row>
    <row r="510" spans="5:18">
      <c r="E510" s="318"/>
      <c r="G510" s="213"/>
      <c r="I510" s="213"/>
      <c r="K510" s="213"/>
      <c r="L510" s="318"/>
      <c r="M510" s="318"/>
      <c r="Q510" s="225"/>
      <c r="R510" s="225"/>
    </row>
    <row r="511" spans="5:18">
      <c r="E511" s="318"/>
      <c r="G511" s="213"/>
      <c r="I511" s="213"/>
      <c r="K511" s="213"/>
      <c r="L511" s="318"/>
      <c r="M511" s="318"/>
      <c r="Q511" s="225"/>
      <c r="R511" s="225"/>
    </row>
    <row r="512" spans="5:18">
      <c r="E512" s="318"/>
      <c r="G512" s="213"/>
      <c r="I512" s="213"/>
      <c r="K512" s="213"/>
      <c r="L512" s="318"/>
      <c r="M512" s="318"/>
      <c r="Q512" s="225"/>
      <c r="R512" s="225"/>
    </row>
    <row r="513" spans="5:18">
      <c r="E513" s="318"/>
      <c r="G513" s="213"/>
      <c r="I513" s="213"/>
      <c r="K513" s="213"/>
      <c r="L513" s="318"/>
      <c r="M513" s="318"/>
      <c r="Q513" s="225"/>
      <c r="R513" s="225"/>
    </row>
    <row r="514" spans="5:18">
      <c r="E514" s="318"/>
      <c r="G514" s="213"/>
      <c r="I514" s="213"/>
      <c r="K514" s="213"/>
      <c r="L514" s="318"/>
      <c r="M514" s="318"/>
      <c r="Q514" s="225"/>
      <c r="R514" s="225"/>
    </row>
    <row r="515" spans="5:18">
      <c r="E515" s="318"/>
      <c r="G515" s="213"/>
      <c r="I515" s="213"/>
      <c r="K515" s="213"/>
      <c r="L515" s="318"/>
      <c r="M515" s="318"/>
      <c r="Q515" s="225"/>
      <c r="R515" s="225"/>
    </row>
    <row r="516" spans="5:18">
      <c r="E516" s="318"/>
      <c r="G516" s="213"/>
      <c r="I516" s="213"/>
      <c r="K516" s="213"/>
      <c r="L516" s="318"/>
      <c r="M516" s="318"/>
      <c r="Q516" s="225"/>
      <c r="R516" s="225"/>
    </row>
    <row r="517" spans="5:18">
      <c r="E517" s="318"/>
      <c r="G517" s="213"/>
      <c r="I517" s="213"/>
      <c r="K517" s="213"/>
      <c r="L517" s="318"/>
      <c r="M517" s="318"/>
      <c r="Q517" s="225"/>
      <c r="R517" s="225"/>
    </row>
    <row r="518" spans="5:18">
      <c r="E518" s="318"/>
      <c r="G518" s="213"/>
      <c r="I518" s="213"/>
      <c r="K518" s="213"/>
      <c r="L518" s="318"/>
      <c r="M518" s="318"/>
      <c r="Q518" s="225"/>
      <c r="R518" s="225"/>
    </row>
    <row r="519" spans="5:18">
      <c r="E519" s="318"/>
      <c r="G519" s="213"/>
      <c r="I519" s="213"/>
      <c r="K519" s="213"/>
      <c r="L519" s="318"/>
      <c r="M519" s="318"/>
      <c r="Q519" s="225"/>
      <c r="R519" s="225"/>
    </row>
    <row r="520" spans="5:18">
      <c r="E520" s="318"/>
      <c r="G520" s="213"/>
      <c r="I520" s="213"/>
      <c r="K520" s="213"/>
      <c r="L520" s="318"/>
      <c r="M520" s="318"/>
      <c r="Q520" s="225"/>
      <c r="R520" s="225"/>
    </row>
    <row r="521" spans="5:18">
      <c r="E521" s="318"/>
      <c r="G521" s="213"/>
      <c r="I521" s="213"/>
      <c r="K521" s="213"/>
      <c r="L521" s="318"/>
      <c r="M521" s="318"/>
      <c r="Q521" s="225"/>
      <c r="R521" s="225"/>
    </row>
    <row r="522" spans="5:18">
      <c r="E522" s="318"/>
      <c r="G522" s="213"/>
      <c r="I522" s="213"/>
      <c r="K522" s="213"/>
      <c r="L522" s="318"/>
      <c r="M522" s="318"/>
      <c r="Q522" s="225"/>
      <c r="R522" s="225"/>
    </row>
    <row r="523" spans="5:18">
      <c r="E523" s="318"/>
      <c r="G523" s="213"/>
      <c r="I523" s="213"/>
      <c r="K523" s="213"/>
      <c r="L523" s="318"/>
      <c r="M523" s="318"/>
      <c r="Q523" s="225"/>
      <c r="R523" s="225"/>
    </row>
    <row r="524" spans="5:18">
      <c r="E524" s="318"/>
      <c r="G524" s="213"/>
      <c r="I524" s="213"/>
      <c r="K524" s="213"/>
      <c r="L524" s="318"/>
      <c r="M524" s="318"/>
      <c r="Q524" s="225"/>
      <c r="R524" s="225"/>
    </row>
    <row r="525" spans="5:18">
      <c r="E525" s="318"/>
      <c r="G525" s="213"/>
      <c r="I525" s="213"/>
      <c r="K525" s="213"/>
      <c r="L525" s="318"/>
      <c r="M525" s="318"/>
      <c r="Q525" s="225"/>
      <c r="R525" s="225"/>
    </row>
    <row r="526" spans="5:18">
      <c r="E526" s="318"/>
      <c r="G526" s="213"/>
      <c r="I526" s="213"/>
      <c r="K526" s="213"/>
      <c r="L526" s="318"/>
      <c r="M526" s="318"/>
      <c r="Q526" s="225"/>
      <c r="R526" s="225"/>
    </row>
    <row r="527" spans="5:18">
      <c r="E527" s="318"/>
      <c r="G527" s="213"/>
      <c r="I527" s="213"/>
      <c r="K527" s="213"/>
      <c r="L527" s="318"/>
      <c r="M527" s="318"/>
      <c r="Q527" s="225"/>
      <c r="R527" s="225"/>
    </row>
    <row r="528" spans="5:18">
      <c r="E528" s="318"/>
      <c r="G528" s="213"/>
      <c r="I528" s="213"/>
      <c r="K528" s="213"/>
      <c r="L528" s="318"/>
      <c r="M528" s="318"/>
      <c r="Q528" s="225"/>
      <c r="R528" s="225"/>
    </row>
    <row r="529" spans="5:18">
      <c r="E529" s="318"/>
      <c r="G529" s="213"/>
      <c r="I529" s="213"/>
      <c r="K529" s="213"/>
      <c r="L529" s="318"/>
      <c r="M529" s="318"/>
      <c r="Q529" s="225"/>
      <c r="R529" s="225"/>
    </row>
    <row r="530" spans="5:18">
      <c r="E530" s="318"/>
      <c r="G530" s="213"/>
      <c r="I530" s="213"/>
      <c r="K530" s="213"/>
      <c r="L530" s="318"/>
      <c r="M530" s="318"/>
      <c r="Q530" s="225"/>
      <c r="R530" s="225"/>
    </row>
    <row r="531" spans="5:18">
      <c r="E531" s="318"/>
      <c r="G531" s="213"/>
      <c r="I531" s="213"/>
      <c r="K531" s="213"/>
      <c r="L531" s="318"/>
      <c r="M531" s="318"/>
      <c r="Q531" s="225"/>
      <c r="R531" s="225"/>
    </row>
    <row r="532" spans="5:18">
      <c r="E532" s="318"/>
      <c r="G532" s="213"/>
      <c r="I532" s="213"/>
      <c r="K532" s="213"/>
      <c r="L532" s="318"/>
      <c r="M532" s="318"/>
      <c r="Q532" s="225"/>
      <c r="R532" s="225"/>
    </row>
    <row r="533" spans="5:18">
      <c r="E533" s="318"/>
      <c r="G533" s="213"/>
      <c r="I533" s="213"/>
      <c r="K533" s="213"/>
      <c r="L533" s="318"/>
      <c r="M533" s="318"/>
      <c r="Q533" s="225"/>
      <c r="R533" s="225"/>
    </row>
    <row r="534" spans="5:18">
      <c r="E534" s="318"/>
      <c r="G534" s="213"/>
      <c r="I534" s="213"/>
      <c r="K534" s="213"/>
      <c r="L534" s="318"/>
      <c r="M534" s="318"/>
      <c r="Q534" s="225"/>
      <c r="R534" s="225"/>
    </row>
    <row r="535" spans="5:18">
      <c r="E535" s="318"/>
      <c r="G535" s="213"/>
      <c r="I535" s="213"/>
      <c r="K535" s="213"/>
      <c r="L535" s="318"/>
      <c r="M535" s="318"/>
      <c r="Q535" s="225"/>
      <c r="R535" s="225"/>
    </row>
    <row r="536" spans="5:18">
      <c r="E536" s="318"/>
      <c r="G536" s="213"/>
      <c r="I536" s="213"/>
      <c r="K536" s="213"/>
      <c r="L536" s="318"/>
      <c r="M536" s="318"/>
      <c r="Q536" s="225"/>
      <c r="R536" s="225"/>
    </row>
    <row r="537" spans="5:18">
      <c r="E537" s="318"/>
      <c r="G537" s="213"/>
      <c r="I537" s="213"/>
      <c r="K537" s="213"/>
      <c r="L537" s="318"/>
      <c r="M537" s="318"/>
      <c r="Q537" s="225"/>
      <c r="R537" s="225"/>
    </row>
    <row r="538" spans="5:18">
      <c r="E538" s="318"/>
      <c r="G538" s="213"/>
      <c r="I538" s="213"/>
      <c r="K538" s="213"/>
      <c r="L538" s="318"/>
      <c r="M538" s="318"/>
      <c r="Q538" s="225"/>
      <c r="R538" s="225"/>
    </row>
    <row r="539" spans="5:18">
      <c r="E539" s="318"/>
      <c r="G539" s="213"/>
      <c r="I539" s="213"/>
      <c r="K539" s="213"/>
      <c r="L539" s="318"/>
      <c r="M539" s="318"/>
      <c r="Q539" s="225"/>
      <c r="R539" s="225"/>
    </row>
    <row r="540" spans="5:18">
      <c r="E540" s="318"/>
      <c r="G540" s="213"/>
      <c r="I540" s="213"/>
      <c r="K540" s="213"/>
      <c r="L540" s="318"/>
      <c r="M540" s="318"/>
      <c r="Q540" s="225"/>
      <c r="R540" s="225"/>
    </row>
    <row r="541" spans="5:18">
      <c r="E541" s="318"/>
      <c r="G541" s="213"/>
      <c r="I541" s="213"/>
      <c r="K541" s="213"/>
      <c r="L541" s="318"/>
      <c r="M541" s="318"/>
      <c r="Q541" s="225"/>
      <c r="R541" s="225"/>
    </row>
    <row r="542" spans="5:18">
      <c r="E542" s="318"/>
      <c r="G542" s="213"/>
      <c r="I542" s="213"/>
      <c r="K542" s="213"/>
      <c r="L542" s="318"/>
      <c r="M542" s="318"/>
      <c r="Q542" s="225"/>
      <c r="R542" s="225"/>
    </row>
    <row r="543" spans="5:18">
      <c r="E543" s="318"/>
      <c r="G543" s="213"/>
      <c r="I543" s="213"/>
      <c r="K543" s="213"/>
      <c r="L543" s="318"/>
      <c r="M543" s="318"/>
      <c r="Q543" s="225"/>
      <c r="R543" s="225"/>
    </row>
    <row r="544" spans="5:18">
      <c r="E544" s="318"/>
      <c r="G544" s="213"/>
      <c r="I544" s="213"/>
      <c r="K544" s="213"/>
      <c r="L544" s="318"/>
      <c r="M544" s="318"/>
      <c r="Q544" s="225"/>
      <c r="R544" s="225"/>
    </row>
    <row r="545" spans="5:18">
      <c r="E545" s="318"/>
      <c r="G545" s="213"/>
      <c r="I545" s="213"/>
      <c r="K545" s="213"/>
      <c r="L545" s="318"/>
      <c r="M545" s="318"/>
      <c r="Q545" s="225"/>
      <c r="R545" s="225"/>
    </row>
    <row r="546" spans="5:18">
      <c r="E546" s="318"/>
      <c r="G546" s="213"/>
      <c r="I546" s="213"/>
      <c r="K546" s="213"/>
      <c r="L546" s="318"/>
      <c r="M546" s="318"/>
      <c r="Q546" s="225"/>
      <c r="R546" s="225"/>
    </row>
    <row r="547" spans="5:18">
      <c r="E547" s="318"/>
      <c r="G547" s="213"/>
      <c r="I547" s="213"/>
      <c r="K547" s="213"/>
      <c r="L547" s="318"/>
      <c r="M547" s="318"/>
      <c r="Q547" s="225"/>
      <c r="R547" s="225"/>
    </row>
    <row r="548" spans="5:18">
      <c r="E548" s="318"/>
      <c r="G548" s="213"/>
      <c r="I548" s="213"/>
      <c r="K548" s="213"/>
      <c r="L548" s="318"/>
      <c r="M548" s="318"/>
      <c r="Q548" s="225"/>
      <c r="R548" s="225"/>
    </row>
    <row r="549" spans="5:18">
      <c r="E549" s="318"/>
      <c r="G549" s="213"/>
      <c r="I549" s="213"/>
      <c r="K549" s="213"/>
      <c r="L549" s="318"/>
      <c r="M549" s="318"/>
      <c r="Q549" s="225"/>
      <c r="R549" s="225"/>
    </row>
    <row r="550" spans="5:18">
      <c r="E550" s="318"/>
      <c r="G550" s="213"/>
      <c r="I550" s="213"/>
      <c r="K550" s="213"/>
      <c r="L550" s="318"/>
      <c r="M550" s="318"/>
      <c r="Q550" s="225"/>
      <c r="R550" s="225"/>
    </row>
    <row r="551" spans="5:18">
      <c r="E551" s="318"/>
      <c r="G551" s="213"/>
      <c r="I551" s="213"/>
      <c r="K551" s="213"/>
      <c r="L551" s="318"/>
      <c r="M551" s="318"/>
      <c r="Q551" s="225"/>
      <c r="R551" s="225"/>
    </row>
    <row r="552" spans="5:18">
      <c r="E552" s="318"/>
      <c r="G552" s="213"/>
      <c r="I552" s="213"/>
      <c r="K552" s="213"/>
      <c r="L552" s="318"/>
      <c r="M552" s="318"/>
      <c r="Q552" s="225"/>
      <c r="R552" s="225"/>
    </row>
    <row r="553" spans="5:18">
      <c r="E553" s="318"/>
      <c r="G553" s="213"/>
      <c r="I553" s="213"/>
      <c r="K553" s="213"/>
      <c r="L553" s="318"/>
      <c r="M553" s="318"/>
      <c r="Q553" s="225"/>
      <c r="R553" s="225"/>
    </row>
    <row r="554" spans="5:18">
      <c r="E554" s="318"/>
      <c r="G554" s="213"/>
      <c r="I554" s="213"/>
      <c r="K554" s="213"/>
      <c r="L554" s="318"/>
      <c r="M554" s="318"/>
      <c r="Q554" s="225"/>
      <c r="R554" s="225"/>
    </row>
    <row r="555" spans="5:18">
      <c r="E555" s="318"/>
      <c r="G555" s="213"/>
      <c r="I555" s="213"/>
      <c r="K555" s="213"/>
      <c r="L555" s="318"/>
      <c r="M555" s="318"/>
      <c r="Q555" s="225"/>
      <c r="R555" s="225"/>
    </row>
    <row r="556" spans="5:18">
      <c r="E556" s="318"/>
      <c r="G556" s="213"/>
      <c r="I556" s="213"/>
      <c r="K556" s="213"/>
      <c r="L556" s="318"/>
      <c r="M556" s="318"/>
      <c r="Q556" s="225"/>
      <c r="R556" s="225"/>
    </row>
    <row r="557" spans="5:18">
      <c r="E557" s="318"/>
      <c r="G557" s="213"/>
      <c r="I557" s="213"/>
      <c r="K557" s="213"/>
      <c r="L557" s="318"/>
      <c r="M557" s="318"/>
      <c r="Q557" s="225"/>
      <c r="R557" s="225"/>
    </row>
    <row r="558" spans="5:18">
      <c r="E558" s="318"/>
      <c r="G558" s="213"/>
      <c r="I558" s="213"/>
      <c r="K558" s="213"/>
      <c r="L558" s="318"/>
      <c r="M558" s="318"/>
      <c r="Q558" s="225"/>
      <c r="R558" s="225"/>
    </row>
    <row r="559" spans="5:18">
      <c r="E559" s="318"/>
      <c r="G559" s="213"/>
      <c r="I559" s="213"/>
      <c r="K559" s="213"/>
      <c r="L559" s="318"/>
      <c r="M559" s="318"/>
      <c r="Q559" s="225"/>
      <c r="R559" s="225"/>
    </row>
    <row r="560" spans="5:18">
      <c r="E560" s="318"/>
      <c r="G560" s="213"/>
      <c r="I560" s="213"/>
      <c r="K560" s="213"/>
      <c r="L560" s="318"/>
      <c r="M560" s="318"/>
      <c r="Q560" s="225"/>
      <c r="R560" s="225"/>
    </row>
    <row r="561" spans="5:18">
      <c r="E561" s="318"/>
      <c r="G561" s="213"/>
      <c r="I561" s="213"/>
      <c r="K561" s="213"/>
      <c r="L561" s="318"/>
      <c r="M561" s="318"/>
      <c r="Q561" s="225"/>
      <c r="R561" s="225"/>
    </row>
    <row r="562" spans="5:18">
      <c r="E562" s="318"/>
      <c r="G562" s="213"/>
      <c r="I562" s="213"/>
      <c r="K562" s="213"/>
      <c r="L562" s="318"/>
      <c r="M562" s="318"/>
      <c r="Q562" s="225"/>
      <c r="R562" s="225"/>
    </row>
    <row r="563" spans="5:18">
      <c r="E563" s="318"/>
      <c r="G563" s="213"/>
      <c r="I563" s="213"/>
      <c r="K563" s="213"/>
      <c r="L563" s="318"/>
      <c r="M563" s="318"/>
      <c r="Q563" s="225"/>
      <c r="R563" s="225"/>
    </row>
    <row r="564" spans="5:18">
      <c r="E564" s="318"/>
      <c r="G564" s="213"/>
      <c r="I564" s="213"/>
      <c r="K564" s="213"/>
      <c r="L564" s="318"/>
      <c r="M564" s="318"/>
      <c r="Q564" s="225"/>
      <c r="R564" s="225"/>
    </row>
    <row r="565" spans="5:18">
      <c r="E565" s="318"/>
      <c r="G565" s="213"/>
      <c r="I565" s="213"/>
      <c r="K565" s="213"/>
      <c r="L565" s="318"/>
      <c r="M565" s="318"/>
      <c r="Q565" s="225"/>
      <c r="R565" s="225"/>
    </row>
    <row r="566" spans="5:18">
      <c r="E566" s="318"/>
      <c r="G566" s="213"/>
      <c r="I566" s="213"/>
      <c r="K566" s="213"/>
      <c r="L566" s="318"/>
      <c r="M566" s="318"/>
      <c r="Q566" s="225"/>
      <c r="R566" s="225"/>
    </row>
    <row r="567" spans="5:18">
      <c r="E567" s="318"/>
      <c r="G567" s="213"/>
      <c r="I567" s="213"/>
      <c r="K567" s="213"/>
      <c r="L567" s="318"/>
      <c r="M567" s="318"/>
      <c r="Q567" s="225"/>
      <c r="R567" s="225"/>
    </row>
    <row r="568" spans="5:18">
      <c r="E568" s="318"/>
      <c r="G568" s="213"/>
      <c r="I568" s="213"/>
      <c r="K568" s="213"/>
      <c r="L568" s="318"/>
      <c r="M568" s="318"/>
      <c r="Q568" s="225"/>
      <c r="R568" s="225"/>
    </row>
    <row r="569" spans="5:18">
      <c r="E569" s="318"/>
      <c r="G569" s="213"/>
      <c r="I569" s="213"/>
      <c r="K569" s="213"/>
      <c r="L569" s="318"/>
      <c r="M569" s="318"/>
      <c r="Q569" s="225"/>
      <c r="R569" s="225"/>
    </row>
    <row r="570" spans="5:18">
      <c r="E570" s="318"/>
      <c r="G570" s="213"/>
      <c r="I570" s="213"/>
      <c r="K570" s="213"/>
      <c r="L570" s="318"/>
      <c r="M570" s="318"/>
      <c r="Q570" s="225"/>
      <c r="R570" s="225"/>
    </row>
    <row r="571" spans="5:18">
      <c r="E571" s="318"/>
      <c r="G571" s="213"/>
      <c r="I571" s="213"/>
      <c r="K571" s="213"/>
      <c r="L571" s="318"/>
      <c r="M571" s="318"/>
      <c r="Q571" s="225"/>
      <c r="R571" s="225"/>
    </row>
    <row r="572" spans="5:18">
      <c r="E572" s="318"/>
      <c r="G572" s="213"/>
      <c r="I572" s="213"/>
      <c r="K572" s="213"/>
      <c r="L572" s="318"/>
      <c r="M572" s="318"/>
      <c r="Q572" s="225"/>
      <c r="R572" s="225"/>
    </row>
    <row r="573" spans="5:18">
      <c r="E573" s="318"/>
      <c r="G573" s="213"/>
      <c r="I573" s="213"/>
      <c r="K573" s="213"/>
      <c r="L573" s="318"/>
      <c r="M573" s="318"/>
      <c r="Q573" s="225"/>
      <c r="R573" s="225"/>
    </row>
    <row r="574" spans="5:18">
      <c r="E574" s="318"/>
      <c r="G574" s="213"/>
      <c r="I574" s="213"/>
      <c r="K574" s="213"/>
      <c r="L574" s="318"/>
      <c r="M574" s="318"/>
      <c r="Q574" s="225"/>
      <c r="R574" s="225"/>
    </row>
    <row r="575" spans="5:18">
      <c r="E575" s="318"/>
      <c r="G575" s="213"/>
      <c r="I575" s="213"/>
      <c r="K575" s="213"/>
      <c r="L575" s="318"/>
      <c r="M575" s="318"/>
      <c r="Q575" s="225"/>
      <c r="R575" s="225"/>
    </row>
    <row r="576" spans="5:18">
      <c r="E576" s="318"/>
      <c r="G576" s="213"/>
      <c r="I576" s="213"/>
      <c r="K576" s="213"/>
      <c r="L576" s="318"/>
      <c r="M576" s="318"/>
      <c r="Q576" s="225"/>
      <c r="R576" s="225"/>
    </row>
    <row r="577" spans="5:18">
      <c r="E577" s="318"/>
      <c r="G577" s="213"/>
      <c r="I577" s="213"/>
      <c r="K577" s="213"/>
      <c r="L577" s="318"/>
      <c r="M577" s="318"/>
      <c r="Q577" s="225"/>
      <c r="R577" s="225"/>
    </row>
    <row r="578" spans="5:18">
      <c r="E578" s="318"/>
      <c r="G578" s="213"/>
      <c r="I578" s="213"/>
      <c r="K578" s="213"/>
      <c r="L578" s="318"/>
      <c r="M578" s="318"/>
      <c r="Q578" s="225"/>
      <c r="R578" s="225"/>
    </row>
    <row r="579" spans="5:18">
      <c r="E579" s="318"/>
      <c r="G579" s="213"/>
      <c r="I579" s="213"/>
      <c r="K579" s="213"/>
      <c r="L579" s="318"/>
      <c r="M579" s="318"/>
      <c r="Q579" s="225"/>
      <c r="R579" s="225"/>
    </row>
    <row r="580" spans="5:18">
      <c r="E580" s="318"/>
      <c r="G580" s="213"/>
      <c r="I580" s="213"/>
      <c r="K580" s="213"/>
      <c r="L580" s="318"/>
      <c r="M580" s="318"/>
      <c r="Q580" s="225"/>
      <c r="R580" s="225"/>
    </row>
    <row r="581" spans="5:18">
      <c r="E581" s="318"/>
      <c r="G581" s="213"/>
      <c r="I581" s="213"/>
      <c r="K581" s="213"/>
      <c r="L581" s="318"/>
      <c r="M581" s="318"/>
      <c r="Q581" s="225"/>
      <c r="R581" s="225"/>
    </row>
    <row r="582" spans="5:18">
      <c r="E582" s="318"/>
      <c r="G582" s="213"/>
      <c r="I582" s="213"/>
      <c r="K582" s="213"/>
      <c r="L582" s="318"/>
      <c r="M582" s="318"/>
      <c r="Q582" s="225"/>
      <c r="R582" s="225"/>
    </row>
    <row r="583" spans="5:18">
      <c r="E583" s="318"/>
      <c r="G583" s="213"/>
      <c r="I583" s="213"/>
      <c r="K583" s="213"/>
      <c r="L583" s="318"/>
      <c r="M583" s="318"/>
      <c r="Q583" s="225"/>
      <c r="R583" s="225"/>
    </row>
    <row r="584" spans="5:18">
      <c r="E584" s="318"/>
      <c r="G584" s="213"/>
      <c r="I584" s="213"/>
      <c r="K584" s="213"/>
      <c r="L584" s="318"/>
      <c r="M584" s="318"/>
      <c r="Q584" s="225"/>
      <c r="R584" s="225"/>
    </row>
    <row r="585" spans="5:18">
      <c r="E585" s="318"/>
      <c r="G585" s="213"/>
      <c r="I585" s="213"/>
      <c r="K585" s="213"/>
      <c r="L585" s="318"/>
      <c r="M585" s="318"/>
      <c r="Q585" s="225"/>
      <c r="R585" s="225"/>
    </row>
    <row r="586" spans="5:18">
      <c r="E586" s="318"/>
      <c r="G586" s="213"/>
      <c r="I586" s="213"/>
      <c r="K586" s="213"/>
      <c r="L586" s="318"/>
      <c r="M586" s="318"/>
      <c r="Q586" s="225"/>
      <c r="R586" s="225"/>
    </row>
    <row r="587" spans="5:18">
      <c r="E587" s="318"/>
      <c r="G587" s="213"/>
      <c r="I587" s="213"/>
      <c r="K587" s="213"/>
      <c r="L587" s="318"/>
      <c r="M587" s="318"/>
      <c r="Q587" s="225"/>
      <c r="R587" s="225"/>
    </row>
    <row r="588" spans="5:18">
      <c r="E588" s="318"/>
      <c r="G588" s="213"/>
      <c r="I588" s="213"/>
      <c r="K588" s="213"/>
      <c r="L588" s="318"/>
      <c r="M588" s="318"/>
      <c r="Q588" s="225"/>
      <c r="R588" s="225"/>
    </row>
    <row r="589" spans="5:18">
      <c r="E589" s="318"/>
      <c r="G589" s="213"/>
      <c r="I589" s="213"/>
      <c r="K589" s="213"/>
      <c r="L589" s="318"/>
      <c r="M589" s="318"/>
      <c r="Q589" s="225"/>
      <c r="R589" s="225"/>
    </row>
    <row r="590" spans="5:18">
      <c r="E590" s="318"/>
      <c r="G590" s="213"/>
      <c r="I590" s="213"/>
      <c r="K590" s="213"/>
      <c r="L590" s="318"/>
      <c r="M590" s="318"/>
      <c r="Q590" s="225"/>
      <c r="R590" s="225"/>
    </row>
    <row r="591" spans="5:18">
      <c r="E591" s="318"/>
      <c r="G591" s="213"/>
      <c r="I591" s="213"/>
      <c r="K591" s="213"/>
      <c r="L591" s="318"/>
      <c r="M591" s="318"/>
      <c r="Q591" s="225"/>
      <c r="R591" s="225"/>
    </row>
    <row r="592" spans="5:18">
      <c r="E592" s="318"/>
      <c r="G592" s="213"/>
      <c r="I592" s="213"/>
      <c r="K592" s="213"/>
      <c r="L592" s="318"/>
      <c r="M592" s="318"/>
      <c r="Q592" s="225"/>
      <c r="R592" s="225"/>
    </row>
    <row r="593" spans="5:18">
      <c r="E593" s="318"/>
      <c r="G593" s="213"/>
      <c r="I593" s="213"/>
      <c r="K593" s="213"/>
      <c r="L593" s="318"/>
      <c r="M593" s="318"/>
      <c r="Q593" s="225"/>
      <c r="R593" s="225"/>
    </row>
    <row r="594" spans="5:18">
      <c r="E594" s="318"/>
      <c r="G594" s="213"/>
      <c r="I594" s="213"/>
      <c r="K594" s="213"/>
      <c r="L594" s="318"/>
      <c r="M594" s="318"/>
      <c r="Q594" s="225"/>
      <c r="R594" s="225"/>
    </row>
    <row r="595" spans="5:18">
      <c r="E595" s="318"/>
      <c r="G595" s="213"/>
      <c r="I595" s="213"/>
      <c r="K595" s="213"/>
      <c r="L595" s="318"/>
      <c r="M595" s="318"/>
      <c r="Q595" s="225"/>
      <c r="R595" s="225"/>
    </row>
    <row r="596" spans="5:18">
      <c r="E596" s="318"/>
      <c r="G596" s="213"/>
      <c r="I596" s="213"/>
      <c r="K596" s="213"/>
      <c r="L596" s="318"/>
      <c r="M596" s="318"/>
      <c r="Q596" s="225"/>
      <c r="R596" s="225"/>
    </row>
    <row r="597" spans="5:18">
      <c r="E597" s="318"/>
      <c r="G597" s="213"/>
      <c r="I597" s="213"/>
      <c r="K597" s="213"/>
      <c r="L597" s="318"/>
      <c r="M597" s="318"/>
      <c r="Q597" s="225"/>
      <c r="R597" s="225"/>
    </row>
    <row r="598" spans="5:18">
      <c r="E598" s="318"/>
      <c r="G598" s="213"/>
      <c r="I598" s="213"/>
      <c r="K598" s="213"/>
      <c r="L598" s="318"/>
      <c r="M598" s="318"/>
      <c r="Q598" s="225"/>
      <c r="R598" s="225"/>
    </row>
    <row r="599" spans="5:18">
      <c r="E599" s="318"/>
      <c r="G599" s="213"/>
      <c r="I599" s="213"/>
      <c r="K599" s="213"/>
      <c r="L599" s="318"/>
      <c r="M599" s="318"/>
      <c r="Q599" s="225"/>
      <c r="R599" s="225"/>
    </row>
    <row r="600" spans="5:18">
      <c r="E600" s="318"/>
      <c r="G600" s="213"/>
      <c r="I600" s="213"/>
      <c r="K600" s="213"/>
      <c r="L600" s="318"/>
      <c r="M600" s="318"/>
      <c r="Q600" s="225"/>
      <c r="R600" s="225"/>
    </row>
    <row r="601" spans="5:18">
      <c r="E601" s="318"/>
      <c r="G601" s="213"/>
      <c r="I601" s="213"/>
      <c r="K601" s="213"/>
      <c r="L601" s="318"/>
      <c r="M601" s="318"/>
      <c r="Q601" s="225"/>
      <c r="R601" s="225"/>
    </row>
    <row r="602" spans="5:18">
      <c r="E602" s="318"/>
      <c r="G602" s="213"/>
      <c r="I602" s="213"/>
      <c r="K602" s="213"/>
      <c r="L602" s="318"/>
      <c r="M602" s="318"/>
      <c r="Q602" s="225"/>
      <c r="R602" s="225"/>
    </row>
    <row r="603" spans="5:18">
      <c r="E603" s="318"/>
      <c r="G603" s="213"/>
      <c r="I603" s="213"/>
      <c r="K603" s="213"/>
      <c r="L603" s="318"/>
      <c r="M603" s="318"/>
      <c r="Q603" s="225"/>
      <c r="R603" s="225"/>
    </row>
    <row r="604" spans="5:18">
      <c r="E604" s="318"/>
      <c r="G604" s="213"/>
      <c r="I604" s="213"/>
      <c r="K604" s="213"/>
      <c r="L604" s="318"/>
      <c r="M604" s="318"/>
      <c r="Q604" s="225"/>
      <c r="R604" s="225"/>
    </row>
    <row r="605" spans="5:18">
      <c r="E605" s="318"/>
      <c r="G605" s="213"/>
      <c r="I605" s="213"/>
      <c r="K605" s="213"/>
      <c r="L605" s="318"/>
      <c r="M605" s="318"/>
      <c r="Q605" s="225"/>
      <c r="R605" s="225"/>
    </row>
    <row r="606" spans="5:18">
      <c r="E606" s="318"/>
      <c r="G606" s="213"/>
      <c r="I606" s="213"/>
      <c r="K606" s="213"/>
      <c r="L606" s="318"/>
      <c r="M606" s="318"/>
      <c r="Q606" s="225"/>
      <c r="R606" s="225"/>
    </row>
    <row r="607" spans="5:18">
      <c r="E607" s="318"/>
      <c r="G607" s="213"/>
      <c r="I607" s="213"/>
      <c r="K607" s="213"/>
      <c r="L607" s="318"/>
      <c r="M607" s="318"/>
      <c r="Q607" s="225"/>
      <c r="R607" s="225"/>
    </row>
    <row r="608" spans="5:18">
      <c r="E608" s="318"/>
      <c r="G608" s="213"/>
      <c r="I608" s="213"/>
      <c r="K608" s="213"/>
      <c r="L608" s="318"/>
      <c r="M608" s="318"/>
      <c r="Q608" s="225"/>
      <c r="R608" s="225"/>
    </row>
    <row r="609" spans="5:18">
      <c r="E609" s="318"/>
      <c r="G609" s="213"/>
      <c r="I609" s="213"/>
      <c r="K609" s="213"/>
      <c r="L609" s="318"/>
      <c r="M609" s="318"/>
      <c r="Q609" s="225"/>
      <c r="R609" s="225"/>
    </row>
    <row r="610" spans="5:18">
      <c r="E610" s="318"/>
      <c r="G610" s="213"/>
      <c r="I610" s="213"/>
      <c r="K610" s="213"/>
      <c r="L610" s="318"/>
      <c r="M610" s="318"/>
      <c r="Q610" s="225"/>
      <c r="R610" s="225"/>
    </row>
    <row r="611" spans="5:18">
      <c r="E611" s="318"/>
      <c r="G611" s="213"/>
      <c r="I611" s="213"/>
      <c r="K611" s="213"/>
      <c r="L611" s="318"/>
      <c r="M611" s="318"/>
      <c r="Q611" s="225"/>
      <c r="R611" s="225"/>
    </row>
    <row r="612" spans="5:18">
      <c r="E612" s="318"/>
      <c r="G612" s="213"/>
      <c r="I612" s="213"/>
      <c r="K612" s="213"/>
      <c r="L612" s="318"/>
      <c r="M612" s="318"/>
      <c r="Q612" s="225"/>
      <c r="R612" s="225"/>
    </row>
    <row r="613" spans="5:18">
      <c r="E613" s="318"/>
      <c r="G613" s="213"/>
      <c r="I613" s="213"/>
      <c r="K613" s="213"/>
      <c r="L613" s="318"/>
      <c r="M613" s="318"/>
      <c r="Q613" s="225"/>
      <c r="R613" s="225"/>
    </row>
    <row r="614" spans="5:18">
      <c r="E614" s="318"/>
      <c r="G614" s="213"/>
      <c r="I614" s="213"/>
      <c r="K614" s="213"/>
      <c r="L614" s="318"/>
      <c r="M614" s="318"/>
      <c r="Q614" s="225"/>
      <c r="R614" s="225"/>
    </row>
    <row r="615" spans="5:18">
      <c r="E615" s="318"/>
      <c r="G615" s="213"/>
      <c r="I615" s="213"/>
      <c r="K615" s="213"/>
      <c r="L615" s="318"/>
      <c r="M615" s="318"/>
      <c r="Q615" s="225"/>
      <c r="R615" s="225"/>
    </row>
    <row r="616" spans="5:18">
      <c r="E616" s="318"/>
      <c r="G616" s="213"/>
      <c r="I616" s="213"/>
      <c r="K616" s="213"/>
      <c r="L616" s="318"/>
      <c r="M616" s="318"/>
      <c r="Q616" s="225"/>
      <c r="R616" s="225"/>
    </row>
    <row r="617" spans="5:18">
      <c r="E617" s="318"/>
      <c r="G617" s="213"/>
      <c r="I617" s="213"/>
      <c r="K617" s="213"/>
      <c r="L617" s="318"/>
      <c r="M617" s="318"/>
      <c r="Q617" s="225"/>
      <c r="R617" s="225"/>
    </row>
    <row r="618" spans="5:18">
      <c r="E618" s="318"/>
      <c r="G618" s="213"/>
      <c r="I618" s="213"/>
      <c r="K618" s="213"/>
      <c r="L618" s="318"/>
      <c r="M618" s="318"/>
      <c r="Q618" s="225"/>
      <c r="R618" s="225"/>
    </row>
    <row r="619" spans="5:18">
      <c r="E619" s="318"/>
      <c r="G619" s="213"/>
      <c r="I619" s="213"/>
      <c r="K619" s="213"/>
      <c r="L619" s="318"/>
      <c r="M619" s="318"/>
      <c r="Q619" s="225"/>
      <c r="R619" s="225"/>
    </row>
    <row r="620" spans="5:18">
      <c r="E620" s="318"/>
      <c r="G620" s="213"/>
      <c r="I620" s="213"/>
      <c r="K620" s="213"/>
      <c r="L620" s="318"/>
      <c r="M620" s="318"/>
      <c r="Q620" s="225"/>
      <c r="R620" s="225"/>
    </row>
    <row r="621" spans="5:18">
      <c r="E621" s="318"/>
      <c r="G621" s="213"/>
      <c r="I621" s="213"/>
      <c r="K621" s="213"/>
      <c r="L621" s="318"/>
      <c r="M621" s="318"/>
      <c r="Q621" s="225"/>
      <c r="R621" s="225"/>
    </row>
    <row r="622" spans="5:18">
      <c r="E622" s="318"/>
      <c r="G622" s="213"/>
      <c r="I622" s="213"/>
      <c r="K622" s="213"/>
      <c r="L622" s="318"/>
      <c r="M622" s="318"/>
      <c r="Q622" s="225"/>
      <c r="R622" s="225"/>
    </row>
    <row r="623" spans="5:18">
      <c r="E623" s="318"/>
      <c r="G623" s="213"/>
      <c r="I623" s="213"/>
      <c r="K623" s="213"/>
      <c r="L623" s="318"/>
      <c r="M623" s="318"/>
      <c r="Q623" s="225"/>
      <c r="R623" s="225"/>
    </row>
    <row r="624" spans="5:18">
      <c r="E624" s="318"/>
      <c r="G624" s="213"/>
      <c r="I624" s="213"/>
      <c r="K624" s="213"/>
      <c r="L624" s="318"/>
      <c r="M624" s="318"/>
      <c r="Q624" s="225"/>
      <c r="R624" s="225"/>
    </row>
    <row r="625" spans="5:18">
      <c r="E625" s="318"/>
      <c r="G625" s="213"/>
      <c r="I625" s="213"/>
      <c r="K625" s="213"/>
      <c r="L625" s="318"/>
      <c r="M625" s="318"/>
      <c r="Q625" s="225"/>
      <c r="R625" s="225"/>
    </row>
    <row r="626" spans="5:18">
      <c r="E626" s="318"/>
      <c r="G626" s="213"/>
      <c r="I626" s="213"/>
      <c r="K626" s="213"/>
      <c r="L626" s="318"/>
      <c r="M626" s="318"/>
      <c r="Q626" s="225"/>
      <c r="R626" s="225"/>
    </row>
    <row r="627" spans="5:18">
      <c r="E627" s="318"/>
      <c r="G627" s="213"/>
      <c r="I627" s="213"/>
      <c r="K627" s="213"/>
      <c r="L627" s="318"/>
      <c r="M627" s="318"/>
      <c r="Q627" s="225"/>
      <c r="R627" s="225"/>
    </row>
    <row r="628" spans="5:18">
      <c r="E628" s="318"/>
      <c r="G628" s="213"/>
      <c r="I628" s="213"/>
      <c r="K628" s="213"/>
      <c r="L628" s="318"/>
      <c r="M628" s="318"/>
      <c r="Q628" s="225"/>
      <c r="R628" s="225"/>
    </row>
    <row r="629" spans="5:18">
      <c r="E629" s="318"/>
      <c r="G629" s="213"/>
      <c r="I629" s="213"/>
      <c r="K629" s="213"/>
      <c r="L629" s="318"/>
      <c r="M629" s="318"/>
      <c r="Q629" s="225"/>
      <c r="R629" s="225"/>
    </row>
    <row r="630" spans="5:18">
      <c r="E630" s="318"/>
      <c r="G630" s="213"/>
      <c r="I630" s="213"/>
      <c r="K630" s="213"/>
      <c r="L630" s="318"/>
      <c r="M630" s="318"/>
      <c r="Q630" s="225"/>
      <c r="R630" s="225"/>
    </row>
    <row r="631" spans="5:18">
      <c r="E631" s="318"/>
      <c r="G631" s="213"/>
      <c r="I631" s="213"/>
      <c r="K631" s="213"/>
      <c r="L631" s="318"/>
      <c r="M631" s="318"/>
      <c r="Q631" s="225"/>
      <c r="R631" s="225"/>
    </row>
    <row r="632" spans="5:18">
      <c r="E632" s="318"/>
      <c r="G632" s="213"/>
      <c r="I632" s="213"/>
      <c r="K632" s="213"/>
      <c r="L632" s="318"/>
      <c r="M632" s="318"/>
      <c r="Q632" s="225"/>
      <c r="R632" s="225"/>
    </row>
    <row r="633" spans="5:18">
      <c r="E633" s="318"/>
      <c r="G633" s="213"/>
      <c r="I633" s="213"/>
      <c r="K633" s="213"/>
      <c r="L633" s="318"/>
      <c r="M633" s="318"/>
      <c r="Q633" s="225"/>
      <c r="R633" s="225"/>
    </row>
    <row r="634" spans="5:18">
      <c r="E634" s="318"/>
      <c r="G634" s="213"/>
      <c r="I634" s="213"/>
      <c r="K634" s="213"/>
      <c r="L634" s="318"/>
      <c r="M634" s="318"/>
      <c r="Q634" s="225"/>
      <c r="R634" s="225"/>
    </row>
    <row r="635" spans="5:18">
      <c r="E635" s="318"/>
      <c r="G635" s="213"/>
      <c r="I635" s="213"/>
      <c r="K635" s="213"/>
      <c r="L635" s="318"/>
      <c r="M635" s="318"/>
      <c r="Q635" s="225"/>
      <c r="R635" s="225"/>
    </row>
    <row r="636" spans="5:18">
      <c r="E636" s="318"/>
      <c r="G636" s="213"/>
      <c r="I636" s="213"/>
      <c r="K636" s="213"/>
      <c r="L636" s="318"/>
      <c r="M636" s="318"/>
      <c r="Q636" s="225"/>
      <c r="R636" s="225"/>
    </row>
    <row r="637" spans="5:18">
      <c r="E637" s="318"/>
      <c r="G637" s="213"/>
      <c r="I637" s="213"/>
      <c r="K637" s="213"/>
      <c r="L637" s="318"/>
      <c r="M637" s="318"/>
      <c r="Q637" s="225"/>
      <c r="R637" s="225"/>
    </row>
    <row r="638" spans="5:18">
      <c r="E638" s="318"/>
      <c r="G638" s="213"/>
      <c r="I638" s="213"/>
      <c r="K638" s="213"/>
      <c r="L638" s="318"/>
      <c r="M638" s="318"/>
      <c r="Q638" s="225"/>
      <c r="R638" s="225"/>
    </row>
    <row r="639" spans="5:18">
      <c r="E639" s="318"/>
      <c r="G639" s="213"/>
      <c r="I639" s="213"/>
      <c r="K639" s="213"/>
      <c r="L639" s="318"/>
      <c r="M639" s="318"/>
      <c r="Q639" s="225"/>
      <c r="R639" s="225"/>
    </row>
    <row r="640" spans="5:18">
      <c r="E640" s="318"/>
      <c r="G640" s="213"/>
      <c r="I640" s="213"/>
      <c r="K640" s="213"/>
      <c r="L640" s="318"/>
      <c r="M640" s="318"/>
      <c r="Q640" s="225"/>
      <c r="R640" s="225"/>
    </row>
    <row r="641" spans="5:18">
      <c r="E641" s="318"/>
      <c r="G641" s="213"/>
      <c r="I641" s="213"/>
      <c r="K641" s="213"/>
      <c r="L641" s="318"/>
      <c r="M641" s="318"/>
      <c r="Q641" s="225"/>
      <c r="R641" s="225"/>
    </row>
    <row r="642" spans="5:18">
      <c r="E642" s="318"/>
      <c r="G642" s="213"/>
      <c r="I642" s="213"/>
      <c r="K642" s="213"/>
      <c r="L642" s="318"/>
      <c r="M642" s="318"/>
      <c r="Q642" s="225"/>
      <c r="R642" s="225"/>
    </row>
    <row r="643" spans="5:18">
      <c r="E643" s="318"/>
      <c r="G643" s="213"/>
      <c r="I643" s="213"/>
      <c r="K643" s="213"/>
      <c r="L643" s="318"/>
      <c r="M643" s="318"/>
      <c r="Q643" s="225"/>
      <c r="R643" s="225"/>
    </row>
    <row r="644" spans="5:18">
      <c r="E644" s="318"/>
      <c r="G644" s="213"/>
      <c r="I644" s="213"/>
      <c r="K644" s="213"/>
      <c r="L644" s="318"/>
      <c r="M644" s="318"/>
      <c r="Q644" s="225"/>
      <c r="R644" s="225"/>
    </row>
    <row r="645" spans="5:18">
      <c r="E645" s="318"/>
      <c r="G645" s="213"/>
      <c r="I645" s="213"/>
      <c r="K645" s="213"/>
      <c r="L645" s="318"/>
      <c r="M645" s="318"/>
      <c r="Q645" s="225"/>
      <c r="R645" s="225"/>
    </row>
    <row r="646" spans="5:18">
      <c r="E646" s="318"/>
      <c r="G646" s="213"/>
      <c r="I646" s="213"/>
      <c r="K646" s="213"/>
      <c r="L646" s="318"/>
      <c r="M646" s="318"/>
      <c r="Q646" s="225"/>
      <c r="R646" s="225"/>
    </row>
    <row r="647" spans="5:18">
      <c r="E647" s="318"/>
      <c r="G647" s="213"/>
      <c r="I647" s="213"/>
      <c r="K647" s="213"/>
      <c r="L647" s="318"/>
      <c r="M647" s="318"/>
      <c r="Q647" s="225"/>
      <c r="R647" s="225"/>
    </row>
    <row r="648" spans="5:18">
      <c r="E648" s="318"/>
      <c r="G648" s="213"/>
      <c r="I648" s="213"/>
      <c r="K648" s="213"/>
      <c r="L648" s="318"/>
      <c r="M648" s="318"/>
      <c r="Q648" s="225"/>
      <c r="R648" s="225"/>
    </row>
    <row r="649" spans="5:18">
      <c r="E649" s="318"/>
      <c r="G649" s="213"/>
      <c r="I649" s="213"/>
      <c r="K649" s="213"/>
      <c r="L649" s="318"/>
      <c r="M649" s="318"/>
      <c r="Q649" s="225"/>
      <c r="R649" s="225"/>
    </row>
    <row r="650" spans="5:18">
      <c r="E650" s="318"/>
      <c r="G650" s="213"/>
      <c r="I650" s="213"/>
      <c r="K650" s="213"/>
      <c r="L650" s="318"/>
      <c r="M650" s="318"/>
      <c r="Q650" s="225"/>
      <c r="R650" s="225"/>
    </row>
    <row r="651" spans="5:18">
      <c r="E651" s="318"/>
      <c r="G651" s="213"/>
      <c r="I651" s="213"/>
      <c r="K651" s="213"/>
      <c r="L651" s="318"/>
      <c r="M651" s="318"/>
      <c r="Q651" s="225"/>
      <c r="R651" s="225"/>
    </row>
    <row r="652" spans="5:18">
      <c r="E652" s="318"/>
      <c r="G652" s="213"/>
      <c r="I652" s="213"/>
      <c r="K652" s="213"/>
      <c r="L652" s="318"/>
      <c r="M652" s="318"/>
      <c r="Q652" s="225"/>
      <c r="R652" s="225"/>
    </row>
    <row r="653" spans="5:18">
      <c r="E653" s="318"/>
      <c r="G653" s="213"/>
      <c r="I653" s="213"/>
      <c r="K653" s="213"/>
      <c r="L653" s="318"/>
      <c r="M653" s="318"/>
      <c r="Q653" s="225"/>
      <c r="R653" s="225"/>
    </row>
    <row r="654" spans="5:18">
      <c r="E654" s="318"/>
      <c r="G654" s="213"/>
      <c r="I654" s="213"/>
      <c r="K654" s="213"/>
      <c r="L654" s="318"/>
      <c r="M654" s="318"/>
      <c r="Q654" s="225"/>
      <c r="R654" s="225"/>
    </row>
    <row r="655" spans="5:18">
      <c r="E655" s="318"/>
      <c r="G655" s="213"/>
      <c r="I655" s="213"/>
      <c r="K655" s="213"/>
      <c r="L655" s="318"/>
      <c r="M655" s="318"/>
      <c r="Q655" s="225"/>
      <c r="R655" s="225"/>
    </row>
    <row r="656" spans="5:18">
      <c r="E656" s="318"/>
      <c r="G656" s="213"/>
      <c r="I656" s="213"/>
      <c r="K656" s="213"/>
      <c r="L656" s="318"/>
      <c r="M656" s="318"/>
      <c r="Q656" s="225"/>
      <c r="R656" s="225"/>
    </row>
    <row r="657" spans="5:18">
      <c r="E657" s="318"/>
      <c r="G657" s="213"/>
      <c r="I657" s="213"/>
      <c r="K657" s="213"/>
      <c r="L657" s="318"/>
      <c r="M657" s="318"/>
      <c r="Q657" s="225"/>
      <c r="R657" s="225"/>
    </row>
    <row r="658" spans="5:18">
      <c r="E658" s="318"/>
      <c r="G658" s="213"/>
      <c r="I658" s="213"/>
      <c r="K658" s="213"/>
      <c r="L658" s="318"/>
      <c r="M658" s="318"/>
      <c r="Q658" s="225"/>
      <c r="R658" s="225"/>
    </row>
    <row r="659" spans="5:18">
      <c r="E659" s="318"/>
      <c r="G659" s="213"/>
      <c r="I659" s="213"/>
      <c r="K659" s="213"/>
      <c r="L659" s="318"/>
      <c r="M659" s="318"/>
      <c r="Q659" s="225"/>
      <c r="R659" s="225"/>
    </row>
    <row r="660" spans="5:18">
      <c r="E660" s="318"/>
      <c r="G660" s="213"/>
      <c r="I660" s="213"/>
      <c r="K660" s="213"/>
      <c r="L660" s="318"/>
      <c r="M660" s="318"/>
      <c r="Q660" s="225"/>
      <c r="R660" s="225"/>
    </row>
    <row r="661" spans="5:18">
      <c r="E661" s="318"/>
      <c r="G661" s="213"/>
      <c r="I661" s="213"/>
      <c r="K661" s="213"/>
      <c r="L661" s="318"/>
      <c r="M661" s="318"/>
      <c r="Q661" s="225"/>
      <c r="R661" s="225"/>
    </row>
    <row r="662" spans="5:18">
      <c r="E662" s="318"/>
      <c r="G662" s="213"/>
      <c r="I662" s="213"/>
      <c r="K662" s="213"/>
      <c r="L662" s="318"/>
      <c r="M662" s="318"/>
      <c r="Q662" s="225"/>
      <c r="R662" s="225"/>
    </row>
    <row r="663" spans="5:18">
      <c r="E663" s="318"/>
      <c r="G663" s="213"/>
      <c r="I663" s="213"/>
      <c r="K663" s="213"/>
      <c r="L663" s="318"/>
      <c r="M663" s="318"/>
      <c r="Q663" s="225"/>
      <c r="R663" s="225"/>
    </row>
    <row r="664" spans="5:18">
      <c r="E664" s="318"/>
      <c r="G664" s="213"/>
      <c r="I664" s="213"/>
      <c r="K664" s="213"/>
      <c r="L664" s="318"/>
      <c r="M664" s="318"/>
      <c r="Q664" s="225"/>
      <c r="R664" s="225"/>
    </row>
    <row r="665" spans="5:18">
      <c r="E665" s="318"/>
      <c r="G665" s="213"/>
      <c r="I665" s="213"/>
      <c r="K665" s="213"/>
      <c r="L665" s="318"/>
      <c r="M665" s="318"/>
      <c r="Q665" s="225"/>
      <c r="R665" s="225"/>
    </row>
    <row r="666" spans="5:18">
      <c r="E666" s="318"/>
      <c r="G666" s="213"/>
      <c r="I666" s="213"/>
      <c r="K666" s="213"/>
      <c r="L666" s="318"/>
      <c r="M666" s="318"/>
      <c r="Q666" s="225"/>
      <c r="R666" s="225"/>
    </row>
    <row r="667" spans="5:18">
      <c r="E667" s="318"/>
      <c r="G667" s="213"/>
      <c r="I667" s="213"/>
      <c r="K667" s="213"/>
      <c r="L667" s="318"/>
      <c r="M667" s="318"/>
      <c r="Q667" s="225"/>
      <c r="R667" s="225"/>
    </row>
    <row r="668" spans="5:18">
      <c r="E668" s="318"/>
      <c r="G668" s="213"/>
      <c r="I668" s="213"/>
      <c r="K668" s="213"/>
      <c r="L668" s="318"/>
      <c r="M668" s="318"/>
      <c r="Q668" s="225"/>
      <c r="R668" s="225"/>
    </row>
    <row r="669" spans="5:18">
      <c r="E669" s="318"/>
      <c r="G669" s="213"/>
      <c r="I669" s="213"/>
      <c r="K669" s="213"/>
      <c r="L669" s="318"/>
      <c r="M669" s="318"/>
      <c r="Q669" s="225"/>
      <c r="R669" s="225"/>
    </row>
    <row r="670" spans="5:18">
      <c r="E670" s="318"/>
      <c r="G670" s="213"/>
      <c r="I670" s="213"/>
      <c r="K670" s="213"/>
      <c r="L670" s="318"/>
      <c r="M670" s="318"/>
      <c r="Q670" s="225"/>
      <c r="R670" s="225"/>
    </row>
    <row r="671" spans="5:18">
      <c r="E671" s="318"/>
      <c r="G671" s="213"/>
      <c r="I671" s="213"/>
      <c r="K671" s="213"/>
      <c r="L671" s="318"/>
      <c r="M671" s="318"/>
      <c r="Q671" s="225"/>
      <c r="R671" s="225"/>
    </row>
    <row r="672" spans="5:18">
      <c r="E672" s="318"/>
      <c r="G672" s="213"/>
      <c r="I672" s="213"/>
      <c r="K672" s="213"/>
      <c r="L672" s="318"/>
      <c r="M672" s="318"/>
      <c r="Q672" s="225"/>
      <c r="R672" s="225"/>
    </row>
    <row r="673" spans="5:18">
      <c r="E673" s="318"/>
      <c r="G673" s="213"/>
      <c r="I673" s="213"/>
      <c r="K673" s="213"/>
      <c r="L673" s="318"/>
      <c r="M673" s="318"/>
      <c r="Q673" s="225"/>
      <c r="R673" s="225"/>
    </row>
    <row r="674" spans="5:18">
      <c r="E674" s="318"/>
      <c r="G674" s="213"/>
      <c r="I674" s="213"/>
      <c r="K674" s="213"/>
      <c r="L674" s="318"/>
      <c r="M674" s="318"/>
      <c r="Q674" s="225"/>
      <c r="R674" s="225"/>
    </row>
    <row r="675" spans="5:18">
      <c r="E675" s="318"/>
      <c r="G675" s="213"/>
      <c r="I675" s="213"/>
      <c r="K675" s="213"/>
      <c r="L675" s="318"/>
      <c r="M675" s="318"/>
      <c r="Q675" s="225"/>
      <c r="R675" s="225"/>
    </row>
    <row r="676" spans="5:18">
      <c r="E676" s="318"/>
      <c r="G676" s="213"/>
      <c r="I676" s="213"/>
      <c r="K676" s="213"/>
      <c r="L676" s="318"/>
      <c r="M676" s="318"/>
      <c r="Q676" s="225"/>
      <c r="R676" s="225"/>
    </row>
    <row r="677" spans="5:18">
      <c r="E677" s="318"/>
      <c r="G677" s="213"/>
      <c r="I677" s="213"/>
      <c r="K677" s="213"/>
      <c r="L677" s="318"/>
      <c r="M677" s="318"/>
      <c r="Q677" s="225"/>
      <c r="R677" s="225"/>
    </row>
    <row r="678" spans="5:18">
      <c r="E678" s="318"/>
      <c r="G678" s="213"/>
      <c r="I678" s="213"/>
      <c r="K678" s="213"/>
      <c r="L678" s="318"/>
      <c r="M678" s="318"/>
      <c r="Q678" s="225"/>
      <c r="R678" s="225"/>
    </row>
    <row r="679" spans="5:18">
      <c r="E679" s="318"/>
      <c r="G679" s="213"/>
      <c r="I679" s="213"/>
      <c r="K679" s="213"/>
      <c r="L679" s="318"/>
      <c r="M679" s="318"/>
      <c r="Q679" s="225"/>
      <c r="R679" s="225"/>
    </row>
    <row r="680" spans="5:18">
      <c r="E680" s="318"/>
      <c r="G680" s="213"/>
      <c r="I680" s="213"/>
      <c r="K680" s="213"/>
      <c r="L680" s="318"/>
      <c r="M680" s="318"/>
      <c r="Q680" s="225"/>
      <c r="R680" s="225"/>
    </row>
    <row r="681" spans="5:18">
      <c r="E681" s="318"/>
      <c r="G681" s="213"/>
      <c r="I681" s="213"/>
      <c r="K681" s="213"/>
      <c r="L681" s="318"/>
      <c r="M681" s="318"/>
      <c r="Q681" s="225"/>
      <c r="R681" s="225"/>
    </row>
    <row r="682" spans="5:18">
      <c r="E682" s="318"/>
      <c r="G682" s="213"/>
      <c r="I682" s="213"/>
      <c r="K682" s="213"/>
      <c r="L682" s="318"/>
      <c r="M682" s="318"/>
      <c r="Q682" s="225"/>
      <c r="R682" s="225"/>
    </row>
    <row r="683" spans="5:18">
      <c r="E683" s="318"/>
      <c r="G683" s="213"/>
      <c r="I683" s="213"/>
      <c r="K683" s="213"/>
      <c r="L683" s="318"/>
      <c r="M683" s="318"/>
      <c r="Q683" s="225"/>
      <c r="R683" s="225"/>
    </row>
    <row r="684" spans="5:18">
      <c r="E684" s="318"/>
      <c r="G684" s="213"/>
      <c r="I684" s="213"/>
      <c r="K684" s="213"/>
      <c r="L684" s="318"/>
      <c r="M684" s="318"/>
      <c r="Q684" s="225"/>
      <c r="R684" s="225"/>
    </row>
    <row r="685" spans="5:18">
      <c r="E685" s="318"/>
      <c r="G685" s="213"/>
      <c r="I685" s="213"/>
      <c r="K685" s="213"/>
      <c r="L685" s="318"/>
      <c r="M685" s="318"/>
      <c r="Q685" s="225"/>
      <c r="R685" s="225"/>
    </row>
    <row r="686" spans="5:18">
      <c r="E686" s="318"/>
      <c r="G686" s="213"/>
      <c r="I686" s="213"/>
      <c r="K686" s="213"/>
      <c r="L686" s="318"/>
      <c r="M686" s="318"/>
      <c r="Q686" s="225"/>
      <c r="R686" s="225"/>
    </row>
    <row r="687" spans="5:18">
      <c r="E687" s="318"/>
      <c r="G687" s="213"/>
      <c r="I687" s="213"/>
      <c r="K687" s="213"/>
      <c r="L687" s="318"/>
      <c r="M687" s="318"/>
      <c r="Q687" s="225"/>
      <c r="R687" s="225"/>
    </row>
    <row r="688" spans="5:18">
      <c r="E688" s="318"/>
      <c r="G688" s="213"/>
      <c r="I688" s="213"/>
      <c r="K688" s="213"/>
      <c r="L688" s="318"/>
      <c r="M688" s="318"/>
      <c r="Q688" s="225"/>
      <c r="R688" s="225"/>
    </row>
    <row r="689" spans="5:18">
      <c r="E689" s="318"/>
      <c r="G689" s="213"/>
      <c r="I689" s="213"/>
      <c r="K689" s="213"/>
      <c r="L689" s="318"/>
      <c r="M689" s="318"/>
      <c r="Q689" s="225"/>
      <c r="R689" s="225"/>
    </row>
    <row r="690" spans="5:18">
      <c r="E690" s="318"/>
      <c r="G690" s="213"/>
      <c r="I690" s="213"/>
      <c r="K690" s="213"/>
      <c r="L690" s="318"/>
      <c r="M690" s="318"/>
      <c r="Q690" s="225"/>
      <c r="R690" s="225"/>
    </row>
    <row r="691" spans="5:18">
      <c r="E691" s="318"/>
      <c r="G691" s="213"/>
      <c r="I691" s="213"/>
      <c r="K691" s="213"/>
      <c r="L691" s="318"/>
      <c r="M691" s="318"/>
      <c r="Q691" s="225"/>
      <c r="R691" s="225"/>
    </row>
    <row r="692" spans="5:18">
      <c r="E692" s="318"/>
      <c r="G692" s="213"/>
      <c r="I692" s="213"/>
      <c r="K692" s="213"/>
      <c r="L692" s="318"/>
      <c r="M692" s="318"/>
      <c r="Q692" s="225"/>
      <c r="R692" s="225"/>
    </row>
    <row r="693" spans="5:18">
      <c r="E693" s="318"/>
      <c r="G693" s="213"/>
      <c r="I693" s="213"/>
      <c r="K693" s="213"/>
      <c r="L693" s="318"/>
      <c r="M693" s="318"/>
      <c r="Q693" s="225"/>
      <c r="R693" s="225"/>
    </row>
    <row r="694" spans="5:18">
      <c r="E694" s="318"/>
      <c r="G694" s="213"/>
      <c r="I694" s="213"/>
      <c r="K694" s="213"/>
      <c r="L694" s="318"/>
      <c r="M694" s="318"/>
      <c r="Q694" s="225"/>
      <c r="R694" s="225"/>
    </row>
    <row r="695" spans="5:18">
      <c r="E695" s="318"/>
      <c r="G695" s="213"/>
      <c r="I695" s="213"/>
      <c r="K695" s="213"/>
      <c r="L695" s="318"/>
      <c r="M695" s="318"/>
      <c r="Q695" s="225"/>
      <c r="R695" s="225"/>
    </row>
    <row r="696" spans="5:18">
      <c r="E696" s="318"/>
      <c r="G696" s="213"/>
      <c r="I696" s="213"/>
      <c r="K696" s="213"/>
      <c r="L696" s="318"/>
      <c r="M696" s="318"/>
      <c r="Q696" s="225"/>
      <c r="R696" s="225"/>
    </row>
    <row r="697" spans="5:18">
      <c r="E697" s="318"/>
      <c r="G697" s="213"/>
      <c r="I697" s="213"/>
      <c r="K697" s="213"/>
      <c r="L697" s="318"/>
      <c r="M697" s="318"/>
      <c r="Q697" s="225"/>
      <c r="R697" s="225"/>
    </row>
    <row r="698" spans="5:18">
      <c r="E698" s="318"/>
      <c r="G698" s="213"/>
      <c r="I698" s="213"/>
      <c r="K698" s="213"/>
      <c r="L698" s="318"/>
      <c r="M698" s="318"/>
      <c r="Q698" s="225"/>
      <c r="R698" s="225"/>
    </row>
    <row r="699" spans="5:18">
      <c r="E699" s="318"/>
      <c r="G699" s="213"/>
      <c r="I699" s="213"/>
      <c r="K699" s="213"/>
      <c r="L699" s="318"/>
      <c r="M699" s="318"/>
      <c r="Q699" s="225"/>
      <c r="R699" s="225"/>
    </row>
    <row r="700" spans="5:18">
      <c r="E700" s="318"/>
      <c r="G700" s="213"/>
      <c r="I700" s="213"/>
      <c r="K700" s="213"/>
      <c r="L700" s="318"/>
      <c r="M700" s="318"/>
      <c r="Q700" s="225"/>
      <c r="R700" s="225"/>
    </row>
    <row r="701" spans="5:18">
      <c r="E701" s="318"/>
      <c r="G701" s="213"/>
      <c r="I701" s="213"/>
      <c r="K701" s="213"/>
      <c r="L701" s="318"/>
      <c r="M701" s="318"/>
      <c r="Q701" s="225"/>
      <c r="R701" s="225"/>
    </row>
    <row r="702" spans="5:18">
      <c r="E702" s="318"/>
      <c r="G702" s="213"/>
      <c r="I702" s="213"/>
      <c r="K702" s="213"/>
      <c r="L702" s="318"/>
      <c r="M702" s="318"/>
      <c r="Q702" s="225"/>
      <c r="R702" s="225"/>
    </row>
    <row r="703" spans="5:18">
      <c r="E703" s="318"/>
      <c r="G703" s="213"/>
      <c r="I703" s="213"/>
      <c r="K703" s="213"/>
      <c r="L703" s="318"/>
      <c r="M703" s="318"/>
      <c r="Q703" s="225"/>
      <c r="R703" s="225"/>
    </row>
    <row r="704" spans="5:18">
      <c r="E704" s="318"/>
      <c r="G704" s="213"/>
      <c r="I704" s="213"/>
      <c r="K704" s="213"/>
      <c r="L704" s="318"/>
      <c r="M704" s="318"/>
      <c r="Q704" s="225"/>
      <c r="R704" s="225"/>
    </row>
    <row r="705" spans="5:18">
      <c r="E705" s="318"/>
      <c r="G705" s="213"/>
      <c r="I705" s="213"/>
      <c r="K705" s="213"/>
      <c r="L705" s="318"/>
      <c r="M705" s="318"/>
      <c r="Q705" s="225"/>
      <c r="R705" s="225"/>
    </row>
    <row r="706" spans="5:18">
      <c r="E706" s="318"/>
      <c r="G706" s="213"/>
      <c r="I706" s="213"/>
      <c r="K706" s="213"/>
      <c r="L706" s="318"/>
      <c r="M706" s="318"/>
      <c r="Q706" s="225"/>
      <c r="R706" s="225"/>
    </row>
    <row r="707" spans="5:18">
      <c r="E707" s="318"/>
      <c r="G707" s="213"/>
      <c r="I707" s="213"/>
      <c r="K707" s="213"/>
      <c r="L707" s="318"/>
      <c r="M707" s="318"/>
      <c r="Q707" s="225"/>
      <c r="R707" s="225"/>
    </row>
    <row r="708" spans="5:18">
      <c r="E708" s="318"/>
      <c r="G708" s="213"/>
      <c r="I708" s="213"/>
      <c r="K708" s="213"/>
      <c r="L708" s="318"/>
      <c r="M708" s="318"/>
      <c r="Q708" s="225"/>
      <c r="R708" s="225"/>
    </row>
    <row r="709" spans="5:18">
      <c r="E709" s="318"/>
      <c r="G709" s="213"/>
      <c r="I709" s="213"/>
      <c r="K709" s="213"/>
      <c r="L709" s="318"/>
      <c r="M709" s="318"/>
      <c r="Q709" s="225"/>
      <c r="R709" s="225"/>
    </row>
    <row r="710" spans="5:18">
      <c r="E710" s="318"/>
      <c r="G710" s="213"/>
      <c r="I710" s="213"/>
      <c r="K710" s="213"/>
      <c r="L710" s="318"/>
      <c r="M710" s="318"/>
      <c r="Q710" s="225"/>
      <c r="R710" s="225"/>
    </row>
    <row r="711" spans="5:18">
      <c r="E711" s="318"/>
      <c r="G711" s="213"/>
      <c r="I711" s="213"/>
      <c r="K711" s="213"/>
      <c r="L711" s="318"/>
      <c r="M711" s="318"/>
      <c r="Q711" s="225"/>
      <c r="R711" s="225"/>
    </row>
    <row r="712" spans="5:18">
      <c r="E712" s="318"/>
      <c r="G712" s="213"/>
      <c r="I712" s="213"/>
      <c r="K712" s="213"/>
      <c r="L712" s="318"/>
      <c r="M712" s="318"/>
      <c r="Q712" s="225"/>
      <c r="R712" s="225"/>
    </row>
    <row r="713" spans="5:18">
      <c r="E713" s="318"/>
      <c r="G713" s="213"/>
      <c r="I713" s="213"/>
      <c r="K713" s="213"/>
      <c r="L713" s="318"/>
      <c r="M713" s="318"/>
      <c r="Q713" s="225"/>
      <c r="R713" s="225"/>
    </row>
    <row r="714" spans="5:18">
      <c r="E714" s="318"/>
      <c r="G714" s="213"/>
      <c r="I714" s="213"/>
      <c r="K714" s="213"/>
      <c r="L714" s="318"/>
      <c r="M714" s="318"/>
      <c r="Q714" s="225"/>
      <c r="R714" s="225"/>
    </row>
    <row r="715" spans="5:18">
      <c r="E715" s="318"/>
      <c r="G715" s="213"/>
      <c r="I715" s="213"/>
      <c r="K715" s="213"/>
      <c r="L715" s="318"/>
      <c r="M715" s="318"/>
      <c r="Q715" s="225"/>
      <c r="R715" s="225"/>
    </row>
    <row r="716" spans="5:18">
      <c r="E716" s="318"/>
      <c r="G716" s="213"/>
      <c r="I716" s="213"/>
      <c r="K716" s="213"/>
      <c r="L716" s="318"/>
      <c r="M716" s="318"/>
      <c r="Q716" s="225"/>
      <c r="R716" s="225"/>
    </row>
    <row r="717" spans="5:18">
      <c r="E717" s="318"/>
      <c r="G717" s="213"/>
      <c r="I717" s="213"/>
      <c r="K717" s="213"/>
      <c r="L717" s="318"/>
      <c r="M717" s="318"/>
      <c r="Q717" s="225"/>
      <c r="R717" s="225"/>
    </row>
    <row r="718" spans="5:18">
      <c r="E718" s="318"/>
      <c r="G718" s="213"/>
      <c r="I718" s="213"/>
      <c r="K718" s="213"/>
      <c r="L718" s="318"/>
      <c r="M718" s="318"/>
      <c r="Q718" s="225"/>
      <c r="R718" s="225"/>
    </row>
    <row r="719" spans="5:18">
      <c r="E719" s="318"/>
      <c r="G719" s="213"/>
      <c r="I719" s="213"/>
      <c r="K719" s="213"/>
      <c r="L719" s="318"/>
      <c r="M719" s="318"/>
      <c r="Q719" s="225"/>
      <c r="R719" s="225"/>
    </row>
    <row r="720" spans="5:18">
      <c r="E720" s="318"/>
      <c r="G720" s="213"/>
      <c r="I720" s="213"/>
      <c r="K720" s="213"/>
      <c r="L720" s="318"/>
      <c r="M720" s="318"/>
      <c r="Q720" s="225"/>
      <c r="R720" s="225"/>
    </row>
    <row r="721" spans="5:18">
      <c r="E721" s="318"/>
      <c r="G721" s="213"/>
      <c r="I721" s="213"/>
      <c r="K721" s="213"/>
      <c r="L721" s="318"/>
      <c r="M721" s="318"/>
      <c r="Q721" s="225"/>
      <c r="R721" s="225"/>
    </row>
    <row r="722" spans="5:18">
      <c r="E722" s="318"/>
      <c r="G722" s="213"/>
      <c r="I722" s="213"/>
      <c r="K722" s="213"/>
      <c r="L722" s="318"/>
      <c r="M722" s="318"/>
      <c r="Q722" s="225"/>
      <c r="R722" s="225"/>
    </row>
    <row r="723" spans="5:18">
      <c r="E723" s="318"/>
      <c r="G723" s="213"/>
      <c r="I723" s="213"/>
      <c r="K723" s="213"/>
      <c r="L723" s="318"/>
      <c r="M723" s="318"/>
      <c r="Q723" s="225"/>
      <c r="R723" s="225"/>
    </row>
    <row r="724" spans="5:18">
      <c r="E724" s="318"/>
      <c r="G724" s="213"/>
      <c r="I724" s="213"/>
      <c r="K724" s="213"/>
      <c r="L724" s="318"/>
      <c r="M724" s="318"/>
      <c r="Q724" s="225"/>
      <c r="R724" s="225"/>
    </row>
    <row r="725" spans="5:18">
      <c r="E725" s="318"/>
      <c r="G725" s="213"/>
      <c r="I725" s="213"/>
      <c r="K725" s="213"/>
      <c r="L725" s="318"/>
      <c r="M725" s="318"/>
      <c r="Q725" s="225"/>
      <c r="R725" s="225"/>
    </row>
    <row r="726" spans="5:18">
      <c r="E726" s="318"/>
      <c r="G726" s="213"/>
      <c r="I726" s="213"/>
      <c r="K726" s="213"/>
      <c r="L726" s="318"/>
      <c r="M726" s="318"/>
      <c r="Q726" s="225"/>
      <c r="R726" s="225"/>
    </row>
    <row r="727" spans="5:18">
      <c r="E727" s="318"/>
      <c r="G727" s="213"/>
      <c r="I727" s="213"/>
      <c r="K727" s="213"/>
      <c r="L727" s="318"/>
      <c r="M727" s="318"/>
      <c r="Q727" s="225"/>
      <c r="R727" s="225"/>
    </row>
    <row r="728" spans="5:18">
      <c r="E728" s="318"/>
      <c r="G728" s="213"/>
      <c r="I728" s="213"/>
      <c r="K728" s="213"/>
      <c r="L728" s="318"/>
      <c r="M728" s="318"/>
      <c r="Q728" s="225"/>
      <c r="R728" s="225"/>
    </row>
    <row r="729" spans="5:18">
      <c r="E729" s="318"/>
      <c r="G729" s="213"/>
      <c r="I729" s="213"/>
      <c r="K729" s="213"/>
      <c r="L729" s="318"/>
      <c r="M729" s="318"/>
      <c r="Q729" s="225"/>
      <c r="R729" s="225"/>
    </row>
    <row r="730" spans="5:18">
      <c r="E730" s="318"/>
      <c r="G730" s="213"/>
      <c r="I730" s="213"/>
      <c r="K730" s="213"/>
      <c r="L730" s="318"/>
      <c r="M730" s="318"/>
      <c r="Q730" s="225"/>
      <c r="R730" s="225"/>
    </row>
    <row r="731" spans="5:18">
      <c r="E731" s="318"/>
      <c r="G731" s="213"/>
      <c r="I731" s="213"/>
      <c r="K731" s="213"/>
      <c r="L731" s="318"/>
      <c r="M731" s="318"/>
      <c r="Q731" s="225"/>
      <c r="R731" s="225"/>
    </row>
    <row r="732" spans="5:18">
      <c r="E732" s="318"/>
      <c r="G732" s="213"/>
      <c r="I732" s="213"/>
      <c r="K732" s="213"/>
      <c r="L732" s="318"/>
      <c r="M732" s="318"/>
      <c r="Q732" s="225"/>
      <c r="R732" s="225"/>
    </row>
    <row r="733" spans="5:18">
      <c r="E733" s="318"/>
      <c r="G733" s="213"/>
      <c r="I733" s="213"/>
      <c r="K733" s="213"/>
      <c r="L733" s="318"/>
      <c r="M733" s="318"/>
      <c r="Q733" s="225"/>
      <c r="R733" s="225"/>
    </row>
    <row r="734" spans="5:18">
      <c r="E734" s="318"/>
      <c r="G734" s="213"/>
      <c r="I734" s="213"/>
      <c r="K734" s="213"/>
      <c r="L734" s="318"/>
      <c r="M734" s="318"/>
      <c r="Q734" s="225"/>
      <c r="R734" s="225"/>
    </row>
    <row r="735" spans="5:18">
      <c r="E735" s="318"/>
      <c r="G735" s="213"/>
      <c r="I735" s="213"/>
      <c r="K735" s="213"/>
      <c r="L735" s="318"/>
      <c r="M735" s="318"/>
      <c r="Q735" s="225"/>
      <c r="R735" s="225"/>
    </row>
    <row r="736" spans="5:18">
      <c r="E736" s="318"/>
      <c r="G736" s="213"/>
      <c r="I736" s="213"/>
      <c r="K736" s="213"/>
      <c r="L736" s="318"/>
      <c r="M736" s="318"/>
      <c r="Q736" s="225"/>
      <c r="R736" s="225"/>
    </row>
    <row r="737" spans="5:18">
      <c r="E737" s="318"/>
      <c r="G737" s="213"/>
      <c r="I737" s="213"/>
      <c r="K737" s="213"/>
      <c r="L737" s="318"/>
      <c r="M737" s="318"/>
      <c r="Q737" s="225"/>
      <c r="R737" s="225"/>
    </row>
    <row r="738" spans="5:18">
      <c r="E738" s="318"/>
      <c r="G738" s="213"/>
      <c r="I738" s="213"/>
      <c r="K738" s="213"/>
      <c r="L738" s="318"/>
      <c r="M738" s="318"/>
      <c r="Q738" s="225"/>
      <c r="R738" s="225"/>
    </row>
    <row r="739" spans="5:18">
      <c r="E739" s="318"/>
      <c r="G739" s="213"/>
      <c r="I739" s="213"/>
      <c r="K739" s="213"/>
      <c r="L739" s="318"/>
      <c r="M739" s="318"/>
      <c r="Q739" s="225"/>
      <c r="R739" s="225"/>
    </row>
    <row r="740" spans="5:18">
      <c r="E740" s="318"/>
      <c r="G740" s="213"/>
      <c r="I740" s="213"/>
      <c r="K740" s="213"/>
      <c r="L740" s="318"/>
      <c r="M740" s="318"/>
      <c r="Q740" s="225"/>
      <c r="R740" s="225"/>
    </row>
    <row r="741" spans="5:18">
      <c r="E741" s="318"/>
      <c r="G741" s="213"/>
      <c r="I741" s="213"/>
      <c r="K741" s="213"/>
      <c r="L741" s="318"/>
      <c r="M741" s="318"/>
      <c r="Q741" s="225"/>
      <c r="R741" s="225"/>
    </row>
    <row r="742" spans="5:18">
      <c r="E742" s="318"/>
      <c r="G742" s="213"/>
      <c r="I742" s="213"/>
      <c r="K742" s="213"/>
      <c r="L742" s="318"/>
      <c r="M742" s="318"/>
      <c r="Q742" s="225"/>
      <c r="R742" s="225"/>
    </row>
    <row r="743" spans="5:18">
      <c r="E743" s="318"/>
      <c r="G743" s="213"/>
      <c r="I743" s="213"/>
      <c r="K743" s="213"/>
      <c r="L743" s="318"/>
      <c r="M743" s="318"/>
      <c r="Q743" s="225"/>
      <c r="R743" s="225"/>
    </row>
    <row r="744" spans="5:18">
      <c r="E744" s="318"/>
      <c r="G744" s="213"/>
      <c r="I744" s="213"/>
      <c r="K744" s="213"/>
      <c r="L744" s="318"/>
      <c r="M744" s="318"/>
      <c r="Q744" s="225"/>
      <c r="R744" s="225"/>
    </row>
    <row r="745" spans="5:18">
      <c r="E745" s="318"/>
      <c r="G745" s="213"/>
      <c r="I745" s="213"/>
      <c r="K745" s="213"/>
      <c r="L745" s="318"/>
      <c r="M745" s="318"/>
      <c r="Q745" s="225"/>
      <c r="R745" s="225"/>
    </row>
    <row r="746" spans="5:18">
      <c r="E746" s="318"/>
      <c r="G746" s="213"/>
      <c r="I746" s="213"/>
      <c r="K746" s="213"/>
      <c r="L746" s="318"/>
      <c r="M746" s="318"/>
      <c r="Q746" s="225"/>
      <c r="R746" s="225"/>
    </row>
    <row r="747" spans="5:18">
      <c r="E747" s="318"/>
      <c r="G747" s="213"/>
      <c r="I747" s="213"/>
      <c r="K747" s="213"/>
      <c r="L747" s="318"/>
      <c r="M747" s="318"/>
      <c r="Q747" s="225"/>
      <c r="R747" s="225"/>
    </row>
    <row r="748" spans="5:18">
      <c r="E748" s="318"/>
      <c r="G748" s="213"/>
      <c r="I748" s="213"/>
      <c r="K748" s="213"/>
      <c r="L748" s="318"/>
      <c r="M748" s="318"/>
      <c r="Q748" s="225"/>
      <c r="R748" s="225"/>
    </row>
    <row r="749" spans="5:18">
      <c r="E749" s="318"/>
      <c r="G749" s="213"/>
      <c r="I749" s="213"/>
      <c r="K749" s="213"/>
      <c r="L749" s="318"/>
      <c r="M749" s="318"/>
      <c r="Q749" s="225"/>
      <c r="R749" s="225"/>
    </row>
    <row r="750" spans="5:18">
      <c r="E750" s="318"/>
      <c r="G750" s="213"/>
      <c r="I750" s="213"/>
      <c r="K750" s="213"/>
      <c r="L750" s="318"/>
      <c r="M750" s="318"/>
      <c r="Q750" s="225"/>
      <c r="R750" s="225"/>
    </row>
    <row r="751" spans="5:18">
      <c r="E751" s="318"/>
      <c r="G751" s="213"/>
      <c r="I751" s="213"/>
      <c r="K751" s="213"/>
      <c r="L751" s="318"/>
      <c r="M751" s="318"/>
      <c r="Q751" s="225"/>
      <c r="R751" s="225"/>
    </row>
    <row r="752" spans="5:18">
      <c r="E752" s="318"/>
      <c r="G752" s="213"/>
      <c r="I752" s="213"/>
      <c r="K752" s="213"/>
      <c r="L752" s="318"/>
      <c r="M752" s="318"/>
      <c r="Q752" s="225"/>
      <c r="R752" s="225"/>
    </row>
    <row r="753" spans="5:18">
      <c r="E753" s="318"/>
      <c r="G753" s="213"/>
      <c r="I753" s="213"/>
      <c r="K753" s="213"/>
      <c r="L753" s="318"/>
      <c r="M753" s="318"/>
      <c r="Q753" s="225"/>
      <c r="R753" s="225"/>
    </row>
    <row r="754" spans="5:18">
      <c r="E754" s="318"/>
      <c r="G754" s="213"/>
      <c r="I754" s="213"/>
      <c r="K754" s="213"/>
      <c r="L754" s="318"/>
      <c r="M754" s="318"/>
      <c r="Q754" s="225"/>
      <c r="R754" s="225"/>
    </row>
    <row r="755" spans="5:18">
      <c r="E755" s="318"/>
      <c r="G755" s="213"/>
      <c r="I755" s="213"/>
      <c r="K755" s="213"/>
      <c r="L755" s="318"/>
      <c r="M755" s="318"/>
      <c r="Q755" s="225"/>
      <c r="R755" s="225"/>
    </row>
    <row r="756" spans="5:18">
      <c r="E756" s="318"/>
      <c r="G756" s="213"/>
      <c r="I756" s="213"/>
      <c r="K756" s="213"/>
      <c r="L756" s="318"/>
      <c r="M756" s="318"/>
      <c r="Q756" s="225"/>
      <c r="R756" s="225"/>
    </row>
    <row r="757" spans="5:18">
      <c r="E757" s="318"/>
      <c r="G757" s="213"/>
      <c r="I757" s="213"/>
      <c r="K757" s="213"/>
      <c r="L757" s="318"/>
      <c r="M757" s="318"/>
      <c r="Q757" s="225"/>
      <c r="R757" s="225"/>
    </row>
    <row r="758" spans="5:18">
      <c r="E758" s="318"/>
      <c r="G758" s="213"/>
      <c r="I758" s="213"/>
      <c r="K758" s="213"/>
      <c r="L758" s="318"/>
      <c r="M758" s="318"/>
      <c r="Q758" s="225"/>
      <c r="R758" s="225"/>
    </row>
    <row r="759" spans="5:18">
      <c r="E759" s="318"/>
      <c r="G759" s="213"/>
      <c r="I759" s="213"/>
      <c r="K759" s="213"/>
      <c r="L759" s="318"/>
      <c r="M759" s="318"/>
      <c r="Q759" s="225"/>
      <c r="R759" s="225"/>
    </row>
    <row r="760" spans="5:18">
      <c r="E760" s="318"/>
      <c r="G760" s="213"/>
      <c r="I760" s="213"/>
      <c r="K760" s="213"/>
      <c r="L760" s="318"/>
      <c r="M760" s="318"/>
      <c r="Q760" s="225"/>
      <c r="R760" s="225"/>
    </row>
    <row r="761" spans="5:18">
      <c r="E761" s="318"/>
      <c r="G761" s="213"/>
      <c r="I761" s="213"/>
      <c r="K761" s="213"/>
      <c r="L761" s="318"/>
      <c r="M761" s="318"/>
      <c r="Q761" s="225"/>
      <c r="R761" s="225"/>
    </row>
    <row r="762" spans="5:18">
      <c r="E762" s="318"/>
      <c r="G762" s="213"/>
      <c r="I762" s="213"/>
      <c r="K762" s="213"/>
      <c r="L762" s="318"/>
      <c r="M762" s="318"/>
      <c r="Q762" s="225"/>
      <c r="R762" s="225"/>
    </row>
    <row r="763" spans="5:18">
      <c r="E763" s="318"/>
      <c r="G763" s="213"/>
      <c r="I763" s="213"/>
      <c r="K763" s="213"/>
      <c r="L763" s="318"/>
      <c r="M763" s="318"/>
      <c r="Q763" s="225"/>
      <c r="R763" s="225"/>
    </row>
    <row r="764" spans="5:18">
      <c r="E764" s="318"/>
      <c r="G764" s="213"/>
      <c r="I764" s="213"/>
      <c r="K764" s="213"/>
      <c r="L764" s="318"/>
      <c r="M764" s="318"/>
      <c r="Q764" s="225"/>
      <c r="R764" s="225"/>
    </row>
    <row r="765" spans="5:18">
      <c r="E765" s="318"/>
      <c r="G765" s="213"/>
      <c r="I765" s="213"/>
      <c r="K765" s="213"/>
      <c r="L765" s="318"/>
      <c r="M765" s="318"/>
      <c r="Q765" s="225"/>
      <c r="R765" s="225"/>
    </row>
    <row r="766" spans="5:18">
      <c r="E766" s="318"/>
      <c r="G766" s="213"/>
      <c r="I766" s="213"/>
      <c r="K766" s="213"/>
      <c r="L766" s="318"/>
      <c r="M766" s="318"/>
      <c r="Q766" s="225"/>
      <c r="R766" s="225"/>
    </row>
    <row r="767" spans="5:18">
      <c r="E767" s="318"/>
      <c r="G767" s="213"/>
      <c r="I767" s="213"/>
      <c r="K767" s="213"/>
      <c r="L767" s="318"/>
      <c r="M767" s="318"/>
      <c r="Q767" s="225"/>
      <c r="R767" s="225"/>
    </row>
    <row r="768" spans="5:18">
      <c r="E768" s="318"/>
      <c r="G768" s="213"/>
      <c r="I768" s="213"/>
      <c r="K768" s="213"/>
      <c r="L768" s="318"/>
      <c r="M768" s="318"/>
      <c r="Q768" s="225"/>
      <c r="R768" s="225"/>
    </row>
    <row r="769" spans="5:18">
      <c r="E769" s="318"/>
      <c r="G769" s="213"/>
      <c r="I769" s="213"/>
      <c r="K769" s="213"/>
      <c r="L769" s="318"/>
      <c r="M769" s="318"/>
      <c r="Q769" s="225"/>
      <c r="R769" s="225"/>
    </row>
    <row r="770" spans="5:18">
      <c r="E770" s="318"/>
      <c r="G770" s="213"/>
      <c r="I770" s="213"/>
      <c r="K770" s="213"/>
      <c r="L770" s="318"/>
      <c r="M770" s="318"/>
      <c r="Q770" s="225"/>
      <c r="R770" s="225"/>
    </row>
    <row r="771" spans="5:18">
      <c r="E771" s="318"/>
      <c r="G771" s="213"/>
      <c r="I771" s="213"/>
      <c r="K771" s="213"/>
      <c r="L771" s="318"/>
      <c r="M771" s="318"/>
      <c r="Q771" s="225"/>
      <c r="R771" s="225"/>
    </row>
    <row r="772" spans="5:18">
      <c r="E772" s="318"/>
      <c r="G772" s="213"/>
      <c r="I772" s="213"/>
      <c r="K772" s="213"/>
      <c r="L772" s="318"/>
      <c r="M772" s="318"/>
      <c r="Q772" s="225"/>
      <c r="R772" s="225"/>
    </row>
    <row r="773" spans="5:18">
      <c r="E773" s="318"/>
      <c r="G773" s="213"/>
      <c r="I773" s="213"/>
      <c r="K773" s="213"/>
      <c r="L773" s="318"/>
      <c r="M773" s="318"/>
      <c r="Q773" s="225"/>
      <c r="R773" s="225"/>
    </row>
    <row r="774" spans="5:18">
      <c r="E774" s="318"/>
      <c r="G774" s="213"/>
      <c r="I774" s="213"/>
      <c r="K774" s="213"/>
      <c r="L774" s="318"/>
      <c r="M774" s="318"/>
      <c r="Q774" s="225"/>
      <c r="R774" s="225"/>
    </row>
    <row r="775" spans="5:18">
      <c r="E775" s="318"/>
      <c r="G775" s="213"/>
      <c r="I775" s="213"/>
      <c r="K775" s="213"/>
      <c r="L775" s="318"/>
      <c r="M775" s="318"/>
      <c r="Q775" s="225"/>
      <c r="R775" s="225"/>
    </row>
    <row r="776" spans="5:18">
      <c r="E776" s="318"/>
      <c r="G776" s="213"/>
      <c r="I776" s="213"/>
      <c r="K776" s="213"/>
      <c r="L776" s="318"/>
      <c r="M776" s="318"/>
      <c r="Q776" s="225"/>
      <c r="R776" s="225"/>
    </row>
    <row r="777" spans="5:18">
      <c r="E777" s="318"/>
      <c r="G777" s="213"/>
      <c r="I777" s="213"/>
      <c r="K777" s="213"/>
      <c r="L777" s="318"/>
      <c r="M777" s="318"/>
      <c r="Q777" s="225"/>
      <c r="R777" s="225"/>
    </row>
    <row r="778" spans="5:18">
      <c r="E778" s="318"/>
      <c r="G778" s="213"/>
      <c r="I778" s="213"/>
      <c r="K778" s="213"/>
      <c r="L778" s="318"/>
      <c r="M778" s="318"/>
      <c r="Q778" s="225"/>
      <c r="R778" s="225"/>
    </row>
    <row r="779" spans="5:18">
      <c r="E779" s="318"/>
      <c r="G779" s="213"/>
      <c r="I779" s="213"/>
      <c r="K779" s="213"/>
      <c r="L779" s="318"/>
      <c r="M779" s="318"/>
      <c r="Q779" s="225"/>
      <c r="R779" s="225"/>
    </row>
    <row r="780" spans="5:18">
      <c r="E780" s="318"/>
      <c r="G780" s="213"/>
      <c r="I780" s="213"/>
      <c r="K780" s="213"/>
      <c r="L780" s="318"/>
      <c r="M780" s="318"/>
      <c r="Q780" s="225"/>
      <c r="R780" s="225"/>
    </row>
    <row r="781" spans="5:18">
      <c r="E781" s="318"/>
      <c r="G781" s="213"/>
      <c r="I781" s="213"/>
      <c r="K781" s="213"/>
      <c r="L781" s="318"/>
      <c r="M781" s="318"/>
      <c r="Q781" s="225"/>
      <c r="R781" s="225"/>
    </row>
    <row r="782" spans="5:18">
      <c r="E782" s="318"/>
      <c r="G782" s="213"/>
      <c r="I782" s="213"/>
      <c r="K782" s="213"/>
      <c r="L782" s="318"/>
      <c r="M782" s="318"/>
      <c r="Q782" s="225"/>
      <c r="R782" s="225"/>
    </row>
    <row r="783" spans="5:18">
      <c r="E783" s="318"/>
      <c r="G783" s="213"/>
      <c r="I783" s="213"/>
      <c r="K783" s="213"/>
      <c r="L783" s="318"/>
      <c r="M783" s="318"/>
      <c r="Q783" s="225"/>
      <c r="R783" s="225"/>
    </row>
    <row r="784" spans="5:18">
      <c r="E784" s="318"/>
      <c r="G784" s="213"/>
      <c r="I784" s="213"/>
      <c r="K784" s="213"/>
      <c r="L784" s="318"/>
      <c r="M784" s="318"/>
      <c r="Q784" s="225"/>
      <c r="R784" s="225"/>
    </row>
    <row r="785" spans="5:18">
      <c r="E785" s="318"/>
      <c r="G785" s="213"/>
      <c r="I785" s="213"/>
      <c r="K785" s="213"/>
      <c r="L785" s="318"/>
      <c r="M785" s="318"/>
      <c r="Q785" s="225"/>
      <c r="R785" s="225"/>
    </row>
    <row r="786" spans="5:18">
      <c r="E786" s="318"/>
      <c r="G786" s="213"/>
      <c r="I786" s="213"/>
      <c r="K786" s="213"/>
      <c r="L786" s="318"/>
      <c r="M786" s="318"/>
      <c r="Q786" s="225"/>
      <c r="R786" s="225"/>
    </row>
    <row r="787" spans="5:18">
      <c r="E787" s="318"/>
      <c r="G787" s="213"/>
      <c r="I787" s="213"/>
      <c r="K787" s="213"/>
      <c r="L787" s="318"/>
      <c r="M787" s="318"/>
      <c r="Q787" s="225"/>
      <c r="R787" s="225"/>
    </row>
    <row r="788" spans="5:18">
      <c r="E788" s="318"/>
      <c r="G788" s="213"/>
      <c r="I788" s="213"/>
      <c r="K788" s="213"/>
      <c r="L788" s="318"/>
      <c r="M788" s="318"/>
      <c r="Q788" s="225"/>
      <c r="R788" s="225"/>
    </row>
    <row r="789" spans="5:18">
      <c r="E789" s="318"/>
      <c r="G789" s="213"/>
      <c r="I789" s="213"/>
      <c r="K789" s="213"/>
      <c r="L789" s="318"/>
      <c r="M789" s="318"/>
      <c r="Q789" s="225"/>
      <c r="R789" s="225"/>
    </row>
    <row r="790" spans="5:18">
      <c r="E790" s="318"/>
      <c r="G790" s="213"/>
      <c r="I790" s="213"/>
      <c r="K790" s="213"/>
      <c r="L790" s="318"/>
      <c r="M790" s="318"/>
      <c r="Q790" s="225"/>
      <c r="R790" s="225"/>
    </row>
    <row r="791" spans="5:18">
      <c r="E791" s="318"/>
      <c r="G791" s="213"/>
      <c r="I791" s="213"/>
      <c r="K791" s="213"/>
      <c r="L791" s="318"/>
      <c r="M791" s="318"/>
      <c r="Q791" s="225"/>
      <c r="R791" s="225"/>
    </row>
    <row r="792" spans="5:18">
      <c r="E792" s="318"/>
      <c r="G792" s="213"/>
      <c r="I792" s="213"/>
      <c r="K792" s="213"/>
      <c r="L792" s="318"/>
      <c r="M792" s="318"/>
      <c r="Q792" s="225"/>
      <c r="R792" s="225"/>
    </row>
    <row r="793" spans="5:18">
      <c r="E793" s="318"/>
      <c r="G793" s="213"/>
      <c r="I793" s="213"/>
      <c r="K793" s="213"/>
      <c r="L793" s="318"/>
      <c r="M793" s="318"/>
      <c r="Q793" s="225"/>
      <c r="R793" s="225"/>
    </row>
    <row r="794" spans="5:18">
      <c r="E794" s="318"/>
      <c r="G794" s="213"/>
      <c r="I794" s="213"/>
      <c r="K794" s="213"/>
      <c r="L794" s="318"/>
      <c r="M794" s="318"/>
      <c r="Q794" s="225"/>
      <c r="R794" s="225"/>
    </row>
    <row r="795" spans="5:18">
      <c r="E795" s="318"/>
      <c r="G795" s="213"/>
      <c r="I795" s="213"/>
      <c r="K795" s="213"/>
      <c r="L795" s="318"/>
      <c r="M795" s="318"/>
      <c r="Q795" s="225"/>
      <c r="R795" s="225"/>
    </row>
    <row r="796" spans="5:18">
      <c r="E796" s="318"/>
      <c r="G796" s="213"/>
      <c r="I796" s="213"/>
      <c r="K796" s="213"/>
      <c r="L796" s="318"/>
      <c r="M796" s="318"/>
      <c r="Q796" s="225"/>
      <c r="R796" s="225"/>
    </row>
    <row r="797" spans="5:18">
      <c r="E797" s="318"/>
      <c r="G797" s="213"/>
      <c r="I797" s="213"/>
      <c r="K797" s="213"/>
      <c r="L797" s="318"/>
      <c r="M797" s="318"/>
      <c r="Q797" s="225"/>
      <c r="R797" s="225"/>
    </row>
    <row r="798" spans="5:18">
      <c r="E798" s="318"/>
      <c r="G798" s="213"/>
      <c r="I798" s="213"/>
      <c r="K798" s="213"/>
      <c r="L798" s="318"/>
      <c r="M798" s="318"/>
      <c r="Q798" s="225"/>
      <c r="R798" s="225"/>
    </row>
    <row r="799" spans="5:18">
      <c r="E799" s="318"/>
      <c r="G799" s="213"/>
      <c r="I799" s="213"/>
      <c r="K799" s="213"/>
      <c r="L799" s="318"/>
      <c r="M799" s="318"/>
      <c r="Q799" s="225"/>
      <c r="R799" s="225"/>
    </row>
    <row r="800" spans="5:18">
      <c r="E800" s="318"/>
      <c r="G800" s="213"/>
      <c r="I800" s="213"/>
      <c r="K800" s="213"/>
      <c r="L800" s="318"/>
      <c r="M800" s="318"/>
      <c r="Q800" s="225"/>
      <c r="R800" s="225"/>
    </row>
    <row r="801" spans="5:18">
      <c r="E801" s="318"/>
      <c r="G801" s="213"/>
      <c r="I801" s="213"/>
      <c r="K801" s="213"/>
      <c r="L801" s="318"/>
      <c r="M801" s="318"/>
      <c r="Q801" s="225"/>
      <c r="R801" s="225"/>
    </row>
    <row r="802" spans="5:18">
      <c r="E802" s="318"/>
      <c r="G802" s="213"/>
      <c r="I802" s="213"/>
      <c r="K802" s="213"/>
      <c r="L802" s="318"/>
      <c r="M802" s="318"/>
      <c r="Q802" s="225"/>
      <c r="R802" s="225"/>
    </row>
    <row r="803" spans="5:18">
      <c r="E803" s="318"/>
      <c r="G803" s="213"/>
      <c r="I803" s="213"/>
      <c r="K803" s="213"/>
      <c r="L803" s="318"/>
      <c r="M803" s="318"/>
      <c r="Q803" s="225"/>
      <c r="R803" s="225"/>
    </row>
    <row r="804" spans="5:18">
      <c r="E804" s="318"/>
      <c r="G804" s="213"/>
      <c r="I804" s="213"/>
      <c r="K804" s="213"/>
      <c r="L804" s="318"/>
      <c r="M804" s="318"/>
      <c r="Q804" s="225"/>
      <c r="R804" s="225"/>
    </row>
    <row r="805" spans="5:18">
      <c r="E805" s="318"/>
      <c r="G805" s="213"/>
      <c r="I805" s="213"/>
      <c r="K805" s="213"/>
      <c r="L805" s="318"/>
      <c r="M805" s="318"/>
      <c r="Q805" s="225"/>
      <c r="R805" s="225"/>
    </row>
    <row r="806" spans="5:18">
      <c r="E806" s="318"/>
      <c r="G806" s="213"/>
      <c r="I806" s="213"/>
      <c r="K806" s="213"/>
      <c r="L806" s="318"/>
      <c r="M806" s="318"/>
      <c r="Q806" s="225"/>
      <c r="R806" s="225"/>
    </row>
    <row r="807" spans="5:18">
      <c r="E807" s="318"/>
      <c r="G807" s="213"/>
      <c r="I807" s="213"/>
      <c r="K807" s="213"/>
      <c r="L807" s="318"/>
      <c r="M807" s="318"/>
      <c r="Q807" s="225"/>
      <c r="R807" s="225"/>
    </row>
    <row r="808" spans="5:18">
      <c r="E808" s="318"/>
      <c r="G808" s="213"/>
      <c r="I808" s="213"/>
      <c r="K808" s="213"/>
      <c r="L808" s="318"/>
      <c r="M808" s="318"/>
      <c r="Q808" s="225"/>
      <c r="R808" s="225"/>
    </row>
    <row r="809" spans="5:18">
      <c r="E809" s="318"/>
      <c r="G809" s="213"/>
      <c r="I809" s="213"/>
      <c r="K809" s="213"/>
      <c r="L809" s="318"/>
      <c r="M809" s="318"/>
      <c r="Q809" s="225"/>
      <c r="R809" s="225"/>
    </row>
    <row r="810" spans="5:18">
      <c r="E810" s="318"/>
      <c r="G810" s="213"/>
      <c r="I810" s="213"/>
      <c r="K810" s="213"/>
      <c r="L810" s="318"/>
      <c r="M810" s="318"/>
      <c r="Q810" s="225"/>
      <c r="R810" s="225"/>
    </row>
    <row r="811" spans="5:18">
      <c r="E811" s="318"/>
      <c r="G811" s="213"/>
      <c r="I811" s="213"/>
      <c r="K811" s="213"/>
      <c r="L811" s="318"/>
      <c r="M811" s="318"/>
      <c r="Q811" s="225"/>
      <c r="R811" s="225"/>
    </row>
    <row r="812" spans="5:18">
      <c r="E812" s="318"/>
      <c r="G812" s="213"/>
      <c r="I812" s="213"/>
      <c r="K812" s="213"/>
      <c r="L812" s="318"/>
      <c r="M812" s="318"/>
      <c r="Q812" s="225"/>
      <c r="R812" s="225"/>
    </row>
    <row r="813" spans="5:18">
      <c r="E813" s="318"/>
      <c r="G813" s="213"/>
      <c r="I813" s="213"/>
      <c r="K813" s="213"/>
      <c r="L813" s="318"/>
      <c r="M813" s="318"/>
      <c r="Q813" s="225"/>
      <c r="R813" s="225"/>
    </row>
    <row r="814" spans="5:18">
      <c r="E814" s="318"/>
      <c r="G814" s="213"/>
      <c r="I814" s="213"/>
      <c r="K814" s="213"/>
      <c r="L814" s="318"/>
      <c r="M814" s="318"/>
      <c r="Q814" s="225"/>
      <c r="R814" s="225"/>
    </row>
    <row r="815" spans="5:18">
      <c r="E815" s="318"/>
      <c r="G815" s="213"/>
      <c r="I815" s="213"/>
      <c r="K815" s="213"/>
      <c r="L815" s="318"/>
      <c r="M815" s="318"/>
      <c r="Q815" s="225"/>
      <c r="R815" s="225"/>
    </row>
    <row r="816" spans="5:18">
      <c r="E816" s="318"/>
      <c r="G816" s="213"/>
      <c r="I816" s="213"/>
      <c r="K816" s="213"/>
      <c r="L816" s="318"/>
      <c r="M816" s="318"/>
      <c r="Q816" s="225"/>
      <c r="R816" s="225"/>
    </row>
    <row r="817" spans="5:18">
      <c r="E817" s="318"/>
      <c r="G817" s="213"/>
      <c r="I817" s="213"/>
      <c r="K817" s="213"/>
      <c r="L817" s="318"/>
      <c r="M817" s="318"/>
      <c r="Q817" s="225"/>
      <c r="R817" s="225"/>
    </row>
    <row r="818" spans="5:18">
      <c r="E818" s="318"/>
      <c r="G818" s="213"/>
      <c r="I818" s="213"/>
      <c r="K818" s="213"/>
      <c r="L818" s="318"/>
      <c r="M818" s="318"/>
      <c r="Q818" s="225"/>
      <c r="R818" s="225"/>
    </row>
    <row r="819" spans="5:18">
      <c r="E819" s="318"/>
      <c r="G819" s="213"/>
      <c r="I819" s="213"/>
      <c r="K819" s="213"/>
      <c r="L819" s="318"/>
      <c r="M819" s="318"/>
      <c r="Q819" s="225"/>
      <c r="R819" s="225"/>
    </row>
    <row r="820" spans="5:18">
      <c r="E820" s="318"/>
      <c r="G820" s="213"/>
      <c r="I820" s="213"/>
      <c r="K820" s="213"/>
      <c r="L820" s="318"/>
      <c r="M820" s="318"/>
      <c r="Q820" s="225"/>
      <c r="R820" s="225"/>
    </row>
    <row r="821" spans="5:18">
      <c r="E821" s="318"/>
      <c r="G821" s="213"/>
      <c r="I821" s="213"/>
      <c r="K821" s="213"/>
      <c r="L821" s="318"/>
      <c r="M821" s="318"/>
      <c r="Q821" s="225"/>
      <c r="R821" s="225"/>
    </row>
    <row r="822" spans="5:18">
      <c r="E822" s="318"/>
      <c r="G822" s="213"/>
      <c r="I822" s="213"/>
      <c r="K822" s="213"/>
      <c r="L822" s="318"/>
      <c r="M822" s="318"/>
      <c r="Q822" s="225"/>
      <c r="R822" s="225"/>
    </row>
    <row r="823" spans="5:18">
      <c r="E823" s="318"/>
      <c r="G823" s="213"/>
      <c r="I823" s="213"/>
      <c r="K823" s="213"/>
      <c r="L823" s="318"/>
      <c r="M823" s="318"/>
      <c r="Q823" s="225"/>
      <c r="R823" s="225"/>
    </row>
    <row r="824" spans="5:18">
      <c r="E824" s="318"/>
      <c r="G824" s="213"/>
      <c r="I824" s="213"/>
      <c r="K824" s="213"/>
      <c r="L824" s="318"/>
      <c r="M824" s="318"/>
      <c r="Q824" s="225"/>
      <c r="R824" s="225"/>
    </row>
    <row r="825" spans="5:18">
      <c r="E825" s="318"/>
      <c r="G825" s="213"/>
      <c r="I825" s="213"/>
      <c r="K825" s="213"/>
      <c r="L825" s="318"/>
      <c r="M825" s="318"/>
      <c r="Q825" s="225"/>
      <c r="R825" s="225"/>
    </row>
    <row r="826" spans="5:18">
      <c r="E826" s="318"/>
      <c r="G826" s="213"/>
      <c r="I826" s="213"/>
      <c r="K826" s="213"/>
      <c r="L826" s="318"/>
      <c r="M826" s="318"/>
      <c r="Q826" s="225"/>
      <c r="R826" s="225"/>
    </row>
    <row r="827" spans="5:18">
      <c r="E827" s="318"/>
      <c r="G827" s="213"/>
      <c r="I827" s="213"/>
      <c r="K827" s="213"/>
      <c r="L827" s="318"/>
      <c r="M827" s="318"/>
      <c r="Q827" s="225"/>
      <c r="R827" s="225"/>
    </row>
    <row r="828" spans="5:18">
      <c r="E828" s="318"/>
      <c r="G828" s="213"/>
      <c r="I828" s="213"/>
      <c r="K828" s="213"/>
      <c r="L828" s="318"/>
      <c r="M828" s="318"/>
      <c r="Q828" s="225"/>
      <c r="R828" s="225"/>
    </row>
    <row r="829" spans="5:18">
      <c r="E829" s="318"/>
      <c r="G829" s="213"/>
      <c r="I829" s="213"/>
      <c r="K829" s="213"/>
      <c r="L829" s="318"/>
      <c r="M829" s="318"/>
      <c r="Q829" s="225"/>
      <c r="R829" s="225"/>
    </row>
    <row r="830" spans="5:18">
      <c r="E830" s="318"/>
      <c r="G830" s="213"/>
      <c r="I830" s="213"/>
      <c r="K830" s="213"/>
      <c r="L830" s="318"/>
      <c r="M830" s="318"/>
      <c r="Q830" s="225"/>
      <c r="R830" s="225"/>
    </row>
    <row r="831" spans="5:18">
      <c r="E831" s="318"/>
      <c r="G831" s="213"/>
      <c r="I831" s="213"/>
      <c r="K831" s="213"/>
      <c r="L831" s="318"/>
      <c r="M831" s="318"/>
      <c r="Q831" s="225"/>
      <c r="R831" s="225"/>
    </row>
    <row r="832" spans="5:18">
      <c r="E832" s="318"/>
      <c r="G832" s="213"/>
      <c r="I832" s="213"/>
      <c r="K832" s="213"/>
      <c r="L832" s="318"/>
      <c r="M832" s="318"/>
      <c r="Q832" s="225"/>
      <c r="R832" s="225"/>
    </row>
    <row r="833" spans="5:18">
      <c r="E833" s="318"/>
      <c r="G833" s="213"/>
      <c r="I833" s="213"/>
      <c r="K833" s="213"/>
      <c r="L833" s="318"/>
      <c r="M833" s="318"/>
      <c r="Q833" s="225"/>
      <c r="R833" s="225"/>
    </row>
    <row r="834" spans="5:18">
      <c r="E834" s="318"/>
      <c r="G834" s="213"/>
      <c r="I834" s="213"/>
      <c r="K834" s="213"/>
      <c r="L834" s="318"/>
      <c r="M834" s="318"/>
      <c r="Q834" s="225"/>
      <c r="R834" s="225"/>
    </row>
    <row r="835" spans="5:18">
      <c r="E835" s="318"/>
      <c r="G835" s="213"/>
      <c r="I835" s="213"/>
      <c r="K835" s="213"/>
      <c r="L835" s="318"/>
      <c r="M835" s="318"/>
      <c r="Q835" s="225"/>
      <c r="R835" s="225"/>
    </row>
    <row r="836" spans="5:18">
      <c r="E836" s="318"/>
      <c r="G836" s="213"/>
      <c r="I836" s="213"/>
      <c r="K836" s="213"/>
      <c r="L836" s="318"/>
      <c r="M836" s="318"/>
      <c r="Q836" s="225"/>
      <c r="R836" s="225"/>
    </row>
    <row r="837" spans="5:18">
      <c r="E837" s="318"/>
      <c r="G837" s="213"/>
      <c r="I837" s="213"/>
      <c r="K837" s="213"/>
      <c r="L837" s="318"/>
      <c r="M837" s="318"/>
      <c r="Q837" s="225"/>
      <c r="R837" s="225"/>
    </row>
    <row r="838" spans="5:18">
      <c r="E838" s="318"/>
      <c r="G838" s="213"/>
      <c r="I838" s="213"/>
      <c r="K838" s="213"/>
      <c r="L838" s="318"/>
      <c r="M838" s="318"/>
      <c r="Q838" s="225"/>
      <c r="R838" s="225"/>
    </row>
    <row r="839" spans="5:18">
      <c r="E839" s="318"/>
      <c r="G839" s="213"/>
      <c r="I839" s="213"/>
      <c r="K839" s="213"/>
      <c r="L839" s="318"/>
      <c r="M839" s="318"/>
      <c r="Q839" s="225"/>
      <c r="R839" s="225"/>
    </row>
    <row r="840" spans="5:18">
      <c r="E840" s="318"/>
      <c r="G840" s="213"/>
      <c r="I840" s="213"/>
      <c r="K840" s="213"/>
      <c r="L840" s="318"/>
      <c r="M840" s="318"/>
      <c r="Q840" s="225"/>
      <c r="R840" s="225"/>
    </row>
    <row r="841" spans="5:18">
      <c r="E841" s="318"/>
      <c r="G841" s="213"/>
      <c r="I841" s="213"/>
      <c r="K841" s="213"/>
      <c r="L841" s="318"/>
      <c r="M841" s="318"/>
      <c r="Q841" s="225"/>
      <c r="R841" s="225"/>
    </row>
    <row r="842" spans="5:18">
      <c r="E842" s="318"/>
      <c r="G842" s="213"/>
      <c r="I842" s="213"/>
      <c r="K842" s="213"/>
      <c r="L842" s="318"/>
      <c r="M842" s="318"/>
      <c r="Q842" s="225"/>
      <c r="R842" s="225"/>
    </row>
    <row r="843" spans="5:18">
      <c r="E843" s="318"/>
      <c r="G843" s="213"/>
      <c r="I843" s="213"/>
      <c r="K843" s="213"/>
      <c r="L843" s="318"/>
      <c r="M843" s="318"/>
      <c r="Q843" s="225"/>
      <c r="R843" s="225"/>
    </row>
    <row r="844" spans="5:18">
      <c r="E844" s="318"/>
      <c r="G844" s="213"/>
      <c r="I844" s="213"/>
      <c r="K844" s="213"/>
      <c r="L844" s="318"/>
      <c r="M844" s="318"/>
      <c r="Q844" s="225"/>
      <c r="R844" s="225"/>
    </row>
    <row r="845" spans="5:18">
      <c r="E845" s="318"/>
      <c r="G845" s="213"/>
      <c r="I845" s="213"/>
      <c r="K845" s="213"/>
      <c r="L845" s="318"/>
      <c r="M845" s="318"/>
      <c r="Q845" s="225"/>
      <c r="R845" s="225"/>
    </row>
    <row r="846" spans="5:18">
      <c r="E846" s="318"/>
      <c r="G846" s="213"/>
      <c r="I846" s="213"/>
      <c r="K846" s="213"/>
      <c r="L846" s="318"/>
      <c r="M846" s="318"/>
      <c r="Q846" s="225"/>
      <c r="R846" s="225"/>
    </row>
    <row r="847" spans="5:18">
      <c r="E847" s="318"/>
      <c r="G847" s="213"/>
      <c r="I847" s="213"/>
      <c r="K847" s="213"/>
      <c r="L847" s="318"/>
      <c r="M847" s="318"/>
      <c r="Q847" s="225"/>
      <c r="R847" s="225"/>
    </row>
    <row r="848" spans="5:18">
      <c r="E848" s="318"/>
      <c r="G848" s="213"/>
      <c r="I848" s="213"/>
      <c r="K848" s="213"/>
      <c r="L848" s="318"/>
      <c r="M848" s="318"/>
      <c r="Q848" s="225"/>
      <c r="R848" s="225"/>
    </row>
    <row r="849" spans="5:18">
      <c r="E849" s="318"/>
      <c r="G849" s="213"/>
      <c r="I849" s="213"/>
      <c r="K849" s="213"/>
      <c r="L849" s="318"/>
      <c r="M849" s="318"/>
      <c r="Q849" s="225"/>
      <c r="R849" s="225"/>
    </row>
    <row r="850" spans="5:18">
      <c r="E850" s="318"/>
      <c r="G850" s="213"/>
      <c r="I850" s="213"/>
      <c r="K850" s="213"/>
      <c r="L850" s="318"/>
      <c r="M850" s="318"/>
      <c r="Q850" s="225"/>
      <c r="R850" s="225"/>
    </row>
    <row r="851" spans="5:18">
      <c r="E851" s="318"/>
      <c r="G851" s="213"/>
      <c r="I851" s="213"/>
      <c r="K851" s="213"/>
      <c r="L851" s="318"/>
      <c r="M851" s="318"/>
      <c r="Q851" s="225"/>
      <c r="R851" s="225"/>
    </row>
    <row r="852" spans="5:18">
      <c r="E852" s="318"/>
      <c r="G852" s="213"/>
      <c r="I852" s="213"/>
      <c r="K852" s="213"/>
      <c r="L852" s="318"/>
      <c r="M852" s="318"/>
      <c r="Q852" s="225"/>
      <c r="R852" s="225"/>
    </row>
    <row r="853" spans="5:18">
      <c r="E853" s="318"/>
      <c r="G853" s="213"/>
      <c r="I853" s="213"/>
      <c r="K853" s="213"/>
      <c r="L853" s="318"/>
      <c r="M853" s="318"/>
      <c r="Q853" s="225"/>
      <c r="R853" s="225"/>
    </row>
    <row r="854" spans="5:18">
      <c r="E854" s="318"/>
      <c r="G854" s="213"/>
      <c r="I854" s="213"/>
      <c r="K854" s="213"/>
      <c r="L854" s="318"/>
      <c r="M854" s="318"/>
      <c r="Q854" s="225"/>
      <c r="R854" s="225"/>
    </row>
    <row r="855" spans="5:18">
      <c r="E855" s="318"/>
      <c r="G855" s="213"/>
      <c r="I855" s="213"/>
      <c r="K855" s="213"/>
      <c r="L855" s="318"/>
      <c r="M855" s="318"/>
      <c r="Q855" s="225"/>
      <c r="R855" s="225"/>
    </row>
    <row r="856" spans="5:18">
      <c r="E856" s="318"/>
      <c r="G856" s="213"/>
      <c r="I856" s="213"/>
      <c r="K856" s="213"/>
      <c r="L856" s="318"/>
      <c r="M856" s="318"/>
      <c r="Q856" s="225"/>
      <c r="R856" s="225"/>
    </row>
    <row r="857" spans="5:18">
      <c r="E857" s="318"/>
      <c r="G857" s="213"/>
      <c r="I857" s="213"/>
      <c r="K857" s="213"/>
      <c r="L857" s="318"/>
      <c r="M857" s="318"/>
      <c r="Q857" s="225"/>
      <c r="R857" s="225"/>
    </row>
    <row r="858" spans="5:18">
      <c r="E858" s="318"/>
      <c r="G858" s="213"/>
      <c r="I858" s="213"/>
      <c r="K858" s="213"/>
      <c r="L858" s="318"/>
      <c r="M858" s="318"/>
      <c r="Q858" s="225"/>
      <c r="R858" s="225"/>
    </row>
    <row r="859" spans="5:18">
      <c r="E859" s="318"/>
      <c r="G859" s="213"/>
      <c r="I859" s="213"/>
      <c r="K859" s="213"/>
      <c r="L859" s="318"/>
      <c r="M859" s="318"/>
      <c r="Q859" s="225"/>
      <c r="R859" s="225"/>
    </row>
    <row r="860" spans="5:18">
      <c r="E860" s="318"/>
      <c r="G860" s="213"/>
      <c r="I860" s="213"/>
      <c r="K860" s="213"/>
      <c r="L860" s="318"/>
      <c r="M860" s="318"/>
      <c r="Q860" s="225"/>
      <c r="R860" s="225"/>
    </row>
    <row r="861" spans="5:18">
      <c r="E861" s="318"/>
      <c r="G861" s="213"/>
      <c r="I861" s="213"/>
      <c r="K861" s="213"/>
      <c r="L861" s="318"/>
      <c r="M861" s="318"/>
      <c r="Q861" s="225"/>
      <c r="R861" s="225"/>
    </row>
    <row r="862" spans="5:18">
      <c r="E862" s="318"/>
      <c r="G862" s="213"/>
      <c r="I862" s="213"/>
      <c r="K862" s="213"/>
      <c r="L862" s="318"/>
      <c r="M862" s="318"/>
      <c r="Q862" s="225"/>
      <c r="R862" s="225"/>
    </row>
    <row r="863" spans="5:18">
      <c r="E863" s="318"/>
      <c r="G863" s="213"/>
      <c r="I863" s="213"/>
      <c r="K863" s="213"/>
      <c r="L863" s="318"/>
      <c r="M863" s="318"/>
      <c r="Q863" s="225"/>
      <c r="R863" s="225"/>
    </row>
    <row r="864" spans="5:18">
      <c r="E864" s="318"/>
      <c r="G864" s="213"/>
      <c r="I864" s="213"/>
      <c r="K864" s="213"/>
      <c r="L864" s="318"/>
      <c r="M864" s="318"/>
      <c r="Q864" s="225"/>
      <c r="R864" s="225"/>
    </row>
    <row r="865" spans="5:18">
      <c r="E865" s="318"/>
      <c r="G865" s="213"/>
      <c r="I865" s="213"/>
      <c r="K865" s="213"/>
      <c r="L865" s="318"/>
      <c r="M865" s="318"/>
      <c r="Q865" s="225"/>
      <c r="R865" s="225"/>
    </row>
    <row r="866" spans="5:18">
      <c r="E866" s="318"/>
      <c r="G866" s="213"/>
      <c r="I866" s="213"/>
      <c r="K866" s="213"/>
      <c r="L866" s="318"/>
      <c r="M866" s="318"/>
      <c r="Q866" s="225"/>
      <c r="R866" s="225"/>
    </row>
    <row r="867" spans="5:18">
      <c r="E867" s="318"/>
      <c r="G867" s="213"/>
      <c r="I867" s="213"/>
      <c r="K867" s="213"/>
      <c r="L867" s="318"/>
      <c r="M867" s="318"/>
      <c r="Q867" s="225"/>
      <c r="R867" s="225"/>
    </row>
    <row r="868" spans="5:18">
      <c r="E868" s="318"/>
      <c r="G868" s="213"/>
      <c r="I868" s="213"/>
      <c r="K868" s="213"/>
      <c r="L868" s="318"/>
      <c r="M868" s="318"/>
      <c r="Q868" s="225"/>
      <c r="R868" s="225"/>
    </row>
    <row r="869" spans="5:18">
      <c r="E869" s="318"/>
      <c r="G869" s="213"/>
      <c r="I869" s="213"/>
      <c r="K869" s="213"/>
      <c r="L869" s="318"/>
      <c r="M869" s="318"/>
      <c r="Q869" s="225"/>
      <c r="R869" s="225"/>
    </row>
    <row r="870" spans="5:18">
      <c r="E870" s="318"/>
      <c r="G870" s="213"/>
      <c r="I870" s="213"/>
      <c r="K870" s="213"/>
      <c r="L870" s="318"/>
      <c r="M870" s="318"/>
      <c r="Q870" s="225"/>
      <c r="R870" s="225"/>
    </row>
    <row r="871" spans="5:18">
      <c r="E871" s="318"/>
      <c r="G871" s="213"/>
      <c r="I871" s="213"/>
      <c r="K871" s="213"/>
      <c r="L871" s="318"/>
      <c r="M871" s="318"/>
      <c r="Q871" s="225"/>
      <c r="R871" s="225"/>
    </row>
    <row r="872" spans="5:18">
      <c r="E872" s="318"/>
      <c r="G872" s="213"/>
      <c r="I872" s="213"/>
      <c r="K872" s="213"/>
      <c r="L872" s="318"/>
      <c r="M872" s="318"/>
      <c r="Q872" s="225"/>
      <c r="R872" s="225"/>
    </row>
    <row r="873" spans="5:18">
      <c r="E873" s="318"/>
      <c r="G873" s="213"/>
      <c r="I873" s="213"/>
      <c r="K873" s="213"/>
      <c r="L873" s="318"/>
      <c r="M873" s="318"/>
      <c r="Q873" s="225"/>
      <c r="R873" s="225"/>
    </row>
    <row r="874" spans="5:18">
      <c r="E874" s="318"/>
      <c r="G874" s="213"/>
      <c r="I874" s="213"/>
      <c r="K874" s="213"/>
      <c r="L874" s="318"/>
      <c r="M874" s="318"/>
      <c r="Q874" s="225"/>
      <c r="R874" s="225"/>
    </row>
    <row r="875" spans="5:18">
      <c r="E875" s="318"/>
      <c r="G875" s="213"/>
      <c r="I875" s="213"/>
      <c r="K875" s="213"/>
      <c r="L875" s="318"/>
      <c r="M875" s="318"/>
      <c r="Q875" s="225"/>
      <c r="R875" s="225"/>
    </row>
    <row r="876" spans="5:18">
      <c r="E876" s="318"/>
      <c r="G876" s="213"/>
      <c r="I876" s="213"/>
      <c r="K876" s="213"/>
      <c r="L876" s="318"/>
      <c r="M876" s="318"/>
      <c r="Q876" s="225"/>
      <c r="R876" s="225"/>
    </row>
    <row r="877" spans="5:18">
      <c r="E877" s="318"/>
      <c r="G877" s="213"/>
      <c r="I877" s="213"/>
      <c r="K877" s="213"/>
      <c r="L877" s="318"/>
      <c r="M877" s="318"/>
      <c r="Q877" s="225"/>
      <c r="R877" s="225"/>
    </row>
    <row r="878" spans="5:18">
      <c r="E878" s="318"/>
      <c r="G878" s="213"/>
      <c r="I878" s="213"/>
      <c r="K878" s="213"/>
      <c r="L878" s="318"/>
      <c r="M878" s="318"/>
      <c r="Q878" s="225"/>
      <c r="R878" s="225"/>
    </row>
    <row r="879" spans="5:18">
      <c r="E879" s="318"/>
      <c r="G879" s="213"/>
      <c r="I879" s="213"/>
      <c r="K879" s="213"/>
      <c r="L879" s="318"/>
      <c r="M879" s="318"/>
      <c r="Q879" s="225"/>
      <c r="R879" s="225"/>
    </row>
    <row r="880" spans="5:18">
      <c r="E880" s="318"/>
      <c r="G880" s="213"/>
      <c r="I880" s="213"/>
      <c r="K880" s="213"/>
      <c r="L880" s="318"/>
      <c r="M880" s="318"/>
      <c r="Q880" s="225"/>
      <c r="R880" s="225"/>
    </row>
    <row r="881" spans="5:18">
      <c r="E881" s="318"/>
      <c r="G881" s="213"/>
      <c r="I881" s="213"/>
      <c r="K881" s="213"/>
      <c r="L881" s="318"/>
      <c r="M881" s="318"/>
      <c r="Q881" s="225"/>
      <c r="R881" s="225"/>
    </row>
    <row r="882" spans="5:18">
      <c r="E882" s="318"/>
      <c r="G882" s="213"/>
      <c r="I882" s="213"/>
      <c r="K882" s="213"/>
      <c r="L882" s="318"/>
      <c r="M882" s="318"/>
      <c r="Q882" s="225"/>
      <c r="R882" s="225"/>
    </row>
    <row r="883" spans="5:18">
      <c r="E883" s="318"/>
      <c r="G883" s="213"/>
      <c r="I883" s="213"/>
      <c r="K883" s="213"/>
      <c r="L883" s="318"/>
      <c r="M883" s="318"/>
      <c r="Q883" s="225"/>
      <c r="R883" s="225"/>
    </row>
    <row r="884" spans="5:18">
      <c r="E884" s="318"/>
      <c r="G884" s="213"/>
      <c r="I884" s="213"/>
      <c r="K884" s="213"/>
      <c r="L884" s="318"/>
      <c r="M884" s="318"/>
      <c r="Q884" s="225"/>
      <c r="R884" s="225"/>
    </row>
    <row r="885" spans="5:18">
      <c r="E885" s="318"/>
      <c r="G885" s="213"/>
      <c r="I885" s="213"/>
      <c r="K885" s="213"/>
      <c r="L885" s="318"/>
      <c r="M885" s="318"/>
      <c r="Q885" s="225"/>
      <c r="R885" s="225"/>
    </row>
    <row r="886" spans="5:18">
      <c r="E886" s="318"/>
      <c r="G886" s="213"/>
      <c r="I886" s="213"/>
      <c r="K886" s="213"/>
      <c r="L886" s="318"/>
      <c r="M886" s="318"/>
      <c r="Q886" s="225"/>
      <c r="R886" s="225"/>
    </row>
    <row r="887" spans="5:18">
      <c r="E887" s="318"/>
      <c r="G887" s="213"/>
      <c r="I887" s="213"/>
      <c r="K887" s="213"/>
      <c r="L887" s="318"/>
      <c r="M887" s="318"/>
      <c r="Q887" s="225"/>
      <c r="R887" s="225"/>
    </row>
    <row r="888" spans="5:18">
      <c r="E888" s="318"/>
      <c r="G888" s="213"/>
      <c r="I888" s="213"/>
      <c r="K888" s="213"/>
      <c r="L888" s="318"/>
      <c r="M888" s="318"/>
      <c r="Q888" s="225"/>
      <c r="R888" s="225"/>
    </row>
    <row r="889" spans="5:18">
      <c r="E889" s="318"/>
      <c r="G889" s="213"/>
      <c r="I889" s="213"/>
      <c r="K889" s="213"/>
      <c r="L889" s="318"/>
      <c r="M889" s="318"/>
      <c r="Q889" s="225"/>
      <c r="R889" s="225"/>
    </row>
    <row r="890" spans="5:18">
      <c r="E890" s="318"/>
      <c r="G890" s="213"/>
      <c r="I890" s="213"/>
      <c r="K890" s="213"/>
      <c r="L890" s="318"/>
      <c r="M890" s="318"/>
      <c r="Q890" s="225"/>
      <c r="R890" s="225"/>
    </row>
    <row r="891" spans="5:18">
      <c r="E891" s="318"/>
      <c r="G891" s="213"/>
      <c r="I891" s="213"/>
      <c r="K891" s="213"/>
      <c r="L891" s="318"/>
      <c r="M891" s="318"/>
      <c r="Q891" s="225"/>
      <c r="R891" s="225"/>
    </row>
    <row r="892" spans="5:18">
      <c r="E892" s="318"/>
      <c r="G892" s="213"/>
      <c r="I892" s="213"/>
      <c r="K892" s="213"/>
      <c r="L892" s="318"/>
      <c r="M892" s="318"/>
      <c r="Q892" s="225"/>
      <c r="R892" s="225"/>
    </row>
    <row r="893" spans="5:18">
      <c r="E893" s="318"/>
      <c r="G893" s="213"/>
      <c r="I893" s="213"/>
      <c r="K893" s="213"/>
      <c r="L893" s="318"/>
      <c r="M893" s="318"/>
      <c r="Q893" s="225"/>
      <c r="R893" s="225"/>
    </row>
    <row r="894" spans="5:18">
      <c r="E894" s="318"/>
      <c r="G894" s="213"/>
      <c r="I894" s="213"/>
      <c r="K894" s="213"/>
      <c r="L894" s="318"/>
      <c r="M894" s="318"/>
      <c r="Q894" s="225"/>
      <c r="R894" s="225"/>
    </row>
    <row r="895" spans="5:18">
      <c r="E895" s="318"/>
      <c r="G895" s="213"/>
      <c r="I895" s="213"/>
      <c r="K895" s="213"/>
      <c r="L895" s="318"/>
      <c r="M895" s="318"/>
      <c r="Q895" s="225"/>
      <c r="R895" s="225"/>
    </row>
    <row r="896" spans="5:18">
      <c r="E896" s="318"/>
      <c r="G896" s="213"/>
      <c r="I896" s="213"/>
      <c r="K896" s="213"/>
      <c r="L896" s="318"/>
      <c r="M896" s="318"/>
      <c r="Q896" s="225"/>
      <c r="R896" s="225"/>
    </row>
    <row r="897" spans="5:18">
      <c r="E897" s="318"/>
      <c r="G897" s="213"/>
      <c r="I897" s="213"/>
      <c r="K897" s="213"/>
      <c r="L897" s="318"/>
      <c r="M897" s="318"/>
      <c r="Q897" s="225"/>
      <c r="R897" s="225"/>
    </row>
    <row r="898" spans="5:18">
      <c r="E898" s="318"/>
      <c r="G898" s="213"/>
      <c r="I898" s="213"/>
      <c r="K898" s="213"/>
      <c r="L898" s="318"/>
      <c r="M898" s="318"/>
      <c r="Q898" s="225"/>
      <c r="R898" s="225"/>
    </row>
    <row r="899" spans="5:18">
      <c r="E899" s="318"/>
      <c r="G899" s="213"/>
      <c r="I899" s="213"/>
      <c r="K899" s="213"/>
      <c r="L899" s="318"/>
      <c r="M899" s="318"/>
      <c r="Q899" s="225"/>
      <c r="R899" s="225"/>
    </row>
    <row r="900" spans="5:18">
      <c r="E900" s="318"/>
      <c r="G900" s="213"/>
      <c r="I900" s="213"/>
      <c r="K900" s="213"/>
      <c r="L900" s="318"/>
      <c r="M900" s="318"/>
      <c r="Q900" s="225"/>
      <c r="R900" s="225"/>
    </row>
    <row r="901" spans="5:18">
      <c r="E901" s="318"/>
      <c r="G901" s="213"/>
      <c r="I901" s="213"/>
      <c r="K901" s="213"/>
      <c r="L901" s="318"/>
      <c r="M901" s="318"/>
      <c r="Q901" s="225"/>
      <c r="R901" s="225"/>
    </row>
    <row r="902" spans="5:18">
      <c r="E902" s="318"/>
      <c r="G902" s="213"/>
      <c r="I902" s="213"/>
      <c r="K902" s="213"/>
      <c r="L902" s="318"/>
      <c r="M902" s="318"/>
      <c r="Q902" s="225"/>
      <c r="R902" s="225"/>
    </row>
    <row r="903" spans="5:18">
      <c r="E903" s="318"/>
      <c r="G903" s="213"/>
      <c r="I903" s="213"/>
      <c r="K903" s="213"/>
      <c r="L903" s="318"/>
      <c r="M903" s="318"/>
      <c r="Q903" s="225"/>
      <c r="R903" s="225"/>
    </row>
    <row r="904" spans="5:18">
      <c r="E904" s="318"/>
      <c r="G904" s="213"/>
      <c r="I904" s="213"/>
      <c r="K904" s="213"/>
      <c r="L904" s="318"/>
      <c r="M904" s="318"/>
      <c r="Q904" s="225"/>
      <c r="R904" s="225"/>
    </row>
    <row r="905" spans="5:18">
      <c r="E905" s="318"/>
      <c r="G905" s="213"/>
      <c r="I905" s="213"/>
      <c r="K905" s="213"/>
      <c r="L905" s="318"/>
      <c r="M905" s="318"/>
      <c r="Q905" s="225"/>
      <c r="R905" s="225"/>
    </row>
    <row r="906" spans="5:18">
      <c r="E906" s="318"/>
      <c r="G906" s="213"/>
      <c r="I906" s="213"/>
      <c r="K906" s="213"/>
      <c r="L906" s="318"/>
      <c r="M906" s="318"/>
      <c r="Q906" s="225"/>
      <c r="R906" s="225"/>
    </row>
    <row r="907" spans="5:18">
      <c r="E907" s="318"/>
      <c r="G907" s="213"/>
      <c r="I907" s="213"/>
      <c r="K907" s="213"/>
      <c r="L907" s="318"/>
      <c r="M907" s="318"/>
      <c r="Q907" s="225"/>
      <c r="R907" s="225"/>
    </row>
    <row r="908" spans="5:18">
      <c r="E908" s="318"/>
      <c r="G908" s="213"/>
      <c r="I908" s="213"/>
      <c r="K908" s="213"/>
      <c r="L908" s="318"/>
      <c r="M908" s="318"/>
      <c r="Q908" s="225"/>
      <c r="R908" s="225"/>
    </row>
    <row r="909" spans="5:18">
      <c r="E909" s="318"/>
      <c r="G909" s="213"/>
      <c r="I909" s="213"/>
      <c r="K909" s="213"/>
      <c r="L909" s="318"/>
      <c r="M909" s="318"/>
      <c r="Q909" s="225"/>
      <c r="R909" s="225"/>
    </row>
    <row r="910" spans="5:18">
      <c r="E910" s="318"/>
      <c r="G910" s="213"/>
      <c r="I910" s="213"/>
      <c r="K910" s="213"/>
      <c r="L910" s="318"/>
      <c r="M910" s="318"/>
      <c r="Q910" s="225"/>
      <c r="R910" s="225"/>
    </row>
    <row r="911" spans="5:18">
      <c r="E911" s="318"/>
      <c r="G911" s="213"/>
      <c r="I911" s="213"/>
      <c r="K911" s="213"/>
      <c r="L911" s="318"/>
      <c r="M911" s="318"/>
      <c r="Q911" s="225"/>
      <c r="R911" s="225"/>
    </row>
    <row r="912" spans="5:18">
      <c r="E912" s="318"/>
      <c r="G912" s="213"/>
      <c r="I912" s="213"/>
      <c r="K912" s="213"/>
      <c r="L912" s="318"/>
      <c r="M912" s="318"/>
      <c r="Q912" s="225"/>
      <c r="R912" s="225"/>
    </row>
    <row r="913" spans="5:18">
      <c r="E913" s="318"/>
      <c r="G913" s="213"/>
      <c r="I913" s="213"/>
      <c r="K913" s="213"/>
      <c r="L913" s="318"/>
      <c r="M913" s="318"/>
      <c r="Q913" s="225"/>
      <c r="R913" s="225"/>
    </row>
    <row r="914" spans="5:18">
      <c r="E914" s="318"/>
      <c r="G914" s="213"/>
      <c r="I914" s="213"/>
      <c r="K914" s="213"/>
      <c r="L914" s="318"/>
      <c r="M914" s="318"/>
      <c r="Q914" s="225"/>
      <c r="R914" s="225"/>
    </row>
    <row r="915" spans="5:18">
      <c r="E915" s="318"/>
      <c r="G915" s="213"/>
      <c r="I915" s="213"/>
      <c r="K915" s="213"/>
      <c r="L915" s="318"/>
      <c r="M915" s="318"/>
      <c r="Q915" s="225"/>
      <c r="R915" s="225"/>
    </row>
    <row r="916" spans="5:18">
      <c r="E916" s="318"/>
      <c r="G916" s="213"/>
      <c r="I916" s="213"/>
      <c r="K916" s="213"/>
      <c r="L916" s="318"/>
      <c r="M916" s="318"/>
      <c r="Q916" s="225"/>
      <c r="R916" s="225"/>
    </row>
    <row r="917" spans="5:18">
      <c r="E917" s="318"/>
      <c r="G917" s="213"/>
      <c r="I917" s="213"/>
      <c r="K917" s="213"/>
      <c r="L917" s="318"/>
      <c r="M917" s="318"/>
      <c r="Q917" s="225"/>
      <c r="R917" s="225"/>
    </row>
    <row r="918" spans="5:18">
      <c r="E918" s="318"/>
      <c r="G918" s="213"/>
      <c r="I918" s="213"/>
      <c r="K918" s="213"/>
      <c r="L918" s="318"/>
      <c r="M918" s="318"/>
      <c r="Q918" s="225"/>
      <c r="R918" s="225"/>
    </row>
    <row r="919" spans="5:18">
      <c r="E919" s="318"/>
      <c r="G919" s="213"/>
      <c r="I919" s="213"/>
      <c r="K919" s="213"/>
      <c r="L919" s="318"/>
      <c r="M919" s="318"/>
      <c r="Q919" s="225"/>
      <c r="R919" s="225"/>
    </row>
    <row r="920" spans="5:18">
      <c r="E920" s="318"/>
      <c r="G920" s="213"/>
      <c r="I920" s="213"/>
      <c r="K920" s="213"/>
      <c r="L920" s="318"/>
      <c r="M920" s="318"/>
      <c r="Q920" s="225"/>
      <c r="R920" s="225"/>
    </row>
    <row r="921" spans="5:18">
      <c r="E921" s="318"/>
      <c r="G921" s="213"/>
      <c r="I921" s="213"/>
      <c r="K921" s="213"/>
      <c r="L921" s="318"/>
      <c r="M921" s="318"/>
      <c r="Q921" s="225"/>
      <c r="R921" s="225"/>
    </row>
    <row r="922" spans="5:18">
      <c r="E922" s="318"/>
      <c r="G922" s="213"/>
      <c r="I922" s="213"/>
      <c r="K922" s="213"/>
      <c r="L922" s="318"/>
      <c r="M922" s="318"/>
      <c r="Q922" s="225"/>
      <c r="R922" s="225"/>
    </row>
    <row r="923" spans="5:18">
      <c r="E923" s="318"/>
      <c r="G923" s="213"/>
      <c r="I923" s="213"/>
      <c r="K923" s="213"/>
      <c r="L923" s="318"/>
      <c r="M923" s="318"/>
      <c r="Q923" s="225"/>
      <c r="R923" s="225"/>
    </row>
    <row r="924" spans="5:18">
      <c r="E924" s="318"/>
      <c r="G924" s="213"/>
      <c r="I924" s="213"/>
      <c r="K924" s="213"/>
      <c r="L924" s="318"/>
      <c r="M924" s="318"/>
      <c r="Q924" s="225"/>
      <c r="R924" s="225"/>
    </row>
    <row r="925" spans="5:18">
      <c r="E925" s="318"/>
      <c r="G925" s="213"/>
      <c r="I925" s="213"/>
      <c r="K925" s="213"/>
      <c r="L925" s="318"/>
      <c r="M925" s="318"/>
      <c r="Q925" s="225"/>
      <c r="R925" s="225"/>
    </row>
    <row r="926" spans="5:18">
      <c r="E926" s="318"/>
      <c r="G926" s="213"/>
      <c r="I926" s="213"/>
      <c r="K926" s="213"/>
      <c r="L926" s="318"/>
      <c r="M926" s="318"/>
      <c r="Q926" s="225"/>
      <c r="R926" s="225"/>
    </row>
    <row r="927" spans="5:18">
      <c r="E927" s="318"/>
      <c r="G927" s="213"/>
      <c r="I927" s="213"/>
      <c r="K927" s="213"/>
      <c r="L927" s="318"/>
      <c r="M927" s="318"/>
      <c r="Q927" s="225"/>
      <c r="R927" s="225"/>
    </row>
    <row r="928" spans="5:18">
      <c r="E928" s="318"/>
      <c r="G928" s="213"/>
      <c r="I928" s="213"/>
      <c r="K928" s="213"/>
      <c r="L928" s="318"/>
      <c r="M928" s="318"/>
      <c r="Q928" s="225"/>
      <c r="R928" s="225"/>
    </row>
    <row r="929" spans="5:18">
      <c r="E929" s="318"/>
      <c r="G929" s="213"/>
      <c r="I929" s="213"/>
      <c r="K929" s="213"/>
      <c r="L929" s="318"/>
      <c r="M929" s="318"/>
      <c r="Q929" s="225"/>
      <c r="R929" s="225"/>
    </row>
    <row r="930" spans="5:18">
      <c r="E930" s="318"/>
      <c r="G930" s="213"/>
      <c r="I930" s="213"/>
      <c r="K930" s="213"/>
      <c r="L930" s="318"/>
      <c r="M930" s="318"/>
      <c r="Q930" s="225"/>
      <c r="R930" s="225"/>
    </row>
    <row r="931" spans="5:18">
      <c r="E931" s="318"/>
      <c r="G931" s="213"/>
      <c r="I931" s="213"/>
      <c r="K931" s="213"/>
      <c r="L931" s="318"/>
      <c r="M931" s="318"/>
      <c r="Q931" s="225"/>
      <c r="R931" s="225"/>
    </row>
    <row r="932" spans="5:18">
      <c r="E932" s="318"/>
      <c r="G932" s="213"/>
      <c r="I932" s="213"/>
      <c r="K932" s="213"/>
      <c r="L932" s="318"/>
      <c r="M932" s="318"/>
      <c r="Q932" s="225"/>
      <c r="R932" s="225"/>
    </row>
    <row r="933" spans="5:18">
      <c r="E933" s="318"/>
      <c r="G933" s="213"/>
      <c r="I933" s="213"/>
      <c r="K933" s="213"/>
      <c r="L933" s="318"/>
      <c r="M933" s="318"/>
      <c r="Q933" s="225"/>
      <c r="R933" s="225"/>
    </row>
    <row r="934" spans="5:18">
      <c r="E934" s="318"/>
      <c r="G934" s="213"/>
      <c r="I934" s="213"/>
      <c r="K934" s="213"/>
      <c r="L934" s="318"/>
      <c r="M934" s="318"/>
      <c r="Q934" s="225"/>
      <c r="R934" s="225"/>
    </row>
    <row r="935" spans="5:18">
      <c r="E935" s="318"/>
      <c r="G935" s="213"/>
      <c r="I935" s="213"/>
      <c r="K935" s="213"/>
      <c r="L935" s="318"/>
      <c r="M935" s="318"/>
      <c r="Q935" s="225"/>
      <c r="R935" s="225"/>
    </row>
    <row r="936" spans="5:18">
      <c r="E936" s="318"/>
      <c r="G936" s="213"/>
      <c r="I936" s="213"/>
      <c r="K936" s="213"/>
      <c r="L936" s="318"/>
      <c r="M936" s="318"/>
      <c r="Q936" s="225"/>
      <c r="R936" s="225"/>
    </row>
    <row r="937" spans="5:18">
      <c r="E937" s="318"/>
      <c r="G937" s="213"/>
      <c r="I937" s="213"/>
      <c r="K937" s="213"/>
      <c r="L937" s="318"/>
      <c r="M937" s="318"/>
      <c r="Q937" s="225"/>
      <c r="R937" s="225"/>
    </row>
    <row r="938" spans="5:18">
      <c r="E938" s="318"/>
      <c r="G938" s="213"/>
      <c r="I938" s="213"/>
      <c r="K938" s="213"/>
      <c r="L938" s="318"/>
      <c r="M938" s="318"/>
      <c r="Q938" s="225"/>
      <c r="R938" s="225"/>
    </row>
    <row r="939" spans="5:18">
      <c r="E939" s="318"/>
      <c r="G939" s="213"/>
      <c r="I939" s="213"/>
      <c r="K939" s="213"/>
      <c r="L939" s="318"/>
      <c r="M939" s="318"/>
      <c r="Q939" s="225"/>
      <c r="R939" s="225"/>
    </row>
    <row r="940" spans="5:18">
      <c r="E940" s="318"/>
      <c r="G940" s="213"/>
      <c r="I940" s="213"/>
      <c r="K940" s="213"/>
      <c r="L940" s="318"/>
      <c r="M940" s="318"/>
      <c r="Q940" s="225"/>
      <c r="R940" s="225"/>
    </row>
    <row r="941" spans="5:18">
      <c r="E941" s="318"/>
      <c r="G941" s="213"/>
      <c r="I941" s="213"/>
      <c r="K941" s="213"/>
      <c r="L941" s="318"/>
      <c r="M941" s="318"/>
      <c r="Q941" s="225"/>
      <c r="R941" s="225"/>
    </row>
    <row r="942" spans="5:18">
      <c r="E942" s="318"/>
      <c r="G942" s="213"/>
      <c r="I942" s="213"/>
      <c r="K942" s="213"/>
      <c r="L942" s="318"/>
      <c r="M942" s="318"/>
      <c r="Q942" s="225"/>
      <c r="R942" s="225"/>
    </row>
    <row r="943" spans="5:18">
      <c r="E943" s="318"/>
      <c r="G943" s="213"/>
      <c r="I943" s="213"/>
      <c r="K943" s="213"/>
      <c r="L943" s="318"/>
      <c r="M943" s="318"/>
      <c r="Q943" s="225"/>
      <c r="R943" s="225"/>
    </row>
    <row r="944" spans="5:18">
      <c r="E944" s="318"/>
      <c r="G944" s="213"/>
      <c r="I944" s="213"/>
      <c r="K944" s="213"/>
      <c r="L944" s="318"/>
      <c r="M944" s="318"/>
      <c r="Q944" s="225"/>
      <c r="R944" s="225"/>
    </row>
    <row r="945" spans="5:18">
      <c r="E945" s="318"/>
      <c r="G945" s="213"/>
      <c r="I945" s="213"/>
      <c r="K945" s="213"/>
      <c r="L945" s="318"/>
      <c r="M945" s="318"/>
      <c r="Q945" s="225"/>
      <c r="R945" s="225"/>
    </row>
    <row r="946" spans="5:18">
      <c r="E946" s="318"/>
      <c r="G946" s="213"/>
      <c r="I946" s="213"/>
      <c r="K946" s="213"/>
      <c r="L946" s="318"/>
      <c r="M946" s="318"/>
      <c r="Q946" s="225"/>
      <c r="R946" s="225"/>
    </row>
    <row r="947" spans="5:18">
      <c r="E947" s="318"/>
      <c r="G947" s="213"/>
      <c r="I947" s="213"/>
      <c r="K947" s="213"/>
      <c r="L947" s="318"/>
      <c r="M947" s="318"/>
      <c r="Q947" s="225"/>
      <c r="R947" s="225"/>
    </row>
    <row r="948" spans="5:18">
      <c r="E948" s="318"/>
      <c r="G948" s="213"/>
      <c r="I948" s="213"/>
      <c r="K948" s="213"/>
      <c r="L948" s="318"/>
      <c r="M948" s="318"/>
      <c r="Q948" s="225"/>
      <c r="R948" s="225"/>
    </row>
    <row r="949" spans="5:18">
      <c r="E949" s="318"/>
      <c r="G949" s="213"/>
      <c r="I949" s="213"/>
      <c r="K949" s="213"/>
      <c r="L949" s="318"/>
      <c r="M949" s="318"/>
      <c r="Q949" s="225"/>
      <c r="R949" s="225"/>
    </row>
    <row r="950" spans="5:18">
      <c r="E950" s="318"/>
      <c r="G950" s="213"/>
      <c r="I950" s="213"/>
      <c r="K950" s="213"/>
      <c r="L950" s="318"/>
      <c r="M950" s="318"/>
      <c r="Q950" s="225"/>
      <c r="R950" s="225"/>
    </row>
    <row r="951" spans="5:18">
      <c r="E951" s="318"/>
      <c r="G951" s="213"/>
      <c r="I951" s="213"/>
      <c r="K951" s="213"/>
      <c r="L951" s="318"/>
      <c r="M951" s="318"/>
      <c r="Q951" s="225"/>
      <c r="R951" s="225"/>
    </row>
    <row r="952" spans="5:18">
      <c r="E952" s="318"/>
      <c r="G952" s="213"/>
      <c r="I952" s="213"/>
      <c r="K952" s="213"/>
      <c r="L952" s="318"/>
      <c r="M952" s="318"/>
      <c r="Q952" s="225"/>
      <c r="R952" s="225"/>
    </row>
    <row r="953" spans="5:18">
      <c r="E953" s="318"/>
      <c r="G953" s="213"/>
      <c r="I953" s="213"/>
      <c r="K953" s="213"/>
      <c r="L953" s="318"/>
      <c r="M953" s="318"/>
      <c r="Q953" s="225"/>
      <c r="R953" s="225"/>
    </row>
    <row r="954" spans="5:18">
      <c r="E954" s="318"/>
      <c r="G954" s="213"/>
      <c r="I954" s="213"/>
      <c r="K954" s="213"/>
      <c r="L954" s="318"/>
      <c r="M954" s="318"/>
      <c r="Q954" s="225"/>
      <c r="R954" s="225"/>
    </row>
    <row r="955" spans="5:18">
      <c r="E955" s="318"/>
      <c r="G955" s="213"/>
      <c r="I955" s="213"/>
      <c r="K955" s="213"/>
      <c r="L955" s="318"/>
      <c r="M955" s="318"/>
      <c r="Q955" s="225"/>
      <c r="R955" s="225"/>
    </row>
    <row r="956" spans="5:18">
      <c r="E956" s="318"/>
      <c r="G956" s="213"/>
      <c r="I956" s="213"/>
      <c r="K956" s="213"/>
      <c r="L956" s="318"/>
      <c r="M956" s="318"/>
      <c r="Q956" s="225"/>
      <c r="R956" s="225"/>
    </row>
    <row r="957" spans="5:18">
      <c r="E957" s="318"/>
      <c r="G957" s="213"/>
      <c r="I957" s="213"/>
      <c r="K957" s="213"/>
      <c r="L957" s="318"/>
      <c r="M957" s="318"/>
      <c r="Q957" s="225"/>
      <c r="R957" s="225"/>
    </row>
    <row r="958" spans="5:18">
      <c r="E958" s="318"/>
      <c r="G958" s="213"/>
      <c r="I958" s="213"/>
      <c r="K958" s="213"/>
      <c r="L958" s="318"/>
      <c r="M958" s="318"/>
      <c r="Q958" s="225"/>
      <c r="R958" s="225"/>
    </row>
    <row r="959" spans="5:18">
      <c r="E959" s="318"/>
      <c r="G959" s="213"/>
      <c r="I959" s="213"/>
      <c r="K959" s="213"/>
      <c r="L959" s="318"/>
      <c r="M959" s="318"/>
      <c r="Q959" s="225"/>
      <c r="R959" s="225"/>
    </row>
    <row r="960" spans="5:18">
      <c r="E960" s="318"/>
      <c r="G960" s="213"/>
      <c r="I960" s="213"/>
      <c r="K960" s="213"/>
      <c r="L960" s="318"/>
      <c r="M960" s="318"/>
      <c r="Q960" s="225"/>
      <c r="R960" s="225"/>
    </row>
    <row r="961" spans="5:18">
      <c r="E961" s="318"/>
      <c r="G961" s="213"/>
      <c r="I961" s="213"/>
      <c r="K961" s="213"/>
      <c r="L961" s="318"/>
      <c r="M961" s="318"/>
      <c r="Q961" s="225"/>
      <c r="R961" s="225"/>
    </row>
    <row r="962" spans="5:18">
      <c r="E962" s="318"/>
      <c r="G962" s="213"/>
      <c r="I962" s="213"/>
      <c r="K962" s="213"/>
      <c r="L962" s="318"/>
      <c r="M962" s="318"/>
      <c r="Q962" s="225"/>
      <c r="R962" s="225"/>
    </row>
    <row r="963" spans="5:18">
      <c r="E963" s="318"/>
      <c r="G963" s="213"/>
      <c r="I963" s="213"/>
      <c r="K963" s="213"/>
      <c r="L963" s="318"/>
      <c r="M963" s="318"/>
      <c r="Q963" s="225"/>
      <c r="R963" s="225"/>
    </row>
    <row r="964" spans="5:18">
      <c r="E964" s="318"/>
      <c r="G964" s="213"/>
      <c r="I964" s="213"/>
      <c r="K964" s="213"/>
      <c r="L964" s="318"/>
      <c r="M964" s="318"/>
      <c r="Q964" s="225"/>
      <c r="R964" s="225"/>
    </row>
    <row r="965" spans="5:18">
      <c r="E965" s="318"/>
      <c r="G965" s="213"/>
      <c r="I965" s="213"/>
      <c r="K965" s="213"/>
      <c r="L965" s="318"/>
      <c r="M965" s="318"/>
      <c r="Q965" s="225"/>
      <c r="R965" s="225"/>
    </row>
    <row r="966" spans="5:18">
      <c r="E966" s="318"/>
      <c r="G966" s="213"/>
      <c r="I966" s="213"/>
      <c r="K966" s="213"/>
      <c r="L966" s="318"/>
      <c r="M966" s="318"/>
      <c r="Q966" s="225"/>
      <c r="R966" s="225"/>
    </row>
    <row r="967" spans="5:18">
      <c r="E967" s="318"/>
      <c r="G967" s="213"/>
      <c r="I967" s="213"/>
      <c r="K967" s="213"/>
      <c r="L967" s="318"/>
      <c r="M967" s="318"/>
      <c r="Q967" s="225"/>
      <c r="R967" s="225"/>
    </row>
    <row r="968" spans="5:18">
      <c r="E968" s="318"/>
      <c r="G968" s="213"/>
      <c r="I968" s="213"/>
      <c r="K968" s="213"/>
      <c r="L968" s="318"/>
      <c r="M968" s="318"/>
      <c r="Q968" s="225"/>
      <c r="R968" s="225"/>
    </row>
    <row r="969" spans="5:18">
      <c r="E969" s="318"/>
      <c r="G969" s="213"/>
      <c r="I969" s="213"/>
      <c r="K969" s="213"/>
      <c r="L969" s="318"/>
      <c r="M969" s="318"/>
      <c r="Q969" s="225"/>
      <c r="R969" s="225"/>
    </row>
    <row r="970" spans="5:18">
      <c r="E970" s="318"/>
      <c r="G970" s="213"/>
      <c r="I970" s="213"/>
      <c r="K970" s="213"/>
      <c r="L970" s="318"/>
      <c r="M970" s="318"/>
      <c r="Q970" s="225"/>
      <c r="R970" s="225"/>
    </row>
    <row r="971" spans="5:18">
      <c r="E971" s="318"/>
      <c r="G971" s="213"/>
      <c r="I971" s="213"/>
      <c r="K971" s="213"/>
      <c r="L971" s="318"/>
      <c r="M971" s="318"/>
      <c r="Q971" s="225"/>
      <c r="R971" s="225"/>
    </row>
    <row r="972" spans="5:18">
      <c r="E972" s="318"/>
      <c r="G972" s="213"/>
      <c r="I972" s="213"/>
      <c r="K972" s="213"/>
      <c r="L972" s="318"/>
      <c r="M972" s="318"/>
      <c r="Q972" s="225"/>
      <c r="R972" s="225"/>
    </row>
    <row r="973" spans="5:18">
      <c r="E973" s="318"/>
      <c r="G973" s="213"/>
      <c r="I973" s="213"/>
      <c r="K973" s="213"/>
      <c r="L973" s="318"/>
      <c r="M973" s="318"/>
      <c r="Q973" s="225"/>
      <c r="R973" s="225"/>
    </row>
    <row r="974" spans="5:18">
      <c r="E974" s="318"/>
      <c r="G974" s="213"/>
      <c r="I974" s="213"/>
      <c r="K974" s="213"/>
      <c r="L974" s="318"/>
      <c r="M974" s="318"/>
      <c r="Q974" s="225"/>
      <c r="R974" s="225"/>
    </row>
    <row r="975" spans="5:18">
      <c r="E975" s="318"/>
      <c r="G975" s="213"/>
      <c r="I975" s="213"/>
      <c r="K975" s="213"/>
      <c r="L975" s="318"/>
      <c r="M975" s="318"/>
      <c r="Q975" s="225"/>
      <c r="R975" s="225"/>
    </row>
    <row r="976" spans="5:18">
      <c r="E976" s="318"/>
      <c r="G976" s="213"/>
      <c r="I976" s="213"/>
      <c r="K976" s="213"/>
      <c r="L976" s="318"/>
      <c r="M976" s="318"/>
      <c r="Q976" s="225"/>
      <c r="R976" s="225"/>
    </row>
    <row r="977" spans="5:18">
      <c r="E977" s="318"/>
      <c r="G977" s="213"/>
      <c r="I977" s="213"/>
      <c r="K977" s="213"/>
      <c r="L977" s="318"/>
      <c r="M977" s="318"/>
      <c r="Q977" s="225"/>
      <c r="R977" s="225"/>
    </row>
    <row r="978" spans="5:18">
      <c r="E978" s="318"/>
      <c r="G978" s="213"/>
      <c r="I978" s="213"/>
      <c r="K978" s="213"/>
      <c r="L978" s="318"/>
      <c r="M978" s="318"/>
      <c r="Q978" s="225"/>
      <c r="R978" s="225"/>
    </row>
    <row r="979" spans="5:18">
      <c r="E979" s="318"/>
      <c r="G979" s="213"/>
      <c r="I979" s="213"/>
      <c r="K979" s="213"/>
      <c r="L979" s="318"/>
      <c r="M979" s="318"/>
      <c r="Q979" s="225"/>
      <c r="R979" s="225"/>
    </row>
    <row r="980" spans="5:18">
      <c r="E980" s="318"/>
      <c r="G980" s="213"/>
      <c r="I980" s="213"/>
      <c r="K980" s="213"/>
      <c r="L980" s="318"/>
      <c r="M980" s="318"/>
      <c r="Q980" s="225"/>
      <c r="R980" s="225"/>
    </row>
    <row r="981" spans="5:18">
      <c r="E981" s="318"/>
      <c r="G981" s="213"/>
      <c r="I981" s="213"/>
      <c r="K981" s="213"/>
      <c r="L981" s="318"/>
      <c r="M981" s="318"/>
      <c r="Q981" s="225"/>
      <c r="R981" s="225"/>
    </row>
    <row r="982" spans="5:18">
      <c r="E982" s="318"/>
      <c r="G982" s="213"/>
      <c r="I982" s="213"/>
      <c r="K982" s="213"/>
      <c r="L982" s="318"/>
      <c r="M982" s="318"/>
      <c r="Q982" s="225"/>
      <c r="R982" s="225"/>
    </row>
    <row r="983" spans="5:18">
      <c r="E983" s="318"/>
      <c r="G983" s="213"/>
      <c r="I983" s="213"/>
      <c r="K983" s="213"/>
      <c r="L983" s="318"/>
      <c r="M983" s="318"/>
      <c r="Q983" s="225"/>
      <c r="R983" s="225"/>
    </row>
    <row r="984" spans="5:18">
      <c r="E984" s="318"/>
      <c r="G984" s="213"/>
      <c r="I984" s="213"/>
      <c r="K984" s="213"/>
      <c r="L984" s="318"/>
      <c r="M984" s="318"/>
      <c r="Q984" s="225"/>
      <c r="R984" s="225"/>
    </row>
    <row r="985" spans="5:18">
      <c r="E985" s="318"/>
      <c r="G985" s="213"/>
      <c r="I985" s="213"/>
      <c r="K985" s="213"/>
      <c r="L985" s="318"/>
      <c r="M985" s="318"/>
      <c r="Q985" s="225"/>
      <c r="R985" s="225"/>
    </row>
    <row r="986" spans="5:18">
      <c r="E986" s="318"/>
      <c r="G986" s="213"/>
      <c r="I986" s="213"/>
      <c r="K986" s="213"/>
      <c r="L986" s="318"/>
      <c r="M986" s="318"/>
      <c r="Q986" s="225"/>
      <c r="R986" s="225"/>
    </row>
    <row r="987" spans="5:18">
      <c r="E987" s="318"/>
      <c r="G987" s="213"/>
      <c r="I987" s="213"/>
      <c r="K987" s="213"/>
      <c r="L987" s="318"/>
      <c r="M987" s="318"/>
      <c r="Q987" s="225"/>
      <c r="R987" s="225"/>
    </row>
    <row r="988" spans="5:18">
      <c r="E988" s="318"/>
      <c r="G988" s="213"/>
      <c r="I988" s="213"/>
      <c r="K988" s="213"/>
      <c r="L988" s="318"/>
      <c r="M988" s="318"/>
      <c r="Q988" s="225"/>
      <c r="R988" s="225"/>
    </row>
    <row r="989" spans="5:18">
      <c r="E989" s="318"/>
      <c r="G989" s="213"/>
      <c r="I989" s="213"/>
      <c r="K989" s="213"/>
      <c r="L989" s="318"/>
      <c r="M989" s="318"/>
      <c r="Q989" s="225"/>
      <c r="R989" s="225"/>
    </row>
    <row r="990" spans="5:18">
      <c r="E990" s="318"/>
      <c r="G990" s="213"/>
      <c r="I990" s="213"/>
      <c r="K990" s="213"/>
      <c r="L990" s="318"/>
      <c r="M990" s="318"/>
      <c r="Q990" s="225"/>
      <c r="R990" s="225"/>
    </row>
    <row r="991" spans="5:18">
      <c r="E991" s="318"/>
      <c r="G991" s="213"/>
      <c r="I991" s="213"/>
      <c r="K991" s="213"/>
      <c r="L991" s="318"/>
      <c r="M991" s="318"/>
      <c r="Q991" s="225"/>
      <c r="R991" s="225"/>
    </row>
    <row r="992" spans="5:18">
      <c r="E992" s="318"/>
      <c r="G992" s="213"/>
      <c r="I992" s="213"/>
      <c r="K992" s="213"/>
      <c r="L992" s="318"/>
      <c r="M992" s="318"/>
      <c r="Q992" s="225"/>
      <c r="R992" s="225"/>
    </row>
    <row r="993" spans="5:18">
      <c r="E993" s="318"/>
      <c r="G993" s="213"/>
      <c r="I993" s="213"/>
      <c r="K993" s="213"/>
      <c r="L993" s="318"/>
      <c r="M993" s="318"/>
      <c r="Q993" s="225"/>
      <c r="R993" s="225"/>
    </row>
    <row r="994" spans="5:18">
      <c r="E994" s="318"/>
      <c r="G994" s="213"/>
      <c r="I994" s="213"/>
      <c r="K994" s="213"/>
      <c r="L994" s="318"/>
      <c r="M994" s="318"/>
      <c r="Q994" s="225"/>
      <c r="R994" s="225"/>
    </row>
    <row r="995" spans="5:18">
      <c r="E995" s="318"/>
      <c r="G995" s="213"/>
      <c r="I995" s="213"/>
      <c r="K995" s="213"/>
      <c r="L995" s="318"/>
      <c r="M995" s="318"/>
      <c r="Q995" s="225"/>
      <c r="R995" s="225"/>
    </row>
    <row r="996" spans="5:18">
      <c r="E996" s="318"/>
      <c r="G996" s="213"/>
      <c r="I996" s="213"/>
      <c r="K996" s="213"/>
      <c r="L996" s="318"/>
      <c r="M996" s="318"/>
      <c r="Q996" s="225"/>
      <c r="R996" s="225"/>
    </row>
    <row r="997" spans="5:18">
      <c r="E997" s="318"/>
      <c r="G997" s="213"/>
      <c r="I997" s="213"/>
      <c r="K997" s="213"/>
      <c r="L997" s="318"/>
      <c r="M997" s="318"/>
      <c r="Q997" s="225"/>
      <c r="R997" s="225"/>
    </row>
    <row r="998" spans="5:18">
      <c r="E998" s="318"/>
      <c r="G998" s="213"/>
      <c r="I998" s="213"/>
      <c r="K998" s="213"/>
      <c r="L998" s="318"/>
      <c r="M998" s="318"/>
      <c r="Q998" s="225"/>
      <c r="R998" s="225"/>
    </row>
    <row r="999" spans="5:18">
      <c r="E999" s="318"/>
      <c r="G999" s="213"/>
      <c r="I999" s="213"/>
      <c r="K999" s="213"/>
      <c r="L999" s="318"/>
      <c r="M999" s="318"/>
      <c r="Q999" s="225"/>
      <c r="R999" s="225"/>
    </row>
    <row r="1000" spans="5:18">
      <c r="E1000" s="318"/>
      <c r="G1000" s="213"/>
      <c r="I1000" s="213"/>
      <c r="K1000" s="213"/>
      <c r="L1000" s="318"/>
      <c r="M1000" s="318"/>
      <c r="Q1000" s="225"/>
      <c r="R1000" s="225"/>
    </row>
    <row r="1001" spans="5:18">
      <c r="E1001" s="318"/>
      <c r="G1001" s="213"/>
      <c r="I1001" s="213"/>
      <c r="K1001" s="213"/>
      <c r="L1001" s="318"/>
      <c r="M1001" s="318"/>
      <c r="Q1001" s="225"/>
      <c r="R1001" s="225"/>
    </row>
    <row r="1002" spans="5:18">
      <c r="E1002" s="318"/>
      <c r="G1002" s="213"/>
      <c r="I1002" s="213"/>
      <c r="K1002" s="213"/>
      <c r="L1002" s="318"/>
      <c r="M1002" s="318"/>
      <c r="Q1002" s="225"/>
      <c r="R1002" s="225"/>
    </row>
    <row r="1003" spans="5:18">
      <c r="E1003" s="318"/>
      <c r="G1003" s="213"/>
      <c r="I1003" s="213"/>
      <c r="K1003" s="213"/>
      <c r="L1003" s="318"/>
      <c r="M1003" s="318"/>
      <c r="Q1003" s="225"/>
      <c r="R1003" s="225"/>
    </row>
    <row r="1004" spans="5:18">
      <c r="E1004" s="318"/>
      <c r="G1004" s="213"/>
      <c r="I1004" s="213"/>
      <c r="K1004" s="213"/>
      <c r="L1004" s="318"/>
      <c r="M1004" s="318"/>
      <c r="Q1004" s="225"/>
      <c r="R1004" s="225"/>
    </row>
    <row r="1005" spans="5:18">
      <c r="E1005" s="318"/>
      <c r="G1005" s="213"/>
      <c r="I1005" s="213"/>
      <c r="K1005" s="213"/>
      <c r="L1005" s="318"/>
      <c r="M1005" s="318"/>
      <c r="Q1005" s="225"/>
      <c r="R1005" s="225"/>
    </row>
    <row r="1006" spans="5:18">
      <c r="E1006" s="318"/>
      <c r="G1006" s="213"/>
      <c r="I1006" s="213"/>
      <c r="K1006" s="213"/>
      <c r="L1006" s="318"/>
      <c r="M1006" s="318"/>
      <c r="Q1006" s="225"/>
      <c r="R1006" s="225"/>
    </row>
    <row r="1007" spans="5:18">
      <c r="E1007" s="318"/>
      <c r="G1007" s="213"/>
      <c r="I1007" s="213"/>
      <c r="K1007" s="213"/>
      <c r="L1007" s="318"/>
      <c r="M1007" s="318"/>
      <c r="Q1007" s="225"/>
      <c r="R1007" s="225"/>
    </row>
    <row r="1008" spans="5:18">
      <c r="E1008" s="318"/>
      <c r="G1008" s="213"/>
      <c r="I1008" s="213"/>
      <c r="K1008" s="213"/>
      <c r="L1008" s="318"/>
      <c r="M1008" s="318"/>
      <c r="Q1008" s="225"/>
      <c r="R1008" s="225"/>
    </row>
    <row r="1009" spans="5:18">
      <c r="E1009" s="318"/>
      <c r="G1009" s="213"/>
      <c r="I1009" s="213"/>
      <c r="K1009" s="213"/>
      <c r="L1009" s="318"/>
      <c r="M1009" s="318"/>
      <c r="Q1009" s="225"/>
      <c r="R1009" s="225"/>
    </row>
    <row r="1010" spans="5:18">
      <c r="E1010" s="318"/>
      <c r="G1010" s="213"/>
      <c r="I1010" s="213"/>
      <c r="K1010" s="213"/>
      <c r="L1010" s="318"/>
      <c r="M1010" s="318"/>
      <c r="Q1010" s="225"/>
      <c r="R1010" s="225"/>
    </row>
    <row r="1011" spans="5:18">
      <c r="E1011" s="318"/>
      <c r="G1011" s="213"/>
      <c r="I1011" s="213"/>
      <c r="K1011" s="213"/>
      <c r="L1011" s="318"/>
      <c r="M1011" s="318"/>
      <c r="Q1011" s="225"/>
      <c r="R1011" s="225"/>
    </row>
    <row r="1012" spans="5:18">
      <c r="E1012" s="318"/>
      <c r="G1012" s="213"/>
      <c r="I1012" s="213"/>
      <c r="K1012" s="213"/>
      <c r="L1012" s="318"/>
      <c r="M1012" s="318"/>
      <c r="Q1012" s="225"/>
      <c r="R1012" s="225"/>
    </row>
    <row r="1013" spans="5:18">
      <c r="E1013" s="318"/>
      <c r="G1013" s="213"/>
      <c r="I1013" s="213"/>
      <c r="K1013" s="213"/>
      <c r="L1013" s="318"/>
      <c r="M1013" s="318"/>
      <c r="Q1013" s="225"/>
      <c r="R1013" s="225"/>
    </row>
    <row r="1014" spans="5:18">
      <c r="E1014" s="318"/>
      <c r="G1014" s="213"/>
      <c r="I1014" s="213"/>
      <c r="K1014" s="213"/>
      <c r="L1014" s="318"/>
      <c r="M1014" s="318"/>
      <c r="Q1014" s="225"/>
      <c r="R1014" s="225"/>
    </row>
    <row r="1015" spans="5:18">
      <c r="E1015" s="318"/>
      <c r="G1015" s="213"/>
      <c r="I1015" s="213"/>
      <c r="K1015" s="213"/>
      <c r="L1015" s="318"/>
      <c r="M1015" s="318"/>
      <c r="Q1015" s="225"/>
      <c r="R1015" s="225"/>
    </row>
    <row r="1016" spans="5:18">
      <c r="E1016" s="318"/>
      <c r="G1016" s="213"/>
      <c r="I1016" s="213"/>
      <c r="K1016" s="213"/>
      <c r="L1016" s="318"/>
      <c r="M1016" s="318"/>
      <c r="Q1016" s="225"/>
      <c r="R1016" s="225"/>
    </row>
    <row r="1017" spans="5:18">
      <c r="E1017" s="318"/>
      <c r="G1017" s="213"/>
      <c r="I1017" s="213"/>
      <c r="K1017" s="213"/>
      <c r="L1017" s="318"/>
      <c r="M1017" s="318"/>
      <c r="Q1017" s="225"/>
      <c r="R1017" s="225"/>
    </row>
    <row r="1018" spans="5:18">
      <c r="E1018" s="318"/>
      <c r="G1018" s="213"/>
      <c r="I1018" s="213"/>
      <c r="K1018" s="213"/>
      <c r="L1018" s="318"/>
      <c r="M1018" s="318"/>
      <c r="Q1018" s="225"/>
      <c r="R1018" s="225"/>
    </row>
    <row r="1019" spans="5:18">
      <c r="E1019" s="318"/>
      <c r="G1019" s="213"/>
      <c r="I1019" s="213"/>
      <c r="K1019" s="213"/>
      <c r="L1019" s="318"/>
      <c r="M1019" s="318"/>
      <c r="Q1019" s="225"/>
      <c r="R1019" s="225"/>
    </row>
    <row r="1020" spans="5:18">
      <c r="E1020" s="318"/>
      <c r="G1020" s="213"/>
      <c r="I1020" s="213"/>
      <c r="K1020" s="213"/>
      <c r="L1020" s="318"/>
      <c r="M1020" s="318"/>
      <c r="Q1020" s="225"/>
      <c r="R1020" s="225"/>
    </row>
    <row r="1021" spans="5:18">
      <c r="E1021" s="318"/>
      <c r="G1021" s="213"/>
      <c r="I1021" s="213"/>
      <c r="K1021" s="213"/>
      <c r="L1021" s="318"/>
      <c r="M1021" s="318"/>
      <c r="Q1021" s="225"/>
      <c r="R1021" s="225"/>
    </row>
    <row r="1022" spans="5:18">
      <c r="E1022" s="318"/>
      <c r="G1022" s="213"/>
      <c r="I1022" s="213"/>
      <c r="K1022" s="213"/>
      <c r="L1022" s="318"/>
      <c r="M1022" s="318"/>
      <c r="Q1022" s="225"/>
      <c r="R1022" s="225"/>
    </row>
    <row r="1023" spans="5:18">
      <c r="E1023" s="318"/>
      <c r="G1023" s="213"/>
      <c r="I1023" s="213"/>
      <c r="K1023" s="213"/>
      <c r="L1023" s="318"/>
      <c r="M1023" s="318"/>
      <c r="Q1023" s="225"/>
      <c r="R1023" s="225"/>
    </row>
    <row r="1024" spans="5:18">
      <c r="E1024" s="318"/>
      <c r="G1024" s="213"/>
      <c r="I1024" s="213"/>
      <c r="K1024" s="213"/>
      <c r="L1024" s="318"/>
      <c r="M1024" s="318"/>
      <c r="Q1024" s="225"/>
      <c r="R1024" s="225"/>
    </row>
    <row r="1025" spans="5:18">
      <c r="E1025" s="318"/>
      <c r="G1025" s="213"/>
      <c r="I1025" s="213"/>
      <c r="K1025" s="213"/>
      <c r="L1025" s="318"/>
      <c r="M1025" s="318"/>
      <c r="Q1025" s="225"/>
      <c r="R1025" s="225"/>
    </row>
    <row r="1026" spans="5:18">
      <c r="E1026" s="318"/>
      <c r="G1026" s="213"/>
      <c r="I1026" s="213"/>
      <c r="K1026" s="213"/>
      <c r="L1026" s="318"/>
      <c r="M1026" s="318"/>
      <c r="Q1026" s="225"/>
      <c r="R1026" s="225"/>
    </row>
    <row r="1027" spans="5:18">
      <c r="E1027" s="318"/>
      <c r="G1027" s="213"/>
      <c r="I1027" s="213"/>
      <c r="K1027" s="213"/>
      <c r="L1027" s="318"/>
      <c r="M1027" s="318"/>
      <c r="Q1027" s="225"/>
      <c r="R1027" s="225"/>
    </row>
    <row r="1028" spans="5:18">
      <c r="E1028" s="318"/>
      <c r="G1028" s="213"/>
      <c r="I1028" s="213"/>
      <c r="K1028" s="213"/>
      <c r="L1028" s="318"/>
      <c r="M1028" s="318"/>
      <c r="Q1028" s="225"/>
      <c r="R1028" s="225"/>
    </row>
    <row r="1029" spans="5:18">
      <c r="E1029" s="318"/>
      <c r="G1029" s="213"/>
      <c r="I1029" s="213"/>
      <c r="K1029" s="213"/>
      <c r="L1029" s="318"/>
      <c r="M1029" s="318"/>
      <c r="Q1029" s="225"/>
      <c r="R1029" s="225"/>
    </row>
    <row r="1030" spans="5:18">
      <c r="E1030" s="318"/>
      <c r="G1030" s="213"/>
      <c r="I1030" s="213"/>
      <c r="K1030" s="213"/>
      <c r="L1030" s="318"/>
      <c r="M1030" s="318"/>
      <c r="Q1030" s="225"/>
      <c r="R1030" s="225"/>
    </row>
    <row r="1031" spans="5:18">
      <c r="E1031" s="318"/>
      <c r="G1031" s="213"/>
      <c r="I1031" s="213"/>
      <c r="K1031" s="213"/>
      <c r="L1031" s="318"/>
      <c r="M1031" s="318"/>
      <c r="Q1031" s="225"/>
      <c r="R1031" s="225"/>
    </row>
    <row r="1032" spans="5:18">
      <c r="E1032" s="318"/>
      <c r="G1032" s="213"/>
      <c r="I1032" s="213"/>
      <c r="K1032" s="213"/>
      <c r="L1032" s="318"/>
      <c r="M1032" s="318"/>
      <c r="Q1032" s="225"/>
      <c r="R1032" s="225"/>
    </row>
    <row r="1033" spans="5:18">
      <c r="E1033" s="318"/>
      <c r="G1033" s="213"/>
      <c r="I1033" s="213"/>
      <c r="K1033" s="213"/>
      <c r="L1033" s="318"/>
      <c r="M1033" s="318"/>
      <c r="Q1033" s="225"/>
      <c r="R1033" s="225"/>
    </row>
    <row r="1034" spans="5:18">
      <c r="E1034" s="318"/>
      <c r="G1034" s="213"/>
      <c r="I1034" s="213"/>
      <c r="K1034" s="213"/>
      <c r="L1034" s="318"/>
      <c r="M1034" s="318"/>
      <c r="Q1034" s="225"/>
      <c r="R1034" s="225"/>
    </row>
    <row r="1035" spans="5:18">
      <c r="E1035" s="318"/>
      <c r="G1035" s="213"/>
      <c r="I1035" s="213"/>
      <c r="K1035" s="213"/>
      <c r="L1035" s="318"/>
      <c r="M1035" s="318"/>
      <c r="Q1035" s="225"/>
      <c r="R1035" s="225"/>
    </row>
    <row r="1036" spans="5:18">
      <c r="E1036" s="318"/>
      <c r="G1036" s="213"/>
      <c r="I1036" s="213"/>
      <c r="K1036" s="213"/>
      <c r="L1036" s="318"/>
      <c r="M1036" s="318"/>
      <c r="Q1036" s="225"/>
      <c r="R1036" s="225"/>
    </row>
    <row r="1037" spans="5:18">
      <c r="E1037" s="318"/>
      <c r="G1037" s="213"/>
      <c r="I1037" s="213"/>
      <c r="K1037" s="213"/>
      <c r="L1037" s="318"/>
      <c r="M1037" s="318"/>
      <c r="Q1037" s="225"/>
      <c r="R1037" s="225"/>
    </row>
    <row r="1038" spans="5:18">
      <c r="E1038" s="318"/>
      <c r="G1038" s="213"/>
      <c r="I1038" s="213"/>
      <c r="K1038" s="213"/>
      <c r="L1038" s="318"/>
      <c r="M1038" s="318"/>
      <c r="Q1038" s="225"/>
      <c r="R1038" s="225"/>
    </row>
    <row r="1039" spans="5:18">
      <c r="E1039" s="318"/>
      <c r="G1039" s="213"/>
      <c r="I1039" s="213"/>
      <c r="K1039" s="213"/>
      <c r="L1039" s="318"/>
      <c r="M1039" s="318"/>
      <c r="Q1039" s="225"/>
      <c r="R1039" s="225"/>
    </row>
    <row r="1040" spans="5:18">
      <c r="E1040" s="318"/>
      <c r="G1040" s="213"/>
      <c r="I1040" s="213"/>
      <c r="K1040" s="213"/>
      <c r="L1040" s="318"/>
      <c r="M1040" s="318"/>
      <c r="Q1040" s="225"/>
      <c r="R1040" s="225"/>
    </row>
    <row r="1041" spans="5:18">
      <c r="E1041" s="318"/>
      <c r="G1041" s="213"/>
      <c r="I1041" s="213"/>
      <c r="K1041" s="213"/>
      <c r="L1041" s="318"/>
      <c r="M1041" s="318"/>
      <c r="Q1041" s="225"/>
      <c r="R1041" s="225"/>
    </row>
    <row r="1042" spans="5:18">
      <c r="E1042" s="318"/>
      <c r="G1042" s="213"/>
      <c r="I1042" s="213"/>
      <c r="K1042" s="213"/>
      <c r="L1042" s="318"/>
      <c r="M1042" s="318"/>
      <c r="Q1042" s="225"/>
      <c r="R1042" s="225"/>
    </row>
    <row r="1043" spans="5:18">
      <c r="E1043" s="318"/>
      <c r="G1043" s="213"/>
      <c r="I1043" s="213"/>
      <c r="K1043" s="213"/>
      <c r="L1043" s="318"/>
      <c r="M1043" s="318"/>
      <c r="Q1043" s="225"/>
      <c r="R1043" s="225"/>
    </row>
    <row r="1044" spans="5:18">
      <c r="E1044" s="318"/>
      <c r="G1044" s="213"/>
      <c r="I1044" s="213"/>
      <c r="K1044" s="213"/>
      <c r="L1044" s="318"/>
      <c r="M1044" s="318"/>
      <c r="Q1044" s="225"/>
      <c r="R1044" s="225"/>
    </row>
    <row r="1045" spans="5:18">
      <c r="E1045" s="318"/>
      <c r="G1045" s="213"/>
      <c r="I1045" s="213"/>
      <c r="K1045" s="213"/>
      <c r="L1045" s="318"/>
      <c r="M1045" s="318"/>
      <c r="Q1045" s="225"/>
      <c r="R1045" s="225"/>
    </row>
    <row r="1046" spans="5:18">
      <c r="E1046" s="318"/>
      <c r="G1046" s="213"/>
      <c r="I1046" s="213"/>
      <c r="K1046" s="213"/>
      <c r="L1046" s="318"/>
      <c r="M1046" s="318"/>
      <c r="Q1046" s="225"/>
      <c r="R1046" s="225"/>
    </row>
    <row r="1047" spans="5:18">
      <c r="E1047" s="318"/>
      <c r="G1047" s="213"/>
      <c r="I1047" s="213"/>
      <c r="K1047" s="213"/>
      <c r="L1047" s="318"/>
      <c r="M1047" s="318"/>
      <c r="Q1047" s="225"/>
      <c r="R1047" s="225"/>
    </row>
    <row r="1048" spans="5:18">
      <c r="E1048" s="318"/>
      <c r="G1048" s="213"/>
      <c r="I1048" s="213"/>
      <c r="K1048" s="213"/>
      <c r="L1048" s="318"/>
      <c r="M1048" s="318"/>
      <c r="Q1048" s="225"/>
      <c r="R1048" s="225"/>
    </row>
    <row r="1049" spans="5:18">
      <c r="E1049" s="318"/>
      <c r="G1049" s="213"/>
      <c r="I1049" s="213"/>
      <c r="K1049" s="213"/>
      <c r="L1049" s="318"/>
      <c r="M1049" s="318"/>
      <c r="Q1049" s="225"/>
      <c r="R1049" s="225"/>
    </row>
    <row r="1050" spans="5:18">
      <c r="E1050" s="318"/>
      <c r="G1050" s="213"/>
      <c r="I1050" s="213"/>
      <c r="K1050" s="213"/>
      <c r="L1050" s="318"/>
      <c r="M1050" s="318"/>
      <c r="Q1050" s="225"/>
      <c r="R1050" s="225"/>
    </row>
    <row r="1051" spans="5:18">
      <c r="E1051" s="318"/>
      <c r="G1051" s="213"/>
      <c r="I1051" s="213"/>
      <c r="K1051" s="213"/>
      <c r="L1051" s="318"/>
      <c r="M1051" s="318"/>
      <c r="Q1051" s="225"/>
      <c r="R1051" s="225"/>
    </row>
    <row r="1052" spans="5:18">
      <c r="E1052" s="318"/>
      <c r="G1052" s="213"/>
      <c r="I1052" s="213"/>
      <c r="K1052" s="213"/>
      <c r="L1052" s="318"/>
      <c r="M1052" s="318"/>
      <c r="Q1052" s="225"/>
      <c r="R1052" s="225"/>
    </row>
    <row r="1053" spans="5:18">
      <c r="E1053" s="318"/>
      <c r="G1053" s="213"/>
      <c r="I1053" s="213"/>
      <c r="K1053" s="213"/>
      <c r="L1053" s="318"/>
      <c r="M1053" s="318"/>
      <c r="Q1053" s="225"/>
      <c r="R1053" s="225"/>
    </row>
    <row r="1054" spans="5:18">
      <c r="E1054" s="318"/>
      <c r="G1054" s="213"/>
      <c r="I1054" s="213"/>
      <c r="K1054" s="213"/>
      <c r="L1054" s="318"/>
      <c r="M1054" s="318"/>
      <c r="Q1054" s="225"/>
      <c r="R1054" s="225"/>
    </row>
    <row r="1055" spans="5:18">
      <c r="E1055" s="318"/>
      <c r="G1055" s="213"/>
      <c r="I1055" s="213"/>
      <c r="K1055" s="213"/>
      <c r="L1055" s="318"/>
      <c r="M1055" s="318"/>
      <c r="Q1055" s="225"/>
      <c r="R1055" s="225"/>
    </row>
    <row r="1056" spans="5:18">
      <c r="E1056" s="318"/>
      <c r="G1056" s="213"/>
      <c r="I1056" s="213"/>
      <c r="K1056" s="213"/>
      <c r="L1056" s="318"/>
      <c r="M1056" s="318"/>
      <c r="Q1056" s="225"/>
      <c r="R1056" s="225"/>
    </row>
    <row r="1057" spans="5:18">
      <c r="E1057" s="318"/>
      <c r="G1057" s="213"/>
      <c r="I1057" s="213"/>
      <c r="K1057" s="213"/>
      <c r="L1057" s="318"/>
      <c r="M1057" s="318"/>
      <c r="Q1057" s="225"/>
      <c r="R1057" s="225"/>
    </row>
    <row r="1058" spans="5:18">
      <c r="E1058" s="318"/>
      <c r="G1058" s="213"/>
      <c r="I1058" s="213"/>
      <c r="K1058" s="213"/>
      <c r="L1058" s="318"/>
      <c r="M1058" s="318"/>
      <c r="Q1058" s="225"/>
      <c r="R1058" s="225"/>
    </row>
    <row r="1059" spans="5:18">
      <c r="E1059" s="318"/>
      <c r="G1059" s="213"/>
      <c r="I1059" s="213"/>
      <c r="K1059" s="213"/>
      <c r="L1059" s="318"/>
      <c r="M1059" s="318"/>
      <c r="Q1059" s="225"/>
      <c r="R1059" s="225"/>
    </row>
    <row r="1060" spans="5:18">
      <c r="E1060" s="318"/>
      <c r="G1060" s="213"/>
      <c r="I1060" s="213"/>
      <c r="K1060" s="213"/>
      <c r="L1060" s="318"/>
      <c r="M1060" s="318"/>
      <c r="Q1060" s="225"/>
      <c r="R1060" s="225"/>
    </row>
    <row r="1061" spans="5:18">
      <c r="E1061" s="318"/>
      <c r="G1061" s="213"/>
      <c r="I1061" s="213"/>
      <c r="K1061" s="213"/>
      <c r="L1061" s="318"/>
      <c r="M1061" s="318"/>
      <c r="Q1061" s="225"/>
      <c r="R1061" s="225"/>
    </row>
    <row r="1062" spans="5:18">
      <c r="E1062" s="318"/>
      <c r="G1062" s="213"/>
      <c r="I1062" s="213"/>
      <c r="K1062" s="213"/>
      <c r="L1062" s="318"/>
      <c r="M1062" s="318"/>
      <c r="Q1062" s="225"/>
      <c r="R1062" s="225"/>
    </row>
    <row r="1063" spans="5:18">
      <c r="E1063" s="318"/>
      <c r="G1063" s="213"/>
      <c r="I1063" s="213"/>
      <c r="K1063" s="213"/>
      <c r="L1063" s="318"/>
      <c r="M1063" s="318"/>
      <c r="Q1063" s="225"/>
      <c r="R1063" s="225"/>
    </row>
    <row r="1064" spans="5:18">
      <c r="E1064" s="318"/>
      <c r="G1064" s="213"/>
      <c r="I1064" s="213"/>
      <c r="K1064" s="213"/>
      <c r="L1064" s="318"/>
      <c r="M1064" s="318"/>
      <c r="Q1064" s="225"/>
      <c r="R1064" s="225"/>
    </row>
    <row r="1065" spans="5:18">
      <c r="E1065" s="318"/>
      <c r="G1065" s="213"/>
      <c r="I1065" s="213"/>
      <c r="K1065" s="213"/>
      <c r="L1065" s="318"/>
      <c r="M1065" s="318"/>
      <c r="Q1065" s="225"/>
      <c r="R1065" s="225"/>
    </row>
    <row r="1066" spans="5:18">
      <c r="E1066" s="318"/>
      <c r="G1066" s="213"/>
      <c r="I1066" s="213"/>
      <c r="K1066" s="213"/>
      <c r="L1066" s="318"/>
      <c r="M1066" s="318"/>
      <c r="Q1066" s="225"/>
      <c r="R1066" s="225"/>
    </row>
    <row r="1067" spans="5:18">
      <c r="E1067" s="318"/>
      <c r="G1067" s="213"/>
      <c r="I1067" s="213"/>
      <c r="K1067" s="213"/>
      <c r="L1067" s="318"/>
      <c r="M1067" s="318"/>
      <c r="Q1067" s="225"/>
      <c r="R1067" s="225"/>
    </row>
    <row r="1068" spans="5:18">
      <c r="E1068" s="318"/>
      <c r="G1068" s="213"/>
      <c r="I1068" s="213"/>
      <c r="K1068" s="213"/>
      <c r="L1068" s="318"/>
      <c r="M1068" s="318"/>
      <c r="Q1068" s="225"/>
      <c r="R1068" s="225"/>
    </row>
    <row r="1069" spans="5:18">
      <c r="E1069" s="318"/>
      <c r="G1069" s="213"/>
      <c r="I1069" s="213"/>
      <c r="K1069" s="213"/>
      <c r="L1069" s="318"/>
      <c r="M1069" s="318"/>
      <c r="Q1069" s="225"/>
      <c r="R1069" s="225"/>
    </row>
    <row r="1070" spans="5:18">
      <c r="E1070" s="318"/>
      <c r="G1070" s="213"/>
      <c r="I1070" s="213"/>
      <c r="K1070" s="213"/>
      <c r="L1070" s="318"/>
      <c r="M1070" s="318"/>
      <c r="Q1070" s="225"/>
      <c r="R1070" s="225"/>
    </row>
    <row r="1071" spans="5:18">
      <c r="E1071" s="318"/>
      <c r="G1071" s="213"/>
      <c r="I1071" s="213"/>
      <c r="K1071" s="213"/>
      <c r="L1071" s="318"/>
      <c r="M1071" s="318"/>
      <c r="Q1071" s="225"/>
      <c r="R1071" s="225"/>
    </row>
    <row r="1072" spans="5:18">
      <c r="E1072" s="318"/>
      <c r="G1072" s="213"/>
      <c r="I1072" s="213"/>
      <c r="K1072" s="213"/>
      <c r="L1072" s="318"/>
      <c r="M1072" s="318"/>
      <c r="Q1072" s="225"/>
      <c r="R1072" s="225"/>
    </row>
    <row r="1073" spans="5:18">
      <c r="E1073" s="318"/>
      <c r="G1073" s="213"/>
      <c r="I1073" s="213"/>
      <c r="K1073" s="213"/>
      <c r="L1073" s="318"/>
      <c r="M1073" s="318"/>
      <c r="Q1073" s="225"/>
      <c r="R1073" s="225"/>
    </row>
    <row r="1074" spans="5:18">
      <c r="E1074" s="318"/>
      <c r="G1074" s="213"/>
      <c r="I1074" s="213"/>
      <c r="K1074" s="213"/>
      <c r="L1074" s="318"/>
      <c r="M1074" s="318"/>
      <c r="Q1074" s="225"/>
      <c r="R1074" s="225"/>
    </row>
    <row r="1075" spans="5:18">
      <c r="E1075" s="318"/>
      <c r="G1075" s="213"/>
      <c r="I1075" s="213"/>
      <c r="K1075" s="213"/>
      <c r="L1075" s="318"/>
      <c r="M1075" s="318"/>
      <c r="Q1075" s="225"/>
      <c r="R1075" s="225"/>
    </row>
    <row r="1076" spans="5:18">
      <c r="E1076" s="318"/>
      <c r="G1076" s="213"/>
      <c r="I1076" s="213"/>
      <c r="K1076" s="213"/>
      <c r="L1076" s="318"/>
      <c r="M1076" s="318"/>
      <c r="Q1076" s="225"/>
      <c r="R1076" s="225"/>
    </row>
    <row r="1077" spans="5:18">
      <c r="E1077" s="318"/>
      <c r="G1077" s="213"/>
      <c r="I1077" s="213"/>
      <c r="K1077" s="213"/>
      <c r="L1077" s="318"/>
      <c r="M1077" s="318"/>
      <c r="Q1077" s="225"/>
      <c r="R1077" s="225"/>
    </row>
    <row r="1078" spans="5:18">
      <c r="E1078" s="318"/>
      <c r="G1078" s="213"/>
      <c r="I1078" s="213"/>
      <c r="K1078" s="213"/>
      <c r="L1078" s="318"/>
      <c r="M1078" s="318"/>
      <c r="Q1078" s="225"/>
      <c r="R1078" s="225"/>
    </row>
    <row r="1079" spans="5:18">
      <c r="E1079" s="318"/>
      <c r="G1079" s="213"/>
      <c r="I1079" s="213"/>
      <c r="K1079" s="213"/>
      <c r="L1079" s="318"/>
      <c r="M1079" s="318"/>
      <c r="Q1079" s="225"/>
      <c r="R1079" s="225"/>
    </row>
    <row r="1080" spans="5:18">
      <c r="E1080" s="318"/>
      <c r="G1080" s="213"/>
      <c r="I1080" s="213"/>
      <c r="K1080" s="213"/>
      <c r="L1080" s="318"/>
      <c r="M1080" s="318"/>
      <c r="Q1080" s="225"/>
      <c r="R1080" s="225"/>
    </row>
    <row r="1081" spans="5:18">
      <c r="E1081" s="318"/>
      <c r="G1081" s="213"/>
      <c r="I1081" s="213"/>
      <c r="K1081" s="213"/>
      <c r="L1081" s="318"/>
      <c r="M1081" s="318"/>
      <c r="Q1081" s="225"/>
      <c r="R1081" s="225"/>
    </row>
    <row r="1082" spans="5:18">
      <c r="E1082" s="318"/>
      <c r="G1082" s="213"/>
      <c r="I1082" s="213"/>
      <c r="K1082" s="213"/>
      <c r="L1082" s="318"/>
      <c r="M1082" s="318"/>
      <c r="Q1082" s="225"/>
      <c r="R1082" s="225"/>
    </row>
    <row r="1083" spans="5:18">
      <c r="E1083" s="318"/>
      <c r="G1083" s="213"/>
      <c r="I1083" s="213"/>
      <c r="K1083" s="213"/>
      <c r="L1083" s="318"/>
      <c r="M1083" s="318"/>
      <c r="Q1083" s="225"/>
      <c r="R1083" s="225"/>
    </row>
    <row r="1084" spans="5:18">
      <c r="E1084" s="318"/>
      <c r="G1084" s="213"/>
      <c r="I1084" s="213"/>
      <c r="K1084" s="213"/>
      <c r="L1084" s="318"/>
      <c r="M1084" s="318"/>
      <c r="Q1084" s="225"/>
      <c r="R1084" s="225"/>
    </row>
    <row r="1085" spans="5:18">
      <c r="E1085" s="318"/>
      <c r="G1085" s="213"/>
      <c r="I1085" s="213"/>
      <c r="K1085" s="213"/>
      <c r="L1085" s="318"/>
      <c r="M1085" s="318"/>
      <c r="Q1085" s="225"/>
      <c r="R1085" s="225"/>
    </row>
    <row r="1086" spans="5:18">
      <c r="E1086" s="318"/>
      <c r="G1086" s="213"/>
      <c r="I1086" s="213"/>
      <c r="K1086" s="213"/>
      <c r="L1086" s="318"/>
      <c r="M1086" s="318"/>
      <c r="Q1086" s="225"/>
      <c r="R1086" s="225"/>
    </row>
    <row r="1087" spans="5:18">
      <c r="E1087" s="318"/>
      <c r="G1087" s="213"/>
      <c r="I1087" s="213"/>
      <c r="K1087" s="213"/>
      <c r="L1087" s="318"/>
      <c r="M1087" s="318"/>
      <c r="Q1087" s="225"/>
      <c r="R1087" s="225"/>
    </row>
    <row r="1088" spans="5:18">
      <c r="E1088" s="318"/>
      <c r="G1088" s="213"/>
      <c r="I1088" s="213"/>
      <c r="K1088" s="213"/>
      <c r="L1088" s="318"/>
      <c r="M1088" s="318"/>
      <c r="Q1088" s="225"/>
      <c r="R1088" s="225"/>
    </row>
    <row r="1089" spans="5:18">
      <c r="E1089" s="318"/>
      <c r="G1089" s="213"/>
      <c r="I1089" s="213"/>
      <c r="K1089" s="213"/>
      <c r="L1089" s="318"/>
      <c r="M1089" s="318"/>
      <c r="Q1089" s="225"/>
      <c r="R1089" s="225"/>
    </row>
    <row r="1090" spans="5:18">
      <c r="E1090" s="318"/>
      <c r="G1090" s="213"/>
      <c r="I1090" s="213"/>
      <c r="K1090" s="213"/>
      <c r="L1090" s="318"/>
      <c r="M1090" s="318"/>
      <c r="Q1090" s="225"/>
      <c r="R1090" s="225"/>
    </row>
    <row r="1091" spans="5:18">
      <c r="E1091" s="318"/>
      <c r="G1091" s="213"/>
      <c r="I1091" s="213"/>
      <c r="K1091" s="213"/>
      <c r="L1091" s="318"/>
      <c r="M1091" s="318"/>
      <c r="Q1091" s="225"/>
      <c r="R1091" s="225"/>
    </row>
    <row r="1092" spans="5:18">
      <c r="E1092" s="318"/>
      <c r="G1092" s="213"/>
      <c r="I1092" s="213"/>
      <c r="K1092" s="213"/>
      <c r="L1092" s="318"/>
      <c r="M1092" s="318"/>
      <c r="Q1092" s="225"/>
      <c r="R1092" s="225"/>
    </row>
    <row r="1093" spans="5:18">
      <c r="E1093" s="318"/>
      <c r="G1093" s="213"/>
      <c r="I1093" s="213"/>
      <c r="K1093" s="213"/>
      <c r="L1093" s="318"/>
      <c r="M1093" s="318"/>
      <c r="Q1093" s="225"/>
      <c r="R1093" s="225"/>
    </row>
    <row r="1094" spans="5:18">
      <c r="E1094" s="318"/>
      <c r="G1094" s="213"/>
      <c r="I1094" s="213"/>
      <c r="K1094" s="213"/>
      <c r="L1094" s="318"/>
      <c r="M1094" s="318"/>
      <c r="Q1094" s="225"/>
      <c r="R1094" s="225"/>
    </row>
    <row r="1095" spans="5:18">
      <c r="E1095" s="318"/>
      <c r="G1095" s="213"/>
      <c r="I1095" s="213"/>
      <c r="K1095" s="213"/>
      <c r="L1095" s="318"/>
      <c r="M1095" s="318"/>
      <c r="Q1095" s="225"/>
      <c r="R1095" s="225"/>
    </row>
    <row r="1096" spans="5:18">
      <c r="E1096" s="318"/>
      <c r="G1096" s="213"/>
      <c r="I1096" s="213"/>
      <c r="K1096" s="213"/>
      <c r="L1096" s="318"/>
      <c r="M1096" s="318"/>
      <c r="Q1096" s="225"/>
      <c r="R1096" s="225"/>
    </row>
    <row r="1097" spans="5:18">
      <c r="E1097" s="318"/>
      <c r="G1097" s="213"/>
      <c r="I1097" s="213"/>
      <c r="K1097" s="213"/>
      <c r="L1097" s="318"/>
      <c r="M1097" s="318"/>
      <c r="Q1097" s="225"/>
      <c r="R1097" s="225"/>
    </row>
    <row r="1098" spans="5:18">
      <c r="E1098" s="318"/>
      <c r="G1098" s="213"/>
      <c r="I1098" s="213"/>
      <c r="K1098" s="213"/>
      <c r="L1098" s="318"/>
      <c r="M1098" s="318"/>
      <c r="Q1098" s="225"/>
      <c r="R1098" s="225"/>
    </row>
    <row r="1099" spans="5:18">
      <c r="E1099" s="318"/>
      <c r="G1099" s="213"/>
      <c r="I1099" s="213"/>
      <c r="K1099" s="213"/>
      <c r="L1099" s="318"/>
      <c r="M1099" s="318"/>
      <c r="Q1099" s="225"/>
      <c r="R1099" s="225"/>
    </row>
    <row r="1100" spans="5:18">
      <c r="E1100" s="318"/>
      <c r="G1100" s="213"/>
      <c r="I1100" s="213"/>
      <c r="K1100" s="213"/>
      <c r="L1100" s="318"/>
      <c r="M1100" s="318"/>
      <c r="Q1100" s="225"/>
      <c r="R1100" s="225"/>
    </row>
    <row r="1101" spans="5:18">
      <c r="E1101" s="318"/>
      <c r="G1101" s="213"/>
      <c r="I1101" s="213"/>
      <c r="K1101" s="213"/>
      <c r="L1101" s="318"/>
      <c r="M1101" s="318"/>
      <c r="Q1101" s="225"/>
      <c r="R1101" s="225"/>
    </row>
    <row r="1102" spans="5:18">
      <c r="E1102" s="318"/>
      <c r="G1102" s="213"/>
      <c r="I1102" s="213"/>
      <c r="K1102" s="213"/>
      <c r="L1102" s="318"/>
      <c r="M1102" s="318"/>
      <c r="Q1102" s="225"/>
      <c r="R1102" s="225"/>
    </row>
    <row r="1103" spans="5:18">
      <c r="E1103" s="318"/>
      <c r="G1103" s="213"/>
      <c r="I1103" s="213"/>
      <c r="K1103" s="213"/>
      <c r="L1103" s="318"/>
      <c r="M1103" s="318"/>
      <c r="Q1103" s="225"/>
      <c r="R1103" s="225"/>
    </row>
    <row r="1104" spans="5:18">
      <c r="E1104" s="318"/>
      <c r="G1104" s="213"/>
      <c r="I1104" s="213"/>
      <c r="K1104" s="213"/>
      <c r="L1104" s="318"/>
      <c r="M1104" s="318"/>
      <c r="Q1104" s="225"/>
      <c r="R1104" s="225"/>
    </row>
    <row r="1105" spans="5:18">
      <c r="E1105" s="318"/>
      <c r="G1105" s="213"/>
      <c r="I1105" s="213"/>
      <c r="K1105" s="213"/>
      <c r="L1105" s="318"/>
      <c r="M1105" s="318"/>
      <c r="Q1105" s="225"/>
      <c r="R1105" s="225"/>
    </row>
    <row r="1106" spans="5:18">
      <c r="E1106" s="318"/>
      <c r="G1106" s="213"/>
      <c r="I1106" s="213"/>
      <c r="K1106" s="213"/>
      <c r="L1106" s="318"/>
      <c r="M1106" s="318"/>
      <c r="Q1106" s="225"/>
      <c r="R1106" s="225"/>
    </row>
    <row r="1107" spans="5:18">
      <c r="E1107" s="318"/>
      <c r="G1107" s="213"/>
      <c r="I1107" s="213"/>
      <c r="K1107" s="213"/>
      <c r="L1107" s="318"/>
      <c r="M1107" s="318"/>
      <c r="Q1107" s="225"/>
      <c r="R1107" s="225"/>
    </row>
    <row r="1108" spans="5:18">
      <c r="E1108" s="318"/>
      <c r="G1108" s="213"/>
      <c r="I1108" s="213"/>
      <c r="K1108" s="213"/>
      <c r="L1108" s="318"/>
      <c r="M1108" s="318"/>
      <c r="Q1108" s="225"/>
      <c r="R1108" s="225"/>
    </row>
    <row r="1109" spans="5:18">
      <c r="E1109" s="318"/>
      <c r="G1109" s="213"/>
      <c r="I1109" s="213"/>
      <c r="K1109" s="213"/>
      <c r="L1109" s="318"/>
      <c r="M1109" s="318"/>
      <c r="Q1109" s="225"/>
      <c r="R1109" s="225"/>
    </row>
    <row r="1110" spans="5:18">
      <c r="E1110" s="318"/>
      <c r="G1110" s="213"/>
      <c r="I1110" s="213"/>
      <c r="K1110" s="213"/>
      <c r="L1110" s="318"/>
      <c r="M1110" s="318"/>
      <c r="Q1110" s="225"/>
      <c r="R1110" s="225"/>
    </row>
    <row r="1111" spans="5:18">
      <c r="E1111" s="318"/>
      <c r="G1111" s="213"/>
      <c r="I1111" s="213"/>
      <c r="K1111" s="213"/>
      <c r="L1111" s="318"/>
      <c r="M1111" s="318"/>
      <c r="Q1111" s="225"/>
      <c r="R1111" s="225"/>
    </row>
    <row r="1112" spans="5:18">
      <c r="E1112" s="318"/>
      <c r="G1112" s="213"/>
      <c r="I1112" s="213"/>
      <c r="K1112" s="213"/>
      <c r="L1112" s="318"/>
      <c r="M1112" s="318"/>
      <c r="Q1112" s="225"/>
      <c r="R1112" s="225"/>
    </row>
    <row r="1113" spans="5:18">
      <c r="E1113" s="318"/>
      <c r="G1113" s="213"/>
      <c r="I1113" s="213"/>
      <c r="K1113" s="213"/>
      <c r="L1113" s="318"/>
      <c r="M1113" s="318"/>
      <c r="Q1113" s="225"/>
      <c r="R1113" s="225"/>
    </row>
    <row r="1114" spans="5:18">
      <c r="E1114" s="318"/>
      <c r="G1114" s="213"/>
      <c r="I1114" s="213"/>
      <c r="K1114" s="213"/>
      <c r="L1114" s="318"/>
      <c r="M1114" s="318"/>
      <c r="Q1114" s="225"/>
      <c r="R1114" s="225"/>
    </row>
    <row r="1115" spans="5:18">
      <c r="E1115" s="318"/>
      <c r="G1115" s="213"/>
      <c r="I1115" s="213"/>
      <c r="K1115" s="213"/>
      <c r="L1115" s="318"/>
      <c r="M1115" s="318"/>
      <c r="Q1115" s="225"/>
      <c r="R1115" s="225"/>
    </row>
    <row r="1116" spans="5:18">
      <c r="E1116" s="318"/>
      <c r="G1116" s="213"/>
      <c r="I1116" s="213"/>
      <c r="K1116" s="213"/>
      <c r="L1116" s="318"/>
      <c r="M1116" s="318"/>
      <c r="Q1116" s="225"/>
      <c r="R1116" s="225"/>
    </row>
    <row r="1117" spans="5:18">
      <c r="E1117" s="318"/>
      <c r="G1117" s="213"/>
      <c r="I1117" s="213"/>
      <c r="K1117" s="213"/>
      <c r="L1117" s="318"/>
      <c r="M1117" s="318"/>
      <c r="Q1117" s="225"/>
      <c r="R1117" s="225"/>
    </row>
    <row r="1118" spans="5:18">
      <c r="E1118" s="318"/>
      <c r="G1118" s="213"/>
      <c r="I1118" s="213"/>
      <c r="K1118" s="213"/>
      <c r="L1118" s="318"/>
      <c r="M1118" s="318"/>
      <c r="Q1118" s="225"/>
      <c r="R1118" s="225"/>
    </row>
    <row r="1119" spans="5:18">
      <c r="E1119" s="318"/>
      <c r="G1119" s="213"/>
      <c r="I1119" s="213"/>
      <c r="K1119" s="213"/>
      <c r="L1119" s="318"/>
      <c r="M1119" s="318"/>
      <c r="Q1119" s="225"/>
      <c r="R1119" s="225"/>
    </row>
    <row r="1120" spans="5:18">
      <c r="E1120" s="318"/>
      <c r="G1120" s="213"/>
      <c r="I1120" s="213"/>
      <c r="K1120" s="213"/>
      <c r="L1120" s="318"/>
      <c r="M1120" s="318"/>
      <c r="Q1120" s="225"/>
      <c r="R1120" s="225"/>
    </row>
    <row r="1121" spans="5:18">
      <c r="E1121" s="318"/>
      <c r="G1121" s="213"/>
      <c r="I1121" s="213"/>
      <c r="K1121" s="213"/>
      <c r="L1121" s="318"/>
      <c r="M1121" s="318"/>
      <c r="Q1121" s="225"/>
      <c r="R1121" s="225"/>
    </row>
    <row r="1122" spans="5:18">
      <c r="E1122" s="318"/>
      <c r="G1122" s="213"/>
      <c r="I1122" s="213"/>
      <c r="K1122" s="213"/>
      <c r="L1122" s="318"/>
      <c r="M1122" s="318"/>
      <c r="Q1122" s="225"/>
      <c r="R1122" s="225"/>
    </row>
    <row r="1123" spans="5:18">
      <c r="E1123" s="318"/>
      <c r="G1123" s="213"/>
      <c r="I1123" s="213"/>
      <c r="K1123" s="213"/>
      <c r="L1123" s="318"/>
      <c r="M1123" s="318"/>
      <c r="Q1123" s="225"/>
      <c r="R1123" s="225"/>
    </row>
    <row r="1124" spans="5:18">
      <c r="E1124" s="318"/>
      <c r="G1124" s="213"/>
      <c r="I1124" s="213"/>
      <c r="K1124" s="213"/>
      <c r="L1124" s="318"/>
      <c r="M1124" s="318"/>
      <c r="Q1124" s="225"/>
      <c r="R1124" s="225"/>
    </row>
    <row r="1125" spans="5:18">
      <c r="E1125" s="318"/>
      <c r="G1125" s="213"/>
      <c r="I1125" s="213"/>
      <c r="K1125" s="213"/>
      <c r="L1125" s="318"/>
      <c r="M1125" s="318"/>
      <c r="Q1125" s="225"/>
      <c r="R1125" s="225"/>
    </row>
    <row r="1126" spans="5:18">
      <c r="E1126" s="318"/>
      <c r="G1126" s="213"/>
      <c r="I1126" s="213"/>
      <c r="K1126" s="213"/>
      <c r="L1126" s="318"/>
      <c r="M1126" s="318"/>
      <c r="Q1126" s="225"/>
      <c r="R1126" s="225"/>
    </row>
    <row r="1127" spans="5:18">
      <c r="E1127" s="318"/>
      <c r="G1127" s="213"/>
      <c r="I1127" s="213"/>
      <c r="K1127" s="213"/>
      <c r="L1127" s="318"/>
      <c r="M1127" s="318"/>
      <c r="Q1127" s="225"/>
      <c r="R1127" s="225"/>
    </row>
    <row r="1128" spans="5:18">
      <c r="E1128" s="318"/>
      <c r="G1128" s="213"/>
      <c r="I1128" s="213"/>
      <c r="K1128" s="213"/>
      <c r="L1128" s="318"/>
      <c r="M1128" s="318"/>
      <c r="Q1128" s="225"/>
      <c r="R1128" s="225"/>
    </row>
    <row r="1129" spans="5:18">
      <c r="E1129" s="318"/>
      <c r="G1129" s="213"/>
      <c r="I1129" s="213"/>
      <c r="K1129" s="213"/>
      <c r="L1129" s="318"/>
      <c r="M1129" s="318"/>
      <c r="Q1129" s="225"/>
      <c r="R1129" s="225"/>
    </row>
    <row r="1130" spans="5:18">
      <c r="E1130" s="318"/>
      <c r="G1130" s="213"/>
      <c r="I1130" s="213"/>
      <c r="K1130" s="213"/>
      <c r="L1130" s="318"/>
      <c r="M1130" s="318"/>
      <c r="Q1130" s="225"/>
      <c r="R1130" s="225"/>
    </row>
    <row r="1131" spans="5:18">
      <c r="E1131" s="318"/>
      <c r="G1131" s="213"/>
      <c r="I1131" s="213"/>
      <c r="K1131" s="213"/>
      <c r="L1131" s="318"/>
      <c r="M1131" s="318"/>
      <c r="Q1131" s="225"/>
      <c r="R1131" s="225"/>
    </row>
    <row r="1132" spans="5:18">
      <c r="E1132" s="318"/>
      <c r="G1132" s="213"/>
      <c r="I1132" s="213"/>
      <c r="K1132" s="213"/>
      <c r="L1132" s="318"/>
      <c r="M1132" s="318"/>
      <c r="Q1132" s="225"/>
      <c r="R1132" s="225"/>
    </row>
    <row r="1133" spans="5:18">
      <c r="E1133" s="318"/>
      <c r="G1133" s="213"/>
      <c r="I1133" s="213"/>
      <c r="K1133" s="213"/>
      <c r="L1133" s="318"/>
      <c r="M1133" s="318"/>
      <c r="Q1133" s="225"/>
      <c r="R1133" s="225"/>
    </row>
    <row r="1134" spans="5:18">
      <c r="E1134" s="318"/>
      <c r="G1134" s="213"/>
      <c r="I1134" s="213"/>
      <c r="K1134" s="213"/>
      <c r="L1134" s="318"/>
      <c r="M1134" s="318"/>
      <c r="Q1134" s="225"/>
      <c r="R1134" s="225"/>
    </row>
    <row r="1135" spans="5:18">
      <c r="E1135" s="318"/>
      <c r="G1135" s="213"/>
      <c r="I1135" s="213"/>
      <c r="K1135" s="213"/>
      <c r="L1135" s="318"/>
      <c r="M1135" s="318"/>
      <c r="Q1135" s="225"/>
      <c r="R1135" s="225"/>
    </row>
    <row r="1136" spans="5:18">
      <c r="E1136" s="318"/>
      <c r="G1136" s="213"/>
      <c r="I1136" s="213"/>
      <c r="K1136" s="213"/>
      <c r="L1136" s="318"/>
      <c r="M1136" s="318"/>
      <c r="Q1136" s="225"/>
      <c r="R1136" s="225"/>
    </row>
    <row r="1137" spans="5:18">
      <c r="E1137" s="318"/>
      <c r="G1137" s="213"/>
      <c r="I1137" s="213"/>
      <c r="K1137" s="213"/>
      <c r="L1137" s="318"/>
      <c r="M1137" s="318"/>
      <c r="Q1137" s="225"/>
      <c r="R1137" s="225"/>
    </row>
    <row r="1138" spans="5:18">
      <c r="E1138" s="318"/>
      <c r="G1138" s="213"/>
      <c r="I1138" s="213"/>
      <c r="K1138" s="213"/>
      <c r="L1138" s="318"/>
      <c r="M1138" s="318"/>
      <c r="Q1138" s="225"/>
      <c r="R1138" s="225"/>
    </row>
    <row r="1139" spans="5:18">
      <c r="E1139" s="318"/>
      <c r="G1139" s="213"/>
      <c r="I1139" s="213"/>
      <c r="K1139" s="213"/>
      <c r="L1139" s="318"/>
      <c r="M1139" s="318"/>
      <c r="Q1139" s="225"/>
      <c r="R1139" s="225"/>
    </row>
    <row r="1140" spans="5:18">
      <c r="E1140" s="318"/>
      <c r="G1140" s="213"/>
      <c r="I1140" s="213"/>
      <c r="K1140" s="213"/>
      <c r="L1140" s="318"/>
      <c r="M1140" s="318"/>
      <c r="Q1140" s="225"/>
      <c r="R1140" s="225"/>
    </row>
    <row r="1141" spans="5:18">
      <c r="E1141" s="318"/>
      <c r="G1141" s="213"/>
      <c r="I1141" s="213"/>
      <c r="K1141" s="213"/>
      <c r="L1141" s="318"/>
      <c r="M1141" s="318"/>
      <c r="Q1141" s="225"/>
      <c r="R1141" s="225"/>
    </row>
    <row r="1142" spans="5:18">
      <c r="E1142" s="318"/>
      <c r="G1142" s="213"/>
      <c r="I1142" s="213"/>
      <c r="K1142" s="213"/>
      <c r="L1142" s="318"/>
      <c r="M1142" s="318"/>
      <c r="Q1142" s="225"/>
      <c r="R1142" s="225"/>
    </row>
    <row r="1143" spans="5:18">
      <c r="E1143" s="318"/>
      <c r="G1143" s="213"/>
      <c r="I1143" s="213"/>
      <c r="K1143" s="213"/>
      <c r="L1143" s="318"/>
      <c r="M1143" s="318"/>
      <c r="Q1143" s="225"/>
      <c r="R1143" s="225"/>
    </row>
    <row r="1144" spans="5:18">
      <c r="E1144" s="318"/>
      <c r="G1144" s="213"/>
      <c r="I1144" s="213"/>
      <c r="K1144" s="213"/>
      <c r="L1144" s="318"/>
      <c r="M1144" s="318"/>
      <c r="Q1144" s="225"/>
      <c r="R1144" s="225"/>
    </row>
    <row r="1145" spans="5:18">
      <c r="E1145" s="318"/>
      <c r="G1145" s="213"/>
      <c r="I1145" s="213"/>
      <c r="K1145" s="213"/>
      <c r="L1145" s="318"/>
      <c r="M1145" s="318"/>
      <c r="Q1145" s="225"/>
      <c r="R1145" s="225"/>
    </row>
    <row r="1146" spans="5:18">
      <c r="E1146" s="318"/>
      <c r="G1146" s="213"/>
      <c r="I1146" s="213"/>
      <c r="K1146" s="213"/>
      <c r="L1146" s="318"/>
      <c r="M1146" s="318"/>
      <c r="Q1146" s="225"/>
      <c r="R1146" s="225"/>
    </row>
    <row r="1147" spans="5:18">
      <c r="E1147" s="318"/>
      <c r="G1147" s="213"/>
      <c r="I1147" s="213"/>
      <c r="K1147" s="213"/>
      <c r="L1147" s="318"/>
      <c r="M1147" s="318"/>
      <c r="Q1147" s="225"/>
      <c r="R1147" s="225"/>
    </row>
    <row r="1148" spans="5:18">
      <c r="E1148" s="318"/>
      <c r="G1148" s="213"/>
      <c r="I1148" s="213"/>
      <c r="K1148" s="213"/>
      <c r="L1148" s="318"/>
      <c r="M1148" s="318"/>
      <c r="Q1148" s="225"/>
      <c r="R1148" s="225"/>
    </row>
    <row r="1149" spans="5:18">
      <c r="E1149" s="318"/>
      <c r="G1149" s="213"/>
      <c r="I1149" s="213"/>
      <c r="K1149" s="213"/>
      <c r="L1149" s="318"/>
      <c r="M1149" s="318"/>
      <c r="Q1149" s="225"/>
      <c r="R1149" s="225"/>
    </row>
    <row r="1150" spans="5:18">
      <c r="E1150" s="318"/>
      <c r="G1150" s="213"/>
      <c r="I1150" s="213"/>
      <c r="K1150" s="213"/>
      <c r="L1150" s="318"/>
      <c r="M1150" s="318"/>
      <c r="Q1150" s="225"/>
      <c r="R1150" s="225"/>
    </row>
    <row r="1151" spans="5:18">
      <c r="E1151" s="318"/>
      <c r="G1151" s="213"/>
      <c r="I1151" s="213"/>
      <c r="K1151" s="213"/>
      <c r="L1151" s="318"/>
      <c r="M1151" s="318"/>
      <c r="Q1151" s="225"/>
      <c r="R1151" s="225"/>
    </row>
    <row r="1152" spans="5:18">
      <c r="E1152" s="318"/>
      <c r="G1152" s="213"/>
      <c r="I1152" s="213"/>
      <c r="K1152" s="213"/>
      <c r="L1152" s="318"/>
      <c r="M1152" s="318"/>
      <c r="Q1152" s="225"/>
      <c r="R1152" s="225"/>
    </row>
    <row r="1153" spans="5:18">
      <c r="E1153" s="318"/>
      <c r="G1153" s="213"/>
      <c r="I1153" s="213"/>
      <c r="K1153" s="213"/>
      <c r="L1153" s="318"/>
      <c r="M1153" s="318"/>
      <c r="Q1153" s="225"/>
      <c r="R1153" s="225"/>
    </row>
    <row r="1154" spans="5:18">
      <c r="E1154" s="318"/>
      <c r="G1154" s="213"/>
      <c r="I1154" s="213"/>
      <c r="K1154" s="213"/>
      <c r="L1154" s="318"/>
      <c r="M1154" s="318"/>
      <c r="Q1154" s="225"/>
      <c r="R1154" s="225"/>
    </row>
    <row r="1155" spans="5:18">
      <c r="E1155" s="318"/>
      <c r="G1155" s="213"/>
      <c r="I1155" s="213"/>
      <c r="K1155" s="213"/>
      <c r="L1155" s="318"/>
      <c r="M1155" s="318"/>
      <c r="Q1155" s="225"/>
      <c r="R1155" s="225"/>
    </row>
    <row r="1156" spans="5:18">
      <c r="E1156" s="318"/>
      <c r="G1156" s="213"/>
      <c r="I1156" s="213"/>
      <c r="K1156" s="213"/>
      <c r="L1156" s="318"/>
      <c r="M1156" s="318"/>
      <c r="Q1156" s="225"/>
      <c r="R1156" s="225"/>
    </row>
    <row r="1157" spans="5:18">
      <c r="E1157" s="318"/>
      <c r="G1157" s="213"/>
      <c r="I1157" s="213"/>
      <c r="K1157" s="213"/>
      <c r="L1157" s="318"/>
      <c r="M1157" s="318"/>
      <c r="Q1157" s="225"/>
      <c r="R1157" s="225"/>
    </row>
    <row r="1158" spans="5:18">
      <c r="E1158" s="318"/>
      <c r="G1158" s="213"/>
      <c r="I1158" s="213"/>
      <c r="K1158" s="213"/>
      <c r="L1158" s="318"/>
      <c r="M1158" s="318"/>
      <c r="Q1158" s="225"/>
      <c r="R1158" s="225"/>
    </row>
    <row r="1159" spans="5:18">
      <c r="E1159" s="318"/>
      <c r="G1159" s="213"/>
      <c r="I1159" s="213"/>
      <c r="K1159" s="213"/>
      <c r="L1159" s="318"/>
      <c r="M1159" s="318"/>
      <c r="Q1159" s="225"/>
      <c r="R1159" s="225"/>
    </row>
    <row r="1160" spans="5:18">
      <c r="E1160" s="318"/>
      <c r="G1160" s="213"/>
      <c r="I1160" s="213"/>
      <c r="K1160" s="213"/>
      <c r="L1160" s="318"/>
      <c r="M1160" s="318"/>
      <c r="Q1160" s="225"/>
      <c r="R1160" s="225"/>
    </row>
    <row r="1161" spans="5:18">
      <c r="E1161" s="318"/>
      <c r="G1161" s="213"/>
      <c r="I1161" s="213"/>
      <c r="K1161" s="213"/>
      <c r="L1161" s="318"/>
      <c r="M1161" s="318"/>
      <c r="Q1161" s="225"/>
      <c r="R1161" s="225"/>
    </row>
    <row r="1162" spans="5:18">
      <c r="E1162" s="318"/>
      <c r="G1162" s="213"/>
      <c r="I1162" s="213"/>
      <c r="K1162" s="213"/>
      <c r="L1162" s="318"/>
      <c r="M1162" s="318"/>
      <c r="Q1162" s="225"/>
      <c r="R1162" s="225"/>
    </row>
    <row r="1163" spans="5:18">
      <c r="E1163" s="318"/>
      <c r="G1163" s="213"/>
      <c r="I1163" s="213"/>
      <c r="K1163" s="213"/>
      <c r="L1163" s="318"/>
      <c r="M1163" s="318"/>
      <c r="Q1163" s="225"/>
      <c r="R1163" s="225"/>
    </row>
    <row r="1164" spans="5:18">
      <c r="E1164" s="318"/>
      <c r="G1164" s="213"/>
      <c r="I1164" s="213"/>
      <c r="K1164" s="213"/>
      <c r="L1164" s="318"/>
      <c r="M1164" s="318"/>
      <c r="Q1164" s="225"/>
      <c r="R1164" s="225"/>
    </row>
    <row r="1165" spans="5:18">
      <c r="E1165" s="318"/>
      <c r="G1165" s="213"/>
      <c r="I1165" s="213"/>
      <c r="K1165" s="213"/>
      <c r="L1165" s="318"/>
      <c r="M1165" s="318"/>
      <c r="Q1165" s="225"/>
      <c r="R1165" s="225"/>
    </row>
    <row r="1166" spans="5:18">
      <c r="E1166" s="318"/>
      <c r="G1166" s="213"/>
      <c r="I1166" s="213"/>
      <c r="K1166" s="213"/>
      <c r="L1166" s="318"/>
      <c r="M1166" s="318"/>
      <c r="Q1166" s="225"/>
      <c r="R1166" s="225"/>
    </row>
    <row r="1167" spans="5:18">
      <c r="E1167" s="318"/>
      <c r="G1167" s="213"/>
      <c r="I1167" s="213"/>
      <c r="K1167" s="213"/>
      <c r="L1167" s="318"/>
      <c r="M1167" s="318"/>
      <c r="Q1167" s="225"/>
      <c r="R1167" s="225"/>
    </row>
    <row r="1168" spans="5:18">
      <c r="E1168" s="318"/>
      <c r="G1168" s="213"/>
      <c r="I1168" s="213"/>
      <c r="K1168" s="213"/>
      <c r="L1168" s="318"/>
      <c r="M1168" s="318"/>
      <c r="Q1168" s="225"/>
      <c r="R1168" s="225"/>
    </row>
    <row r="1169" spans="5:18">
      <c r="E1169" s="318"/>
      <c r="G1169" s="213"/>
      <c r="I1169" s="213"/>
      <c r="K1169" s="213"/>
      <c r="L1169" s="318"/>
      <c r="M1169" s="318"/>
      <c r="Q1169" s="225"/>
      <c r="R1169" s="225"/>
    </row>
    <row r="1170" spans="5:18">
      <c r="E1170" s="318"/>
      <c r="G1170" s="213"/>
      <c r="I1170" s="213"/>
      <c r="K1170" s="213"/>
      <c r="L1170" s="318"/>
      <c r="M1170" s="318"/>
      <c r="Q1170" s="225"/>
      <c r="R1170" s="225"/>
    </row>
    <row r="1171" spans="5:18">
      <c r="E1171" s="318"/>
      <c r="G1171" s="213"/>
      <c r="I1171" s="213"/>
      <c r="K1171" s="213"/>
      <c r="L1171" s="318"/>
      <c r="M1171" s="318"/>
      <c r="Q1171" s="225"/>
      <c r="R1171" s="225"/>
    </row>
    <row r="1172" spans="5:18">
      <c r="E1172" s="318"/>
      <c r="G1172" s="213"/>
      <c r="I1172" s="213"/>
      <c r="K1172" s="213"/>
      <c r="L1172" s="318"/>
      <c r="M1172" s="318"/>
      <c r="Q1172" s="225"/>
      <c r="R1172" s="225"/>
    </row>
    <row r="1173" spans="5:18">
      <c r="E1173" s="318"/>
      <c r="G1173" s="213"/>
      <c r="I1173" s="213"/>
      <c r="K1173" s="213"/>
      <c r="L1173" s="318"/>
      <c r="M1173" s="318"/>
      <c r="Q1173" s="225"/>
      <c r="R1173" s="225"/>
    </row>
    <row r="1174" spans="5:18">
      <c r="E1174" s="318"/>
      <c r="G1174" s="213"/>
      <c r="I1174" s="213"/>
      <c r="K1174" s="213"/>
      <c r="L1174" s="318"/>
      <c r="M1174" s="318"/>
      <c r="Q1174" s="225"/>
      <c r="R1174" s="225"/>
    </row>
    <row r="1175" spans="5:18">
      <c r="E1175" s="318"/>
      <c r="G1175" s="213"/>
      <c r="I1175" s="213"/>
      <c r="K1175" s="213"/>
      <c r="L1175" s="318"/>
      <c r="M1175" s="318"/>
      <c r="Q1175" s="225"/>
      <c r="R1175" s="225"/>
    </row>
    <row r="1176" spans="5:18">
      <c r="E1176" s="318"/>
      <c r="G1176" s="213"/>
      <c r="I1176" s="213"/>
      <c r="K1176" s="213"/>
      <c r="L1176" s="318"/>
      <c r="M1176" s="318"/>
      <c r="Q1176" s="225"/>
      <c r="R1176" s="225"/>
    </row>
    <row r="1177" spans="5:18">
      <c r="E1177" s="318"/>
      <c r="G1177" s="213"/>
      <c r="I1177" s="213"/>
      <c r="K1177" s="213"/>
      <c r="L1177" s="318"/>
      <c r="M1177" s="318"/>
      <c r="Q1177" s="225"/>
      <c r="R1177" s="225"/>
    </row>
    <row r="1178" spans="5:18">
      <c r="E1178" s="318"/>
      <c r="G1178" s="213"/>
      <c r="I1178" s="213"/>
      <c r="K1178" s="213"/>
      <c r="L1178" s="318"/>
      <c r="M1178" s="318"/>
      <c r="Q1178" s="225"/>
      <c r="R1178" s="225"/>
    </row>
    <row r="1179" spans="5:18">
      <c r="E1179" s="318"/>
      <c r="G1179" s="213"/>
      <c r="I1179" s="213"/>
      <c r="K1179" s="213"/>
      <c r="L1179" s="318"/>
      <c r="M1179" s="318"/>
      <c r="Q1179" s="225"/>
      <c r="R1179" s="225"/>
    </row>
    <row r="1180" spans="5:18">
      <c r="E1180" s="318"/>
      <c r="G1180" s="213"/>
      <c r="I1180" s="213"/>
      <c r="K1180" s="213"/>
      <c r="L1180" s="318"/>
      <c r="M1180" s="318"/>
      <c r="Q1180" s="225"/>
      <c r="R1180" s="225"/>
    </row>
    <row r="1181" spans="5:18">
      <c r="E1181" s="318"/>
      <c r="G1181" s="213"/>
      <c r="I1181" s="213"/>
      <c r="K1181" s="213"/>
      <c r="L1181" s="318"/>
      <c r="M1181" s="318"/>
      <c r="Q1181" s="225"/>
      <c r="R1181" s="225"/>
    </row>
    <row r="1182" spans="5:18">
      <c r="E1182" s="318"/>
      <c r="G1182" s="213"/>
      <c r="I1182" s="213"/>
      <c r="K1182" s="213"/>
      <c r="L1182" s="318"/>
      <c r="M1182" s="318"/>
      <c r="Q1182" s="225"/>
      <c r="R1182" s="225"/>
    </row>
    <row r="1183" spans="5:18">
      <c r="E1183" s="318"/>
      <c r="G1183" s="213"/>
      <c r="I1183" s="213"/>
      <c r="K1183" s="213"/>
      <c r="L1183" s="318"/>
      <c r="M1183" s="318"/>
      <c r="Q1183" s="225"/>
      <c r="R1183" s="225"/>
    </row>
    <row r="1184" spans="5:18">
      <c r="E1184" s="318"/>
      <c r="G1184" s="213"/>
      <c r="I1184" s="213"/>
      <c r="K1184" s="213"/>
      <c r="L1184" s="318"/>
      <c r="M1184" s="318"/>
      <c r="Q1184" s="225"/>
      <c r="R1184" s="225"/>
    </row>
    <row r="1185" spans="5:18">
      <c r="E1185" s="318"/>
      <c r="G1185" s="213"/>
      <c r="I1185" s="213"/>
      <c r="K1185" s="213"/>
      <c r="L1185" s="318"/>
      <c r="M1185" s="318"/>
      <c r="Q1185" s="225"/>
      <c r="R1185" s="225"/>
    </row>
    <row r="1186" spans="5:18">
      <c r="E1186" s="318"/>
      <c r="G1186" s="213"/>
      <c r="I1186" s="213"/>
      <c r="K1186" s="213"/>
      <c r="L1186" s="318"/>
      <c r="M1186" s="318"/>
      <c r="Q1186" s="225"/>
      <c r="R1186" s="225"/>
    </row>
    <row r="1187" spans="5:18">
      <c r="E1187" s="318"/>
      <c r="G1187" s="213"/>
      <c r="I1187" s="213"/>
      <c r="K1187" s="213"/>
      <c r="L1187" s="318"/>
      <c r="M1187" s="318"/>
      <c r="Q1187" s="225"/>
      <c r="R1187" s="225"/>
    </row>
    <row r="1188" spans="5:18">
      <c r="E1188" s="318"/>
      <c r="G1188" s="213"/>
      <c r="I1188" s="213"/>
      <c r="K1188" s="213"/>
      <c r="L1188" s="318"/>
      <c r="M1188" s="318"/>
      <c r="Q1188" s="225"/>
      <c r="R1188" s="225"/>
    </row>
    <row r="1189" spans="5:18">
      <c r="E1189" s="318"/>
      <c r="G1189" s="213"/>
      <c r="I1189" s="213"/>
      <c r="K1189" s="213"/>
      <c r="L1189" s="318"/>
      <c r="M1189" s="318"/>
      <c r="Q1189" s="225"/>
      <c r="R1189" s="225"/>
    </row>
    <row r="1190" spans="5:18">
      <c r="E1190" s="318"/>
      <c r="G1190" s="213"/>
      <c r="I1190" s="213"/>
      <c r="K1190" s="213"/>
      <c r="L1190" s="318"/>
      <c r="M1190" s="318"/>
      <c r="Q1190" s="225"/>
      <c r="R1190" s="225"/>
    </row>
    <row r="1191" spans="5:18">
      <c r="E1191" s="318"/>
      <c r="G1191" s="213"/>
      <c r="I1191" s="213"/>
      <c r="K1191" s="213"/>
      <c r="L1191" s="318"/>
      <c r="M1191" s="318"/>
      <c r="Q1191" s="225"/>
      <c r="R1191" s="225"/>
    </row>
    <row r="1192" spans="5:18">
      <c r="E1192" s="318"/>
      <c r="G1192" s="213"/>
      <c r="I1192" s="213"/>
      <c r="K1192" s="213"/>
      <c r="L1192" s="318"/>
      <c r="M1192" s="318"/>
      <c r="Q1192" s="225"/>
      <c r="R1192" s="225"/>
    </row>
    <row r="1193" spans="5:18">
      <c r="E1193" s="318"/>
      <c r="G1193" s="213"/>
      <c r="I1193" s="213"/>
      <c r="K1193" s="213"/>
      <c r="L1193" s="318"/>
      <c r="M1193" s="318"/>
      <c r="Q1193" s="225"/>
      <c r="R1193" s="225"/>
    </row>
    <row r="1194" spans="5:18">
      <c r="E1194" s="318"/>
      <c r="G1194" s="213"/>
      <c r="I1194" s="213"/>
      <c r="K1194" s="213"/>
      <c r="L1194" s="318"/>
      <c r="M1194" s="318"/>
      <c r="Q1194" s="225"/>
      <c r="R1194" s="225"/>
    </row>
    <row r="1195" spans="5:18">
      <c r="E1195" s="318"/>
      <c r="G1195" s="213"/>
      <c r="I1195" s="213"/>
      <c r="K1195" s="213"/>
      <c r="L1195" s="318"/>
      <c r="M1195" s="318"/>
      <c r="Q1195" s="225"/>
      <c r="R1195" s="225"/>
    </row>
    <row r="1196" spans="5:18">
      <c r="E1196" s="318"/>
      <c r="G1196" s="213"/>
      <c r="I1196" s="213"/>
      <c r="K1196" s="213"/>
      <c r="L1196" s="318"/>
      <c r="M1196" s="318"/>
      <c r="Q1196" s="225"/>
      <c r="R1196" s="225"/>
    </row>
    <row r="1197" spans="5:18">
      <c r="E1197" s="318"/>
      <c r="G1197" s="213"/>
      <c r="I1197" s="213"/>
      <c r="K1197" s="213"/>
      <c r="L1197" s="318"/>
      <c r="M1197" s="318"/>
      <c r="Q1197" s="225"/>
      <c r="R1197" s="225"/>
    </row>
    <row r="1198" spans="5:18">
      <c r="E1198" s="318"/>
      <c r="G1198" s="213"/>
      <c r="I1198" s="213"/>
      <c r="K1198" s="213"/>
      <c r="L1198" s="318"/>
      <c r="M1198" s="318"/>
      <c r="Q1198" s="225"/>
      <c r="R1198" s="225"/>
    </row>
    <row r="1199" spans="5:18">
      <c r="E1199" s="318"/>
      <c r="G1199" s="213"/>
      <c r="I1199" s="213"/>
      <c r="K1199" s="213"/>
      <c r="L1199" s="318"/>
      <c r="M1199" s="318"/>
      <c r="Q1199" s="225"/>
      <c r="R1199" s="225"/>
    </row>
    <row r="1200" spans="5:18">
      <c r="E1200" s="318"/>
      <c r="G1200" s="213"/>
      <c r="I1200" s="213"/>
      <c r="K1200" s="213"/>
      <c r="L1200" s="318"/>
      <c r="M1200" s="318"/>
      <c r="Q1200" s="225"/>
      <c r="R1200" s="225"/>
    </row>
    <row r="1201" spans="5:18">
      <c r="E1201" s="318"/>
      <c r="G1201" s="213"/>
      <c r="I1201" s="213"/>
      <c r="K1201" s="213"/>
      <c r="L1201" s="318"/>
      <c r="M1201" s="318"/>
      <c r="Q1201" s="225"/>
      <c r="R1201" s="225"/>
    </row>
    <row r="1202" spans="5:18">
      <c r="E1202" s="318"/>
      <c r="G1202" s="213"/>
      <c r="I1202" s="213"/>
      <c r="K1202" s="213"/>
      <c r="L1202" s="318"/>
      <c r="M1202" s="318"/>
      <c r="Q1202" s="225"/>
      <c r="R1202" s="225"/>
    </row>
    <row r="1203" spans="5:18">
      <c r="E1203" s="318"/>
      <c r="G1203" s="213"/>
      <c r="I1203" s="213"/>
      <c r="K1203" s="213"/>
      <c r="L1203" s="318"/>
      <c r="M1203" s="318"/>
      <c r="Q1203" s="225"/>
      <c r="R1203" s="225"/>
    </row>
    <row r="1204" spans="5:18">
      <c r="E1204" s="318"/>
      <c r="G1204" s="213"/>
      <c r="I1204" s="213"/>
      <c r="K1204" s="213"/>
      <c r="L1204" s="318"/>
      <c r="M1204" s="318"/>
      <c r="Q1204" s="225"/>
      <c r="R1204" s="225"/>
    </row>
    <row r="1205" spans="5:18">
      <c r="E1205" s="318"/>
      <c r="G1205" s="213"/>
      <c r="I1205" s="213"/>
      <c r="K1205" s="213"/>
      <c r="L1205" s="318"/>
      <c r="M1205" s="318"/>
      <c r="Q1205" s="225"/>
      <c r="R1205" s="225"/>
    </row>
    <row r="1206" spans="5:18">
      <c r="E1206" s="318"/>
      <c r="G1206" s="213"/>
      <c r="I1206" s="213"/>
      <c r="K1206" s="213"/>
      <c r="L1206" s="318"/>
      <c r="M1206" s="318"/>
      <c r="Q1206" s="225"/>
      <c r="R1206" s="225"/>
    </row>
    <row r="1207" spans="5:18">
      <c r="E1207" s="318"/>
      <c r="G1207" s="213"/>
      <c r="I1207" s="213"/>
      <c r="K1207" s="213"/>
      <c r="L1207" s="318"/>
      <c r="M1207" s="318"/>
      <c r="Q1207" s="225"/>
      <c r="R1207" s="225"/>
    </row>
    <row r="1208" spans="5:18">
      <c r="E1208" s="318"/>
      <c r="G1208" s="213"/>
      <c r="I1208" s="213"/>
      <c r="K1208" s="213"/>
      <c r="L1208" s="318"/>
      <c r="M1208" s="318"/>
      <c r="Q1208" s="225"/>
      <c r="R1208" s="225"/>
    </row>
    <row r="1209" spans="5:18">
      <c r="E1209" s="318"/>
      <c r="G1209" s="213"/>
      <c r="I1209" s="213"/>
      <c r="K1209" s="213"/>
      <c r="L1209" s="318"/>
      <c r="M1209" s="318"/>
      <c r="Q1209" s="225"/>
      <c r="R1209" s="225"/>
    </row>
    <row r="1210" spans="5:18">
      <c r="E1210" s="318"/>
      <c r="G1210" s="213"/>
      <c r="I1210" s="213"/>
      <c r="K1210" s="213"/>
      <c r="L1210" s="318"/>
      <c r="M1210" s="318"/>
      <c r="Q1210" s="225"/>
      <c r="R1210" s="225"/>
    </row>
    <row r="1211" spans="5:18">
      <c r="E1211" s="318"/>
      <c r="G1211" s="213"/>
      <c r="I1211" s="213"/>
      <c r="K1211" s="213"/>
      <c r="L1211" s="318"/>
      <c r="M1211" s="318"/>
      <c r="Q1211" s="225"/>
      <c r="R1211" s="225"/>
    </row>
    <row r="1212" spans="5:18">
      <c r="E1212" s="318"/>
      <c r="G1212" s="213"/>
      <c r="I1212" s="213"/>
      <c r="K1212" s="213"/>
      <c r="L1212" s="318"/>
      <c r="M1212" s="318"/>
      <c r="Q1212" s="225"/>
      <c r="R1212" s="225"/>
    </row>
    <row r="1213" spans="5:18">
      <c r="E1213" s="318"/>
      <c r="G1213" s="213"/>
      <c r="I1213" s="213"/>
      <c r="K1213" s="213"/>
      <c r="L1213" s="318"/>
      <c r="M1213" s="318"/>
      <c r="Q1213" s="225"/>
      <c r="R1213" s="225"/>
    </row>
    <row r="1214" spans="5:18">
      <c r="E1214" s="318"/>
      <c r="G1214" s="213"/>
      <c r="I1214" s="213"/>
      <c r="K1214" s="213"/>
      <c r="L1214" s="318"/>
      <c r="M1214" s="318"/>
      <c r="Q1214" s="225"/>
      <c r="R1214" s="225"/>
    </row>
    <row r="1215" spans="5:18">
      <c r="E1215" s="318"/>
      <c r="G1215" s="213"/>
      <c r="I1215" s="213"/>
      <c r="K1215" s="213"/>
      <c r="L1215" s="318"/>
      <c r="M1215" s="318"/>
      <c r="Q1215" s="225"/>
      <c r="R1215" s="225"/>
    </row>
    <row r="1216" spans="5:18">
      <c r="E1216" s="318"/>
      <c r="G1216" s="213"/>
      <c r="I1216" s="213"/>
      <c r="K1216" s="213"/>
      <c r="L1216" s="318"/>
      <c r="M1216" s="318"/>
      <c r="Q1216" s="225"/>
      <c r="R1216" s="225"/>
    </row>
    <row r="1217" spans="5:18">
      <c r="E1217" s="318"/>
      <c r="G1217" s="213"/>
      <c r="I1217" s="213"/>
      <c r="K1217" s="213"/>
      <c r="L1217" s="318"/>
      <c r="M1217" s="318"/>
      <c r="Q1217" s="225"/>
      <c r="R1217" s="225"/>
    </row>
    <row r="1218" spans="5:18">
      <c r="E1218" s="318"/>
      <c r="G1218" s="213"/>
      <c r="I1218" s="213"/>
      <c r="K1218" s="213"/>
      <c r="L1218" s="318"/>
      <c r="M1218" s="318"/>
      <c r="Q1218" s="225"/>
      <c r="R1218" s="225"/>
    </row>
    <row r="1219" spans="5:18">
      <c r="E1219" s="318"/>
      <c r="G1219" s="213"/>
      <c r="I1219" s="213"/>
      <c r="K1219" s="213"/>
      <c r="L1219" s="318"/>
      <c r="M1219" s="318"/>
      <c r="Q1219" s="225"/>
      <c r="R1219" s="225"/>
    </row>
    <row r="1220" spans="5:18">
      <c r="E1220" s="318"/>
      <c r="G1220" s="213"/>
      <c r="I1220" s="213"/>
      <c r="K1220" s="213"/>
      <c r="L1220" s="318"/>
      <c r="M1220" s="318"/>
      <c r="Q1220" s="225"/>
      <c r="R1220" s="225"/>
    </row>
    <row r="1221" spans="5:18">
      <c r="E1221" s="318"/>
      <c r="G1221" s="213"/>
      <c r="I1221" s="213"/>
      <c r="K1221" s="213"/>
      <c r="L1221" s="318"/>
      <c r="M1221" s="318"/>
      <c r="Q1221" s="225"/>
      <c r="R1221" s="225"/>
    </row>
    <row r="1222" spans="5:18">
      <c r="E1222" s="318"/>
      <c r="G1222" s="213"/>
      <c r="I1222" s="213"/>
      <c r="K1222" s="213"/>
      <c r="L1222" s="318"/>
      <c r="M1222" s="318"/>
      <c r="Q1222" s="225"/>
      <c r="R1222" s="225"/>
    </row>
    <row r="1223" spans="5:18">
      <c r="E1223" s="318"/>
      <c r="G1223" s="213"/>
      <c r="I1223" s="213"/>
      <c r="K1223" s="213"/>
      <c r="L1223" s="318"/>
      <c r="M1223" s="318"/>
      <c r="Q1223" s="225"/>
      <c r="R1223" s="225"/>
    </row>
    <row r="1224" spans="5:18">
      <c r="E1224" s="318"/>
      <c r="G1224" s="213"/>
      <c r="I1224" s="213"/>
      <c r="K1224" s="213"/>
      <c r="L1224" s="318"/>
      <c r="M1224" s="318"/>
      <c r="Q1224" s="225"/>
      <c r="R1224" s="225"/>
    </row>
    <row r="1225" spans="5:18">
      <c r="E1225" s="318"/>
      <c r="G1225" s="213"/>
      <c r="I1225" s="213"/>
      <c r="K1225" s="213"/>
      <c r="L1225" s="318"/>
      <c r="M1225" s="318"/>
      <c r="Q1225" s="225"/>
      <c r="R1225" s="225"/>
    </row>
    <row r="1226" spans="5:18">
      <c r="E1226" s="318"/>
      <c r="G1226" s="213"/>
      <c r="I1226" s="213"/>
      <c r="K1226" s="213"/>
      <c r="L1226" s="318"/>
      <c r="M1226" s="318"/>
      <c r="Q1226" s="225"/>
      <c r="R1226" s="225"/>
    </row>
    <row r="1227" spans="5:18">
      <c r="E1227" s="318"/>
      <c r="G1227" s="213"/>
      <c r="I1227" s="213"/>
      <c r="K1227" s="213"/>
      <c r="L1227" s="318"/>
      <c r="M1227" s="318"/>
      <c r="Q1227" s="225"/>
      <c r="R1227" s="225"/>
    </row>
    <row r="1228" spans="5:18">
      <c r="E1228" s="318"/>
      <c r="G1228" s="213"/>
      <c r="I1228" s="213"/>
      <c r="K1228" s="213"/>
      <c r="L1228" s="318"/>
      <c r="M1228" s="318"/>
      <c r="Q1228" s="225"/>
      <c r="R1228" s="225"/>
    </row>
    <row r="1229" spans="5:18">
      <c r="E1229" s="318"/>
      <c r="G1229" s="213"/>
      <c r="I1229" s="213"/>
      <c r="K1229" s="213"/>
      <c r="L1229" s="318"/>
      <c r="M1229" s="318"/>
      <c r="Q1229" s="225"/>
      <c r="R1229" s="225"/>
    </row>
    <row r="1230" spans="5:18">
      <c r="E1230" s="318"/>
      <c r="G1230" s="213"/>
      <c r="I1230" s="213"/>
      <c r="K1230" s="213"/>
      <c r="L1230" s="318"/>
      <c r="M1230" s="318"/>
      <c r="Q1230" s="225"/>
      <c r="R1230" s="225"/>
    </row>
    <row r="1231" spans="5:18">
      <c r="E1231" s="318"/>
      <c r="G1231" s="213"/>
      <c r="I1231" s="213"/>
      <c r="K1231" s="213"/>
      <c r="L1231" s="318"/>
      <c r="M1231" s="318"/>
      <c r="Q1231" s="225"/>
      <c r="R1231" s="225"/>
    </row>
    <row r="1232" spans="5:18">
      <c r="E1232" s="318"/>
      <c r="G1232" s="213"/>
      <c r="I1232" s="213"/>
      <c r="K1232" s="213"/>
      <c r="L1232" s="318"/>
      <c r="M1232" s="318"/>
      <c r="Q1232" s="225"/>
      <c r="R1232" s="225"/>
    </row>
    <row r="1233" spans="5:18">
      <c r="E1233" s="318"/>
      <c r="G1233" s="213"/>
      <c r="I1233" s="213"/>
      <c r="K1233" s="213"/>
      <c r="L1233" s="318"/>
      <c r="M1233" s="318"/>
      <c r="Q1233" s="225"/>
      <c r="R1233" s="225"/>
    </row>
    <row r="1234" spans="5:18">
      <c r="E1234" s="318"/>
      <c r="G1234" s="213"/>
      <c r="I1234" s="213"/>
      <c r="K1234" s="213"/>
      <c r="L1234" s="318"/>
      <c r="M1234" s="318"/>
      <c r="Q1234" s="225"/>
      <c r="R1234" s="225"/>
    </row>
    <row r="1235" spans="5:18">
      <c r="E1235" s="318"/>
      <c r="G1235" s="213"/>
      <c r="I1235" s="213"/>
      <c r="K1235" s="213"/>
      <c r="L1235" s="318"/>
      <c r="M1235" s="318"/>
      <c r="Q1235" s="225"/>
      <c r="R1235" s="225"/>
    </row>
    <row r="1236" spans="5:18">
      <c r="E1236" s="318"/>
      <c r="G1236" s="213"/>
      <c r="I1236" s="213"/>
      <c r="K1236" s="213"/>
      <c r="L1236" s="318"/>
      <c r="M1236" s="318"/>
      <c r="Q1236" s="225"/>
      <c r="R1236" s="225"/>
    </row>
    <row r="1237" spans="5:18">
      <c r="E1237" s="318"/>
      <c r="G1237" s="213"/>
      <c r="I1237" s="213"/>
      <c r="K1237" s="213"/>
      <c r="L1237" s="318"/>
      <c r="M1237" s="318"/>
      <c r="Q1237" s="225"/>
      <c r="R1237" s="225"/>
    </row>
    <row r="1238" spans="5:18">
      <c r="E1238" s="318"/>
      <c r="G1238" s="213"/>
      <c r="I1238" s="213"/>
      <c r="K1238" s="213"/>
      <c r="L1238" s="318"/>
      <c r="M1238" s="318"/>
      <c r="Q1238" s="225"/>
      <c r="R1238" s="225"/>
    </row>
    <row r="1239" spans="5:18">
      <c r="E1239" s="318"/>
      <c r="G1239" s="213"/>
      <c r="I1239" s="213"/>
      <c r="K1239" s="213"/>
      <c r="L1239" s="318"/>
      <c r="M1239" s="318"/>
      <c r="Q1239" s="225"/>
      <c r="R1239" s="225"/>
    </row>
    <row r="1240" spans="5:18">
      <c r="E1240" s="318"/>
      <c r="G1240" s="213"/>
      <c r="I1240" s="213"/>
      <c r="K1240" s="213"/>
      <c r="L1240" s="318"/>
      <c r="M1240" s="318"/>
      <c r="Q1240" s="225"/>
      <c r="R1240" s="225"/>
    </row>
    <row r="1241" spans="5:18">
      <c r="E1241" s="318"/>
      <c r="G1241" s="213"/>
      <c r="I1241" s="213"/>
      <c r="K1241" s="213"/>
      <c r="L1241" s="318"/>
      <c r="M1241" s="318"/>
      <c r="Q1241" s="225"/>
      <c r="R1241" s="225"/>
    </row>
    <row r="1242" spans="5:18">
      <c r="E1242" s="318"/>
      <c r="G1242" s="213"/>
      <c r="I1242" s="213"/>
      <c r="K1242" s="213"/>
      <c r="L1242" s="318"/>
      <c r="M1242" s="318"/>
      <c r="Q1242" s="225"/>
      <c r="R1242" s="225"/>
    </row>
    <row r="1243" spans="5:18">
      <c r="E1243" s="318"/>
      <c r="G1243" s="213"/>
      <c r="I1243" s="213"/>
      <c r="K1243" s="213"/>
      <c r="L1243" s="318"/>
      <c r="M1243" s="318"/>
      <c r="Q1243" s="225"/>
      <c r="R1243" s="225"/>
    </row>
    <row r="1244" spans="5:18">
      <c r="E1244" s="318"/>
      <c r="G1244" s="213"/>
      <c r="I1244" s="213"/>
      <c r="K1244" s="213"/>
      <c r="L1244" s="318"/>
      <c r="M1244" s="318"/>
      <c r="Q1244" s="225"/>
      <c r="R1244" s="225"/>
    </row>
    <row r="1245" spans="5:18">
      <c r="E1245" s="318"/>
      <c r="G1245" s="213"/>
      <c r="I1245" s="213"/>
      <c r="K1245" s="213"/>
      <c r="L1245" s="318"/>
      <c r="M1245" s="318"/>
      <c r="Q1245" s="225"/>
      <c r="R1245" s="225"/>
    </row>
    <row r="1246" spans="5:18">
      <c r="E1246" s="318"/>
      <c r="G1246" s="213"/>
      <c r="I1246" s="213"/>
      <c r="K1246" s="213"/>
      <c r="L1246" s="318"/>
      <c r="M1246" s="318"/>
      <c r="Q1246" s="225"/>
      <c r="R1246" s="225"/>
    </row>
    <row r="1247" spans="5:18">
      <c r="E1247" s="318"/>
      <c r="G1247" s="213"/>
      <c r="I1247" s="213"/>
      <c r="K1247" s="213"/>
      <c r="L1247" s="318"/>
      <c r="M1247" s="318"/>
      <c r="Q1247" s="225"/>
      <c r="R1247" s="225"/>
    </row>
    <row r="1248" spans="5:18">
      <c r="E1248" s="318"/>
      <c r="G1248" s="213"/>
      <c r="I1248" s="213"/>
      <c r="K1248" s="213"/>
      <c r="L1248" s="318"/>
      <c r="M1248" s="318"/>
      <c r="Q1248" s="225"/>
      <c r="R1248" s="225"/>
    </row>
    <row r="1249" spans="5:18">
      <c r="E1249" s="318"/>
      <c r="G1249" s="213"/>
      <c r="I1249" s="213"/>
      <c r="K1249" s="213"/>
      <c r="L1249" s="318"/>
      <c r="M1249" s="318"/>
      <c r="Q1249" s="225"/>
      <c r="R1249" s="225"/>
    </row>
    <row r="1250" spans="5:18">
      <c r="E1250" s="318"/>
      <c r="G1250" s="213"/>
      <c r="I1250" s="213"/>
      <c r="K1250" s="213"/>
      <c r="L1250" s="318"/>
      <c r="M1250" s="318"/>
      <c r="Q1250" s="225"/>
      <c r="R1250" s="225"/>
    </row>
    <row r="1251" spans="5:18">
      <c r="E1251" s="318"/>
      <c r="G1251" s="213"/>
      <c r="I1251" s="213"/>
      <c r="K1251" s="213"/>
      <c r="L1251" s="318"/>
      <c r="M1251" s="318"/>
      <c r="Q1251" s="225"/>
      <c r="R1251" s="225"/>
    </row>
    <row r="1252" spans="5:18">
      <c r="E1252" s="318"/>
      <c r="G1252" s="213"/>
      <c r="I1252" s="213"/>
      <c r="K1252" s="213"/>
      <c r="L1252" s="318"/>
      <c r="M1252" s="318"/>
      <c r="Q1252" s="225"/>
      <c r="R1252" s="225"/>
    </row>
    <row r="1253" spans="5:18">
      <c r="E1253" s="318"/>
      <c r="G1253" s="213"/>
      <c r="I1253" s="213"/>
      <c r="K1253" s="213"/>
      <c r="L1253" s="318"/>
      <c r="M1253" s="318"/>
      <c r="Q1253" s="225"/>
      <c r="R1253" s="225"/>
    </row>
    <row r="1254" spans="5:18">
      <c r="E1254" s="318"/>
      <c r="G1254" s="213"/>
      <c r="I1254" s="213"/>
      <c r="K1254" s="213"/>
      <c r="L1254" s="318"/>
      <c r="M1254" s="318"/>
      <c r="Q1254" s="225"/>
      <c r="R1254" s="225"/>
    </row>
    <row r="1255" spans="5:18">
      <c r="E1255" s="318"/>
      <c r="G1255" s="213"/>
      <c r="I1255" s="213"/>
      <c r="K1255" s="213"/>
      <c r="L1255" s="318"/>
      <c r="M1255" s="318"/>
      <c r="Q1255" s="225"/>
      <c r="R1255" s="225"/>
    </row>
    <row r="1256" spans="5:18">
      <c r="E1256" s="318"/>
      <c r="G1256" s="213"/>
      <c r="I1256" s="213"/>
      <c r="K1256" s="213"/>
      <c r="L1256" s="318"/>
      <c r="M1256" s="318"/>
      <c r="Q1256" s="225"/>
      <c r="R1256" s="225"/>
    </row>
    <row r="1257" spans="5:18">
      <c r="E1257" s="318"/>
      <c r="G1257" s="213"/>
      <c r="I1257" s="213"/>
      <c r="K1257" s="213"/>
      <c r="L1257" s="318"/>
      <c r="M1257" s="318"/>
      <c r="Q1257" s="225"/>
      <c r="R1257" s="225"/>
    </row>
    <row r="1258" spans="5:18">
      <c r="E1258" s="318"/>
      <c r="G1258" s="213"/>
      <c r="I1258" s="213"/>
      <c r="K1258" s="213"/>
      <c r="L1258" s="318"/>
      <c r="M1258" s="318"/>
      <c r="Q1258" s="225"/>
      <c r="R1258" s="225"/>
    </row>
    <row r="1259" spans="5:18">
      <c r="E1259" s="318"/>
      <c r="G1259" s="213"/>
      <c r="I1259" s="213"/>
      <c r="K1259" s="213"/>
      <c r="L1259" s="318"/>
      <c r="M1259" s="318"/>
      <c r="Q1259" s="225"/>
      <c r="R1259" s="225"/>
    </row>
    <row r="1260" spans="5:18">
      <c r="E1260" s="318"/>
      <c r="G1260" s="213"/>
      <c r="I1260" s="213"/>
      <c r="K1260" s="213"/>
      <c r="L1260" s="318"/>
      <c r="M1260" s="318"/>
      <c r="Q1260" s="225"/>
      <c r="R1260" s="225"/>
    </row>
    <row r="1261" spans="5:18">
      <c r="E1261" s="318"/>
      <c r="G1261" s="213"/>
      <c r="I1261" s="213"/>
      <c r="K1261" s="213"/>
      <c r="L1261" s="318"/>
      <c r="M1261" s="318"/>
      <c r="Q1261" s="225"/>
      <c r="R1261" s="225"/>
    </row>
    <row r="1262" spans="5:18">
      <c r="E1262" s="318"/>
      <c r="G1262" s="213"/>
      <c r="I1262" s="213"/>
      <c r="K1262" s="213"/>
      <c r="L1262" s="318"/>
      <c r="M1262" s="318"/>
      <c r="Q1262" s="225"/>
      <c r="R1262" s="225"/>
    </row>
    <row r="1263" spans="5:18">
      <c r="E1263" s="318"/>
      <c r="G1263" s="213"/>
      <c r="I1263" s="213"/>
      <c r="K1263" s="213"/>
      <c r="L1263" s="318"/>
      <c r="M1263" s="318"/>
      <c r="Q1263" s="225"/>
      <c r="R1263" s="225"/>
    </row>
    <row r="1264" spans="5:18">
      <c r="E1264" s="318"/>
      <c r="G1264" s="213"/>
      <c r="I1264" s="213"/>
      <c r="K1264" s="213"/>
      <c r="L1264" s="318"/>
      <c r="M1264" s="318"/>
      <c r="Q1264" s="225"/>
      <c r="R1264" s="225"/>
    </row>
    <row r="1265" spans="5:18">
      <c r="E1265" s="318"/>
      <c r="G1265" s="213"/>
      <c r="I1265" s="213"/>
      <c r="K1265" s="213"/>
      <c r="L1265" s="318"/>
      <c r="M1265" s="318"/>
      <c r="Q1265" s="225"/>
      <c r="R1265" s="225"/>
    </row>
    <row r="1266" spans="5:18">
      <c r="E1266" s="318"/>
      <c r="G1266" s="213"/>
      <c r="I1266" s="213"/>
      <c r="K1266" s="213"/>
      <c r="L1266" s="318"/>
      <c r="M1266" s="318"/>
      <c r="Q1266" s="225"/>
      <c r="R1266" s="225"/>
    </row>
    <row r="1267" spans="5:18">
      <c r="E1267" s="318"/>
      <c r="G1267" s="213"/>
      <c r="I1267" s="213"/>
      <c r="K1267" s="213"/>
      <c r="L1267" s="318"/>
      <c r="M1267" s="318"/>
      <c r="Q1267" s="225"/>
      <c r="R1267" s="225"/>
    </row>
    <row r="1268" spans="5:18">
      <c r="E1268" s="318"/>
      <c r="G1268" s="213"/>
      <c r="I1268" s="213"/>
      <c r="K1268" s="213"/>
      <c r="L1268" s="318"/>
      <c r="M1268" s="318"/>
      <c r="Q1268" s="225"/>
      <c r="R1268" s="225"/>
    </row>
    <row r="1269" spans="5:18">
      <c r="E1269" s="318"/>
      <c r="G1269" s="213"/>
      <c r="I1269" s="213"/>
      <c r="K1269" s="213"/>
      <c r="L1269" s="318"/>
      <c r="M1269" s="318"/>
      <c r="Q1269" s="225"/>
      <c r="R1269" s="225"/>
    </row>
    <row r="1270" spans="5:18">
      <c r="E1270" s="318"/>
      <c r="G1270" s="213"/>
      <c r="I1270" s="213"/>
      <c r="K1270" s="213"/>
      <c r="L1270" s="318"/>
      <c r="M1270" s="318"/>
      <c r="Q1270" s="225"/>
      <c r="R1270" s="225"/>
    </row>
    <row r="1271" spans="5:18">
      <c r="E1271" s="318"/>
      <c r="G1271" s="213"/>
      <c r="I1271" s="213"/>
      <c r="K1271" s="213"/>
      <c r="L1271" s="318"/>
      <c r="M1271" s="318"/>
      <c r="Q1271" s="225"/>
      <c r="R1271" s="225"/>
    </row>
    <row r="1272" spans="5:18">
      <c r="E1272" s="318"/>
      <c r="G1272" s="213"/>
      <c r="I1272" s="213"/>
      <c r="K1272" s="213"/>
      <c r="L1272" s="318"/>
      <c r="M1272" s="318"/>
      <c r="Q1272" s="225"/>
      <c r="R1272" s="225"/>
    </row>
    <row r="1273" spans="5:18">
      <c r="E1273" s="318"/>
      <c r="G1273" s="213"/>
      <c r="I1273" s="213"/>
      <c r="K1273" s="213"/>
      <c r="L1273" s="318"/>
      <c r="M1273" s="318"/>
      <c r="Q1273" s="225"/>
      <c r="R1273" s="225"/>
    </row>
    <row r="1274" spans="5:18">
      <c r="E1274" s="318"/>
      <c r="G1274" s="213"/>
      <c r="I1274" s="213"/>
      <c r="K1274" s="213"/>
      <c r="L1274" s="318"/>
      <c r="M1274" s="318"/>
      <c r="Q1274" s="225"/>
      <c r="R1274" s="225"/>
    </row>
    <row r="1275" spans="5:18">
      <c r="E1275" s="318"/>
      <c r="G1275" s="213"/>
      <c r="I1275" s="213"/>
      <c r="K1275" s="213"/>
      <c r="L1275" s="318"/>
      <c r="M1275" s="318"/>
      <c r="Q1275" s="225"/>
      <c r="R1275" s="225"/>
    </row>
    <row r="1276" spans="5:18">
      <c r="E1276" s="318"/>
      <c r="G1276" s="213"/>
      <c r="I1276" s="213"/>
      <c r="K1276" s="213"/>
      <c r="L1276" s="318"/>
      <c r="M1276" s="318"/>
      <c r="Q1276" s="225"/>
      <c r="R1276" s="225"/>
    </row>
    <row r="1277" spans="5:18">
      <c r="E1277" s="318"/>
      <c r="G1277" s="213"/>
      <c r="I1277" s="213"/>
      <c r="K1277" s="213"/>
      <c r="L1277" s="318"/>
      <c r="M1277" s="318"/>
      <c r="Q1277" s="225"/>
      <c r="R1277" s="225"/>
    </row>
    <row r="1278" spans="5:18">
      <c r="E1278" s="318"/>
      <c r="G1278" s="213"/>
      <c r="I1278" s="213"/>
      <c r="K1278" s="213"/>
      <c r="L1278" s="318"/>
      <c r="M1278" s="318"/>
      <c r="Q1278" s="225"/>
      <c r="R1278" s="225"/>
    </row>
    <row r="1279" spans="5:18">
      <c r="E1279" s="318"/>
      <c r="G1279" s="213"/>
      <c r="I1279" s="213"/>
      <c r="K1279" s="213"/>
      <c r="L1279" s="318"/>
      <c r="M1279" s="318"/>
      <c r="Q1279" s="225"/>
      <c r="R1279" s="225"/>
    </row>
    <row r="1280" spans="5:18">
      <c r="E1280" s="318"/>
      <c r="G1280" s="213"/>
      <c r="I1280" s="213"/>
      <c r="K1280" s="213"/>
      <c r="L1280" s="318"/>
      <c r="M1280" s="318"/>
      <c r="Q1280" s="225"/>
      <c r="R1280" s="225"/>
    </row>
    <row r="1281" spans="5:18">
      <c r="E1281" s="318"/>
      <c r="G1281" s="213"/>
      <c r="I1281" s="213"/>
      <c r="K1281" s="213"/>
      <c r="L1281" s="318"/>
      <c r="M1281" s="318"/>
      <c r="Q1281" s="225"/>
      <c r="R1281" s="225"/>
    </row>
    <row r="1282" spans="5:18">
      <c r="E1282" s="318"/>
      <c r="G1282" s="213"/>
      <c r="I1282" s="213"/>
      <c r="K1282" s="213"/>
      <c r="L1282" s="318"/>
      <c r="M1282" s="318"/>
      <c r="Q1282" s="225"/>
      <c r="R1282" s="225"/>
    </row>
    <row r="1283" spans="5:18">
      <c r="E1283" s="318"/>
      <c r="G1283" s="213"/>
      <c r="I1283" s="213"/>
      <c r="K1283" s="213"/>
      <c r="L1283" s="318"/>
      <c r="M1283" s="318"/>
      <c r="Q1283" s="225"/>
      <c r="R1283" s="225"/>
    </row>
    <row r="1284" spans="5:18">
      <c r="E1284" s="318"/>
      <c r="G1284" s="213"/>
      <c r="I1284" s="213"/>
      <c r="K1284" s="213"/>
      <c r="L1284" s="318"/>
      <c r="M1284" s="318"/>
      <c r="Q1284" s="225"/>
      <c r="R1284" s="225"/>
    </row>
    <row r="1285" spans="5:18">
      <c r="E1285" s="318"/>
      <c r="G1285" s="213"/>
      <c r="I1285" s="213"/>
      <c r="K1285" s="213"/>
      <c r="L1285" s="318"/>
      <c r="M1285" s="318"/>
      <c r="Q1285" s="225"/>
      <c r="R1285" s="225"/>
    </row>
    <row r="1286" spans="5:18">
      <c r="E1286" s="318"/>
      <c r="G1286" s="213"/>
      <c r="I1286" s="213"/>
      <c r="K1286" s="213"/>
      <c r="L1286" s="318"/>
      <c r="M1286" s="318"/>
      <c r="Q1286" s="225"/>
      <c r="R1286" s="225"/>
    </row>
    <row r="1287" spans="5:18">
      <c r="E1287" s="318"/>
      <c r="G1287" s="213"/>
      <c r="I1287" s="213"/>
      <c r="K1287" s="213"/>
      <c r="L1287" s="318"/>
      <c r="M1287" s="318"/>
      <c r="Q1287" s="225"/>
      <c r="R1287" s="225"/>
    </row>
    <row r="1288" spans="5:18">
      <c r="E1288" s="318"/>
      <c r="G1288" s="213"/>
      <c r="I1288" s="213"/>
      <c r="K1288" s="213"/>
      <c r="L1288" s="318"/>
      <c r="M1288" s="318"/>
      <c r="Q1288" s="225"/>
      <c r="R1288" s="225"/>
    </row>
    <row r="1289" spans="5:18">
      <c r="E1289" s="318"/>
      <c r="G1289" s="213"/>
      <c r="I1289" s="213"/>
      <c r="K1289" s="213"/>
      <c r="L1289" s="318"/>
      <c r="M1289" s="318"/>
      <c r="Q1289" s="225"/>
      <c r="R1289" s="225"/>
    </row>
    <row r="1290" spans="5:18">
      <c r="E1290" s="318"/>
      <c r="G1290" s="213"/>
      <c r="I1290" s="213"/>
      <c r="K1290" s="213"/>
      <c r="L1290" s="318"/>
      <c r="M1290" s="318"/>
      <c r="Q1290" s="225"/>
      <c r="R1290" s="225"/>
    </row>
    <row r="1291" spans="5:18">
      <c r="E1291" s="318"/>
      <c r="G1291" s="213"/>
      <c r="I1291" s="213"/>
      <c r="K1291" s="213"/>
      <c r="L1291" s="318"/>
      <c r="M1291" s="318"/>
      <c r="Q1291" s="225"/>
      <c r="R1291" s="225"/>
    </row>
    <row r="1292" spans="5:18">
      <c r="E1292" s="318"/>
      <c r="G1292" s="213"/>
      <c r="I1292" s="213"/>
      <c r="K1292" s="213"/>
      <c r="L1292" s="318"/>
      <c r="M1292" s="318"/>
      <c r="Q1292" s="225"/>
      <c r="R1292" s="225"/>
    </row>
    <row r="1293" spans="5:18">
      <c r="E1293" s="318"/>
      <c r="G1293" s="213"/>
      <c r="I1293" s="213"/>
      <c r="K1293" s="213"/>
      <c r="L1293" s="318"/>
      <c r="M1293" s="318"/>
      <c r="Q1293" s="225"/>
      <c r="R1293" s="225"/>
    </row>
    <row r="1294" spans="5:18">
      <c r="E1294" s="318"/>
      <c r="G1294" s="213"/>
      <c r="I1294" s="213"/>
      <c r="K1294" s="213"/>
      <c r="L1294" s="318"/>
      <c r="M1294" s="318"/>
      <c r="Q1294" s="225"/>
      <c r="R1294" s="225"/>
    </row>
    <row r="1295" spans="5:18">
      <c r="E1295" s="318"/>
      <c r="G1295" s="213"/>
      <c r="I1295" s="213"/>
      <c r="K1295" s="213"/>
      <c r="L1295" s="318"/>
      <c r="M1295" s="318"/>
      <c r="Q1295" s="225"/>
      <c r="R1295" s="225"/>
    </row>
    <row r="1296" spans="5:18">
      <c r="E1296" s="318"/>
      <c r="G1296" s="213"/>
      <c r="I1296" s="213"/>
      <c r="K1296" s="213"/>
      <c r="L1296" s="318"/>
      <c r="M1296" s="318"/>
      <c r="Q1296" s="225"/>
      <c r="R1296" s="225"/>
    </row>
    <row r="1297" spans="5:18">
      <c r="E1297" s="318"/>
      <c r="G1297" s="213"/>
      <c r="I1297" s="213"/>
      <c r="K1297" s="213"/>
      <c r="L1297" s="318"/>
      <c r="M1297" s="318"/>
      <c r="Q1297" s="225"/>
      <c r="R1297" s="225"/>
    </row>
    <row r="1298" spans="5:18">
      <c r="E1298" s="318"/>
      <c r="G1298" s="213"/>
      <c r="I1298" s="213"/>
      <c r="K1298" s="213"/>
      <c r="L1298" s="318"/>
      <c r="M1298" s="318"/>
      <c r="Q1298" s="225"/>
      <c r="R1298" s="225"/>
    </row>
    <row r="1299" spans="5:18">
      <c r="E1299" s="318"/>
      <c r="G1299" s="213"/>
      <c r="I1299" s="213"/>
      <c r="K1299" s="213"/>
      <c r="L1299" s="318"/>
      <c r="M1299" s="318"/>
      <c r="Q1299" s="225"/>
      <c r="R1299" s="225"/>
    </row>
    <row r="1300" spans="5:18">
      <c r="E1300" s="318"/>
      <c r="G1300" s="213"/>
      <c r="I1300" s="213"/>
      <c r="K1300" s="213"/>
      <c r="L1300" s="318"/>
      <c r="M1300" s="318"/>
      <c r="Q1300" s="225"/>
      <c r="R1300" s="225"/>
    </row>
    <row r="1301" spans="5:18">
      <c r="E1301" s="318"/>
      <c r="G1301" s="213"/>
      <c r="I1301" s="213"/>
      <c r="K1301" s="213"/>
      <c r="L1301" s="318"/>
      <c r="M1301" s="318"/>
      <c r="Q1301" s="225"/>
      <c r="R1301" s="225"/>
    </row>
    <row r="1302" spans="5:18">
      <c r="E1302" s="318"/>
      <c r="G1302" s="213"/>
      <c r="I1302" s="213"/>
      <c r="K1302" s="213"/>
      <c r="L1302" s="318"/>
      <c r="M1302" s="318"/>
      <c r="Q1302" s="225"/>
      <c r="R1302" s="225"/>
    </row>
    <row r="1303" spans="5:18">
      <c r="E1303" s="318"/>
      <c r="G1303" s="213"/>
      <c r="I1303" s="213"/>
      <c r="K1303" s="213"/>
      <c r="L1303" s="318"/>
      <c r="M1303" s="318"/>
      <c r="Q1303" s="225"/>
      <c r="R1303" s="225"/>
    </row>
    <row r="1304" spans="5:18">
      <c r="E1304" s="318"/>
      <c r="G1304" s="213"/>
      <c r="I1304" s="213"/>
      <c r="K1304" s="213"/>
      <c r="L1304" s="318"/>
      <c r="M1304" s="318"/>
      <c r="Q1304" s="225"/>
      <c r="R1304" s="225"/>
    </row>
    <row r="1305" spans="5:18">
      <c r="E1305" s="318"/>
      <c r="G1305" s="213"/>
      <c r="I1305" s="213"/>
      <c r="K1305" s="213"/>
      <c r="L1305" s="318"/>
      <c r="M1305" s="318"/>
      <c r="Q1305" s="225"/>
      <c r="R1305" s="225"/>
    </row>
    <row r="1306" spans="5:18">
      <c r="E1306" s="318"/>
      <c r="G1306" s="213"/>
      <c r="I1306" s="213"/>
      <c r="K1306" s="213"/>
      <c r="L1306" s="318"/>
      <c r="M1306" s="318"/>
      <c r="Q1306" s="225"/>
      <c r="R1306" s="225"/>
    </row>
    <row r="1307" spans="5:18">
      <c r="E1307" s="318"/>
      <c r="G1307" s="213"/>
      <c r="I1307" s="213"/>
      <c r="K1307" s="213"/>
      <c r="L1307" s="318"/>
      <c r="M1307" s="318"/>
      <c r="Q1307" s="225"/>
      <c r="R1307" s="225"/>
    </row>
    <row r="1308" spans="5:18">
      <c r="E1308" s="318"/>
      <c r="G1308" s="213"/>
      <c r="I1308" s="213"/>
      <c r="K1308" s="213"/>
      <c r="L1308" s="318"/>
      <c r="M1308" s="318"/>
      <c r="Q1308" s="225"/>
      <c r="R1308" s="225"/>
    </row>
    <row r="1309" spans="5:18">
      <c r="E1309" s="318"/>
      <c r="G1309" s="213"/>
      <c r="I1309" s="213"/>
      <c r="K1309" s="213"/>
      <c r="L1309" s="318"/>
      <c r="M1309" s="318"/>
      <c r="Q1309" s="225"/>
      <c r="R1309" s="225"/>
    </row>
    <row r="1310" spans="5:18">
      <c r="E1310" s="318"/>
      <c r="G1310" s="213"/>
      <c r="I1310" s="213"/>
      <c r="K1310" s="213"/>
      <c r="L1310" s="318"/>
      <c r="M1310" s="318"/>
      <c r="Q1310" s="225"/>
      <c r="R1310" s="225"/>
    </row>
    <row r="1311" spans="5:18">
      <c r="E1311" s="318"/>
      <c r="G1311" s="213"/>
      <c r="I1311" s="213"/>
      <c r="K1311" s="213"/>
      <c r="L1311" s="318"/>
      <c r="M1311" s="318"/>
      <c r="Q1311" s="225"/>
      <c r="R1311" s="225"/>
    </row>
    <row r="1312" spans="5:18">
      <c r="E1312" s="318"/>
      <c r="G1312" s="213"/>
      <c r="I1312" s="213"/>
      <c r="K1312" s="213"/>
      <c r="L1312" s="318"/>
      <c r="M1312" s="318"/>
      <c r="Q1312" s="225"/>
      <c r="R1312" s="225"/>
    </row>
    <row r="1313" spans="5:18">
      <c r="E1313" s="318"/>
      <c r="G1313" s="213"/>
      <c r="I1313" s="213"/>
      <c r="K1313" s="213"/>
      <c r="L1313" s="318"/>
      <c r="M1313" s="318"/>
      <c r="Q1313" s="225"/>
      <c r="R1313" s="225"/>
    </row>
    <row r="1314" spans="5:18">
      <c r="E1314" s="318"/>
      <c r="G1314" s="213"/>
      <c r="I1314" s="213"/>
      <c r="K1314" s="213"/>
      <c r="L1314" s="318"/>
      <c r="M1314" s="318"/>
      <c r="Q1314" s="225"/>
      <c r="R1314" s="225"/>
    </row>
    <row r="1315" spans="5:18">
      <c r="E1315" s="318"/>
      <c r="G1315" s="213"/>
      <c r="I1315" s="213"/>
      <c r="K1315" s="213"/>
      <c r="L1315" s="318"/>
      <c r="M1315" s="318"/>
      <c r="Q1315" s="225"/>
      <c r="R1315" s="225"/>
    </row>
    <row r="1316" spans="5:18">
      <c r="E1316" s="318"/>
      <c r="G1316" s="213"/>
      <c r="I1316" s="213"/>
      <c r="K1316" s="213"/>
      <c r="L1316" s="318"/>
      <c r="M1316" s="318"/>
      <c r="Q1316" s="225"/>
      <c r="R1316" s="225"/>
    </row>
    <row r="1317" spans="5:18">
      <c r="E1317" s="318"/>
      <c r="G1317" s="213"/>
      <c r="I1317" s="213"/>
      <c r="K1317" s="213"/>
      <c r="L1317" s="318"/>
      <c r="M1317" s="318"/>
      <c r="Q1317" s="225"/>
      <c r="R1317" s="225"/>
    </row>
    <row r="1318" spans="5:18">
      <c r="E1318" s="318"/>
      <c r="G1318" s="213"/>
      <c r="I1318" s="213"/>
      <c r="K1318" s="213"/>
      <c r="L1318" s="318"/>
      <c r="M1318" s="318"/>
      <c r="Q1318" s="225"/>
      <c r="R1318" s="225"/>
    </row>
    <row r="1319" spans="5:18">
      <c r="E1319" s="318"/>
      <c r="G1319" s="213"/>
      <c r="I1319" s="213"/>
      <c r="K1319" s="213"/>
      <c r="L1319" s="318"/>
      <c r="M1319" s="318"/>
      <c r="Q1319" s="225"/>
      <c r="R1319" s="225"/>
    </row>
    <row r="1320" spans="5:18">
      <c r="E1320" s="318"/>
      <c r="G1320" s="213"/>
      <c r="I1320" s="213"/>
      <c r="K1320" s="213"/>
      <c r="L1320" s="318"/>
      <c r="M1320" s="318"/>
      <c r="Q1320" s="225"/>
      <c r="R1320" s="225"/>
    </row>
    <row r="1321" spans="5:18">
      <c r="E1321" s="318"/>
      <c r="G1321" s="213"/>
      <c r="I1321" s="213"/>
      <c r="K1321" s="213"/>
      <c r="L1321" s="318"/>
      <c r="M1321" s="318"/>
      <c r="Q1321" s="225"/>
      <c r="R1321" s="225"/>
    </row>
    <row r="1322" spans="5:18">
      <c r="E1322" s="318"/>
      <c r="G1322" s="213"/>
      <c r="I1322" s="213"/>
      <c r="K1322" s="213"/>
      <c r="L1322" s="318"/>
      <c r="M1322" s="318"/>
      <c r="Q1322" s="225"/>
      <c r="R1322" s="225"/>
    </row>
    <row r="1323" spans="5:18">
      <c r="E1323" s="318"/>
      <c r="G1323" s="213"/>
      <c r="I1323" s="213"/>
      <c r="K1323" s="213"/>
      <c r="L1323" s="318"/>
      <c r="M1323" s="318"/>
      <c r="Q1323" s="225"/>
      <c r="R1323" s="225"/>
    </row>
    <row r="1324" spans="5:18">
      <c r="E1324" s="318"/>
      <c r="G1324" s="213"/>
      <c r="I1324" s="213"/>
      <c r="K1324" s="213"/>
      <c r="L1324" s="318"/>
      <c r="M1324" s="318"/>
      <c r="Q1324" s="225"/>
      <c r="R1324" s="225"/>
    </row>
    <row r="1325" spans="5:18">
      <c r="E1325" s="318"/>
      <c r="G1325" s="213"/>
      <c r="I1325" s="213"/>
      <c r="K1325" s="213"/>
      <c r="L1325" s="318"/>
      <c r="M1325" s="318"/>
      <c r="Q1325" s="225"/>
      <c r="R1325" s="225"/>
    </row>
    <row r="1326" spans="5:18">
      <c r="E1326" s="318"/>
      <c r="G1326" s="213"/>
      <c r="I1326" s="213"/>
      <c r="K1326" s="213"/>
      <c r="L1326" s="318"/>
      <c r="M1326" s="318"/>
      <c r="Q1326" s="225"/>
      <c r="R1326" s="225"/>
    </row>
    <row r="1327" spans="5:18">
      <c r="E1327" s="318"/>
      <c r="G1327" s="213"/>
      <c r="I1327" s="213"/>
      <c r="K1327" s="213"/>
      <c r="L1327" s="318"/>
      <c r="M1327" s="318"/>
      <c r="Q1327" s="225"/>
      <c r="R1327" s="225"/>
    </row>
    <row r="1328" spans="5:18">
      <c r="E1328" s="318"/>
      <c r="G1328" s="213"/>
      <c r="I1328" s="213"/>
      <c r="K1328" s="213"/>
      <c r="L1328" s="318"/>
      <c r="M1328" s="318"/>
      <c r="Q1328" s="225"/>
      <c r="R1328" s="225"/>
    </row>
    <row r="1329" spans="5:18">
      <c r="E1329" s="318"/>
      <c r="G1329" s="213"/>
      <c r="I1329" s="213"/>
      <c r="K1329" s="213"/>
      <c r="L1329" s="318"/>
      <c r="M1329" s="318"/>
      <c r="Q1329" s="225"/>
      <c r="R1329" s="225"/>
    </row>
    <row r="1330" spans="5:18">
      <c r="E1330" s="318"/>
      <c r="G1330" s="213"/>
      <c r="I1330" s="213"/>
      <c r="K1330" s="213"/>
      <c r="L1330" s="318"/>
      <c r="M1330" s="318"/>
      <c r="Q1330" s="225"/>
      <c r="R1330" s="225"/>
    </row>
    <row r="1331" spans="5:18">
      <c r="E1331" s="318"/>
      <c r="G1331" s="213"/>
      <c r="I1331" s="213"/>
      <c r="K1331" s="213"/>
      <c r="L1331" s="318"/>
      <c r="M1331" s="318"/>
      <c r="Q1331" s="225"/>
      <c r="R1331" s="225"/>
    </row>
    <row r="1332" spans="5:18">
      <c r="E1332" s="318"/>
      <c r="G1332" s="213"/>
      <c r="I1332" s="213"/>
      <c r="K1332" s="213"/>
      <c r="L1332" s="318"/>
      <c r="M1332" s="318"/>
      <c r="Q1332" s="225"/>
      <c r="R1332" s="225"/>
    </row>
    <row r="1333" spans="5:18">
      <c r="E1333" s="318"/>
      <c r="G1333" s="213"/>
      <c r="I1333" s="213"/>
      <c r="K1333" s="213"/>
      <c r="L1333" s="318"/>
      <c r="M1333" s="318"/>
      <c r="Q1333" s="225"/>
      <c r="R1333" s="225"/>
    </row>
    <row r="1334" spans="5:18">
      <c r="E1334" s="318"/>
      <c r="G1334" s="213"/>
      <c r="I1334" s="213"/>
      <c r="K1334" s="213"/>
      <c r="L1334" s="318"/>
      <c r="M1334" s="318"/>
      <c r="Q1334" s="225"/>
      <c r="R1334" s="225"/>
    </row>
    <row r="1335" spans="5:18">
      <c r="E1335" s="318"/>
      <c r="G1335" s="213"/>
      <c r="I1335" s="213"/>
      <c r="K1335" s="213"/>
      <c r="L1335" s="318"/>
      <c r="M1335" s="318"/>
      <c r="Q1335" s="225"/>
      <c r="R1335" s="225"/>
    </row>
    <row r="1336" spans="5:18">
      <c r="E1336" s="318"/>
      <c r="G1336" s="213"/>
      <c r="I1336" s="213"/>
      <c r="K1336" s="213"/>
      <c r="L1336" s="318"/>
      <c r="M1336" s="318"/>
      <c r="Q1336" s="225"/>
      <c r="R1336" s="225"/>
    </row>
    <row r="1337" spans="5:18">
      <c r="E1337" s="318"/>
      <c r="G1337" s="213"/>
      <c r="I1337" s="213"/>
      <c r="K1337" s="213"/>
      <c r="L1337" s="318"/>
      <c r="M1337" s="318"/>
      <c r="Q1337" s="225"/>
      <c r="R1337" s="225"/>
    </row>
    <row r="1338" spans="5:18">
      <c r="E1338" s="318"/>
      <c r="G1338" s="213"/>
      <c r="I1338" s="213"/>
      <c r="K1338" s="213"/>
      <c r="L1338" s="318"/>
      <c r="M1338" s="318"/>
      <c r="Q1338" s="225"/>
      <c r="R1338" s="225"/>
    </row>
    <row r="1339" spans="5:18">
      <c r="E1339" s="318"/>
      <c r="G1339" s="213"/>
      <c r="I1339" s="213"/>
      <c r="K1339" s="213"/>
      <c r="L1339" s="318"/>
      <c r="M1339" s="318"/>
      <c r="Q1339" s="225"/>
      <c r="R1339" s="225"/>
    </row>
    <row r="1340" spans="5:18">
      <c r="E1340" s="318"/>
      <c r="G1340" s="213"/>
      <c r="I1340" s="213"/>
      <c r="K1340" s="213"/>
      <c r="L1340" s="318"/>
      <c r="M1340" s="318"/>
      <c r="Q1340" s="225"/>
      <c r="R1340" s="225"/>
    </row>
    <row r="1341" spans="5:18">
      <c r="E1341" s="318"/>
      <c r="G1341" s="213"/>
      <c r="I1341" s="213"/>
      <c r="K1341" s="213"/>
      <c r="L1341" s="318"/>
      <c r="M1341" s="318"/>
      <c r="Q1341" s="225"/>
      <c r="R1341" s="225"/>
    </row>
    <row r="1342" spans="5:18">
      <c r="E1342" s="318"/>
      <c r="G1342" s="213"/>
      <c r="I1342" s="213"/>
      <c r="K1342" s="213"/>
      <c r="L1342" s="318"/>
      <c r="M1342" s="318"/>
      <c r="Q1342" s="225"/>
      <c r="R1342" s="225"/>
    </row>
    <row r="1343" spans="5:18">
      <c r="E1343" s="318"/>
      <c r="G1343" s="213"/>
      <c r="I1343" s="213"/>
      <c r="K1343" s="213"/>
      <c r="L1343" s="318"/>
      <c r="M1343" s="318"/>
      <c r="Q1343" s="225"/>
      <c r="R1343" s="225"/>
    </row>
    <row r="1344" spans="5:18">
      <c r="E1344" s="318"/>
      <c r="G1344" s="213"/>
      <c r="I1344" s="213"/>
      <c r="K1344" s="213"/>
      <c r="L1344" s="318"/>
      <c r="M1344" s="318"/>
      <c r="Q1344" s="225"/>
      <c r="R1344" s="225"/>
    </row>
    <row r="1345" spans="5:18">
      <c r="E1345" s="318"/>
      <c r="G1345" s="213"/>
      <c r="I1345" s="213"/>
      <c r="K1345" s="213"/>
      <c r="L1345" s="318"/>
      <c r="M1345" s="318"/>
      <c r="Q1345" s="225"/>
      <c r="R1345" s="225"/>
    </row>
    <row r="1346" spans="5:18">
      <c r="E1346" s="318"/>
      <c r="G1346" s="213"/>
      <c r="I1346" s="213"/>
      <c r="K1346" s="213"/>
      <c r="L1346" s="318"/>
      <c r="M1346" s="318"/>
      <c r="Q1346" s="225"/>
      <c r="R1346" s="225"/>
    </row>
    <row r="1347" spans="5:18">
      <c r="E1347" s="318"/>
      <c r="G1347" s="213"/>
      <c r="I1347" s="213"/>
      <c r="K1347" s="213"/>
      <c r="L1347" s="318"/>
      <c r="M1347" s="318"/>
      <c r="Q1347" s="225"/>
      <c r="R1347" s="225"/>
    </row>
    <row r="1348" spans="5:18">
      <c r="E1348" s="318"/>
      <c r="G1348" s="213"/>
      <c r="I1348" s="213"/>
      <c r="K1348" s="213"/>
      <c r="L1348" s="318"/>
      <c r="M1348" s="318"/>
      <c r="Q1348" s="225"/>
      <c r="R1348" s="225"/>
    </row>
    <row r="1349" spans="5:18">
      <c r="E1349" s="318"/>
      <c r="G1349" s="213"/>
      <c r="I1349" s="213"/>
      <c r="K1349" s="213"/>
      <c r="L1349" s="318"/>
      <c r="M1349" s="318"/>
      <c r="Q1349" s="225"/>
      <c r="R1349" s="225"/>
    </row>
    <row r="1350" spans="5:18">
      <c r="E1350" s="318"/>
      <c r="G1350" s="213"/>
      <c r="I1350" s="213"/>
      <c r="K1350" s="213"/>
      <c r="L1350" s="318"/>
      <c r="M1350" s="318"/>
      <c r="Q1350" s="225"/>
      <c r="R1350" s="225"/>
    </row>
    <row r="1351" spans="5:18">
      <c r="E1351" s="318"/>
      <c r="G1351" s="213"/>
      <c r="I1351" s="213"/>
      <c r="K1351" s="213"/>
      <c r="L1351" s="318"/>
      <c r="M1351" s="318"/>
      <c r="Q1351" s="225"/>
      <c r="R1351" s="225"/>
    </row>
    <row r="1352" spans="5:18">
      <c r="E1352" s="318"/>
      <c r="G1352" s="213"/>
      <c r="I1352" s="213"/>
      <c r="K1352" s="213"/>
      <c r="L1352" s="318"/>
      <c r="M1352" s="318"/>
      <c r="Q1352" s="225"/>
      <c r="R1352" s="225"/>
    </row>
    <row r="1353" spans="5:18">
      <c r="E1353" s="318"/>
      <c r="G1353" s="213"/>
      <c r="I1353" s="213"/>
      <c r="K1353" s="213"/>
      <c r="L1353" s="318"/>
      <c r="M1353" s="318"/>
      <c r="Q1353" s="225"/>
      <c r="R1353" s="225"/>
    </row>
    <row r="1354" spans="5:18">
      <c r="E1354" s="318"/>
      <c r="G1354" s="213"/>
      <c r="I1354" s="213"/>
      <c r="K1354" s="213"/>
      <c r="L1354" s="318"/>
      <c r="M1354" s="318"/>
      <c r="Q1354" s="225"/>
      <c r="R1354" s="225"/>
    </row>
    <row r="1355" spans="5:18">
      <c r="E1355" s="318"/>
      <c r="G1355" s="213"/>
      <c r="I1355" s="213"/>
      <c r="K1355" s="213"/>
      <c r="L1355" s="318"/>
      <c r="M1355" s="318"/>
      <c r="Q1355" s="225"/>
      <c r="R1355" s="225"/>
    </row>
    <row r="1356" spans="5:18">
      <c r="E1356" s="318"/>
      <c r="G1356" s="213"/>
      <c r="I1356" s="213"/>
      <c r="K1356" s="213"/>
      <c r="L1356" s="318"/>
      <c r="M1356" s="318"/>
      <c r="Q1356" s="225"/>
      <c r="R1356" s="225"/>
    </row>
    <row r="1357" spans="5:18">
      <c r="E1357" s="318"/>
      <c r="G1357" s="213"/>
      <c r="I1357" s="213"/>
      <c r="K1357" s="213"/>
      <c r="L1357" s="318"/>
      <c r="M1357" s="318"/>
      <c r="Q1357" s="225"/>
      <c r="R1357" s="225"/>
    </row>
    <row r="1358" spans="5:18">
      <c r="E1358" s="318"/>
      <c r="G1358" s="213"/>
      <c r="I1358" s="213"/>
      <c r="K1358" s="213"/>
      <c r="L1358" s="318"/>
      <c r="M1358" s="318"/>
      <c r="Q1358" s="225"/>
      <c r="R1358" s="225"/>
    </row>
    <row r="1359" spans="5:18">
      <c r="E1359" s="318"/>
      <c r="G1359" s="213"/>
      <c r="I1359" s="213"/>
      <c r="K1359" s="213"/>
      <c r="L1359" s="318"/>
      <c r="M1359" s="318"/>
      <c r="Q1359" s="225"/>
      <c r="R1359" s="225"/>
    </row>
    <row r="1360" spans="5:18">
      <c r="E1360" s="318"/>
      <c r="G1360" s="213"/>
      <c r="I1360" s="213"/>
      <c r="K1360" s="213"/>
      <c r="L1360" s="318"/>
      <c r="M1360" s="318"/>
      <c r="Q1360" s="225"/>
      <c r="R1360" s="225"/>
    </row>
    <row r="1361" spans="5:18">
      <c r="E1361" s="318"/>
      <c r="G1361" s="213"/>
      <c r="I1361" s="213"/>
      <c r="K1361" s="213"/>
      <c r="L1361" s="318"/>
      <c r="M1361" s="318"/>
      <c r="Q1361" s="225"/>
      <c r="R1361" s="225"/>
    </row>
    <row r="1362" spans="5:18">
      <c r="E1362" s="318"/>
      <c r="G1362" s="213"/>
      <c r="I1362" s="213"/>
      <c r="K1362" s="213"/>
      <c r="L1362" s="318"/>
      <c r="M1362" s="318"/>
      <c r="Q1362" s="225"/>
      <c r="R1362" s="225"/>
    </row>
    <row r="1363" spans="5:18">
      <c r="E1363" s="318"/>
      <c r="G1363" s="213"/>
      <c r="I1363" s="213"/>
      <c r="K1363" s="213"/>
      <c r="L1363" s="318"/>
      <c r="M1363" s="318"/>
      <c r="Q1363" s="225"/>
      <c r="R1363" s="225"/>
    </row>
    <row r="1364" spans="5:18">
      <c r="E1364" s="318"/>
      <c r="G1364" s="213"/>
      <c r="I1364" s="213"/>
      <c r="K1364" s="213"/>
      <c r="L1364" s="318"/>
      <c r="M1364" s="318"/>
      <c r="Q1364" s="225"/>
      <c r="R1364" s="225"/>
    </row>
    <row r="1365" spans="5:18">
      <c r="E1365" s="318"/>
      <c r="G1365" s="213"/>
      <c r="I1365" s="213"/>
      <c r="K1365" s="213"/>
      <c r="L1365" s="318"/>
      <c r="M1365" s="318"/>
      <c r="Q1365" s="225"/>
      <c r="R1365" s="225"/>
    </row>
    <row r="1366" spans="5:18">
      <c r="E1366" s="318"/>
      <c r="G1366" s="213"/>
      <c r="I1366" s="213"/>
      <c r="K1366" s="213"/>
      <c r="L1366" s="318"/>
      <c r="M1366" s="318"/>
      <c r="Q1366" s="225"/>
      <c r="R1366" s="225"/>
    </row>
    <row r="1367" spans="5:18">
      <c r="E1367" s="318"/>
      <c r="G1367" s="213"/>
      <c r="I1367" s="213"/>
      <c r="K1367" s="213"/>
      <c r="L1367" s="318"/>
      <c r="M1367" s="318"/>
      <c r="Q1367" s="225"/>
      <c r="R1367" s="225"/>
    </row>
    <row r="1368" spans="5:18">
      <c r="E1368" s="318"/>
      <c r="G1368" s="213"/>
      <c r="I1368" s="213"/>
      <c r="K1368" s="213"/>
      <c r="L1368" s="318"/>
      <c r="M1368" s="318"/>
      <c r="Q1368" s="225"/>
      <c r="R1368" s="225"/>
    </row>
    <row r="1369" spans="5:18">
      <c r="E1369" s="318"/>
      <c r="G1369" s="213"/>
      <c r="I1369" s="213"/>
      <c r="K1369" s="213"/>
      <c r="L1369" s="318"/>
      <c r="M1369" s="318"/>
      <c r="Q1369" s="225"/>
      <c r="R1369" s="225"/>
    </row>
    <row r="1370" spans="5:18">
      <c r="E1370" s="318"/>
      <c r="G1370" s="213"/>
      <c r="I1370" s="213"/>
      <c r="K1370" s="213"/>
      <c r="L1370" s="318"/>
      <c r="M1370" s="318"/>
      <c r="Q1370" s="225"/>
      <c r="R1370" s="225"/>
    </row>
    <row r="1371" spans="5:18">
      <c r="E1371" s="318"/>
      <c r="G1371" s="213"/>
      <c r="I1371" s="213"/>
      <c r="K1371" s="213"/>
      <c r="L1371" s="318"/>
      <c r="M1371" s="318"/>
      <c r="Q1371" s="225"/>
      <c r="R1371" s="225"/>
    </row>
    <row r="1372" spans="5:18">
      <c r="E1372" s="318"/>
      <c r="G1372" s="213"/>
      <c r="I1372" s="213"/>
      <c r="K1372" s="213"/>
      <c r="L1372" s="318"/>
      <c r="M1372" s="318"/>
      <c r="Q1372" s="225"/>
      <c r="R1372" s="225"/>
    </row>
    <row r="1373" spans="5:18">
      <c r="E1373" s="318"/>
      <c r="G1373" s="213"/>
      <c r="I1373" s="213"/>
      <c r="K1373" s="213"/>
      <c r="L1373" s="318"/>
      <c r="M1373" s="318"/>
      <c r="Q1373" s="225"/>
      <c r="R1373" s="225"/>
    </row>
    <row r="1374" spans="5:18">
      <c r="E1374" s="318"/>
      <c r="G1374" s="213"/>
      <c r="I1374" s="213"/>
      <c r="K1374" s="213"/>
      <c r="L1374" s="318"/>
      <c r="M1374" s="318"/>
      <c r="Q1374" s="225"/>
      <c r="R1374" s="225"/>
    </row>
    <row r="1375" spans="5:18">
      <c r="E1375" s="318"/>
      <c r="G1375" s="213"/>
      <c r="I1375" s="213"/>
      <c r="K1375" s="213"/>
      <c r="L1375" s="318"/>
      <c r="M1375" s="318"/>
      <c r="Q1375" s="225"/>
      <c r="R1375" s="225"/>
    </row>
    <row r="1376" spans="5:18">
      <c r="E1376" s="318"/>
      <c r="G1376" s="213"/>
      <c r="I1376" s="213"/>
      <c r="K1376" s="213"/>
      <c r="L1376" s="318"/>
      <c r="M1376" s="318"/>
      <c r="Q1376" s="225"/>
      <c r="R1376" s="225"/>
    </row>
    <row r="1377" spans="5:18">
      <c r="E1377" s="318"/>
      <c r="G1377" s="213"/>
      <c r="I1377" s="213"/>
      <c r="K1377" s="213"/>
      <c r="L1377" s="318"/>
      <c r="M1377" s="318"/>
      <c r="Q1377" s="225"/>
      <c r="R1377" s="225"/>
    </row>
    <row r="1378" spans="5:18">
      <c r="E1378" s="318"/>
      <c r="G1378" s="213"/>
      <c r="I1378" s="213"/>
      <c r="K1378" s="213"/>
      <c r="L1378" s="318"/>
      <c r="M1378" s="318"/>
      <c r="Q1378" s="225"/>
      <c r="R1378" s="225"/>
    </row>
    <row r="1379" spans="5:18">
      <c r="E1379" s="318"/>
      <c r="G1379" s="213"/>
      <c r="I1379" s="213"/>
      <c r="K1379" s="213"/>
      <c r="L1379" s="318"/>
      <c r="M1379" s="318"/>
      <c r="Q1379" s="225"/>
      <c r="R1379" s="225"/>
    </row>
    <row r="1380" spans="5:18">
      <c r="E1380" s="318"/>
      <c r="G1380" s="213"/>
      <c r="I1380" s="213"/>
      <c r="K1380" s="213"/>
      <c r="L1380" s="318"/>
      <c r="M1380" s="318"/>
      <c r="Q1380" s="225"/>
      <c r="R1380" s="225"/>
    </row>
    <row r="1381" spans="5:18">
      <c r="E1381" s="318"/>
      <c r="G1381" s="213"/>
      <c r="I1381" s="213"/>
      <c r="K1381" s="213"/>
      <c r="L1381" s="318"/>
      <c r="M1381" s="318"/>
      <c r="Q1381" s="225"/>
      <c r="R1381" s="225"/>
    </row>
    <row r="1382" spans="5:18">
      <c r="E1382" s="318"/>
      <c r="G1382" s="213"/>
      <c r="I1382" s="213"/>
      <c r="K1382" s="213"/>
      <c r="L1382" s="318"/>
      <c r="M1382" s="318"/>
      <c r="Q1382" s="225"/>
      <c r="R1382" s="225"/>
    </row>
    <row r="1383" spans="5:18">
      <c r="E1383" s="318"/>
      <c r="G1383" s="213"/>
      <c r="I1383" s="213"/>
      <c r="K1383" s="213"/>
      <c r="L1383" s="318"/>
      <c r="M1383" s="318"/>
      <c r="Q1383" s="225"/>
      <c r="R1383" s="225"/>
    </row>
    <row r="1384" spans="5:18">
      <c r="E1384" s="318"/>
      <c r="G1384" s="213"/>
      <c r="I1384" s="213"/>
      <c r="K1384" s="213"/>
      <c r="L1384" s="318"/>
      <c r="M1384" s="318"/>
      <c r="Q1384" s="225"/>
      <c r="R1384" s="225"/>
    </row>
    <row r="1385" spans="5:18">
      <c r="E1385" s="318"/>
      <c r="G1385" s="213"/>
      <c r="I1385" s="213"/>
      <c r="K1385" s="213"/>
      <c r="L1385" s="318"/>
      <c r="M1385" s="318"/>
      <c r="Q1385" s="225"/>
      <c r="R1385" s="225"/>
    </row>
    <row r="1386" spans="5:18">
      <c r="E1386" s="318"/>
      <c r="G1386" s="213"/>
      <c r="I1386" s="213"/>
      <c r="K1386" s="213"/>
      <c r="L1386" s="318"/>
      <c r="M1386" s="318"/>
      <c r="Q1386" s="225"/>
      <c r="R1386" s="225"/>
    </row>
    <row r="1387" spans="5:18">
      <c r="E1387" s="318"/>
      <c r="G1387" s="213"/>
      <c r="I1387" s="213"/>
      <c r="K1387" s="213"/>
      <c r="L1387" s="318"/>
      <c r="M1387" s="318"/>
      <c r="Q1387" s="225"/>
      <c r="R1387" s="225"/>
    </row>
    <row r="1388" spans="5:18">
      <c r="E1388" s="318"/>
      <c r="G1388" s="213"/>
      <c r="I1388" s="213"/>
      <c r="K1388" s="213"/>
      <c r="L1388" s="318"/>
      <c r="M1388" s="318"/>
      <c r="Q1388" s="225"/>
      <c r="R1388" s="225"/>
    </row>
    <row r="1389" spans="5:18">
      <c r="E1389" s="318"/>
      <c r="G1389" s="213"/>
      <c r="I1389" s="213"/>
      <c r="K1389" s="213"/>
      <c r="L1389" s="318"/>
      <c r="M1389" s="318"/>
      <c r="Q1389" s="225"/>
      <c r="R1389" s="225"/>
    </row>
    <row r="1390" spans="5:18">
      <c r="E1390" s="318"/>
      <c r="G1390" s="213"/>
      <c r="I1390" s="213"/>
      <c r="K1390" s="213"/>
      <c r="L1390" s="318"/>
      <c r="M1390" s="318"/>
      <c r="Q1390" s="225"/>
      <c r="R1390" s="225"/>
    </row>
    <row r="1391" spans="5:18">
      <c r="E1391" s="318"/>
      <c r="G1391" s="213"/>
      <c r="I1391" s="213"/>
      <c r="K1391" s="213"/>
      <c r="L1391" s="318"/>
      <c r="M1391" s="318"/>
      <c r="Q1391" s="225"/>
      <c r="R1391" s="225"/>
    </row>
    <row r="1392" spans="5:18">
      <c r="E1392" s="318"/>
      <c r="G1392" s="213"/>
      <c r="I1392" s="213"/>
      <c r="K1392" s="213"/>
      <c r="L1392" s="318"/>
      <c r="M1392" s="318"/>
      <c r="Q1392" s="225"/>
      <c r="R1392" s="225"/>
    </row>
    <row r="1393" spans="5:18">
      <c r="E1393" s="318"/>
      <c r="G1393" s="213"/>
      <c r="I1393" s="213"/>
      <c r="K1393" s="213"/>
      <c r="L1393" s="318"/>
      <c r="M1393" s="318"/>
      <c r="Q1393" s="225"/>
      <c r="R1393" s="225"/>
    </row>
    <row r="1394" spans="5:18">
      <c r="E1394" s="318"/>
      <c r="G1394" s="213"/>
      <c r="I1394" s="213"/>
      <c r="K1394" s="213"/>
      <c r="L1394" s="318"/>
      <c r="M1394" s="318"/>
      <c r="Q1394" s="225"/>
      <c r="R1394" s="225"/>
    </row>
    <row r="1395" spans="5:18">
      <c r="E1395" s="318"/>
      <c r="G1395" s="213"/>
      <c r="I1395" s="213"/>
      <c r="K1395" s="213"/>
      <c r="L1395" s="318"/>
      <c r="M1395" s="318"/>
      <c r="Q1395" s="225"/>
      <c r="R1395" s="225"/>
    </row>
    <row r="1396" spans="5:18">
      <c r="E1396" s="318"/>
      <c r="G1396" s="213"/>
      <c r="I1396" s="213"/>
      <c r="K1396" s="213"/>
      <c r="L1396" s="318"/>
      <c r="M1396" s="318"/>
      <c r="Q1396" s="225"/>
      <c r="R1396" s="225"/>
    </row>
    <row r="1397" spans="5:18">
      <c r="E1397" s="318"/>
      <c r="G1397" s="213"/>
      <c r="I1397" s="213"/>
      <c r="K1397" s="213"/>
      <c r="L1397" s="318"/>
      <c r="M1397" s="318"/>
      <c r="Q1397" s="225"/>
      <c r="R1397" s="225"/>
    </row>
    <row r="1398" spans="5:18">
      <c r="E1398" s="318"/>
      <c r="G1398" s="213"/>
      <c r="I1398" s="213"/>
      <c r="K1398" s="213"/>
      <c r="L1398" s="318"/>
      <c r="M1398" s="318"/>
      <c r="Q1398" s="225"/>
      <c r="R1398" s="225"/>
    </row>
    <row r="1399" spans="5:18">
      <c r="E1399" s="318"/>
      <c r="G1399" s="213"/>
      <c r="I1399" s="213"/>
      <c r="K1399" s="213"/>
      <c r="L1399" s="318"/>
      <c r="M1399" s="318"/>
      <c r="Q1399" s="225"/>
      <c r="R1399" s="225"/>
    </row>
    <row r="1400" spans="5:18">
      <c r="E1400" s="318"/>
      <c r="G1400" s="213"/>
      <c r="I1400" s="213"/>
      <c r="K1400" s="213"/>
      <c r="L1400" s="318"/>
      <c r="M1400" s="318"/>
      <c r="Q1400" s="225"/>
      <c r="R1400" s="225"/>
    </row>
    <row r="1401" spans="5:18">
      <c r="E1401" s="318"/>
      <c r="G1401" s="213"/>
      <c r="I1401" s="213"/>
      <c r="K1401" s="213"/>
      <c r="L1401" s="318"/>
      <c r="M1401" s="318"/>
      <c r="Q1401" s="225"/>
      <c r="R1401" s="225"/>
    </row>
    <row r="1402" spans="5:18">
      <c r="E1402" s="318"/>
      <c r="G1402" s="213"/>
      <c r="I1402" s="213"/>
      <c r="K1402" s="213"/>
      <c r="L1402" s="318"/>
      <c r="M1402" s="318"/>
      <c r="Q1402" s="225"/>
      <c r="R1402" s="225"/>
    </row>
    <row r="1403" spans="5:18">
      <c r="E1403" s="318"/>
      <c r="G1403" s="213"/>
      <c r="I1403" s="213"/>
      <c r="K1403" s="213"/>
      <c r="L1403" s="318"/>
      <c r="M1403" s="318"/>
      <c r="Q1403" s="225"/>
      <c r="R1403" s="225"/>
    </row>
    <row r="1404" spans="5:18">
      <c r="E1404" s="318"/>
      <c r="G1404" s="213"/>
      <c r="I1404" s="213"/>
      <c r="K1404" s="213"/>
      <c r="L1404" s="318"/>
      <c r="M1404" s="318"/>
      <c r="Q1404" s="225"/>
      <c r="R1404" s="225"/>
    </row>
    <row r="1405" spans="5:18">
      <c r="E1405" s="318"/>
      <c r="G1405" s="213"/>
      <c r="I1405" s="213"/>
      <c r="K1405" s="213"/>
      <c r="L1405" s="318"/>
      <c r="M1405" s="318"/>
      <c r="Q1405" s="225"/>
      <c r="R1405" s="225"/>
    </row>
    <row r="1406" spans="5:18">
      <c r="E1406" s="318"/>
      <c r="G1406" s="213"/>
      <c r="I1406" s="213"/>
      <c r="K1406" s="213"/>
      <c r="L1406" s="318"/>
      <c r="M1406" s="318"/>
      <c r="Q1406" s="225"/>
      <c r="R1406" s="225"/>
    </row>
    <row r="1407" spans="5:18">
      <c r="E1407" s="318"/>
      <c r="G1407" s="213"/>
      <c r="I1407" s="213"/>
      <c r="K1407" s="213"/>
      <c r="L1407" s="318"/>
      <c r="M1407" s="318"/>
      <c r="Q1407" s="225"/>
      <c r="R1407" s="225"/>
    </row>
    <row r="1408" spans="5:18">
      <c r="E1408" s="318"/>
      <c r="G1408" s="213"/>
      <c r="I1408" s="213"/>
      <c r="K1408" s="213"/>
      <c r="L1408" s="318"/>
      <c r="M1408" s="318"/>
      <c r="Q1408" s="225"/>
      <c r="R1408" s="225"/>
    </row>
    <row r="1409" spans="5:18">
      <c r="E1409" s="318"/>
      <c r="G1409" s="213"/>
      <c r="I1409" s="213"/>
      <c r="K1409" s="213"/>
      <c r="L1409" s="318"/>
      <c r="M1409" s="318"/>
      <c r="Q1409" s="225"/>
      <c r="R1409" s="225"/>
    </row>
    <row r="1410" spans="5:18">
      <c r="E1410" s="318"/>
      <c r="G1410" s="213"/>
      <c r="I1410" s="213"/>
      <c r="K1410" s="213"/>
      <c r="L1410" s="318"/>
      <c r="M1410" s="318"/>
      <c r="Q1410" s="225"/>
      <c r="R1410" s="225"/>
    </row>
    <row r="1411" spans="5:18">
      <c r="E1411" s="318"/>
      <c r="G1411" s="213"/>
      <c r="I1411" s="213"/>
      <c r="K1411" s="213"/>
      <c r="L1411" s="318"/>
      <c r="M1411" s="318"/>
      <c r="Q1411" s="225"/>
      <c r="R1411" s="225"/>
    </row>
    <row r="1412" spans="5:18">
      <c r="E1412" s="318"/>
      <c r="G1412" s="213"/>
      <c r="I1412" s="213"/>
      <c r="K1412" s="213"/>
      <c r="L1412" s="318"/>
      <c r="M1412" s="318"/>
      <c r="Q1412" s="225"/>
      <c r="R1412" s="225"/>
    </row>
    <row r="1413" spans="5:18">
      <c r="E1413" s="318"/>
      <c r="G1413" s="213"/>
      <c r="I1413" s="213"/>
      <c r="K1413" s="213"/>
      <c r="L1413" s="318"/>
      <c r="M1413" s="318"/>
      <c r="Q1413" s="225"/>
      <c r="R1413" s="225"/>
    </row>
    <row r="1414" spans="5:18">
      <c r="E1414" s="318"/>
      <c r="G1414" s="213"/>
      <c r="I1414" s="213"/>
      <c r="K1414" s="213"/>
      <c r="L1414" s="318"/>
      <c r="M1414" s="318"/>
      <c r="Q1414" s="225"/>
      <c r="R1414" s="225"/>
    </row>
    <row r="1415" spans="5:18">
      <c r="E1415" s="318"/>
      <c r="G1415" s="213"/>
      <c r="I1415" s="213"/>
      <c r="K1415" s="213"/>
      <c r="L1415" s="318"/>
      <c r="M1415" s="318"/>
      <c r="Q1415" s="225"/>
      <c r="R1415" s="225"/>
    </row>
    <row r="1416" spans="5:18">
      <c r="E1416" s="318"/>
      <c r="G1416" s="213"/>
      <c r="I1416" s="213"/>
      <c r="K1416" s="213"/>
      <c r="L1416" s="318"/>
      <c r="M1416" s="318"/>
      <c r="Q1416" s="225"/>
      <c r="R1416" s="225"/>
    </row>
    <row r="1417" spans="5:18">
      <c r="E1417" s="318"/>
      <c r="G1417" s="213"/>
      <c r="I1417" s="213"/>
      <c r="K1417" s="213"/>
      <c r="L1417" s="318"/>
      <c r="M1417" s="318"/>
      <c r="Q1417" s="225"/>
      <c r="R1417" s="225"/>
    </row>
    <row r="1418" spans="5:18">
      <c r="E1418" s="318"/>
      <c r="G1418" s="213"/>
      <c r="I1418" s="213"/>
      <c r="K1418" s="213"/>
      <c r="L1418" s="318"/>
      <c r="M1418" s="318"/>
      <c r="Q1418" s="225"/>
      <c r="R1418" s="225"/>
    </row>
    <row r="1419" spans="5:18">
      <c r="E1419" s="318"/>
      <c r="G1419" s="213"/>
      <c r="I1419" s="213"/>
      <c r="K1419" s="213"/>
      <c r="L1419" s="318"/>
      <c r="M1419" s="318"/>
      <c r="Q1419" s="225"/>
      <c r="R1419" s="225"/>
    </row>
    <row r="1420" spans="5:18">
      <c r="E1420" s="318"/>
      <c r="G1420" s="213"/>
      <c r="I1420" s="213"/>
      <c r="K1420" s="213"/>
      <c r="L1420" s="318"/>
      <c r="M1420" s="318"/>
      <c r="Q1420" s="225"/>
      <c r="R1420" s="225"/>
    </row>
    <row r="1421" spans="5:18">
      <c r="E1421" s="318"/>
      <c r="G1421" s="213"/>
      <c r="I1421" s="213"/>
      <c r="K1421" s="213"/>
      <c r="L1421" s="318"/>
      <c r="M1421" s="318"/>
      <c r="Q1421" s="225"/>
      <c r="R1421" s="225"/>
    </row>
    <row r="1422" spans="5:18">
      <c r="E1422" s="318"/>
      <c r="G1422" s="213"/>
      <c r="I1422" s="213"/>
      <c r="K1422" s="213"/>
      <c r="L1422" s="318"/>
      <c r="M1422" s="318"/>
      <c r="Q1422" s="225"/>
      <c r="R1422" s="225"/>
    </row>
    <row r="1423" spans="5:18">
      <c r="E1423" s="318"/>
      <c r="G1423" s="213"/>
      <c r="I1423" s="213"/>
      <c r="K1423" s="213"/>
      <c r="L1423" s="318"/>
      <c r="M1423" s="318"/>
      <c r="Q1423" s="225"/>
      <c r="R1423" s="225"/>
    </row>
    <row r="1424" spans="5:18">
      <c r="E1424" s="318"/>
      <c r="G1424" s="213"/>
      <c r="I1424" s="213"/>
      <c r="K1424" s="213"/>
      <c r="L1424" s="318"/>
      <c r="M1424" s="318"/>
      <c r="Q1424" s="225"/>
      <c r="R1424" s="225"/>
    </row>
    <row r="1425" spans="5:18">
      <c r="E1425" s="318"/>
      <c r="G1425" s="213"/>
      <c r="I1425" s="213"/>
      <c r="K1425" s="213"/>
      <c r="L1425" s="318"/>
      <c r="M1425" s="318"/>
      <c r="Q1425" s="225"/>
      <c r="R1425" s="225"/>
    </row>
    <row r="1426" spans="5:18">
      <c r="E1426" s="318"/>
      <c r="G1426" s="213"/>
      <c r="I1426" s="213"/>
      <c r="K1426" s="213"/>
      <c r="L1426" s="318"/>
      <c r="M1426" s="318"/>
      <c r="Q1426" s="225"/>
      <c r="R1426" s="225"/>
    </row>
    <row r="1427" spans="5:18">
      <c r="E1427" s="318"/>
      <c r="G1427" s="213"/>
      <c r="I1427" s="213"/>
      <c r="K1427" s="213"/>
      <c r="L1427" s="318"/>
      <c r="M1427" s="318"/>
      <c r="Q1427" s="225"/>
      <c r="R1427" s="225"/>
    </row>
    <row r="1428" spans="5:18">
      <c r="E1428" s="318"/>
      <c r="G1428" s="213"/>
      <c r="I1428" s="213"/>
      <c r="K1428" s="213"/>
      <c r="L1428" s="318"/>
      <c r="M1428" s="318"/>
      <c r="Q1428" s="225"/>
      <c r="R1428" s="225"/>
    </row>
    <row r="1429" spans="5:18">
      <c r="E1429" s="318"/>
      <c r="G1429" s="213"/>
      <c r="I1429" s="213"/>
      <c r="K1429" s="213"/>
      <c r="L1429" s="318"/>
      <c r="M1429" s="318"/>
      <c r="Q1429" s="225"/>
      <c r="R1429" s="225"/>
    </row>
    <row r="1430" spans="5:18">
      <c r="E1430" s="318"/>
      <c r="G1430" s="213"/>
      <c r="I1430" s="213"/>
      <c r="K1430" s="213"/>
      <c r="L1430" s="318"/>
      <c r="M1430" s="318"/>
      <c r="Q1430" s="225"/>
      <c r="R1430" s="225"/>
    </row>
    <row r="1431" spans="5:18">
      <c r="E1431" s="318"/>
      <c r="G1431" s="213"/>
      <c r="I1431" s="213"/>
      <c r="K1431" s="213"/>
      <c r="L1431" s="318"/>
      <c r="M1431" s="318"/>
      <c r="Q1431" s="225"/>
      <c r="R1431" s="225"/>
    </row>
    <row r="1432" spans="5:18">
      <c r="E1432" s="318"/>
      <c r="G1432" s="213"/>
      <c r="I1432" s="213"/>
      <c r="K1432" s="213"/>
      <c r="L1432" s="318"/>
      <c r="M1432" s="318"/>
      <c r="Q1432" s="225"/>
      <c r="R1432" s="225"/>
    </row>
    <row r="1433" spans="5:18">
      <c r="E1433" s="318"/>
      <c r="G1433" s="213"/>
      <c r="I1433" s="213"/>
      <c r="K1433" s="213"/>
      <c r="L1433" s="318"/>
      <c r="M1433" s="318"/>
      <c r="Q1433" s="225"/>
      <c r="R1433" s="225"/>
    </row>
    <row r="1434" spans="5:18">
      <c r="E1434" s="318"/>
      <c r="G1434" s="213"/>
      <c r="I1434" s="213"/>
      <c r="K1434" s="213"/>
      <c r="L1434" s="318"/>
      <c r="M1434" s="318"/>
      <c r="Q1434" s="225"/>
      <c r="R1434" s="225"/>
    </row>
    <row r="1435" spans="5:18">
      <c r="E1435" s="318"/>
      <c r="G1435" s="213"/>
      <c r="I1435" s="213"/>
      <c r="K1435" s="213"/>
      <c r="L1435" s="318"/>
      <c r="M1435" s="318"/>
      <c r="Q1435" s="225"/>
      <c r="R1435" s="225"/>
    </row>
    <row r="1436" spans="5:18">
      <c r="E1436" s="318"/>
      <c r="G1436" s="213"/>
      <c r="I1436" s="213"/>
      <c r="K1436" s="213"/>
      <c r="L1436" s="318"/>
      <c r="M1436" s="318"/>
      <c r="Q1436" s="225"/>
      <c r="R1436" s="225"/>
    </row>
    <row r="1437" spans="5:18">
      <c r="E1437" s="318"/>
      <c r="G1437" s="213"/>
      <c r="I1437" s="213"/>
      <c r="K1437" s="213"/>
      <c r="L1437" s="318"/>
      <c r="M1437" s="318"/>
      <c r="Q1437" s="225"/>
      <c r="R1437" s="225"/>
    </row>
    <row r="1438" spans="5:18">
      <c r="E1438" s="318"/>
      <c r="G1438" s="213"/>
      <c r="I1438" s="213"/>
      <c r="K1438" s="213"/>
      <c r="L1438" s="318"/>
      <c r="M1438" s="318"/>
      <c r="Q1438" s="225"/>
      <c r="R1438" s="225"/>
    </row>
    <row r="1439" spans="5:18">
      <c r="E1439" s="318"/>
      <c r="G1439" s="213"/>
      <c r="I1439" s="213"/>
      <c r="K1439" s="213"/>
      <c r="L1439" s="318"/>
      <c r="M1439" s="318"/>
      <c r="Q1439" s="225"/>
      <c r="R1439" s="225"/>
    </row>
    <row r="1440" spans="5:18">
      <c r="E1440" s="318"/>
      <c r="G1440" s="213"/>
      <c r="I1440" s="213"/>
      <c r="K1440" s="213"/>
      <c r="L1440" s="318"/>
      <c r="M1440" s="318"/>
      <c r="Q1440" s="225"/>
      <c r="R1440" s="225"/>
    </row>
    <row r="1441" spans="5:18">
      <c r="E1441" s="318"/>
      <c r="G1441" s="213"/>
      <c r="I1441" s="213"/>
      <c r="K1441" s="213"/>
      <c r="L1441" s="318"/>
      <c r="M1441" s="318"/>
      <c r="Q1441" s="225"/>
      <c r="R1441" s="225"/>
    </row>
    <row r="1442" spans="5:18">
      <c r="E1442" s="318"/>
      <c r="G1442" s="213"/>
      <c r="I1442" s="213"/>
      <c r="K1442" s="213"/>
      <c r="L1442" s="318"/>
      <c r="M1442" s="318"/>
      <c r="Q1442" s="225"/>
      <c r="R1442" s="225"/>
    </row>
    <row r="1443" spans="5:18">
      <c r="E1443" s="318"/>
      <c r="G1443" s="213"/>
      <c r="I1443" s="213"/>
      <c r="K1443" s="213"/>
      <c r="L1443" s="318"/>
      <c r="M1443" s="318"/>
      <c r="Q1443" s="225"/>
      <c r="R1443" s="225"/>
    </row>
    <row r="1444" spans="5:18">
      <c r="E1444" s="318"/>
      <c r="G1444" s="213"/>
      <c r="I1444" s="213"/>
      <c r="K1444" s="213"/>
      <c r="L1444" s="318"/>
      <c r="M1444" s="318"/>
      <c r="Q1444" s="225"/>
      <c r="R1444" s="225"/>
    </row>
    <row r="1445" spans="5:18">
      <c r="E1445" s="318"/>
      <c r="G1445" s="213"/>
      <c r="I1445" s="213"/>
      <c r="K1445" s="213"/>
      <c r="L1445" s="318"/>
      <c r="M1445" s="318"/>
      <c r="Q1445" s="225"/>
      <c r="R1445" s="225"/>
    </row>
    <row r="1446" spans="5:18">
      <c r="E1446" s="318"/>
      <c r="G1446" s="213"/>
      <c r="I1446" s="213"/>
      <c r="K1446" s="213"/>
      <c r="L1446" s="318"/>
      <c r="M1446" s="318"/>
      <c r="Q1446" s="225"/>
      <c r="R1446" s="225"/>
    </row>
    <row r="1447" spans="5:18">
      <c r="E1447" s="318"/>
      <c r="G1447" s="213"/>
      <c r="I1447" s="213"/>
      <c r="K1447" s="213"/>
      <c r="L1447" s="318"/>
      <c r="M1447" s="318"/>
      <c r="Q1447" s="225"/>
      <c r="R1447" s="225"/>
    </row>
    <row r="1448" spans="5:18">
      <c r="E1448" s="318"/>
      <c r="G1448" s="213"/>
      <c r="I1448" s="213"/>
      <c r="K1448" s="213"/>
      <c r="L1448" s="318"/>
      <c r="M1448" s="318"/>
      <c r="Q1448" s="225"/>
      <c r="R1448" s="225"/>
    </row>
    <row r="1449" spans="5:18">
      <c r="E1449" s="318"/>
      <c r="G1449" s="213"/>
      <c r="I1449" s="213"/>
      <c r="K1449" s="213"/>
      <c r="L1449" s="318"/>
      <c r="M1449" s="318"/>
      <c r="Q1449" s="225"/>
      <c r="R1449" s="225"/>
    </row>
    <row r="1450" spans="5:18">
      <c r="E1450" s="318"/>
      <c r="G1450" s="213"/>
      <c r="I1450" s="213"/>
      <c r="K1450" s="213"/>
      <c r="L1450" s="318"/>
      <c r="M1450" s="318"/>
      <c r="Q1450" s="225"/>
      <c r="R1450" s="225"/>
    </row>
    <row r="1451" spans="5:18">
      <c r="E1451" s="318"/>
      <c r="G1451" s="213"/>
      <c r="I1451" s="213"/>
      <c r="K1451" s="213"/>
      <c r="L1451" s="318"/>
      <c r="M1451" s="318"/>
      <c r="Q1451" s="225"/>
      <c r="R1451" s="225"/>
    </row>
    <row r="1452" spans="5:18">
      <c r="E1452" s="318"/>
      <c r="G1452" s="213"/>
      <c r="I1452" s="213"/>
      <c r="K1452" s="213"/>
      <c r="L1452" s="318"/>
      <c r="M1452" s="318"/>
      <c r="Q1452" s="225"/>
      <c r="R1452" s="225"/>
    </row>
    <row r="1453" spans="5:18">
      <c r="E1453" s="318"/>
      <c r="G1453" s="213"/>
      <c r="I1453" s="213"/>
      <c r="K1453" s="213"/>
      <c r="L1453" s="318"/>
      <c r="M1453" s="318"/>
      <c r="Q1453" s="225"/>
      <c r="R1453" s="225"/>
    </row>
    <row r="1454" spans="5:18">
      <c r="E1454" s="318"/>
      <c r="G1454" s="213"/>
      <c r="I1454" s="213"/>
      <c r="K1454" s="213"/>
      <c r="L1454" s="318"/>
      <c r="M1454" s="318"/>
      <c r="Q1454" s="225"/>
      <c r="R1454" s="225"/>
    </row>
    <row r="1455" spans="5:18">
      <c r="E1455" s="318"/>
      <c r="G1455" s="213"/>
      <c r="I1455" s="213"/>
      <c r="K1455" s="213"/>
      <c r="L1455" s="318"/>
      <c r="M1455" s="318"/>
      <c r="Q1455" s="225"/>
      <c r="R1455" s="225"/>
    </row>
    <row r="1456" spans="5:18">
      <c r="E1456" s="318"/>
      <c r="G1456" s="213"/>
      <c r="I1456" s="213"/>
      <c r="K1456" s="213"/>
      <c r="L1456" s="318"/>
      <c r="M1456" s="318"/>
      <c r="Q1456" s="225"/>
      <c r="R1456" s="225"/>
    </row>
    <row r="1457" spans="5:18">
      <c r="E1457" s="318"/>
      <c r="G1457" s="213"/>
      <c r="I1457" s="213"/>
      <c r="K1457" s="213"/>
      <c r="L1457" s="318"/>
      <c r="M1457" s="318"/>
      <c r="Q1457" s="225"/>
      <c r="R1457" s="225"/>
    </row>
    <row r="1458" spans="5:18">
      <c r="E1458" s="318"/>
      <c r="G1458" s="213"/>
      <c r="I1458" s="213"/>
      <c r="K1458" s="213"/>
      <c r="L1458" s="318"/>
      <c r="M1458" s="318"/>
      <c r="Q1458" s="225"/>
      <c r="R1458" s="225"/>
    </row>
    <row r="1459" spans="5:18">
      <c r="E1459" s="318"/>
      <c r="G1459" s="213"/>
      <c r="I1459" s="213"/>
      <c r="K1459" s="213"/>
      <c r="L1459" s="318"/>
      <c r="M1459" s="318"/>
      <c r="Q1459" s="225"/>
      <c r="R1459" s="225"/>
    </row>
    <row r="1460" spans="5:18">
      <c r="E1460" s="318"/>
      <c r="G1460" s="213"/>
      <c r="I1460" s="213"/>
      <c r="K1460" s="213"/>
      <c r="L1460" s="318"/>
      <c r="M1460" s="318"/>
      <c r="Q1460" s="225"/>
      <c r="R1460" s="225"/>
    </row>
    <row r="1461" spans="5:18">
      <c r="E1461" s="318"/>
      <c r="G1461" s="213"/>
      <c r="I1461" s="213"/>
      <c r="K1461" s="213"/>
      <c r="L1461" s="318"/>
      <c r="M1461" s="318"/>
      <c r="Q1461" s="225"/>
      <c r="R1461" s="225"/>
    </row>
    <row r="1462" spans="5:18">
      <c r="E1462" s="318"/>
      <c r="G1462" s="213"/>
      <c r="I1462" s="213"/>
      <c r="K1462" s="213"/>
      <c r="L1462" s="318"/>
      <c r="M1462" s="318"/>
      <c r="Q1462" s="225"/>
      <c r="R1462" s="225"/>
    </row>
    <row r="1463" spans="5:18">
      <c r="E1463" s="318"/>
      <c r="G1463" s="213"/>
      <c r="I1463" s="213"/>
      <c r="K1463" s="213"/>
      <c r="L1463" s="318"/>
      <c r="M1463" s="318"/>
      <c r="Q1463" s="225"/>
      <c r="R1463" s="225"/>
    </row>
    <row r="1464" spans="5:18">
      <c r="E1464" s="318"/>
      <c r="G1464" s="213"/>
      <c r="I1464" s="213"/>
      <c r="K1464" s="213"/>
      <c r="L1464" s="318"/>
      <c r="M1464" s="318"/>
      <c r="Q1464" s="225"/>
      <c r="R1464" s="225"/>
    </row>
    <row r="1465" spans="5:18">
      <c r="E1465" s="318"/>
      <c r="G1465" s="213"/>
      <c r="I1465" s="213"/>
      <c r="K1465" s="213"/>
      <c r="L1465" s="318"/>
      <c r="M1465" s="318"/>
      <c r="Q1465" s="225"/>
      <c r="R1465" s="225"/>
    </row>
    <row r="1466" spans="5:18">
      <c r="E1466" s="318"/>
      <c r="G1466" s="213"/>
      <c r="I1466" s="213"/>
      <c r="K1466" s="213"/>
      <c r="L1466" s="318"/>
      <c r="M1466" s="318"/>
      <c r="Q1466" s="225"/>
      <c r="R1466" s="225"/>
    </row>
    <row r="1467" spans="5:18">
      <c r="E1467" s="318"/>
      <c r="G1467" s="213"/>
      <c r="I1467" s="213"/>
      <c r="K1467" s="213"/>
      <c r="L1467" s="318"/>
      <c r="M1467" s="318"/>
      <c r="Q1467" s="225"/>
      <c r="R1467" s="225"/>
    </row>
    <row r="1468" spans="5:18">
      <c r="E1468" s="318"/>
      <c r="G1468" s="213"/>
      <c r="I1468" s="213"/>
      <c r="K1468" s="213"/>
      <c r="L1468" s="318"/>
      <c r="M1468" s="318"/>
      <c r="Q1468" s="225"/>
      <c r="R1468" s="225"/>
    </row>
    <row r="1469" spans="5:18">
      <c r="E1469" s="318"/>
      <c r="G1469" s="213"/>
      <c r="I1469" s="213"/>
      <c r="K1469" s="213"/>
      <c r="L1469" s="318"/>
      <c r="M1469" s="318"/>
      <c r="Q1469" s="225"/>
      <c r="R1469" s="225"/>
    </row>
    <row r="1470" spans="5:18">
      <c r="E1470" s="318"/>
      <c r="G1470" s="213"/>
      <c r="I1470" s="213"/>
      <c r="K1470" s="213"/>
      <c r="L1470" s="318"/>
      <c r="M1470" s="318"/>
      <c r="Q1470" s="225"/>
      <c r="R1470" s="225"/>
    </row>
    <row r="1471" spans="5:18">
      <c r="E1471" s="318"/>
      <c r="G1471" s="213"/>
      <c r="I1471" s="213"/>
      <c r="K1471" s="213"/>
      <c r="L1471" s="318"/>
      <c r="M1471" s="318"/>
      <c r="Q1471" s="225"/>
      <c r="R1471" s="225"/>
    </row>
    <row r="1472" spans="5:18">
      <c r="E1472" s="318"/>
      <c r="G1472" s="213"/>
      <c r="I1472" s="213"/>
      <c r="K1472" s="213"/>
      <c r="L1472" s="318"/>
      <c r="M1472" s="318"/>
      <c r="Q1472" s="225"/>
      <c r="R1472" s="225"/>
    </row>
    <row r="1473" spans="5:18">
      <c r="E1473" s="318"/>
      <c r="G1473" s="213"/>
      <c r="I1473" s="213"/>
      <c r="K1473" s="213"/>
      <c r="L1473" s="318"/>
      <c r="M1473" s="318"/>
      <c r="Q1473" s="225"/>
      <c r="R1473" s="225"/>
    </row>
    <row r="1474" spans="5:18">
      <c r="E1474" s="318"/>
      <c r="G1474" s="213"/>
      <c r="I1474" s="213"/>
      <c r="K1474" s="213"/>
      <c r="L1474" s="318"/>
      <c r="M1474" s="318"/>
      <c r="Q1474" s="225"/>
      <c r="R1474" s="225"/>
    </row>
    <row r="1475" spans="5:18">
      <c r="E1475" s="318"/>
      <c r="G1475" s="213"/>
      <c r="I1475" s="213"/>
      <c r="K1475" s="213"/>
      <c r="L1475" s="318"/>
      <c r="M1475" s="318"/>
      <c r="Q1475" s="225"/>
      <c r="R1475" s="225"/>
    </row>
    <row r="1476" spans="5:18">
      <c r="E1476" s="318"/>
      <c r="G1476" s="213"/>
      <c r="I1476" s="213"/>
      <c r="K1476" s="213"/>
      <c r="L1476" s="318"/>
      <c r="M1476" s="318"/>
      <c r="Q1476" s="225"/>
      <c r="R1476" s="225"/>
    </row>
    <row r="1477" spans="5:18">
      <c r="E1477" s="318"/>
      <c r="G1477" s="213"/>
      <c r="I1477" s="213"/>
      <c r="K1477" s="213"/>
      <c r="L1477" s="318"/>
      <c r="M1477" s="318"/>
      <c r="Q1477" s="225"/>
      <c r="R1477" s="225"/>
    </row>
    <row r="1478" spans="5:18">
      <c r="E1478" s="318"/>
      <c r="G1478" s="213"/>
      <c r="I1478" s="213"/>
      <c r="K1478" s="213"/>
      <c r="L1478" s="318"/>
      <c r="M1478" s="318"/>
      <c r="Q1478" s="225"/>
      <c r="R1478" s="225"/>
    </row>
    <row r="1479" spans="5:18">
      <c r="E1479" s="318"/>
      <c r="G1479" s="213"/>
      <c r="I1479" s="213"/>
      <c r="K1479" s="213"/>
      <c r="L1479" s="318"/>
      <c r="M1479" s="318"/>
      <c r="Q1479" s="225"/>
      <c r="R1479" s="225"/>
    </row>
    <row r="1480" spans="5:18">
      <c r="E1480" s="318"/>
      <c r="G1480" s="213"/>
      <c r="I1480" s="213"/>
      <c r="K1480" s="213"/>
      <c r="L1480" s="318"/>
      <c r="M1480" s="318"/>
      <c r="Q1480" s="225"/>
      <c r="R1480" s="225"/>
    </row>
    <row r="1481" spans="5:18">
      <c r="E1481" s="318"/>
      <c r="G1481" s="213"/>
      <c r="I1481" s="213"/>
      <c r="K1481" s="213"/>
      <c r="L1481" s="318"/>
      <c r="M1481" s="318"/>
      <c r="Q1481" s="225"/>
      <c r="R1481" s="225"/>
    </row>
    <row r="1482" spans="5:18">
      <c r="E1482" s="318"/>
      <c r="G1482" s="213"/>
      <c r="I1482" s="213"/>
      <c r="K1482" s="213"/>
      <c r="L1482" s="318"/>
      <c r="M1482" s="318"/>
      <c r="Q1482" s="225"/>
      <c r="R1482" s="225"/>
    </row>
    <row r="1483" spans="5:18">
      <c r="E1483" s="318"/>
      <c r="G1483" s="213"/>
      <c r="I1483" s="213"/>
      <c r="K1483" s="213"/>
      <c r="L1483" s="318"/>
      <c r="M1483" s="318"/>
      <c r="Q1483" s="225"/>
      <c r="R1483" s="225"/>
    </row>
    <row r="1484" spans="5:18">
      <c r="E1484" s="318"/>
      <c r="G1484" s="213"/>
      <c r="I1484" s="213"/>
      <c r="K1484" s="213"/>
      <c r="L1484" s="318"/>
      <c r="M1484" s="318"/>
      <c r="Q1484" s="225"/>
      <c r="R1484" s="225"/>
    </row>
    <row r="1485" spans="5:18">
      <c r="E1485" s="318"/>
      <c r="G1485" s="213"/>
      <c r="I1485" s="213"/>
      <c r="K1485" s="213"/>
      <c r="L1485" s="318"/>
      <c r="M1485" s="318"/>
      <c r="Q1485" s="225"/>
      <c r="R1485" s="225"/>
    </row>
    <row r="1486" spans="5:18">
      <c r="E1486" s="318"/>
      <c r="G1486" s="213"/>
      <c r="I1486" s="213"/>
      <c r="K1486" s="213"/>
      <c r="L1486" s="318"/>
      <c r="M1486" s="318"/>
      <c r="Q1486" s="225"/>
      <c r="R1486" s="225"/>
    </row>
    <row r="1487" spans="5:18">
      <c r="E1487" s="318"/>
      <c r="G1487" s="213"/>
      <c r="I1487" s="213"/>
      <c r="K1487" s="213"/>
      <c r="L1487" s="318"/>
      <c r="M1487" s="318"/>
      <c r="Q1487" s="225"/>
      <c r="R1487" s="225"/>
    </row>
    <row r="1488" spans="5:18">
      <c r="E1488" s="318"/>
      <c r="G1488" s="213"/>
      <c r="I1488" s="213"/>
      <c r="K1488" s="213"/>
      <c r="L1488" s="318"/>
      <c r="M1488" s="318"/>
      <c r="Q1488" s="225"/>
      <c r="R1488" s="225"/>
    </row>
    <row r="1489" spans="5:18">
      <c r="E1489" s="318"/>
      <c r="G1489" s="213"/>
      <c r="I1489" s="213"/>
      <c r="K1489" s="213"/>
      <c r="L1489" s="318"/>
      <c r="M1489" s="318"/>
      <c r="Q1489" s="225"/>
      <c r="R1489" s="225"/>
    </row>
    <row r="1490" spans="5:18">
      <c r="E1490" s="318"/>
      <c r="G1490" s="213"/>
      <c r="I1490" s="213"/>
      <c r="K1490" s="213"/>
      <c r="L1490" s="318"/>
      <c r="M1490" s="318"/>
      <c r="Q1490" s="225"/>
      <c r="R1490" s="225"/>
    </row>
    <row r="1491" spans="5:18">
      <c r="E1491" s="318"/>
      <c r="G1491" s="213"/>
      <c r="I1491" s="213"/>
      <c r="K1491" s="213"/>
      <c r="L1491" s="318"/>
      <c r="M1491" s="318"/>
      <c r="Q1491" s="225"/>
      <c r="R1491" s="225"/>
    </row>
    <row r="1492" spans="5:18">
      <c r="E1492" s="318"/>
      <c r="G1492" s="213"/>
      <c r="I1492" s="213"/>
      <c r="K1492" s="213"/>
      <c r="L1492" s="318"/>
      <c r="M1492" s="318"/>
      <c r="Q1492" s="225"/>
      <c r="R1492" s="225"/>
    </row>
    <row r="1493" spans="5:18">
      <c r="E1493" s="318"/>
      <c r="G1493" s="213"/>
      <c r="I1493" s="213"/>
      <c r="K1493" s="213"/>
      <c r="L1493" s="318"/>
      <c r="M1493" s="318"/>
      <c r="Q1493" s="225"/>
      <c r="R1493" s="225"/>
    </row>
    <row r="1494" spans="5:18">
      <c r="E1494" s="318"/>
      <c r="G1494" s="213"/>
      <c r="I1494" s="213"/>
      <c r="K1494" s="213"/>
      <c r="L1494" s="318"/>
      <c r="M1494" s="318"/>
      <c r="Q1494" s="225"/>
      <c r="R1494" s="225"/>
    </row>
    <row r="1495" spans="5:18">
      <c r="E1495" s="318"/>
      <c r="G1495" s="213"/>
      <c r="I1495" s="213"/>
      <c r="K1495" s="213"/>
      <c r="L1495" s="318"/>
      <c r="M1495" s="318"/>
      <c r="Q1495" s="225"/>
      <c r="R1495" s="225"/>
    </row>
    <row r="1496" spans="5:18">
      <c r="E1496" s="318"/>
      <c r="G1496" s="213"/>
      <c r="I1496" s="213"/>
      <c r="K1496" s="213"/>
      <c r="L1496" s="318"/>
      <c r="M1496" s="318"/>
      <c r="Q1496" s="225"/>
      <c r="R1496" s="225"/>
    </row>
    <row r="1497" spans="5:18">
      <c r="E1497" s="318"/>
      <c r="G1497" s="213"/>
      <c r="I1497" s="213"/>
      <c r="K1497" s="213"/>
      <c r="L1497" s="318"/>
      <c r="M1497" s="318"/>
      <c r="Q1497" s="225"/>
      <c r="R1497" s="225"/>
    </row>
    <row r="1498" spans="5:18">
      <c r="E1498" s="318"/>
      <c r="G1498" s="213"/>
      <c r="I1498" s="213"/>
      <c r="K1498" s="213"/>
      <c r="L1498" s="318"/>
      <c r="M1498" s="318"/>
      <c r="Q1498" s="225"/>
      <c r="R1498" s="225"/>
    </row>
    <row r="1499" spans="5:18">
      <c r="E1499" s="318"/>
      <c r="G1499" s="213"/>
      <c r="I1499" s="213"/>
      <c r="K1499" s="213"/>
      <c r="L1499" s="318"/>
      <c r="M1499" s="318"/>
      <c r="Q1499" s="225"/>
      <c r="R1499" s="225"/>
    </row>
    <row r="1500" spans="5:18">
      <c r="E1500" s="318"/>
      <c r="G1500" s="213"/>
      <c r="I1500" s="213"/>
      <c r="K1500" s="213"/>
      <c r="L1500" s="318"/>
      <c r="M1500" s="318"/>
      <c r="Q1500" s="225"/>
      <c r="R1500" s="225"/>
    </row>
    <row r="1501" spans="5:18">
      <c r="E1501" s="318"/>
      <c r="G1501" s="213"/>
      <c r="I1501" s="213"/>
      <c r="K1501" s="213"/>
      <c r="L1501" s="318"/>
      <c r="M1501" s="318"/>
      <c r="Q1501" s="225"/>
      <c r="R1501" s="225"/>
    </row>
    <row r="1502" spans="5:18">
      <c r="E1502" s="318"/>
      <c r="G1502" s="213"/>
      <c r="I1502" s="213"/>
      <c r="K1502" s="213"/>
      <c r="L1502" s="318"/>
      <c r="M1502" s="318"/>
      <c r="Q1502" s="225"/>
      <c r="R1502" s="225"/>
    </row>
    <row r="1503" spans="5:18">
      <c r="E1503" s="318"/>
      <c r="G1503" s="213"/>
      <c r="I1503" s="213"/>
      <c r="K1503" s="213"/>
      <c r="L1503" s="318"/>
      <c r="M1503" s="318"/>
      <c r="Q1503" s="225"/>
      <c r="R1503" s="225"/>
    </row>
    <row r="1504" spans="5:18">
      <c r="E1504" s="318"/>
      <c r="G1504" s="213"/>
      <c r="I1504" s="213"/>
      <c r="K1504" s="213"/>
      <c r="L1504" s="318"/>
      <c r="M1504" s="318"/>
      <c r="Q1504" s="225"/>
      <c r="R1504" s="225"/>
    </row>
    <row r="1505" spans="5:18">
      <c r="E1505" s="318"/>
      <c r="G1505" s="213"/>
      <c r="I1505" s="213"/>
      <c r="K1505" s="213"/>
      <c r="L1505" s="318"/>
      <c r="M1505" s="318"/>
      <c r="Q1505" s="225"/>
      <c r="R1505" s="225"/>
    </row>
    <row r="1506" spans="5:18">
      <c r="E1506" s="318"/>
      <c r="G1506" s="213"/>
      <c r="I1506" s="213"/>
      <c r="K1506" s="213"/>
      <c r="L1506" s="318"/>
      <c r="M1506" s="318"/>
      <c r="Q1506" s="225"/>
      <c r="R1506" s="225"/>
    </row>
    <row r="1507" spans="5:18">
      <c r="E1507" s="318"/>
      <c r="G1507" s="213"/>
      <c r="I1507" s="213"/>
      <c r="K1507" s="213"/>
      <c r="L1507" s="318"/>
      <c r="M1507" s="318"/>
      <c r="Q1507" s="225"/>
      <c r="R1507" s="225"/>
    </row>
    <row r="1508" spans="5:18">
      <c r="E1508" s="318"/>
      <c r="G1508" s="213"/>
      <c r="I1508" s="213"/>
      <c r="K1508" s="213"/>
      <c r="L1508" s="318"/>
      <c r="M1508" s="318"/>
      <c r="Q1508" s="225"/>
      <c r="R1508" s="225"/>
    </row>
    <row r="1509" spans="5:18">
      <c r="E1509" s="318"/>
      <c r="G1509" s="213"/>
      <c r="I1509" s="213"/>
      <c r="K1509" s="213"/>
      <c r="L1509" s="318"/>
      <c r="M1509" s="318"/>
      <c r="Q1509" s="225"/>
      <c r="R1509" s="225"/>
    </row>
    <row r="1510" spans="5:18">
      <c r="E1510" s="318"/>
      <c r="G1510" s="213"/>
      <c r="I1510" s="213"/>
      <c r="K1510" s="213"/>
      <c r="L1510" s="318"/>
      <c r="M1510" s="318"/>
      <c r="Q1510" s="225"/>
      <c r="R1510" s="225"/>
    </row>
    <row r="1511" spans="5:18">
      <c r="E1511" s="318"/>
      <c r="G1511" s="213"/>
      <c r="I1511" s="213"/>
      <c r="K1511" s="213"/>
      <c r="L1511" s="318"/>
      <c r="M1511" s="318"/>
      <c r="Q1511" s="225"/>
      <c r="R1511" s="225"/>
    </row>
    <row r="1512" spans="5:18">
      <c r="E1512" s="318"/>
      <c r="G1512" s="213"/>
      <c r="I1512" s="213"/>
      <c r="K1512" s="213"/>
      <c r="L1512" s="318"/>
      <c r="M1512" s="318"/>
      <c r="Q1512" s="225"/>
      <c r="R1512" s="225"/>
    </row>
    <row r="1513" spans="5:18">
      <c r="E1513" s="318"/>
      <c r="G1513" s="213"/>
      <c r="I1513" s="213"/>
      <c r="K1513" s="213"/>
      <c r="L1513" s="318"/>
      <c r="M1513" s="318"/>
      <c r="Q1513" s="225"/>
      <c r="R1513" s="225"/>
    </row>
    <row r="1514" spans="5:18">
      <c r="E1514" s="318"/>
      <c r="G1514" s="213"/>
      <c r="I1514" s="213"/>
      <c r="K1514" s="213"/>
      <c r="L1514" s="318"/>
      <c r="M1514" s="318"/>
      <c r="Q1514" s="225"/>
      <c r="R1514" s="225"/>
    </row>
    <row r="1515" spans="5:18">
      <c r="E1515" s="318"/>
      <c r="G1515" s="213"/>
      <c r="I1515" s="213"/>
      <c r="K1515" s="213"/>
      <c r="L1515" s="318"/>
      <c r="M1515" s="318"/>
      <c r="Q1515" s="225"/>
      <c r="R1515" s="225"/>
    </row>
    <row r="1516" spans="5:18">
      <c r="E1516" s="318"/>
      <c r="G1516" s="213"/>
      <c r="I1516" s="213"/>
      <c r="K1516" s="213"/>
      <c r="L1516" s="318"/>
      <c r="M1516" s="318"/>
      <c r="Q1516" s="225"/>
      <c r="R1516" s="225"/>
    </row>
    <row r="1517" spans="5:18">
      <c r="E1517" s="318"/>
      <c r="G1517" s="213"/>
      <c r="I1517" s="213"/>
      <c r="K1517" s="213"/>
      <c r="L1517" s="318"/>
      <c r="M1517" s="318"/>
      <c r="Q1517" s="225"/>
      <c r="R1517" s="225"/>
    </row>
    <row r="1518" spans="5:18">
      <c r="E1518" s="318"/>
      <c r="G1518" s="213"/>
      <c r="I1518" s="213"/>
      <c r="K1518" s="213"/>
      <c r="L1518" s="318"/>
      <c r="M1518" s="318"/>
      <c r="Q1518" s="225"/>
      <c r="R1518" s="225"/>
    </row>
    <row r="1519" spans="5:18">
      <c r="E1519" s="318"/>
      <c r="G1519" s="213"/>
      <c r="I1519" s="213"/>
      <c r="K1519" s="213"/>
      <c r="L1519" s="318"/>
      <c r="M1519" s="318"/>
      <c r="Q1519" s="225"/>
      <c r="R1519" s="225"/>
    </row>
    <row r="1520" spans="5:18">
      <c r="E1520" s="318"/>
      <c r="G1520" s="213"/>
      <c r="I1520" s="213"/>
      <c r="K1520" s="213"/>
      <c r="L1520" s="318"/>
      <c r="M1520" s="318"/>
      <c r="Q1520" s="225"/>
      <c r="R1520" s="225"/>
    </row>
    <row r="1521" spans="5:18">
      <c r="E1521" s="318"/>
      <c r="G1521" s="213"/>
      <c r="I1521" s="213"/>
      <c r="K1521" s="213"/>
      <c r="L1521" s="318"/>
      <c r="M1521" s="318"/>
      <c r="Q1521" s="225"/>
      <c r="R1521" s="225"/>
    </row>
    <row r="1522" spans="5:18">
      <c r="E1522" s="318"/>
      <c r="G1522" s="213"/>
      <c r="I1522" s="213"/>
      <c r="K1522" s="213"/>
      <c r="L1522" s="318"/>
      <c r="M1522" s="318"/>
      <c r="Q1522" s="225"/>
      <c r="R1522" s="225"/>
    </row>
    <row r="1523" spans="5:18">
      <c r="E1523" s="318"/>
      <c r="G1523" s="213"/>
      <c r="I1523" s="213"/>
      <c r="K1523" s="213"/>
      <c r="L1523" s="318"/>
      <c r="M1523" s="318"/>
      <c r="Q1523" s="225"/>
      <c r="R1523" s="225"/>
    </row>
    <row r="1524" spans="5:18">
      <c r="E1524" s="318"/>
      <c r="G1524" s="213"/>
      <c r="I1524" s="213"/>
      <c r="K1524" s="213"/>
      <c r="L1524" s="318"/>
      <c r="M1524" s="318"/>
      <c r="Q1524" s="225"/>
      <c r="R1524" s="225"/>
    </row>
    <row r="1525" spans="5:18">
      <c r="E1525" s="318"/>
      <c r="G1525" s="213"/>
      <c r="I1525" s="213"/>
      <c r="K1525" s="213"/>
      <c r="L1525" s="318"/>
      <c r="M1525" s="318"/>
      <c r="Q1525" s="225"/>
      <c r="R1525" s="225"/>
    </row>
    <row r="1526" spans="5:18">
      <c r="E1526" s="318"/>
      <c r="G1526" s="213"/>
      <c r="I1526" s="213"/>
      <c r="K1526" s="213"/>
      <c r="L1526" s="318"/>
      <c r="M1526" s="318"/>
      <c r="Q1526" s="225"/>
      <c r="R1526" s="225"/>
    </row>
    <row r="1527" spans="5:18">
      <c r="E1527" s="318"/>
      <c r="G1527" s="213"/>
      <c r="I1527" s="213"/>
      <c r="K1527" s="213"/>
      <c r="L1527" s="318"/>
      <c r="M1527" s="318"/>
      <c r="Q1527" s="225"/>
      <c r="R1527" s="225"/>
    </row>
    <row r="1528" spans="5:18">
      <c r="E1528" s="318"/>
      <c r="G1528" s="213"/>
      <c r="I1528" s="213"/>
      <c r="K1528" s="213"/>
      <c r="L1528" s="318"/>
      <c r="M1528" s="318"/>
      <c r="Q1528" s="225"/>
      <c r="R1528" s="225"/>
    </row>
    <row r="1529" spans="5:18">
      <c r="E1529" s="318"/>
      <c r="G1529" s="213"/>
      <c r="I1529" s="213"/>
      <c r="K1529" s="213"/>
      <c r="L1529" s="318"/>
      <c r="M1529" s="318"/>
      <c r="Q1529" s="225"/>
      <c r="R1529" s="225"/>
    </row>
    <row r="1530" spans="5:18">
      <c r="E1530" s="318"/>
      <c r="G1530" s="213"/>
      <c r="I1530" s="213"/>
      <c r="K1530" s="213"/>
      <c r="L1530" s="318"/>
      <c r="M1530" s="318"/>
      <c r="Q1530" s="225"/>
      <c r="R1530" s="225"/>
    </row>
    <row r="1531" spans="5:18">
      <c r="E1531" s="318"/>
      <c r="G1531" s="213"/>
      <c r="I1531" s="213"/>
      <c r="K1531" s="213"/>
      <c r="L1531" s="318"/>
      <c r="M1531" s="318"/>
      <c r="Q1531" s="225"/>
      <c r="R1531" s="225"/>
    </row>
    <row r="1532" spans="5:18">
      <c r="E1532" s="318"/>
      <c r="G1532" s="213"/>
      <c r="I1532" s="213"/>
      <c r="K1532" s="213"/>
      <c r="L1532" s="318"/>
      <c r="M1532" s="318"/>
      <c r="Q1532" s="225"/>
      <c r="R1532" s="225"/>
    </row>
    <row r="1533" spans="5:18">
      <c r="E1533" s="318"/>
      <c r="G1533" s="213"/>
      <c r="I1533" s="213"/>
      <c r="K1533" s="213"/>
      <c r="L1533" s="318"/>
      <c r="M1533" s="318"/>
      <c r="Q1533" s="225"/>
      <c r="R1533" s="225"/>
    </row>
    <row r="1534" spans="5:18">
      <c r="E1534" s="318"/>
      <c r="G1534" s="213"/>
      <c r="I1534" s="213"/>
      <c r="K1534" s="213"/>
      <c r="L1534" s="318"/>
      <c r="M1534" s="318"/>
      <c r="Q1534" s="225"/>
      <c r="R1534" s="225"/>
    </row>
    <row r="1535" spans="5:18">
      <c r="E1535" s="318"/>
      <c r="G1535" s="213"/>
      <c r="I1535" s="213"/>
      <c r="K1535" s="213"/>
      <c r="L1535" s="318"/>
      <c r="M1535" s="318"/>
      <c r="Q1535" s="225"/>
      <c r="R1535" s="225"/>
    </row>
    <row r="1536" spans="5:18">
      <c r="E1536" s="318"/>
      <c r="G1536" s="213"/>
      <c r="I1536" s="213"/>
      <c r="K1536" s="213"/>
      <c r="L1536" s="318"/>
      <c r="M1536" s="318"/>
      <c r="Q1536" s="225"/>
      <c r="R1536" s="225"/>
    </row>
    <row r="1537" spans="5:18">
      <c r="E1537" s="318"/>
      <c r="G1537" s="213"/>
      <c r="I1537" s="213"/>
      <c r="K1537" s="213"/>
      <c r="L1537" s="318"/>
      <c r="M1537" s="318"/>
      <c r="Q1537" s="225"/>
      <c r="R1537" s="225"/>
    </row>
    <row r="1538" spans="5:18">
      <c r="E1538" s="318"/>
      <c r="G1538" s="213"/>
      <c r="I1538" s="213"/>
      <c r="K1538" s="213"/>
      <c r="L1538" s="318"/>
      <c r="M1538" s="318"/>
      <c r="Q1538" s="225"/>
      <c r="R1538" s="225"/>
    </row>
    <row r="1539" spans="5:18">
      <c r="E1539" s="318"/>
      <c r="G1539" s="213"/>
      <c r="I1539" s="213"/>
      <c r="K1539" s="213"/>
      <c r="L1539" s="318"/>
      <c r="M1539" s="318"/>
      <c r="Q1539" s="225"/>
      <c r="R1539" s="225"/>
    </row>
    <row r="1540" spans="5:18">
      <c r="E1540" s="318"/>
      <c r="G1540" s="213"/>
      <c r="I1540" s="213"/>
      <c r="K1540" s="213"/>
      <c r="L1540" s="318"/>
      <c r="M1540" s="318"/>
      <c r="Q1540" s="225"/>
      <c r="R1540" s="225"/>
    </row>
    <row r="1541" spans="5:18">
      <c r="E1541" s="318"/>
      <c r="G1541" s="213"/>
      <c r="I1541" s="213"/>
      <c r="K1541" s="213"/>
      <c r="L1541" s="318"/>
      <c r="M1541" s="318"/>
      <c r="Q1541" s="225"/>
      <c r="R1541" s="225"/>
    </row>
    <row r="1542" spans="5:18">
      <c r="E1542" s="318"/>
      <c r="G1542" s="213"/>
      <c r="I1542" s="213"/>
      <c r="K1542" s="213"/>
      <c r="L1542" s="318"/>
      <c r="M1542" s="318"/>
      <c r="Q1542" s="225"/>
      <c r="R1542" s="225"/>
    </row>
    <row r="1543" spans="5:18">
      <c r="E1543" s="318"/>
      <c r="G1543" s="213"/>
      <c r="I1543" s="213"/>
      <c r="K1543" s="213"/>
      <c r="L1543" s="318"/>
      <c r="M1543" s="318"/>
      <c r="Q1543" s="225"/>
      <c r="R1543" s="225"/>
    </row>
    <row r="1544" spans="5:18">
      <c r="E1544" s="318"/>
      <c r="G1544" s="213"/>
      <c r="I1544" s="213"/>
      <c r="K1544" s="213"/>
      <c r="L1544" s="318"/>
      <c r="M1544" s="318"/>
      <c r="Q1544" s="225"/>
      <c r="R1544" s="225"/>
    </row>
    <row r="1545" spans="5:18">
      <c r="E1545" s="318"/>
      <c r="G1545" s="213"/>
      <c r="I1545" s="213"/>
      <c r="K1545" s="213"/>
      <c r="L1545" s="318"/>
      <c r="M1545" s="318"/>
      <c r="Q1545" s="225"/>
      <c r="R1545" s="225"/>
    </row>
    <row r="1546" spans="5:18">
      <c r="E1546" s="318"/>
      <c r="G1546" s="213"/>
      <c r="I1546" s="213"/>
      <c r="K1546" s="213"/>
      <c r="L1546" s="318"/>
      <c r="M1546" s="318"/>
      <c r="Q1546" s="225"/>
      <c r="R1546" s="225"/>
    </row>
    <row r="1547" spans="5:18">
      <c r="E1547" s="318"/>
      <c r="G1547" s="213"/>
      <c r="I1547" s="213"/>
      <c r="K1547" s="213"/>
      <c r="L1547" s="318"/>
      <c r="M1547" s="318"/>
      <c r="Q1547" s="225"/>
      <c r="R1547" s="225"/>
    </row>
    <row r="1548" spans="5:18">
      <c r="E1548" s="318"/>
      <c r="G1548" s="213"/>
      <c r="I1548" s="213"/>
      <c r="K1548" s="213"/>
      <c r="L1548" s="318"/>
      <c r="M1548" s="318"/>
      <c r="Q1548" s="225"/>
      <c r="R1548" s="225"/>
    </row>
    <row r="1549" spans="5:18">
      <c r="E1549" s="318"/>
      <c r="G1549" s="213"/>
      <c r="I1549" s="213"/>
      <c r="K1549" s="213"/>
      <c r="L1549" s="318"/>
      <c r="M1549" s="318"/>
      <c r="Q1549" s="225"/>
      <c r="R1549" s="225"/>
    </row>
    <row r="1550" spans="5:18">
      <c r="E1550" s="318"/>
      <c r="G1550" s="213"/>
      <c r="I1550" s="213"/>
      <c r="K1550" s="213"/>
      <c r="L1550" s="318"/>
      <c r="M1550" s="318"/>
      <c r="Q1550" s="225"/>
      <c r="R1550" s="225"/>
    </row>
    <row r="1551" spans="5:18">
      <c r="E1551" s="318"/>
      <c r="G1551" s="213"/>
      <c r="I1551" s="213"/>
      <c r="K1551" s="213"/>
      <c r="L1551" s="318"/>
      <c r="M1551" s="318"/>
      <c r="Q1551" s="225"/>
      <c r="R1551" s="225"/>
    </row>
    <row r="1552" spans="5:18">
      <c r="E1552" s="318"/>
      <c r="G1552" s="213"/>
      <c r="I1552" s="213"/>
      <c r="K1552" s="213"/>
      <c r="L1552" s="318"/>
      <c r="M1552" s="318"/>
      <c r="Q1552" s="225"/>
      <c r="R1552" s="225"/>
    </row>
    <row r="1553" spans="5:18">
      <c r="E1553" s="318"/>
      <c r="G1553" s="213"/>
      <c r="I1553" s="213"/>
      <c r="K1553" s="213"/>
      <c r="L1553" s="318"/>
      <c r="M1553" s="318"/>
      <c r="Q1553" s="225"/>
      <c r="R1553" s="225"/>
    </row>
    <row r="1554" spans="5:18">
      <c r="E1554" s="318"/>
      <c r="G1554" s="213"/>
      <c r="I1554" s="213"/>
      <c r="K1554" s="213"/>
      <c r="L1554" s="318"/>
      <c r="M1554" s="318"/>
      <c r="Q1554" s="225"/>
      <c r="R1554" s="225"/>
    </row>
    <row r="1555" spans="5:18">
      <c r="E1555" s="318"/>
      <c r="G1555" s="213"/>
      <c r="I1555" s="213"/>
      <c r="K1555" s="213"/>
      <c r="L1555" s="318"/>
      <c r="M1555" s="318"/>
      <c r="Q1555" s="225"/>
      <c r="R1555" s="225"/>
    </row>
    <row r="1556" spans="5:18">
      <c r="E1556" s="318"/>
      <c r="G1556" s="213"/>
      <c r="I1556" s="213"/>
      <c r="K1556" s="213"/>
      <c r="L1556" s="318"/>
      <c r="M1556" s="318"/>
      <c r="Q1556" s="225"/>
      <c r="R1556" s="225"/>
    </row>
    <row r="1557" spans="5:18">
      <c r="E1557" s="318"/>
      <c r="G1557" s="213"/>
      <c r="I1557" s="213"/>
      <c r="K1557" s="213"/>
      <c r="L1557" s="318"/>
      <c r="M1557" s="318"/>
      <c r="Q1557" s="225"/>
      <c r="R1557" s="225"/>
    </row>
    <row r="1558" spans="5:18">
      <c r="E1558" s="318"/>
      <c r="G1558" s="213"/>
      <c r="I1558" s="213"/>
      <c r="K1558" s="213"/>
      <c r="L1558" s="318"/>
      <c r="M1558" s="318"/>
      <c r="Q1558" s="225"/>
      <c r="R1558" s="225"/>
    </row>
    <row r="1559" spans="5:18">
      <c r="E1559" s="318"/>
      <c r="G1559" s="213"/>
      <c r="I1559" s="213"/>
      <c r="K1559" s="213"/>
      <c r="L1559" s="318"/>
      <c r="M1559" s="318"/>
      <c r="Q1559" s="225"/>
      <c r="R1559" s="225"/>
    </row>
    <row r="1560" spans="5:18">
      <c r="E1560" s="318"/>
      <c r="G1560" s="213"/>
      <c r="I1560" s="213"/>
      <c r="K1560" s="213"/>
      <c r="L1560" s="318"/>
      <c r="M1560" s="318"/>
      <c r="Q1560" s="225"/>
      <c r="R1560" s="225"/>
    </row>
    <row r="1561" spans="5:18">
      <c r="E1561" s="318"/>
      <c r="G1561" s="213"/>
      <c r="I1561" s="213"/>
      <c r="K1561" s="213"/>
      <c r="L1561" s="318"/>
      <c r="M1561" s="318"/>
      <c r="Q1561" s="225"/>
      <c r="R1561" s="225"/>
    </row>
    <row r="1562" spans="5:18">
      <c r="E1562" s="318"/>
      <c r="G1562" s="213"/>
      <c r="I1562" s="213"/>
      <c r="K1562" s="213"/>
      <c r="L1562" s="318"/>
      <c r="M1562" s="318"/>
      <c r="Q1562" s="225"/>
      <c r="R1562" s="225"/>
    </row>
    <row r="1563" spans="5:18">
      <c r="E1563" s="318"/>
      <c r="G1563" s="213"/>
      <c r="I1563" s="213"/>
      <c r="K1563" s="213"/>
      <c r="L1563" s="318"/>
      <c r="M1563" s="318"/>
      <c r="Q1563" s="225"/>
      <c r="R1563" s="225"/>
    </row>
    <row r="1564" spans="5:18">
      <c r="E1564" s="318"/>
      <c r="G1564" s="213"/>
      <c r="I1564" s="213"/>
      <c r="K1564" s="213"/>
      <c r="L1564" s="318"/>
      <c r="M1564" s="318"/>
      <c r="Q1564" s="225"/>
      <c r="R1564" s="225"/>
    </row>
    <row r="1565" spans="5:18">
      <c r="E1565" s="318"/>
      <c r="G1565" s="213"/>
      <c r="I1565" s="213"/>
      <c r="K1565" s="213"/>
      <c r="L1565" s="318"/>
      <c r="M1565" s="318"/>
      <c r="Q1565" s="225"/>
      <c r="R1565" s="225"/>
    </row>
    <row r="1566" spans="5:18">
      <c r="E1566" s="318"/>
      <c r="G1566" s="213"/>
      <c r="I1566" s="213"/>
      <c r="K1566" s="213"/>
      <c r="L1566" s="318"/>
      <c r="M1566" s="318"/>
      <c r="Q1566" s="225"/>
      <c r="R1566" s="225"/>
    </row>
    <row r="1567" spans="5:18">
      <c r="E1567" s="318"/>
      <c r="G1567" s="213"/>
      <c r="I1567" s="213"/>
      <c r="K1567" s="213"/>
      <c r="L1567" s="318"/>
      <c r="M1567" s="318"/>
      <c r="Q1567" s="225"/>
      <c r="R1567" s="225"/>
    </row>
    <row r="1568" spans="5:18">
      <c r="E1568" s="318"/>
      <c r="G1568" s="213"/>
      <c r="I1568" s="213"/>
      <c r="K1568" s="213"/>
      <c r="L1568" s="318"/>
      <c r="M1568" s="318"/>
      <c r="Q1568" s="225"/>
      <c r="R1568" s="225"/>
    </row>
    <row r="1569" spans="5:18">
      <c r="E1569" s="318"/>
      <c r="G1569" s="213"/>
      <c r="I1569" s="213"/>
      <c r="K1569" s="213"/>
      <c r="L1569" s="318"/>
      <c r="M1569" s="318"/>
      <c r="Q1569" s="225"/>
      <c r="R1569" s="225"/>
    </row>
    <row r="1570" spans="5:18">
      <c r="E1570" s="318"/>
      <c r="G1570" s="213"/>
      <c r="I1570" s="213"/>
      <c r="K1570" s="213"/>
      <c r="L1570" s="318"/>
      <c r="M1570" s="318"/>
      <c r="Q1570" s="225"/>
      <c r="R1570" s="225"/>
    </row>
    <row r="1571" spans="5:18">
      <c r="E1571" s="318"/>
      <c r="G1571" s="213"/>
      <c r="I1571" s="213"/>
      <c r="K1571" s="213"/>
      <c r="L1571" s="318"/>
      <c r="M1571" s="318"/>
      <c r="Q1571" s="225"/>
      <c r="R1571" s="225"/>
    </row>
    <row r="1572" spans="5:18">
      <c r="E1572" s="318"/>
      <c r="G1572" s="213"/>
      <c r="I1572" s="213"/>
      <c r="K1572" s="213"/>
      <c r="L1572" s="318"/>
      <c r="M1572" s="318"/>
      <c r="Q1572" s="225"/>
      <c r="R1572" s="225"/>
    </row>
    <row r="1573" spans="5:18">
      <c r="E1573" s="318"/>
      <c r="G1573" s="213"/>
      <c r="I1573" s="213"/>
      <c r="K1573" s="213"/>
      <c r="L1573" s="318"/>
      <c r="M1573" s="318"/>
      <c r="Q1573" s="225"/>
      <c r="R1573" s="225"/>
    </row>
    <row r="1574" spans="5:18">
      <c r="E1574" s="318"/>
      <c r="G1574" s="213"/>
      <c r="I1574" s="213"/>
      <c r="K1574" s="213"/>
      <c r="L1574" s="318"/>
      <c r="M1574" s="318"/>
      <c r="Q1574" s="225"/>
      <c r="R1574" s="225"/>
    </row>
    <row r="1575" spans="5:18">
      <c r="E1575" s="318"/>
      <c r="G1575" s="213"/>
      <c r="I1575" s="213"/>
      <c r="K1575" s="213"/>
      <c r="L1575" s="318"/>
      <c r="M1575" s="318"/>
      <c r="Q1575" s="225"/>
      <c r="R1575" s="225"/>
    </row>
    <row r="1576" spans="5:18">
      <c r="E1576" s="318"/>
      <c r="G1576" s="213"/>
      <c r="I1576" s="213"/>
      <c r="K1576" s="213"/>
      <c r="L1576" s="318"/>
      <c r="M1576" s="318"/>
      <c r="Q1576" s="225"/>
      <c r="R1576" s="225"/>
    </row>
    <row r="1577" spans="5:18">
      <c r="E1577" s="318"/>
      <c r="G1577" s="213"/>
      <c r="I1577" s="213"/>
      <c r="K1577" s="213"/>
      <c r="L1577" s="318"/>
      <c r="M1577" s="318"/>
      <c r="Q1577" s="225"/>
      <c r="R1577" s="225"/>
    </row>
    <row r="1578" spans="5:18">
      <c r="E1578" s="318"/>
      <c r="G1578" s="213"/>
      <c r="I1578" s="213"/>
      <c r="K1578" s="213"/>
      <c r="L1578" s="318"/>
      <c r="M1578" s="318"/>
      <c r="Q1578" s="225"/>
      <c r="R1578" s="225"/>
    </row>
    <row r="1579" spans="5:18">
      <c r="E1579" s="318"/>
      <c r="G1579" s="213"/>
      <c r="I1579" s="213"/>
      <c r="K1579" s="213"/>
      <c r="L1579" s="318"/>
      <c r="M1579" s="318"/>
      <c r="Q1579" s="225"/>
      <c r="R1579" s="225"/>
    </row>
    <row r="1580" spans="5:18">
      <c r="E1580" s="318"/>
      <c r="G1580" s="213"/>
      <c r="I1580" s="213"/>
      <c r="K1580" s="213"/>
      <c r="L1580" s="318"/>
      <c r="M1580" s="318"/>
      <c r="Q1580" s="225"/>
      <c r="R1580" s="225"/>
    </row>
    <row r="1581" spans="5:18">
      <c r="E1581" s="318"/>
      <c r="G1581" s="213"/>
      <c r="I1581" s="213"/>
      <c r="K1581" s="213"/>
      <c r="L1581" s="318"/>
      <c r="M1581" s="318"/>
      <c r="Q1581" s="225"/>
      <c r="R1581" s="225"/>
    </row>
    <row r="1582" spans="5:18">
      <c r="E1582" s="318"/>
      <c r="G1582" s="213"/>
      <c r="I1582" s="213"/>
      <c r="K1582" s="213"/>
      <c r="L1582" s="318"/>
      <c r="M1582" s="318"/>
      <c r="Q1582" s="225"/>
      <c r="R1582" s="225"/>
    </row>
    <row r="1583" spans="5:18">
      <c r="E1583" s="318"/>
      <c r="G1583" s="213"/>
      <c r="I1583" s="213"/>
      <c r="K1583" s="213"/>
      <c r="L1583" s="318"/>
      <c r="M1583" s="318"/>
      <c r="Q1583" s="225"/>
      <c r="R1583" s="225"/>
    </row>
    <row r="1584" spans="5:18">
      <c r="E1584" s="318"/>
      <c r="G1584" s="213"/>
      <c r="I1584" s="213"/>
      <c r="K1584" s="213"/>
      <c r="L1584" s="318"/>
      <c r="M1584" s="318"/>
      <c r="Q1584" s="225"/>
      <c r="R1584" s="225"/>
    </row>
    <row r="1585" spans="5:18">
      <c r="E1585" s="318"/>
      <c r="G1585" s="213"/>
      <c r="I1585" s="213"/>
      <c r="K1585" s="213"/>
      <c r="L1585" s="318"/>
      <c r="M1585" s="318"/>
      <c r="Q1585" s="225"/>
      <c r="R1585" s="225"/>
    </row>
    <row r="1586" spans="5:18">
      <c r="E1586" s="318"/>
      <c r="G1586" s="213"/>
      <c r="I1586" s="213"/>
      <c r="K1586" s="213"/>
      <c r="L1586" s="318"/>
      <c r="M1586" s="318"/>
      <c r="Q1586" s="225"/>
      <c r="R1586" s="225"/>
    </row>
    <row r="1587" spans="5:18">
      <c r="E1587" s="318"/>
      <c r="G1587" s="213"/>
      <c r="I1587" s="213"/>
      <c r="K1587" s="213"/>
      <c r="L1587" s="318"/>
      <c r="M1587" s="318"/>
      <c r="Q1587" s="225"/>
      <c r="R1587" s="225"/>
    </row>
    <row r="1588" spans="5:18">
      <c r="E1588" s="318"/>
      <c r="G1588" s="213"/>
      <c r="I1588" s="213"/>
      <c r="K1588" s="213"/>
      <c r="L1588" s="318"/>
      <c r="M1588" s="318"/>
      <c r="Q1588" s="225"/>
      <c r="R1588" s="225"/>
    </row>
    <row r="1589" spans="5:18">
      <c r="E1589" s="318"/>
      <c r="G1589" s="213"/>
      <c r="I1589" s="213"/>
      <c r="K1589" s="213"/>
      <c r="L1589" s="318"/>
      <c r="M1589" s="318"/>
      <c r="Q1589" s="225"/>
      <c r="R1589" s="225"/>
    </row>
    <row r="1590" spans="5:18">
      <c r="E1590" s="318"/>
      <c r="G1590" s="213"/>
      <c r="I1590" s="213"/>
      <c r="K1590" s="213"/>
      <c r="L1590" s="318"/>
      <c r="M1590" s="318"/>
      <c r="Q1590" s="225"/>
      <c r="R1590" s="225"/>
    </row>
    <row r="1591" spans="5:18">
      <c r="E1591" s="318"/>
      <c r="G1591" s="213"/>
      <c r="I1591" s="213"/>
      <c r="K1591" s="213"/>
      <c r="L1591" s="318"/>
      <c r="M1591" s="318"/>
      <c r="Q1591" s="225"/>
      <c r="R1591" s="225"/>
    </row>
    <row r="1592" spans="5:18">
      <c r="E1592" s="318"/>
      <c r="G1592" s="213"/>
      <c r="I1592" s="213"/>
      <c r="K1592" s="213"/>
      <c r="L1592" s="318"/>
      <c r="M1592" s="318"/>
      <c r="Q1592" s="225"/>
      <c r="R1592" s="225"/>
    </row>
    <row r="1593" spans="5:18">
      <c r="E1593" s="318"/>
      <c r="G1593" s="213"/>
      <c r="I1593" s="213"/>
      <c r="K1593" s="213"/>
      <c r="L1593" s="318"/>
      <c r="M1593" s="318"/>
      <c r="Q1593" s="225"/>
      <c r="R1593" s="225"/>
    </row>
    <row r="1594" spans="5:18">
      <c r="E1594" s="318"/>
      <c r="G1594" s="213"/>
      <c r="I1594" s="213"/>
      <c r="K1594" s="213"/>
      <c r="L1594" s="318"/>
      <c r="M1594" s="318"/>
      <c r="Q1594" s="225"/>
      <c r="R1594" s="225"/>
    </row>
    <row r="1595" spans="5:18">
      <c r="E1595" s="318"/>
      <c r="G1595" s="213"/>
      <c r="I1595" s="213"/>
      <c r="K1595" s="213"/>
      <c r="L1595" s="318"/>
      <c r="M1595" s="318"/>
      <c r="Q1595" s="225"/>
      <c r="R1595" s="225"/>
    </row>
    <row r="1596" spans="5:18">
      <c r="E1596" s="318"/>
      <c r="G1596" s="213"/>
      <c r="I1596" s="213"/>
      <c r="K1596" s="213"/>
      <c r="L1596" s="318"/>
      <c r="M1596" s="318"/>
      <c r="Q1596" s="225"/>
      <c r="R1596" s="225"/>
    </row>
    <row r="1597" spans="5:18">
      <c r="E1597" s="318"/>
      <c r="G1597" s="213"/>
      <c r="I1597" s="213"/>
      <c r="K1597" s="213"/>
      <c r="L1597" s="318"/>
      <c r="M1597" s="318"/>
      <c r="Q1597" s="225"/>
      <c r="R1597" s="225"/>
    </row>
    <row r="1598" spans="5:18">
      <c r="E1598" s="318"/>
      <c r="G1598" s="213"/>
      <c r="I1598" s="213"/>
      <c r="K1598" s="213"/>
      <c r="L1598" s="318"/>
      <c r="M1598" s="318"/>
      <c r="Q1598" s="225"/>
      <c r="R1598" s="225"/>
    </row>
    <row r="1599" spans="5:18">
      <c r="E1599" s="318"/>
      <c r="G1599" s="213"/>
      <c r="I1599" s="213"/>
      <c r="K1599" s="213"/>
      <c r="L1599" s="318"/>
      <c r="M1599" s="318"/>
      <c r="Q1599" s="225"/>
      <c r="R1599" s="225"/>
    </row>
    <row r="1600" spans="5:18">
      <c r="E1600" s="318"/>
      <c r="G1600" s="213"/>
      <c r="I1600" s="213"/>
      <c r="K1600" s="213"/>
      <c r="L1600" s="318"/>
      <c r="M1600" s="318"/>
      <c r="Q1600" s="225"/>
      <c r="R1600" s="225"/>
    </row>
    <row r="1601" spans="5:18">
      <c r="E1601" s="318"/>
      <c r="G1601" s="213"/>
      <c r="I1601" s="213"/>
      <c r="K1601" s="213"/>
      <c r="L1601" s="318"/>
      <c r="M1601" s="318"/>
      <c r="Q1601" s="225"/>
      <c r="R1601" s="225"/>
    </row>
    <row r="1602" spans="5:18">
      <c r="E1602" s="318"/>
      <c r="G1602" s="213"/>
      <c r="I1602" s="213"/>
      <c r="K1602" s="213"/>
      <c r="L1602" s="318"/>
      <c r="M1602" s="318"/>
      <c r="Q1602" s="225"/>
      <c r="R1602" s="225"/>
    </row>
    <row r="1603" spans="5:18">
      <c r="E1603" s="318"/>
      <c r="G1603" s="213"/>
      <c r="I1603" s="213"/>
      <c r="K1603" s="213"/>
      <c r="L1603" s="318"/>
      <c r="M1603" s="318"/>
      <c r="Q1603" s="225"/>
      <c r="R1603" s="225"/>
    </row>
    <row r="1604" spans="5:18">
      <c r="E1604" s="318"/>
      <c r="G1604" s="213"/>
      <c r="I1604" s="213"/>
      <c r="K1604" s="213"/>
      <c r="L1604" s="318"/>
      <c r="M1604" s="318"/>
      <c r="Q1604" s="225"/>
      <c r="R1604" s="225"/>
    </row>
    <row r="1605" spans="5:18">
      <c r="E1605" s="318"/>
      <c r="G1605" s="213"/>
      <c r="I1605" s="213"/>
      <c r="K1605" s="213"/>
      <c r="L1605" s="318"/>
      <c r="M1605" s="318"/>
      <c r="Q1605" s="225"/>
      <c r="R1605" s="225"/>
    </row>
    <row r="1606" spans="5:18">
      <c r="E1606" s="318"/>
      <c r="G1606" s="213"/>
      <c r="I1606" s="213"/>
      <c r="K1606" s="213"/>
      <c r="L1606" s="318"/>
      <c r="M1606" s="318"/>
      <c r="Q1606" s="225"/>
      <c r="R1606" s="225"/>
    </row>
    <row r="1607" spans="5:18">
      <c r="E1607" s="318"/>
      <c r="G1607" s="213"/>
      <c r="I1607" s="213"/>
      <c r="K1607" s="213"/>
      <c r="L1607" s="318"/>
      <c r="M1607" s="318"/>
      <c r="Q1607" s="225"/>
      <c r="R1607" s="225"/>
    </row>
    <row r="1608" spans="5:18">
      <c r="E1608" s="318"/>
      <c r="G1608" s="213"/>
      <c r="I1608" s="213"/>
      <c r="K1608" s="213"/>
      <c r="L1608" s="318"/>
      <c r="M1608" s="318"/>
      <c r="Q1608" s="225"/>
      <c r="R1608" s="225"/>
    </row>
    <row r="1609" spans="5:18">
      <c r="E1609" s="318"/>
      <c r="G1609" s="213"/>
      <c r="I1609" s="213"/>
      <c r="K1609" s="213"/>
      <c r="L1609" s="318"/>
      <c r="M1609" s="318"/>
      <c r="Q1609" s="225"/>
      <c r="R1609" s="225"/>
    </row>
    <row r="1610" spans="5:18">
      <c r="E1610" s="318"/>
      <c r="G1610" s="213"/>
      <c r="I1610" s="213"/>
      <c r="K1610" s="213"/>
      <c r="L1610" s="318"/>
      <c r="M1610" s="318"/>
      <c r="Q1610" s="225"/>
      <c r="R1610" s="225"/>
    </row>
    <row r="1611" spans="5:18">
      <c r="E1611" s="318"/>
      <c r="G1611" s="213"/>
      <c r="I1611" s="213"/>
      <c r="K1611" s="213"/>
      <c r="L1611" s="318"/>
      <c r="M1611" s="318"/>
      <c r="Q1611" s="225"/>
      <c r="R1611" s="225"/>
    </row>
    <row r="1612" spans="5:18">
      <c r="E1612" s="318"/>
      <c r="G1612" s="213"/>
      <c r="I1612" s="213"/>
      <c r="K1612" s="213"/>
      <c r="L1612" s="318"/>
      <c r="M1612" s="318"/>
      <c r="Q1612" s="225"/>
      <c r="R1612" s="225"/>
    </row>
    <row r="1613" spans="5:18">
      <c r="E1613" s="318"/>
      <c r="G1613" s="213"/>
      <c r="I1613" s="213"/>
      <c r="K1613" s="213"/>
      <c r="L1613" s="318"/>
      <c r="M1613" s="318"/>
      <c r="Q1613" s="225"/>
      <c r="R1613" s="225"/>
    </row>
    <row r="1614" spans="5:18">
      <c r="E1614" s="318"/>
      <c r="G1614" s="213"/>
      <c r="I1614" s="213"/>
      <c r="K1614" s="213"/>
      <c r="L1614" s="318"/>
      <c r="M1614" s="318"/>
      <c r="Q1614" s="225"/>
      <c r="R1614" s="225"/>
    </row>
    <row r="1615" spans="5:18">
      <c r="E1615" s="318"/>
      <c r="G1615" s="213"/>
      <c r="I1615" s="213"/>
      <c r="K1615" s="213"/>
      <c r="L1615" s="318"/>
      <c r="M1615" s="318"/>
      <c r="Q1615" s="225"/>
      <c r="R1615" s="225"/>
    </row>
    <row r="1616" spans="5:18">
      <c r="E1616" s="318"/>
      <c r="G1616" s="213"/>
      <c r="I1616" s="213"/>
      <c r="K1616" s="213"/>
      <c r="L1616" s="318"/>
      <c r="M1616" s="318"/>
      <c r="Q1616" s="225"/>
      <c r="R1616" s="225"/>
    </row>
    <row r="1617" spans="5:18">
      <c r="E1617" s="318"/>
      <c r="G1617" s="213"/>
      <c r="I1617" s="213"/>
      <c r="K1617" s="213"/>
      <c r="L1617" s="318"/>
      <c r="M1617" s="318"/>
      <c r="Q1617" s="225"/>
      <c r="R1617" s="225"/>
    </row>
    <row r="1618" spans="5:18">
      <c r="E1618" s="318"/>
      <c r="G1618" s="213"/>
      <c r="I1618" s="213"/>
      <c r="K1618" s="213"/>
      <c r="L1618" s="318"/>
      <c r="M1618" s="318"/>
      <c r="Q1618" s="225"/>
      <c r="R1618" s="225"/>
    </row>
    <row r="1619" spans="5:18">
      <c r="E1619" s="318"/>
      <c r="G1619" s="213"/>
      <c r="I1619" s="213"/>
      <c r="K1619" s="213"/>
      <c r="L1619" s="318"/>
      <c r="M1619" s="318"/>
      <c r="Q1619" s="225"/>
      <c r="R1619" s="225"/>
    </row>
    <row r="1620" spans="5:18">
      <c r="E1620" s="318"/>
      <c r="G1620" s="213"/>
      <c r="I1620" s="213"/>
      <c r="K1620" s="213"/>
      <c r="L1620" s="318"/>
      <c r="M1620" s="318"/>
      <c r="Q1620" s="225"/>
      <c r="R1620" s="225"/>
    </row>
    <row r="1621" spans="5:18">
      <c r="E1621" s="318"/>
      <c r="G1621" s="213"/>
      <c r="I1621" s="213"/>
      <c r="K1621" s="213"/>
      <c r="L1621" s="318"/>
      <c r="M1621" s="318"/>
      <c r="Q1621" s="225"/>
      <c r="R1621" s="225"/>
    </row>
    <row r="1622" spans="5:18">
      <c r="E1622" s="318"/>
      <c r="G1622" s="213"/>
      <c r="I1622" s="213"/>
      <c r="K1622" s="213"/>
      <c r="L1622" s="318"/>
      <c r="M1622" s="318"/>
      <c r="Q1622" s="225"/>
      <c r="R1622" s="225"/>
    </row>
    <row r="1623" spans="5:18">
      <c r="E1623" s="318"/>
      <c r="G1623" s="213"/>
      <c r="I1623" s="213"/>
      <c r="K1623" s="213"/>
      <c r="L1623" s="318"/>
      <c r="M1623" s="318"/>
      <c r="Q1623" s="225"/>
      <c r="R1623" s="225"/>
    </row>
    <row r="1624" spans="5:18">
      <c r="E1624" s="318"/>
      <c r="G1624" s="213"/>
      <c r="I1624" s="213"/>
      <c r="K1624" s="213"/>
      <c r="L1624" s="318"/>
      <c r="M1624" s="318"/>
      <c r="Q1624" s="225"/>
      <c r="R1624" s="225"/>
    </row>
    <row r="1625" spans="5:18">
      <c r="E1625" s="318"/>
      <c r="G1625" s="213"/>
      <c r="I1625" s="213"/>
      <c r="K1625" s="213"/>
      <c r="L1625" s="318"/>
      <c r="M1625" s="318"/>
      <c r="Q1625" s="225"/>
      <c r="R1625" s="225"/>
    </row>
    <row r="1626" spans="5:18">
      <c r="E1626" s="318"/>
      <c r="G1626" s="213"/>
      <c r="I1626" s="213"/>
      <c r="K1626" s="213"/>
      <c r="L1626" s="318"/>
      <c r="M1626" s="318"/>
      <c r="Q1626" s="225"/>
      <c r="R1626" s="225"/>
    </row>
    <row r="1627" spans="5:18">
      <c r="E1627" s="318"/>
      <c r="G1627" s="213"/>
      <c r="I1627" s="213"/>
      <c r="K1627" s="213"/>
      <c r="L1627" s="318"/>
      <c r="M1627" s="318"/>
      <c r="Q1627" s="225"/>
      <c r="R1627" s="225"/>
    </row>
    <row r="1628" spans="5:18">
      <c r="E1628" s="318"/>
      <c r="G1628" s="213"/>
      <c r="I1628" s="213"/>
      <c r="K1628" s="213"/>
      <c r="L1628" s="318"/>
      <c r="M1628" s="318"/>
      <c r="Q1628" s="225"/>
      <c r="R1628" s="225"/>
    </row>
    <row r="1629" spans="5:18">
      <c r="E1629" s="318"/>
      <c r="G1629" s="213"/>
      <c r="I1629" s="213"/>
      <c r="K1629" s="213"/>
      <c r="L1629" s="318"/>
      <c r="M1629" s="318"/>
      <c r="Q1629" s="225"/>
      <c r="R1629" s="225"/>
    </row>
    <row r="1630" spans="5:18">
      <c r="E1630" s="318"/>
      <c r="G1630" s="213"/>
      <c r="I1630" s="213"/>
      <c r="K1630" s="213"/>
      <c r="L1630" s="318"/>
      <c r="M1630" s="318"/>
      <c r="Q1630" s="225"/>
      <c r="R1630" s="225"/>
    </row>
    <row r="1631" spans="5:18">
      <c r="E1631" s="318"/>
      <c r="G1631" s="213"/>
      <c r="I1631" s="213"/>
      <c r="K1631" s="213"/>
      <c r="L1631" s="318"/>
      <c r="M1631" s="318"/>
      <c r="Q1631" s="225"/>
      <c r="R1631" s="225"/>
    </row>
    <row r="1632" spans="5:18">
      <c r="E1632" s="318"/>
      <c r="G1632" s="213"/>
      <c r="I1632" s="213"/>
      <c r="K1632" s="213"/>
      <c r="L1632" s="318"/>
      <c r="M1632" s="318"/>
      <c r="Q1632" s="225"/>
      <c r="R1632" s="225"/>
    </row>
    <row r="1633" spans="5:18">
      <c r="E1633" s="318"/>
      <c r="G1633" s="213"/>
      <c r="I1633" s="213"/>
      <c r="K1633" s="213"/>
      <c r="L1633" s="318"/>
      <c r="M1633" s="318"/>
      <c r="Q1633" s="225"/>
      <c r="R1633" s="225"/>
    </row>
    <row r="1634" spans="5:18">
      <c r="E1634" s="318"/>
      <c r="G1634" s="213"/>
      <c r="I1634" s="213"/>
      <c r="K1634" s="213"/>
      <c r="L1634" s="318"/>
      <c r="M1634" s="318"/>
      <c r="Q1634" s="225"/>
      <c r="R1634" s="225"/>
    </row>
    <row r="1635" spans="5:18">
      <c r="E1635" s="318"/>
      <c r="G1635" s="213"/>
      <c r="I1635" s="213"/>
      <c r="K1635" s="213"/>
      <c r="L1635" s="318"/>
      <c r="M1635" s="318"/>
      <c r="Q1635" s="225"/>
      <c r="R1635" s="225"/>
    </row>
    <row r="1636" spans="5:18">
      <c r="E1636" s="318"/>
      <c r="G1636" s="213"/>
      <c r="I1636" s="213"/>
      <c r="K1636" s="213"/>
      <c r="L1636" s="318"/>
      <c r="M1636" s="318"/>
      <c r="Q1636" s="225"/>
      <c r="R1636" s="225"/>
    </row>
    <row r="1637" spans="5:18">
      <c r="E1637" s="318"/>
      <c r="G1637" s="213"/>
      <c r="I1637" s="213"/>
      <c r="K1637" s="213"/>
      <c r="L1637" s="318"/>
      <c r="M1637" s="318"/>
      <c r="Q1637" s="225"/>
      <c r="R1637" s="225"/>
    </row>
    <row r="1638" spans="5:18">
      <c r="E1638" s="318"/>
      <c r="G1638" s="213"/>
      <c r="I1638" s="213"/>
      <c r="K1638" s="213"/>
      <c r="L1638" s="318"/>
      <c r="M1638" s="318"/>
      <c r="Q1638" s="225"/>
      <c r="R1638" s="225"/>
    </row>
    <row r="1639" spans="5:18">
      <c r="E1639" s="318"/>
      <c r="G1639" s="213"/>
      <c r="I1639" s="213"/>
      <c r="K1639" s="213"/>
      <c r="L1639" s="318"/>
      <c r="M1639" s="318"/>
      <c r="Q1639" s="225"/>
      <c r="R1639" s="225"/>
    </row>
    <row r="1640" spans="5:18">
      <c r="E1640" s="318"/>
      <c r="G1640" s="213"/>
      <c r="I1640" s="213"/>
      <c r="K1640" s="213"/>
      <c r="L1640" s="318"/>
      <c r="M1640" s="318"/>
      <c r="Q1640" s="225"/>
      <c r="R1640" s="225"/>
    </row>
    <row r="1641" spans="5:18">
      <c r="E1641" s="318"/>
      <c r="G1641" s="213"/>
      <c r="I1641" s="213"/>
      <c r="K1641" s="213"/>
      <c r="L1641" s="318"/>
      <c r="M1641" s="318"/>
      <c r="Q1641" s="225"/>
      <c r="R1641" s="225"/>
    </row>
    <row r="1642" spans="5:18">
      <c r="E1642" s="318"/>
      <c r="G1642" s="213"/>
      <c r="I1642" s="213"/>
      <c r="K1642" s="213"/>
      <c r="L1642" s="318"/>
      <c r="M1642" s="318"/>
      <c r="Q1642" s="225"/>
      <c r="R1642" s="225"/>
    </row>
    <row r="1643" spans="5:18">
      <c r="E1643" s="318"/>
      <c r="G1643" s="213"/>
      <c r="I1643" s="213"/>
      <c r="K1643" s="213"/>
      <c r="L1643" s="318"/>
      <c r="M1643" s="318"/>
      <c r="Q1643" s="225"/>
      <c r="R1643" s="225"/>
    </row>
    <row r="1644" spans="5:18">
      <c r="E1644" s="318"/>
      <c r="G1644" s="213"/>
      <c r="I1644" s="213"/>
      <c r="K1644" s="213"/>
      <c r="L1644" s="318"/>
      <c r="M1644" s="318"/>
      <c r="Q1644" s="225"/>
      <c r="R1644" s="225"/>
    </row>
    <row r="1645" spans="5:18">
      <c r="E1645" s="318"/>
      <c r="G1645" s="213"/>
      <c r="I1645" s="213"/>
      <c r="K1645" s="213"/>
      <c r="L1645" s="318"/>
      <c r="M1645" s="318"/>
      <c r="Q1645" s="225"/>
      <c r="R1645" s="225"/>
    </row>
    <row r="1646" spans="5:18">
      <c r="E1646" s="318"/>
      <c r="G1646" s="213"/>
      <c r="I1646" s="213"/>
      <c r="K1646" s="213"/>
      <c r="L1646" s="318"/>
      <c r="M1646" s="318"/>
      <c r="Q1646" s="225"/>
      <c r="R1646" s="225"/>
    </row>
    <row r="1647" spans="5:18">
      <c r="E1647" s="318"/>
      <c r="G1647" s="213"/>
      <c r="I1647" s="213"/>
      <c r="K1647" s="213"/>
      <c r="L1647" s="318"/>
      <c r="M1647" s="318"/>
      <c r="Q1647" s="225"/>
      <c r="R1647" s="225"/>
    </row>
    <row r="1648" spans="5:18">
      <c r="E1648" s="318"/>
      <c r="G1648" s="213"/>
      <c r="I1648" s="213"/>
      <c r="K1648" s="213"/>
      <c r="L1648" s="318"/>
      <c r="M1648" s="318"/>
      <c r="Q1648" s="225"/>
      <c r="R1648" s="225"/>
    </row>
    <row r="1649" spans="5:18">
      <c r="E1649" s="318"/>
      <c r="G1649" s="213"/>
      <c r="I1649" s="213"/>
      <c r="K1649" s="213"/>
      <c r="L1649" s="318"/>
      <c r="M1649" s="318"/>
      <c r="Q1649" s="225"/>
      <c r="R1649" s="225"/>
    </row>
    <row r="1650" spans="5:18">
      <c r="E1650" s="318"/>
      <c r="G1650" s="213"/>
      <c r="I1650" s="213"/>
      <c r="K1650" s="213"/>
      <c r="L1650" s="318"/>
      <c r="M1650" s="318"/>
      <c r="Q1650" s="225"/>
      <c r="R1650" s="225"/>
    </row>
    <row r="1651" spans="5:18">
      <c r="E1651" s="318"/>
      <c r="G1651" s="213"/>
      <c r="I1651" s="213"/>
      <c r="K1651" s="213"/>
      <c r="L1651" s="318"/>
      <c r="M1651" s="318"/>
      <c r="Q1651" s="225"/>
      <c r="R1651" s="225"/>
    </row>
    <row r="1652" spans="5:18">
      <c r="E1652" s="318"/>
      <c r="G1652" s="213"/>
      <c r="I1652" s="213"/>
      <c r="K1652" s="213"/>
      <c r="L1652" s="318"/>
      <c r="M1652" s="318"/>
      <c r="Q1652" s="225"/>
      <c r="R1652" s="225"/>
    </row>
    <row r="1653" spans="5:18">
      <c r="E1653" s="318"/>
      <c r="G1653" s="213"/>
      <c r="I1653" s="213"/>
      <c r="K1653" s="213"/>
      <c r="L1653" s="318"/>
      <c r="M1653" s="318"/>
      <c r="Q1653" s="225"/>
      <c r="R1653" s="225"/>
    </row>
    <row r="1654" spans="5:18">
      <c r="E1654" s="318"/>
      <c r="G1654" s="213"/>
      <c r="I1654" s="213"/>
      <c r="K1654" s="213"/>
      <c r="L1654" s="318"/>
      <c r="M1654" s="318"/>
      <c r="Q1654" s="225"/>
      <c r="R1654" s="225"/>
    </row>
    <row r="1655" spans="5:18">
      <c r="E1655" s="318"/>
      <c r="G1655" s="213"/>
      <c r="I1655" s="213"/>
      <c r="K1655" s="213"/>
      <c r="L1655" s="318"/>
      <c r="M1655" s="318"/>
      <c r="Q1655" s="225"/>
      <c r="R1655" s="225"/>
    </row>
    <row r="1656" spans="5:18">
      <c r="E1656" s="318"/>
      <c r="G1656" s="213"/>
      <c r="I1656" s="213"/>
      <c r="K1656" s="213"/>
      <c r="L1656" s="318"/>
      <c r="M1656" s="318"/>
      <c r="Q1656" s="225"/>
      <c r="R1656" s="225"/>
    </row>
    <row r="1657" spans="5:18">
      <c r="E1657" s="318"/>
      <c r="G1657" s="213"/>
      <c r="I1657" s="213"/>
      <c r="K1657" s="213"/>
      <c r="L1657" s="318"/>
      <c r="M1657" s="318"/>
      <c r="Q1657" s="225"/>
      <c r="R1657" s="225"/>
    </row>
    <row r="1658" spans="5:18">
      <c r="E1658" s="318"/>
      <c r="G1658" s="213"/>
      <c r="I1658" s="213"/>
      <c r="K1658" s="213"/>
      <c r="L1658" s="318"/>
      <c r="M1658" s="318"/>
      <c r="Q1658" s="225"/>
      <c r="R1658" s="225"/>
    </row>
    <row r="1659" spans="5:18">
      <c r="E1659" s="318"/>
      <c r="G1659" s="213"/>
      <c r="I1659" s="213"/>
      <c r="K1659" s="213"/>
      <c r="L1659" s="318"/>
      <c r="M1659" s="318"/>
      <c r="Q1659" s="225"/>
      <c r="R1659" s="225"/>
    </row>
    <row r="1660" spans="5:18">
      <c r="E1660" s="318"/>
      <c r="G1660" s="213"/>
      <c r="I1660" s="213"/>
      <c r="K1660" s="213"/>
      <c r="L1660" s="318"/>
      <c r="M1660" s="318"/>
      <c r="Q1660" s="225"/>
      <c r="R1660" s="225"/>
    </row>
    <row r="1661" spans="5:18">
      <c r="E1661" s="318"/>
      <c r="G1661" s="213"/>
      <c r="I1661" s="213"/>
      <c r="K1661" s="213"/>
      <c r="L1661" s="318"/>
      <c r="M1661" s="318"/>
      <c r="Q1661" s="225"/>
      <c r="R1661" s="225"/>
    </row>
    <row r="1662" spans="5:18">
      <c r="E1662" s="318"/>
      <c r="G1662" s="213"/>
      <c r="I1662" s="213"/>
      <c r="K1662" s="213"/>
      <c r="L1662" s="318"/>
      <c r="M1662" s="318"/>
      <c r="Q1662" s="225"/>
      <c r="R1662" s="225"/>
    </row>
    <row r="1663" spans="5:18">
      <c r="E1663" s="318"/>
      <c r="G1663" s="213"/>
      <c r="I1663" s="213"/>
      <c r="K1663" s="213"/>
      <c r="L1663" s="318"/>
      <c r="M1663" s="318"/>
      <c r="Q1663" s="225"/>
      <c r="R1663" s="225"/>
    </row>
    <row r="1664" spans="5:18">
      <c r="E1664" s="318"/>
      <c r="G1664" s="213"/>
      <c r="I1664" s="213"/>
      <c r="K1664" s="213"/>
      <c r="L1664" s="318"/>
      <c r="M1664" s="318"/>
      <c r="Q1664" s="225"/>
      <c r="R1664" s="225"/>
    </row>
    <row r="1665" spans="5:18">
      <c r="E1665" s="318"/>
      <c r="G1665" s="213"/>
      <c r="I1665" s="213"/>
      <c r="K1665" s="213"/>
      <c r="L1665" s="318"/>
      <c r="M1665" s="318"/>
      <c r="Q1665" s="225"/>
      <c r="R1665" s="225"/>
    </row>
    <row r="1666" spans="5:18">
      <c r="E1666" s="318"/>
      <c r="G1666" s="213"/>
      <c r="I1666" s="213"/>
      <c r="K1666" s="213"/>
      <c r="L1666" s="318"/>
      <c r="M1666" s="318"/>
      <c r="Q1666" s="225"/>
      <c r="R1666" s="225"/>
    </row>
    <row r="1667" spans="5:18">
      <c r="E1667" s="318"/>
      <c r="G1667" s="213"/>
      <c r="I1667" s="213"/>
      <c r="K1667" s="213"/>
      <c r="L1667" s="318"/>
      <c r="M1667" s="318"/>
      <c r="Q1667" s="225"/>
      <c r="R1667" s="225"/>
    </row>
    <row r="1668" spans="5:18">
      <c r="E1668" s="318"/>
      <c r="G1668" s="213"/>
      <c r="I1668" s="213"/>
      <c r="K1668" s="213"/>
      <c r="L1668" s="318"/>
      <c r="M1668" s="318"/>
      <c r="Q1668" s="225"/>
      <c r="R1668" s="225"/>
    </row>
    <row r="1669" spans="5:18">
      <c r="E1669" s="318"/>
      <c r="G1669" s="213"/>
      <c r="I1669" s="213"/>
      <c r="K1669" s="213"/>
      <c r="L1669" s="318"/>
      <c r="M1669" s="318"/>
      <c r="Q1669" s="225"/>
      <c r="R1669" s="225"/>
    </row>
    <row r="1670" spans="5:18">
      <c r="E1670" s="318"/>
      <c r="G1670" s="213"/>
      <c r="I1670" s="213"/>
      <c r="K1670" s="213"/>
      <c r="L1670" s="318"/>
      <c r="M1670" s="318"/>
      <c r="Q1670" s="225"/>
      <c r="R1670" s="225"/>
    </row>
    <row r="1671" spans="5:18">
      <c r="E1671" s="318"/>
      <c r="G1671" s="213"/>
      <c r="I1671" s="213"/>
      <c r="K1671" s="213"/>
      <c r="L1671" s="318"/>
      <c r="M1671" s="318"/>
      <c r="Q1671" s="225"/>
      <c r="R1671" s="225"/>
    </row>
    <row r="1672" spans="5:18">
      <c r="E1672" s="318"/>
      <c r="G1672" s="213"/>
      <c r="I1672" s="213"/>
      <c r="K1672" s="213"/>
      <c r="L1672" s="318"/>
      <c r="M1672" s="318"/>
      <c r="Q1672" s="225"/>
      <c r="R1672" s="225"/>
    </row>
    <row r="1673" spans="5:18">
      <c r="E1673" s="318"/>
      <c r="G1673" s="213"/>
      <c r="I1673" s="213"/>
      <c r="K1673" s="213"/>
      <c r="L1673" s="318"/>
      <c r="M1673" s="318"/>
      <c r="Q1673" s="225"/>
      <c r="R1673" s="225"/>
    </row>
    <row r="1674" spans="5:18">
      <c r="E1674" s="318"/>
      <c r="G1674" s="213"/>
      <c r="I1674" s="213"/>
      <c r="K1674" s="213"/>
      <c r="L1674" s="318"/>
      <c r="M1674" s="318"/>
      <c r="Q1674" s="225"/>
      <c r="R1674" s="225"/>
    </row>
    <row r="1675" spans="5:18">
      <c r="E1675" s="318"/>
      <c r="G1675" s="213"/>
      <c r="I1675" s="213"/>
      <c r="K1675" s="213"/>
      <c r="L1675" s="318"/>
      <c r="M1675" s="318"/>
      <c r="Q1675" s="225"/>
      <c r="R1675" s="225"/>
    </row>
    <row r="1676" spans="5:18">
      <c r="E1676" s="318"/>
      <c r="G1676" s="213"/>
      <c r="I1676" s="213"/>
      <c r="K1676" s="213"/>
      <c r="L1676" s="318"/>
      <c r="M1676" s="318"/>
      <c r="Q1676" s="225"/>
      <c r="R1676" s="225"/>
    </row>
    <row r="1677" spans="5:18">
      <c r="E1677" s="318"/>
      <c r="G1677" s="213"/>
      <c r="I1677" s="213"/>
      <c r="K1677" s="213"/>
      <c r="L1677" s="318"/>
      <c r="M1677" s="318"/>
      <c r="Q1677" s="225"/>
      <c r="R1677" s="225"/>
    </row>
    <row r="1678" spans="5:18">
      <c r="E1678" s="318"/>
      <c r="G1678" s="213"/>
      <c r="I1678" s="213"/>
      <c r="K1678" s="213"/>
      <c r="L1678" s="318"/>
      <c r="M1678" s="318"/>
      <c r="Q1678" s="225"/>
      <c r="R1678" s="225"/>
    </row>
    <row r="1679" spans="5:18">
      <c r="E1679" s="318"/>
      <c r="G1679" s="213"/>
      <c r="I1679" s="213"/>
      <c r="K1679" s="213"/>
      <c r="L1679" s="318"/>
      <c r="M1679" s="318"/>
      <c r="Q1679" s="225"/>
      <c r="R1679" s="225"/>
    </row>
    <row r="1680" spans="5:18">
      <c r="E1680" s="318"/>
      <c r="G1680" s="213"/>
      <c r="I1680" s="213"/>
      <c r="K1680" s="213"/>
      <c r="L1680" s="318"/>
      <c r="M1680" s="318"/>
      <c r="Q1680" s="225"/>
      <c r="R1680" s="225"/>
    </row>
    <row r="1681" spans="5:18">
      <c r="E1681" s="318"/>
      <c r="G1681" s="213"/>
      <c r="I1681" s="213"/>
      <c r="K1681" s="213"/>
      <c r="L1681" s="318"/>
      <c r="M1681" s="318"/>
      <c r="Q1681" s="225"/>
      <c r="R1681" s="225"/>
    </row>
    <row r="1682" spans="5:18">
      <c r="E1682" s="318"/>
      <c r="G1682" s="213"/>
      <c r="I1682" s="213"/>
      <c r="K1682" s="213"/>
      <c r="L1682" s="318"/>
      <c r="M1682" s="318"/>
      <c r="Q1682" s="225"/>
      <c r="R1682" s="225"/>
    </row>
    <row r="1683" spans="5:18">
      <c r="E1683" s="318"/>
      <c r="G1683" s="213"/>
      <c r="I1683" s="213"/>
      <c r="K1683" s="213"/>
      <c r="L1683" s="318"/>
      <c r="M1683" s="318"/>
      <c r="Q1683" s="225"/>
      <c r="R1683" s="225"/>
    </row>
    <row r="1684" spans="5:18">
      <c r="E1684" s="318"/>
      <c r="G1684" s="213"/>
      <c r="I1684" s="213"/>
      <c r="K1684" s="213"/>
      <c r="L1684" s="318"/>
      <c r="M1684" s="318"/>
      <c r="Q1684" s="225"/>
      <c r="R1684" s="225"/>
    </row>
    <row r="1685" spans="5:18">
      <c r="E1685" s="318"/>
      <c r="G1685" s="213"/>
      <c r="I1685" s="213"/>
      <c r="K1685" s="213"/>
      <c r="L1685" s="318"/>
      <c r="M1685" s="318"/>
      <c r="Q1685" s="225"/>
      <c r="R1685" s="225"/>
    </row>
    <row r="1686" spans="5:18">
      <c r="E1686" s="318"/>
      <c r="G1686" s="213"/>
      <c r="I1686" s="213"/>
      <c r="K1686" s="213"/>
      <c r="L1686" s="318"/>
      <c r="M1686" s="318"/>
      <c r="Q1686" s="225"/>
      <c r="R1686" s="225"/>
    </row>
    <row r="1687" spans="5:18">
      <c r="E1687" s="318"/>
      <c r="G1687" s="213"/>
      <c r="I1687" s="213"/>
      <c r="K1687" s="213"/>
      <c r="L1687" s="318"/>
      <c r="M1687" s="318"/>
      <c r="Q1687" s="225"/>
      <c r="R1687" s="225"/>
    </row>
    <row r="1688" spans="5:18">
      <c r="E1688" s="318"/>
      <c r="G1688" s="213"/>
      <c r="I1688" s="213"/>
      <c r="K1688" s="213"/>
      <c r="L1688" s="318"/>
      <c r="M1688" s="318"/>
      <c r="Q1688" s="225"/>
      <c r="R1688" s="225"/>
    </row>
    <row r="1689" spans="5:18">
      <c r="E1689" s="318"/>
      <c r="G1689" s="213"/>
      <c r="I1689" s="213"/>
      <c r="K1689" s="213"/>
      <c r="L1689" s="318"/>
      <c r="M1689" s="318"/>
      <c r="Q1689" s="225"/>
      <c r="R1689" s="225"/>
    </row>
    <row r="1690" spans="5:18">
      <c r="E1690" s="318"/>
      <c r="G1690" s="213"/>
      <c r="I1690" s="213"/>
      <c r="K1690" s="213"/>
      <c r="L1690" s="318"/>
      <c r="M1690" s="318"/>
      <c r="Q1690" s="225"/>
      <c r="R1690" s="225"/>
    </row>
    <row r="1691" spans="5:18">
      <c r="E1691" s="318"/>
      <c r="G1691" s="213"/>
      <c r="I1691" s="213"/>
      <c r="K1691" s="213"/>
      <c r="L1691" s="318"/>
      <c r="M1691" s="318"/>
      <c r="Q1691" s="225"/>
      <c r="R1691" s="225"/>
    </row>
    <row r="1692" spans="5:18">
      <c r="E1692" s="318"/>
      <c r="G1692" s="213"/>
      <c r="I1692" s="213"/>
      <c r="K1692" s="213"/>
      <c r="L1692" s="318"/>
      <c r="M1692" s="318"/>
      <c r="Q1692" s="225"/>
      <c r="R1692" s="225"/>
    </row>
    <row r="1693" spans="5:18">
      <c r="E1693" s="318"/>
      <c r="G1693" s="213"/>
      <c r="I1693" s="213"/>
      <c r="K1693" s="213"/>
      <c r="L1693" s="318"/>
      <c r="M1693" s="318"/>
      <c r="Q1693" s="225"/>
      <c r="R1693" s="225"/>
    </row>
    <row r="1694" spans="5:18">
      <c r="E1694" s="318"/>
      <c r="G1694" s="213"/>
      <c r="I1694" s="213"/>
      <c r="K1694" s="213"/>
      <c r="L1694" s="318"/>
      <c r="M1694" s="318"/>
      <c r="Q1694" s="225"/>
      <c r="R1694" s="225"/>
    </row>
    <row r="1695" spans="5:18">
      <c r="E1695" s="318"/>
      <c r="G1695" s="213"/>
      <c r="I1695" s="213"/>
      <c r="K1695" s="213"/>
      <c r="L1695" s="318"/>
      <c r="M1695" s="318"/>
      <c r="Q1695" s="225"/>
      <c r="R1695" s="225"/>
    </row>
    <row r="1696" spans="5:18">
      <c r="E1696" s="318"/>
      <c r="G1696" s="213"/>
      <c r="I1696" s="213"/>
      <c r="K1696" s="213"/>
      <c r="L1696" s="318"/>
      <c r="M1696" s="318"/>
      <c r="Q1696" s="225"/>
      <c r="R1696" s="225"/>
    </row>
    <row r="1697" spans="5:18">
      <c r="E1697" s="318"/>
      <c r="G1697" s="213"/>
      <c r="I1697" s="213"/>
      <c r="K1697" s="213"/>
      <c r="L1697" s="318"/>
      <c r="M1697" s="318"/>
      <c r="Q1697" s="225"/>
      <c r="R1697" s="225"/>
    </row>
    <row r="1698" spans="5:18">
      <c r="E1698" s="318"/>
      <c r="G1698" s="213"/>
      <c r="I1698" s="213"/>
      <c r="K1698" s="213"/>
      <c r="L1698" s="318"/>
      <c r="M1698" s="318"/>
      <c r="Q1698" s="225"/>
      <c r="R1698" s="225"/>
    </row>
    <row r="1699" spans="5:18">
      <c r="E1699" s="318"/>
      <c r="G1699" s="213"/>
      <c r="I1699" s="213"/>
      <c r="K1699" s="213"/>
      <c r="L1699" s="318"/>
      <c r="M1699" s="318"/>
      <c r="Q1699" s="225"/>
      <c r="R1699" s="225"/>
    </row>
    <row r="1700" spans="5:18">
      <c r="E1700" s="318"/>
      <c r="G1700" s="213"/>
      <c r="I1700" s="213"/>
      <c r="K1700" s="213"/>
      <c r="L1700" s="318"/>
      <c r="M1700" s="318"/>
      <c r="Q1700" s="225"/>
      <c r="R1700" s="225"/>
    </row>
    <row r="1701" spans="5:18">
      <c r="E1701" s="318"/>
      <c r="G1701" s="213"/>
      <c r="I1701" s="213"/>
      <c r="K1701" s="213"/>
      <c r="L1701" s="318"/>
      <c r="M1701" s="318"/>
      <c r="Q1701" s="225"/>
      <c r="R1701" s="225"/>
    </row>
    <row r="1702" spans="5:18">
      <c r="E1702" s="318"/>
      <c r="G1702" s="213"/>
      <c r="I1702" s="213"/>
      <c r="K1702" s="213"/>
      <c r="L1702" s="318"/>
      <c r="M1702" s="318"/>
      <c r="Q1702" s="225"/>
      <c r="R1702" s="225"/>
    </row>
    <row r="1703" spans="5:18">
      <c r="E1703" s="318"/>
      <c r="G1703" s="213"/>
      <c r="I1703" s="213"/>
      <c r="K1703" s="213"/>
      <c r="L1703" s="318"/>
      <c r="M1703" s="318"/>
      <c r="Q1703" s="225"/>
      <c r="R1703" s="225"/>
    </row>
    <row r="1704" spans="5:18">
      <c r="E1704" s="318"/>
      <c r="G1704" s="213"/>
      <c r="I1704" s="213"/>
      <c r="K1704" s="213"/>
      <c r="L1704" s="318"/>
      <c r="M1704" s="318"/>
      <c r="Q1704" s="225"/>
      <c r="R1704" s="225"/>
    </row>
    <row r="1705" spans="5:18">
      <c r="E1705" s="318"/>
      <c r="G1705" s="213"/>
      <c r="I1705" s="213"/>
      <c r="K1705" s="213"/>
      <c r="L1705" s="318"/>
      <c r="M1705" s="318"/>
      <c r="Q1705" s="225"/>
      <c r="R1705" s="225"/>
    </row>
    <row r="1706" spans="5:18">
      <c r="E1706" s="318"/>
      <c r="G1706" s="213"/>
      <c r="I1706" s="213"/>
      <c r="K1706" s="213"/>
      <c r="L1706" s="318"/>
      <c r="M1706" s="318"/>
      <c r="Q1706" s="225"/>
      <c r="R1706" s="225"/>
    </row>
    <row r="1707" spans="5:18">
      <c r="E1707" s="318"/>
      <c r="G1707" s="213"/>
      <c r="I1707" s="213"/>
      <c r="K1707" s="213"/>
      <c r="L1707" s="318"/>
      <c r="M1707" s="318"/>
      <c r="Q1707" s="225"/>
      <c r="R1707" s="225"/>
    </row>
    <row r="1708" spans="5:18">
      <c r="E1708" s="318"/>
      <c r="G1708" s="213"/>
      <c r="I1708" s="213"/>
      <c r="K1708" s="213"/>
      <c r="L1708" s="318"/>
      <c r="M1708" s="318"/>
      <c r="Q1708" s="225"/>
      <c r="R1708" s="225"/>
    </row>
    <row r="1709" spans="5:18">
      <c r="E1709" s="318"/>
      <c r="G1709" s="213"/>
      <c r="I1709" s="213"/>
      <c r="K1709" s="213"/>
      <c r="L1709" s="318"/>
      <c r="M1709" s="318"/>
      <c r="Q1709" s="225"/>
      <c r="R1709" s="225"/>
    </row>
    <row r="1710" spans="5:18">
      <c r="E1710" s="318"/>
      <c r="G1710" s="213"/>
      <c r="I1710" s="213"/>
      <c r="K1710" s="213"/>
      <c r="L1710" s="318"/>
      <c r="M1710" s="318"/>
      <c r="Q1710" s="225"/>
      <c r="R1710" s="225"/>
    </row>
    <row r="1711" spans="5:18">
      <c r="E1711" s="318"/>
      <c r="G1711" s="213"/>
      <c r="I1711" s="213"/>
      <c r="K1711" s="213"/>
      <c r="L1711" s="318"/>
      <c r="M1711" s="318"/>
      <c r="Q1711" s="225"/>
      <c r="R1711" s="225"/>
    </row>
    <row r="1712" spans="5:18">
      <c r="E1712" s="318"/>
      <c r="G1712" s="213"/>
      <c r="I1712" s="213"/>
      <c r="K1712" s="213"/>
      <c r="L1712" s="318"/>
      <c r="M1712" s="318"/>
      <c r="Q1712" s="225"/>
      <c r="R1712" s="225"/>
    </row>
    <row r="1713" spans="5:18">
      <c r="E1713" s="318"/>
      <c r="G1713" s="213"/>
      <c r="I1713" s="213"/>
      <c r="K1713" s="213"/>
      <c r="L1713" s="318"/>
      <c r="M1713" s="318"/>
      <c r="Q1713" s="225"/>
      <c r="R1713" s="225"/>
    </row>
    <row r="1714" spans="5:18">
      <c r="E1714" s="318"/>
      <c r="G1714" s="213"/>
      <c r="I1714" s="213"/>
      <c r="K1714" s="213"/>
      <c r="L1714" s="318"/>
      <c r="M1714" s="318"/>
      <c r="Q1714" s="225"/>
      <c r="R1714" s="225"/>
    </row>
    <row r="1715" spans="5:18">
      <c r="E1715" s="318"/>
      <c r="G1715" s="213"/>
      <c r="I1715" s="213"/>
      <c r="K1715" s="213"/>
      <c r="L1715" s="318"/>
      <c r="M1715" s="318"/>
      <c r="Q1715" s="225"/>
      <c r="R1715" s="225"/>
    </row>
    <row r="1716" spans="5:18">
      <c r="E1716" s="318"/>
      <c r="G1716" s="213"/>
      <c r="I1716" s="213"/>
      <c r="K1716" s="213"/>
      <c r="L1716" s="318"/>
      <c r="M1716" s="318"/>
      <c r="Q1716" s="225"/>
      <c r="R1716" s="225"/>
    </row>
    <row r="1717" spans="5:18">
      <c r="E1717" s="318"/>
      <c r="G1717" s="213"/>
      <c r="I1717" s="213"/>
      <c r="K1717" s="213"/>
      <c r="L1717" s="318"/>
      <c r="M1717" s="318"/>
      <c r="Q1717" s="225"/>
      <c r="R1717" s="225"/>
    </row>
    <row r="1718" spans="5:18">
      <c r="E1718" s="318"/>
      <c r="G1718" s="213"/>
      <c r="I1718" s="213"/>
      <c r="K1718" s="213"/>
      <c r="L1718" s="318"/>
      <c r="M1718" s="318"/>
      <c r="Q1718" s="225"/>
      <c r="R1718" s="225"/>
    </row>
    <row r="1719" spans="5:18">
      <c r="E1719" s="318"/>
      <c r="G1719" s="213"/>
      <c r="I1719" s="213"/>
      <c r="K1719" s="213"/>
      <c r="L1719" s="318"/>
      <c r="M1719" s="318"/>
      <c r="Q1719" s="225"/>
      <c r="R1719" s="225"/>
    </row>
    <row r="1720" spans="5:18">
      <c r="E1720" s="318"/>
      <c r="G1720" s="213"/>
      <c r="I1720" s="213"/>
      <c r="K1720" s="213"/>
      <c r="L1720" s="318"/>
      <c r="M1720" s="318"/>
      <c r="Q1720" s="225"/>
      <c r="R1720" s="225"/>
    </row>
    <row r="1721" spans="5:18">
      <c r="E1721" s="318"/>
      <c r="G1721" s="213"/>
      <c r="I1721" s="213"/>
      <c r="K1721" s="213"/>
      <c r="L1721" s="318"/>
      <c r="M1721" s="318"/>
      <c r="Q1721" s="225"/>
      <c r="R1721" s="225"/>
    </row>
    <row r="1722" spans="5:18">
      <c r="E1722" s="318"/>
      <c r="G1722" s="213"/>
      <c r="I1722" s="213"/>
      <c r="K1722" s="213"/>
      <c r="L1722" s="318"/>
      <c r="M1722" s="318"/>
      <c r="Q1722" s="225"/>
      <c r="R1722" s="225"/>
    </row>
    <row r="1723" spans="5:18">
      <c r="E1723" s="318"/>
      <c r="G1723" s="213"/>
      <c r="I1723" s="213"/>
      <c r="K1723" s="213"/>
      <c r="L1723" s="318"/>
      <c r="M1723" s="318"/>
      <c r="Q1723" s="225"/>
      <c r="R1723" s="225"/>
    </row>
    <row r="1724" spans="5:18">
      <c r="E1724" s="318"/>
      <c r="G1724" s="213"/>
      <c r="I1724" s="213"/>
      <c r="K1724" s="213"/>
      <c r="L1724" s="318"/>
      <c r="M1724" s="318"/>
      <c r="Q1724" s="225"/>
      <c r="R1724" s="225"/>
    </row>
    <row r="1725" spans="5:18">
      <c r="E1725" s="318"/>
      <c r="G1725" s="213"/>
      <c r="I1725" s="213"/>
      <c r="K1725" s="213"/>
      <c r="L1725" s="318"/>
      <c r="M1725" s="318"/>
      <c r="Q1725" s="225"/>
      <c r="R1725" s="225"/>
    </row>
    <row r="1726" spans="5:18">
      <c r="E1726" s="318"/>
      <c r="G1726" s="213"/>
      <c r="I1726" s="213"/>
      <c r="K1726" s="213"/>
      <c r="L1726" s="318"/>
      <c r="M1726" s="318"/>
      <c r="Q1726" s="225"/>
      <c r="R1726" s="225"/>
    </row>
    <row r="1727" spans="5:18">
      <c r="E1727" s="318"/>
      <c r="G1727" s="213"/>
      <c r="I1727" s="213"/>
      <c r="K1727" s="213"/>
      <c r="L1727" s="318"/>
      <c r="M1727" s="318"/>
      <c r="Q1727" s="225"/>
      <c r="R1727" s="225"/>
    </row>
    <row r="1728" spans="5:18">
      <c r="E1728" s="318"/>
      <c r="G1728" s="213"/>
      <c r="I1728" s="213"/>
      <c r="K1728" s="213"/>
      <c r="L1728" s="318"/>
      <c r="M1728" s="318"/>
      <c r="Q1728" s="225"/>
      <c r="R1728" s="225"/>
    </row>
    <row r="1729" spans="5:18">
      <c r="E1729" s="318"/>
      <c r="G1729" s="213"/>
      <c r="I1729" s="213"/>
      <c r="K1729" s="213"/>
      <c r="L1729" s="318"/>
      <c r="M1729" s="318"/>
      <c r="Q1729" s="225"/>
      <c r="R1729" s="225"/>
    </row>
    <row r="1730" spans="5:18">
      <c r="E1730" s="318"/>
      <c r="G1730" s="213"/>
      <c r="I1730" s="213"/>
      <c r="K1730" s="213"/>
      <c r="L1730" s="318"/>
      <c r="M1730" s="318"/>
      <c r="Q1730" s="225"/>
      <c r="R1730" s="225"/>
    </row>
    <row r="1731" spans="5:18">
      <c r="E1731" s="318"/>
      <c r="G1731" s="213"/>
      <c r="I1731" s="213"/>
      <c r="K1731" s="213"/>
      <c r="L1731" s="318"/>
      <c r="M1731" s="318"/>
      <c r="Q1731" s="225"/>
      <c r="R1731" s="225"/>
    </row>
    <row r="1732" spans="5:18">
      <c r="E1732" s="318"/>
      <c r="G1732" s="213"/>
      <c r="I1732" s="213"/>
      <c r="K1732" s="213"/>
      <c r="L1732" s="318"/>
      <c r="M1732" s="318"/>
      <c r="Q1732" s="225"/>
      <c r="R1732" s="225"/>
    </row>
    <row r="1733" spans="5:18">
      <c r="E1733" s="318"/>
      <c r="G1733" s="213"/>
      <c r="I1733" s="213"/>
      <c r="K1733" s="213"/>
      <c r="L1733" s="318"/>
      <c r="M1733" s="318"/>
      <c r="Q1733" s="225"/>
      <c r="R1733" s="225"/>
    </row>
    <row r="1734" spans="5:18">
      <c r="E1734" s="318"/>
      <c r="G1734" s="213"/>
      <c r="I1734" s="213"/>
      <c r="K1734" s="213"/>
      <c r="L1734" s="318"/>
      <c r="M1734" s="318"/>
      <c r="Q1734" s="225"/>
      <c r="R1734" s="225"/>
    </row>
    <row r="1735" spans="5:18">
      <c r="E1735" s="318"/>
      <c r="G1735" s="213"/>
      <c r="I1735" s="213"/>
      <c r="K1735" s="213"/>
      <c r="L1735" s="318"/>
      <c r="M1735" s="318"/>
      <c r="Q1735" s="225"/>
      <c r="R1735" s="225"/>
    </row>
    <row r="1736" spans="5:18">
      <c r="E1736" s="318"/>
      <c r="G1736" s="213"/>
      <c r="I1736" s="213"/>
      <c r="K1736" s="213"/>
      <c r="L1736" s="318"/>
      <c r="M1736" s="318"/>
      <c r="Q1736" s="225"/>
      <c r="R1736" s="225"/>
    </row>
    <row r="1737" spans="5:18">
      <c r="E1737" s="318"/>
      <c r="G1737" s="213"/>
      <c r="I1737" s="213"/>
      <c r="K1737" s="213"/>
      <c r="L1737" s="318"/>
      <c r="M1737" s="318"/>
      <c r="Q1737" s="225"/>
      <c r="R1737" s="225"/>
    </row>
    <row r="1738" spans="5:18">
      <c r="E1738" s="318"/>
      <c r="G1738" s="213"/>
      <c r="I1738" s="213"/>
      <c r="K1738" s="213"/>
      <c r="L1738" s="318"/>
      <c r="M1738" s="318"/>
      <c r="Q1738" s="225"/>
      <c r="R1738" s="225"/>
    </row>
    <row r="1739" spans="5:18">
      <c r="E1739" s="318"/>
      <c r="G1739" s="213"/>
      <c r="I1739" s="213"/>
      <c r="K1739" s="213"/>
      <c r="L1739" s="318"/>
      <c r="M1739" s="318"/>
      <c r="Q1739" s="225"/>
      <c r="R1739" s="225"/>
    </row>
    <row r="1740" spans="5:18">
      <c r="E1740" s="318"/>
      <c r="G1740" s="213"/>
      <c r="I1740" s="213"/>
      <c r="K1740" s="213"/>
      <c r="L1740" s="318"/>
      <c r="M1740" s="318"/>
      <c r="Q1740" s="225"/>
      <c r="R1740" s="225"/>
    </row>
    <row r="1741" spans="5:18">
      <c r="E1741" s="318"/>
      <c r="G1741" s="213"/>
      <c r="I1741" s="213"/>
      <c r="K1741" s="213"/>
      <c r="L1741" s="318"/>
      <c r="M1741" s="318"/>
      <c r="Q1741" s="225"/>
      <c r="R1741" s="225"/>
    </row>
    <row r="1742" spans="5:18">
      <c r="E1742" s="318"/>
      <c r="G1742" s="213"/>
      <c r="I1742" s="213"/>
      <c r="K1742" s="213"/>
      <c r="L1742" s="318"/>
      <c r="M1742" s="318"/>
      <c r="Q1742" s="225"/>
      <c r="R1742" s="225"/>
    </row>
    <row r="1743" spans="5:18">
      <c r="E1743" s="318"/>
      <c r="G1743" s="213"/>
      <c r="I1743" s="213"/>
      <c r="K1743" s="213"/>
      <c r="L1743" s="318"/>
      <c r="M1743" s="318"/>
      <c r="Q1743" s="225"/>
      <c r="R1743" s="225"/>
    </row>
    <row r="1744" spans="5:18">
      <c r="E1744" s="318"/>
      <c r="G1744" s="213"/>
      <c r="I1744" s="213"/>
      <c r="K1744" s="213"/>
      <c r="L1744" s="318"/>
      <c r="M1744" s="318"/>
      <c r="Q1744" s="225"/>
      <c r="R1744" s="225"/>
    </row>
    <row r="1745" spans="5:18">
      <c r="E1745" s="318"/>
      <c r="G1745" s="213"/>
      <c r="I1745" s="213"/>
      <c r="K1745" s="213"/>
      <c r="L1745" s="318"/>
      <c r="M1745" s="318"/>
      <c r="Q1745" s="225"/>
      <c r="R1745" s="225"/>
    </row>
    <row r="1746" spans="5:18">
      <c r="E1746" s="318"/>
      <c r="G1746" s="213"/>
      <c r="I1746" s="213"/>
      <c r="K1746" s="213"/>
      <c r="L1746" s="318"/>
      <c r="M1746" s="318"/>
      <c r="Q1746" s="225"/>
      <c r="R1746" s="225"/>
    </row>
    <row r="1747" spans="5:18">
      <c r="E1747" s="318"/>
      <c r="G1747" s="213"/>
      <c r="I1747" s="213"/>
      <c r="K1747" s="213"/>
      <c r="L1747" s="318"/>
      <c r="M1747" s="318"/>
      <c r="Q1747" s="225"/>
      <c r="R1747" s="225"/>
    </row>
    <row r="1748" spans="5:18">
      <c r="E1748" s="318"/>
      <c r="G1748" s="213"/>
      <c r="I1748" s="213"/>
      <c r="K1748" s="213"/>
      <c r="L1748" s="318"/>
      <c r="M1748" s="318"/>
      <c r="Q1748" s="225"/>
      <c r="R1748" s="225"/>
    </row>
    <row r="1749" spans="5:18">
      <c r="E1749" s="318"/>
      <c r="G1749" s="213"/>
      <c r="I1749" s="213"/>
      <c r="K1749" s="213"/>
      <c r="L1749" s="318"/>
      <c r="M1749" s="318"/>
      <c r="Q1749" s="225"/>
      <c r="R1749" s="225"/>
    </row>
    <row r="1750" spans="5:18">
      <c r="E1750" s="318"/>
      <c r="G1750" s="213"/>
      <c r="I1750" s="213"/>
      <c r="K1750" s="213"/>
      <c r="L1750" s="318"/>
      <c r="M1750" s="318"/>
      <c r="Q1750" s="225"/>
      <c r="R1750" s="225"/>
    </row>
    <row r="1751" spans="5:18">
      <c r="E1751" s="318"/>
      <c r="G1751" s="213"/>
      <c r="I1751" s="213"/>
      <c r="K1751" s="213"/>
      <c r="L1751" s="318"/>
      <c r="M1751" s="318"/>
      <c r="Q1751" s="225"/>
      <c r="R1751" s="225"/>
    </row>
    <row r="1752" spans="5:18">
      <c r="E1752" s="318"/>
      <c r="G1752" s="213"/>
      <c r="I1752" s="213"/>
      <c r="K1752" s="213"/>
      <c r="L1752" s="318"/>
      <c r="M1752" s="318"/>
      <c r="Q1752" s="225"/>
      <c r="R1752" s="225"/>
    </row>
    <row r="1753" spans="5:18">
      <c r="E1753" s="318"/>
      <c r="G1753" s="213"/>
      <c r="I1753" s="213"/>
      <c r="K1753" s="213"/>
      <c r="L1753" s="318"/>
      <c r="M1753" s="318"/>
      <c r="Q1753" s="225"/>
      <c r="R1753" s="225"/>
    </row>
    <row r="1754" spans="5:18">
      <c r="E1754" s="318"/>
      <c r="G1754" s="213"/>
      <c r="I1754" s="213"/>
      <c r="K1754" s="213"/>
      <c r="L1754" s="318"/>
      <c r="M1754" s="318"/>
      <c r="Q1754" s="225"/>
      <c r="R1754" s="225"/>
    </row>
    <row r="1755" spans="5:18">
      <c r="E1755" s="318"/>
      <c r="G1755" s="213"/>
      <c r="I1755" s="213"/>
      <c r="K1755" s="213"/>
      <c r="L1755" s="318"/>
      <c r="M1755" s="318"/>
      <c r="Q1755" s="225"/>
      <c r="R1755" s="225"/>
    </row>
    <row r="1756" spans="5:18">
      <c r="E1756" s="318"/>
      <c r="G1756" s="213"/>
      <c r="I1756" s="213"/>
      <c r="K1756" s="213"/>
      <c r="L1756" s="318"/>
      <c r="M1756" s="318"/>
      <c r="Q1756" s="225"/>
      <c r="R1756" s="225"/>
    </row>
    <row r="1757" spans="5:18">
      <c r="E1757" s="318"/>
      <c r="G1757" s="213"/>
      <c r="I1757" s="213"/>
      <c r="K1757" s="213"/>
      <c r="L1757" s="318"/>
      <c r="M1757" s="318"/>
      <c r="Q1757" s="225"/>
      <c r="R1757" s="225"/>
    </row>
    <row r="1758" spans="5:18">
      <c r="E1758" s="318"/>
      <c r="G1758" s="213"/>
      <c r="I1758" s="213"/>
      <c r="K1758" s="213"/>
      <c r="L1758" s="318"/>
      <c r="M1758" s="318"/>
      <c r="Q1758" s="225"/>
      <c r="R1758" s="225"/>
    </row>
    <row r="1759" spans="5:18">
      <c r="E1759" s="318"/>
      <c r="G1759" s="213"/>
      <c r="I1759" s="213"/>
      <c r="K1759" s="213"/>
      <c r="L1759" s="318"/>
      <c r="M1759" s="318"/>
      <c r="Q1759" s="225"/>
      <c r="R1759" s="225"/>
    </row>
    <row r="1760" spans="5:18">
      <c r="E1760" s="318"/>
      <c r="G1760" s="213"/>
      <c r="I1760" s="213"/>
      <c r="K1760" s="213"/>
      <c r="L1760" s="318"/>
      <c r="M1760" s="318"/>
      <c r="Q1760" s="225"/>
      <c r="R1760" s="225"/>
    </row>
    <row r="1761" spans="5:18">
      <c r="E1761" s="318"/>
      <c r="G1761" s="213"/>
      <c r="I1761" s="213"/>
      <c r="K1761" s="213"/>
      <c r="L1761" s="318"/>
      <c r="M1761" s="318"/>
      <c r="Q1761" s="225"/>
      <c r="R1761" s="225"/>
    </row>
    <row r="1762" spans="5:18">
      <c r="E1762" s="318"/>
      <c r="G1762" s="213"/>
      <c r="I1762" s="213"/>
      <c r="K1762" s="213"/>
      <c r="L1762" s="318"/>
      <c r="M1762" s="318"/>
      <c r="Q1762" s="225"/>
      <c r="R1762" s="225"/>
    </row>
    <row r="1763" spans="5:18">
      <c r="E1763" s="318"/>
      <c r="G1763" s="213"/>
      <c r="I1763" s="213"/>
      <c r="K1763" s="213"/>
      <c r="L1763" s="318"/>
      <c r="M1763" s="318"/>
      <c r="Q1763" s="225"/>
      <c r="R1763" s="225"/>
    </row>
    <row r="1764" spans="5:18">
      <c r="E1764" s="318"/>
      <c r="G1764" s="213"/>
      <c r="I1764" s="213"/>
      <c r="K1764" s="213"/>
      <c r="L1764" s="318"/>
      <c r="M1764" s="318"/>
      <c r="Q1764" s="225"/>
      <c r="R1764" s="225"/>
    </row>
    <row r="1765" spans="5:18">
      <c r="E1765" s="318"/>
      <c r="G1765" s="213"/>
      <c r="I1765" s="213"/>
      <c r="K1765" s="213"/>
      <c r="L1765" s="318"/>
      <c r="M1765" s="318"/>
      <c r="Q1765" s="225"/>
      <c r="R1765" s="225"/>
    </row>
    <row r="1766" spans="5:18">
      <c r="E1766" s="318"/>
      <c r="G1766" s="213"/>
      <c r="I1766" s="213"/>
      <c r="K1766" s="213"/>
      <c r="L1766" s="318"/>
      <c r="M1766" s="318"/>
      <c r="Q1766" s="225"/>
      <c r="R1766" s="225"/>
    </row>
    <row r="1767" spans="5:18">
      <c r="E1767" s="318"/>
      <c r="G1767" s="213"/>
      <c r="I1767" s="213"/>
      <c r="K1767" s="213"/>
      <c r="L1767" s="318"/>
      <c r="M1767" s="318"/>
      <c r="Q1767" s="225"/>
      <c r="R1767" s="225"/>
    </row>
    <row r="1768" spans="5:18">
      <c r="E1768" s="318"/>
      <c r="G1768" s="213"/>
      <c r="I1768" s="213"/>
      <c r="K1768" s="213"/>
      <c r="L1768" s="318"/>
      <c r="M1768" s="318"/>
      <c r="Q1768" s="225"/>
      <c r="R1768" s="225"/>
    </row>
    <row r="1769" spans="5:18">
      <c r="E1769" s="318"/>
      <c r="G1769" s="213"/>
      <c r="I1769" s="213"/>
      <c r="K1769" s="213"/>
      <c r="L1769" s="318"/>
      <c r="M1769" s="318"/>
      <c r="Q1769" s="225"/>
      <c r="R1769" s="225"/>
    </row>
    <row r="1770" spans="5:18">
      <c r="E1770" s="318"/>
      <c r="G1770" s="213"/>
      <c r="I1770" s="213"/>
      <c r="K1770" s="213"/>
      <c r="L1770" s="318"/>
      <c r="M1770" s="318"/>
      <c r="Q1770" s="225"/>
      <c r="R1770" s="225"/>
    </row>
    <row r="1771" spans="5:18">
      <c r="E1771" s="318"/>
      <c r="G1771" s="213"/>
      <c r="I1771" s="213"/>
      <c r="K1771" s="213"/>
      <c r="L1771" s="318"/>
      <c r="M1771" s="318"/>
      <c r="Q1771" s="225"/>
      <c r="R1771" s="225"/>
    </row>
    <row r="1772" spans="5:18">
      <c r="E1772" s="318"/>
      <c r="G1772" s="213"/>
      <c r="I1772" s="213"/>
      <c r="K1772" s="213"/>
      <c r="L1772" s="318"/>
      <c r="M1772" s="318"/>
      <c r="Q1772" s="225"/>
      <c r="R1772" s="225"/>
    </row>
    <row r="1773" spans="5:18">
      <c r="E1773" s="318"/>
      <c r="G1773" s="213"/>
      <c r="I1773" s="213"/>
      <c r="K1773" s="213"/>
      <c r="L1773" s="318"/>
      <c r="M1773" s="318"/>
      <c r="Q1773" s="225"/>
      <c r="R1773" s="225"/>
    </row>
    <row r="1774" spans="5:18">
      <c r="E1774" s="318"/>
      <c r="G1774" s="213"/>
      <c r="I1774" s="213"/>
      <c r="K1774" s="213"/>
      <c r="L1774" s="318"/>
      <c r="M1774" s="318"/>
      <c r="Q1774" s="225"/>
      <c r="R1774" s="225"/>
    </row>
    <row r="1775" spans="5:18">
      <c r="E1775" s="318"/>
      <c r="G1775" s="213"/>
      <c r="I1775" s="213"/>
      <c r="K1775" s="213"/>
      <c r="L1775" s="318"/>
      <c r="M1775" s="318"/>
      <c r="Q1775" s="225"/>
      <c r="R1775" s="225"/>
    </row>
    <row r="1776" spans="5:18">
      <c r="E1776" s="318"/>
      <c r="G1776" s="213"/>
      <c r="I1776" s="213"/>
      <c r="K1776" s="213"/>
      <c r="L1776" s="318"/>
      <c r="M1776" s="318"/>
      <c r="Q1776" s="225"/>
      <c r="R1776" s="225"/>
    </row>
    <row r="1777" spans="5:18">
      <c r="E1777" s="318"/>
      <c r="G1777" s="213"/>
      <c r="I1777" s="213"/>
      <c r="K1777" s="213"/>
      <c r="L1777" s="318"/>
      <c r="M1777" s="318"/>
      <c r="Q1777" s="225"/>
      <c r="R1777" s="225"/>
    </row>
    <row r="1778" spans="5:18">
      <c r="E1778" s="318"/>
      <c r="G1778" s="213"/>
      <c r="I1778" s="213"/>
      <c r="K1778" s="213"/>
      <c r="L1778" s="318"/>
      <c r="M1778" s="318"/>
      <c r="Q1778" s="225"/>
      <c r="R1778" s="225"/>
    </row>
    <row r="1779" spans="5:18">
      <c r="E1779" s="318"/>
      <c r="G1779" s="213"/>
      <c r="I1779" s="213"/>
      <c r="K1779" s="213"/>
      <c r="L1779" s="318"/>
      <c r="M1779" s="318"/>
      <c r="Q1779" s="225"/>
      <c r="R1779" s="225"/>
    </row>
    <row r="1780" spans="5:18">
      <c r="E1780" s="318"/>
      <c r="G1780" s="213"/>
      <c r="I1780" s="213"/>
      <c r="K1780" s="213"/>
      <c r="L1780" s="318"/>
      <c r="M1780" s="318"/>
      <c r="Q1780" s="225"/>
      <c r="R1780" s="225"/>
    </row>
    <row r="1781" spans="5:18">
      <c r="E1781" s="318"/>
      <c r="G1781" s="213"/>
      <c r="I1781" s="213"/>
      <c r="K1781" s="213"/>
      <c r="L1781" s="318"/>
      <c r="M1781" s="318"/>
      <c r="Q1781" s="225"/>
      <c r="R1781" s="225"/>
    </row>
    <row r="1782" spans="5:18">
      <c r="E1782" s="318"/>
      <c r="G1782" s="213"/>
      <c r="I1782" s="213"/>
      <c r="K1782" s="213"/>
      <c r="L1782" s="318"/>
      <c r="M1782" s="318"/>
      <c r="Q1782" s="225"/>
      <c r="R1782" s="225"/>
    </row>
    <row r="1783" spans="5:18">
      <c r="E1783" s="318"/>
      <c r="G1783" s="213"/>
      <c r="I1783" s="213"/>
      <c r="K1783" s="213"/>
      <c r="L1783" s="318"/>
      <c r="M1783" s="318"/>
      <c r="Q1783" s="225"/>
      <c r="R1783" s="225"/>
    </row>
    <row r="1784" spans="5:18">
      <c r="E1784" s="318"/>
      <c r="G1784" s="213"/>
      <c r="I1784" s="213"/>
      <c r="K1784" s="213"/>
      <c r="L1784" s="318"/>
      <c r="M1784" s="318"/>
      <c r="Q1784" s="225"/>
      <c r="R1784" s="225"/>
    </row>
    <row r="1785" spans="5:18">
      <c r="E1785" s="318"/>
      <c r="G1785" s="213"/>
      <c r="I1785" s="213"/>
      <c r="K1785" s="213"/>
      <c r="L1785" s="318"/>
      <c r="M1785" s="318"/>
      <c r="Q1785" s="225"/>
      <c r="R1785" s="225"/>
    </row>
    <row r="1786" spans="5:18">
      <c r="E1786" s="318"/>
      <c r="G1786" s="213"/>
      <c r="I1786" s="213"/>
      <c r="K1786" s="213"/>
      <c r="L1786" s="318"/>
      <c r="M1786" s="318"/>
      <c r="Q1786" s="225"/>
      <c r="R1786" s="225"/>
    </row>
    <row r="1787" spans="5:18">
      <c r="E1787" s="318"/>
      <c r="G1787" s="213"/>
      <c r="I1787" s="213"/>
      <c r="K1787" s="213"/>
      <c r="L1787" s="318"/>
      <c r="M1787" s="318"/>
      <c r="Q1787" s="225"/>
      <c r="R1787" s="225"/>
    </row>
    <row r="1788" spans="5:18">
      <c r="E1788" s="318"/>
      <c r="G1788" s="213"/>
      <c r="I1788" s="213"/>
      <c r="K1788" s="213"/>
      <c r="L1788" s="318"/>
      <c r="M1788" s="318"/>
      <c r="Q1788" s="225"/>
      <c r="R1788" s="225"/>
    </row>
    <row r="1789" spans="5:18">
      <c r="E1789" s="318"/>
      <c r="G1789" s="213"/>
      <c r="I1789" s="213"/>
      <c r="K1789" s="213"/>
      <c r="L1789" s="318"/>
      <c r="M1789" s="318"/>
      <c r="Q1789" s="225"/>
      <c r="R1789" s="225"/>
    </row>
    <row r="1790" spans="5:18">
      <c r="E1790" s="318"/>
      <c r="G1790" s="213"/>
      <c r="I1790" s="213"/>
      <c r="K1790" s="213"/>
      <c r="L1790" s="318"/>
      <c r="M1790" s="318"/>
      <c r="Q1790" s="225"/>
      <c r="R1790" s="225"/>
    </row>
    <row r="1791" spans="5:18">
      <c r="E1791" s="318"/>
      <c r="G1791" s="213"/>
      <c r="I1791" s="213"/>
      <c r="K1791" s="213"/>
      <c r="L1791" s="318"/>
      <c r="M1791" s="318"/>
      <c r="Q1791" s="225"/>
      <c r="R1791" s="225"/>
    </row>
    <row r="1792" spans="5:18">
      <c r="E1792" s="318"/>
      <c r="G1792" s="213"/>
      <c r="I1792" s="213"/>
      <c r="K1792" s="213"/>
      <c r="L1792" s="318"/>
      <c r="M1792" s="318"/>
      <c r="Q1792" s="225"/>
      <c r="R1792" s="225"/>
    </row>
    <row r="1793" spans="5:18">
      <c r="E1793" s="318"/>
      <c r="G1793" s="213"/>
      <c r="I1793" s="213"/>
      <c r="K1793" s="213"/>
      <c r="L1793" s="318"/>
      <c r="M1793" s="318"/>
      <c r="Q1793" s="225"/>
      <c r="R1793" s="225"/>
    </row>
    <row r="1794" spans="5:18">
      <c r="E1794" s="318"/>
      <c r="G1794" s="213"/>
      <c r="I1794" s="213"/>
      <c r="K1794" s="213"/>
      <c r="L1794" s="318"/>
      <c r="M1794" s="318"/>
      <c r="Q1794" s="225"/>
      <c r="R1794" s="225"/>
    </row>
    <row r="1795" spans="5:18">
      <c r="E1795" s="318"/>
      <c r="G1795" s="213"/>
      <c r="I1795" s="213"/>
      <c r="K1795" s="213"/>
      <c r="L1795" s="318"/>
      <c r="M1795" s="318"/>
      <c r="Q1795" s="225"/>
      <c r="R1795" s="225"/>
    </row>
    <row r="1796" spans="5:18">
      <c r="E1796" s="318"/>
      <c r="G1796" s="213"/>
      <c r="I1796" s="213"/>
      <c r="K1796" s="213"/>
      <c r="L1796" s="318"/>
      <c r="M1796" s="318"/>
      <c r="Q1796" s="225"/>
      <c r="R1796" s="225"/>
    </row>
    <row r="1797" spans="5:18">
      <c r="E1797" s="318"/>
      <c r="G1797" s="213"/>
      <c r="I1797" s="213"/>
      <c r="K1797" s="213"/>
      <c r="L1797" s="318"/>
      <c r="M1797" s="318"/>
      <c r="Q1797" s="225"/>
      <c r="R1797" s="225"/>
    </row>
    <row r="1798" spans="5:18">
      <c r="E1798" s="318"/>
      <c r="G1798" s="213"/>
      <c r="I1798" s="213"/>
      <c r="K1798" s="213"/>
      <c r="L1798" s="318"/>
      <c r="M1798" s="318"/>
      <c r="Q1798" s="225"/>
      <c r="R1798" s="225"/>
    </row>
    <row r="1799" spans="5:18">
      <c r="E1799" s="318"/>
      <c r="G1799" s="213"/>
      <c r="I1799" s="213"/>
      <c r="K1799" s="213"/>
      <c r="L1799" s="318"/>
      <c r="M1799" s="318"/>
      <c r="Q1799" s="225"/>
      <c r="R1799" s="225"/>
    </row>
    <row r="1800" spans="5:18">
      <c r="E1800" s="318"/>
      <c r="G1800" s="213"/>
      <c r="I1800" s="213"/>
      <c r="K1800" s="213"/>
      <c r="L1800" s="318"/>
      <c r="M1800" s="318"/>
      <c r="Q1800" s="225"/>
      <c r="R1800" s="225"/>
    </row>
    <row r="1801" spans="5:18">
      <c r="E1801" s="318"/>
      <c r="G1801" s="213"/>
      <c r="I1801" s="213"/>
      <c r="K1801" s="213"/>
      <c r="L1801" s="318"/>
      <c r="M1801" s="318"/>
      <c r="Q1801" s="225"/>
      <c r="R1801" s="225"/>
    </row>
    <row r="1802" spans="5:18">
      <c r="E1802" s="318"/>
      <c r="G1802" s="213"/>
      <c r="I1802" s="213"/>
      <c r="K1802" s="213"/>
      <c r="L1802" s="318"/>
      <c r="M1802" s="318"/>
      <c r="Q1802" s="225"/>
      <c r="R1802" s="225"/>
    </row>
    <row r="1803" spans="5:18">
      <c r="E1803" s="318"/>
      <c r="G1803" s="213"/>
      <c r="I1803" s="213"/>
      <c r="K1803" s="213"/>
      <c r="L1803" s="318"/>
      <c r="M1803" s="318"/>
      <c r="Q1803" s="225"/>
      <c r="R1803" s="225"/>
    </row>
    <row r="1804" spans="5:18">
      <c r="E1804" s="318"/>
      <c r="G1804" s="213"/>
      <c r="I1804" s="213"/>
      <c r="K1804" s="213"/>
      <c r="L1804" s="318"/>
      <c r="M1804" s="318"/>
      <c r="Q1804" s="225"/>
      <c r="R1804" s="225"/>
    </row>
    <row r="1805" spans="5:18">
      <c r="E1805" s="318"/>
      <c r="G1805" s="213"/>
      <c r="I1805" s="213"/>
      <c r="K1805" s="213"/>
      <c r="L1805" s="318"/>
      <c r="M1805" s="318"/>
      <c r="Q1805" s="225"/>
      <c r="R1805" s="225"/>
    </row>
    <row r="1806" spans="5:18">
      <c r="E1806" s="318"/>
      <c r="G1806" s="213"/>
      <c r="I1806" s="213"/>
      <c r="K1806" s="213"/>
      <c r="L1806" s="318"/>
      <c r="M1806" s="318"/>
      <c r="Q1806" s="225"/>
      <c r="R1806" s="225"/>
    </row>
    <row r="1807" spans="5:18">
      <c r="E1807" s="318"/>
      <c r="G1807" s="213"/>
      <c r="I1807" s="213"/>
      <c r="K1807" s="213"/>
      <c r="L1807" s="318"/>
      <c r="M1807" s="318"/>
      <c r="Q1807" s="225"/>
      <c r="R1807" s="225"/>
    </row>
    <row r="1808" spans="5:18">
      <c r="E1808" s="318"/>
      <c r="G1808" s="213"/>
      <c r="I1808" s="213"/>
      <c r="K1808" s="213"/>
      <c r="L1808" s="318"/>
      <c r="M1808" s="318"/>
      <c r="Q1808" s="225"/>
      <c r="R1808" s="225"/>
    </row>
    <row r="1809" spans="5:18">
      <c r="E1809" s="318"/>
      <c r="G1809" s="213"/>
      <c r="I1809" s="213"/>
      <c r="K1809" s="213"/>
      <c r="L1809" s="318"/>
      <c r="M1809" s="318"/>
      <c r="Q1809" s="225"/>
      <c r="R1809" s="225"/>
    </row>
    <row r="1810" spans="5:18">
      <c r="E1810" s="318"/>
      <c r="G1810" s="213"/>
      <c r="I1810" s="213"/>
      <c r="K1810" s="213"/>
      <c r="L1810" s="318"/>
      <c r="M1810" s="318"/>
      <c r="Q1810" s="225"/>
      <c r="R1810" s="225"/>
    </row>
    <row r="1811" spans="5:18">
      <c r="E1811" s="318"/>
      <c r="G1811" s="213"/>
      <c r="I1811" s="213"/>
      <c r="K1811" s="213"/>
      <c r="L1811" s="318"/>
      <c r="M1811" s="318"/>
      <c r="Q1811" s="225"/>
      <c r="R1811" s="225"/>
    </row>
    <row r="1812" spans="5:18">
      <c r="E1812" s="318"/>
      <c r="G1812" s="213"/>
      <c r="I1812" s="213"/>
      <c r="K1812" s="213"/>
      <c r="L1812" s="318"/>
      <c r="M1812" s="318"/>
      <c r="Q1812" s="225"/>
      <c r="R1812" s="225"/>
    </row>
    <row r="1813" spans="5:18">
      <c r="E1813" s="318"/>
      <c r="G1813" s="213"/>
      <c r="I1813" s="213"/>
      <c r="K1813" s="213"/>
      <c r="L1813" s="318"/>
      <c r="M1813" s="318"/>
      <c r="Q1813" s="225"/>
      <c r="R1813" s="225"/>
    </row>
    <row r="1814" spans="5:18">
      <c r="E1814" s="318"/>
      <c r="G1814" s="213"/>
      <c r="I1814" s="213"/>
      <c r="K1814" s="213"/>
      <c r="L1814" s="318"/>
      <c r="M1814" s="318"/>
      <c r="Q1814" s="225"/>
      <c r="R1814" s="225"/>
    </row>
    <row r="1815" spans="5:18">
      <c r="E1815" s="318"/>
      <c r="G1815" s="213"/>
      <c r="I1815" s="213"/>
      <c r="K1815" s="213"/>
      <c r="L1815" s="318"/>
      <c r="M1815" s="318"/>
      <c r="Q1815" s="225"/>
      <c r="R1815" s="225"/>
    </row>
    <row r="1816" spans="5:18">
      <c r="E1816" s="318"/>
      <c r="G1816" s="213"/>
      <c r="I1816" s="213"/>
      <c r="K1816" s="213"/>
      <c r="L1816" s="318"/>
      <c r="M1816" s="318"/>
      <c r="Q1816" s="225"/>
      <c r="R1816" s="225"/>
    </row>
    <row r="1817" spans="5:18">
      <c r="E1817" s="318"/>
      <c r="G1817" s="213"/>
      <c r="I1817" s="213"/>
      <c r="K1817" s="213"/>
      <c r="L1817" s="318"/>
      <c r="M1817" s="318"/>
      <c r="Q1817" s="225"/>
      <c r="R1817" s="225"/>
    </row>
    <row r="1818" spans="5:18">
      <c r="E1818" s="318"/>
      <c r="G1818" s="213"/>
      <c r="I1818" s="213"/>
      <c r="K1818" s="213"/>
      <c r="L1818" s="318"/>
      <c r="M1818" s="318"/>
      <c r="Q1818" s="225"/>
      <c r="R1818" s="225"/>
    </row>
    <row r="1819" spans="5:18">
      <c r="E1819" s="318"/>
      <c r="G1819" s="213"/>
      <c r="I1819" s="213"/>
      <c r="K1819" s="213"/>
      <c r="L1819" s="318"/>
      <c r="M1819" s="318"/>
      <c r="Q1819" s="225"/>
      <c r="R1819" s="225"/>
    </row>
    <row r="1820" spans="5:18">
      <c r="E1820" s="318"/>
      <c r="G1820" s="213"/>
      <c r="I1820" s="213"/>
      <c r="K1820" s="213"/>
      <c r="L1820" s="318"/>
      <c r="M1820" s="318"/>
      <c r="Q1820" s="225"/>
      <c r="R1820" s="225"/>
    </row>
    <row r="1821" spans="5:18">
      <c r="E1821" s="318"/>
      <c r="G1821" s="213"/>
      <c r="I1821" s="213"/>
      <c r="K1821" s="213"/>
      <c r="L1821" s="318"/>
      <c r="M1821" s="318"/>
      <c r="Q1821" s="225"/>
      <c r="R1821" s="225"/>
    </row>
    <row r="1822" spans="5:18">
      <c r="E1822" s="318"/>
      <c r="G1822" s="213"/>
      <c r="I1822" s="213"/>
      <c r="K1822" s="213"/>
      <c r="L1822" s="318"/>
      <c r="M1822" s="318"/>
      <c r="Q1822" s="225"/>
      <c r="R1822" s="225"/>
    </row>
    <row r="1823" spans="5:18">
      <c r="E1823" s="318"/>
      <c r="G1823" s="213"/>
      <c r="I1823" s="213"/>
      <c r="K1823" s="213"/>
      <c r="L1823" s="318"/>
      <c r="M1823" s="318"/>
      <c r="Q1823" s="225"/>
      <c r="R1823" s="225"/>
    </row>
    <row r="1824" spans="5:18">
      <c r="E1824" s="318"/>
      <c r="G1824" s="213"/>
      <c r="I1824" s="213"/>
      <c r="K1824" s="213"/>
      <c r="L1824" s="318"/>
      <c r="M1824" s="318"/>
      <c r="Q1824" s="225"/>
      <c r="R1824" s="225"/>
    </row>
    <row r="1825" spans="5:18">
      <c r="E1825" s="318"/>
      <c r="G1825" s="213"/>
      <c r="I1825" s="213"/>
      <c r="K1825" s="213"/>
      <c r="L1825" s="318"/>
      <c r="M1825" s="318"/>
      <c r="Q1825" s="225"/>
      <c r="R1825" s="225"/>
    </row>
    <row r="1826" spans="5:18">
      <c r="E1826" s="318"/>
      <c r="G1826" s="213"/>
      <c r="I1826" s="213"/>
      <c r="K1826" s="213"/>
      <c r="L1826" s="318"/>
      <c r="M1826" s="318"/>
      <c r="Q1826" s="225"/>
      <c r="R1826" s="225"/>
    </row>
    <row r="1827" spans="5:18">
      <c r="E1827" s="318"/>
      <c r="G1827" s="213"/>
      <c r="I1827" s="213"/>
      <c r="K1827" s="213"/>
      <c r="L1827" s="318"/>
      <c r="M1827" s="318"/>
      <c r="Q1827" s="225"/>
      <c r="R1827" s="225"/>
    </row>
    <row r="1828" spans="5:18">
      <c r="E1828" s="318"/>
      <c r="G1828" s="213"/>
      <c r="I1828" s="213"/>
      <c r="K1828" s="213"/>
      <c r="L1828" s="318"/>
      <c r="M1828" s="318"/>
      <c r="Q1828" s="225"/>
      <c r="R1828" s="225"/>
    </row>
    <row r="1829" spans="5:18">
      <c r="E1829" s="318"/>
      <c r="G1829" s="213"/>
      <c r="I1829" s="213"/>
      <c r="K1829" s="213"/>
      <c r="L1829" s="318"/>
      <c r="M1829" s="318"/>
      <c r="Q1829" s="225"/>
      <c r="R1829" s="225"/>
    </row>
    <row r="1830" spans="5:18">
      <c r="E1830" s="318"/>
      <c r="G1830" s="213"/>
      <c r="I1830" s="213"/>
      <c r="K1830" s="213"/>
      <c r="L1830" s="318"/>
      <c r="M1830" s="318"/>
      <c r="Q1830" s="225"/>
      <c r="R1830" s="225"/>
    </row>
    <row r="1831" spans="5:18">
      <c r="E1831" s="318"/>
      <c r="G1831" s="213"/>
      <c r="I1831" s="213"/>
      <c r="K1831" s="213"/>
      <c r="L1831" s="318"/>
      <c r="M1831" s="318"/>
      <c r="Q1831" s="225"/>
      <c r="R1831" s="225"/>
    </row>
    <row r="1832" spans="5:18">
      <c r="E1832" s="318"/>
      <c r="G1832" s="213"/>
      <c r="I1832" s="213"/>
      <c r="K1832" s="213"/>
      <c r="L1832" s="318"/>
      <c r="M1832" s="318"/>
      <c r="Q1832" s="225"/>
      <c r="R1832" s="225"/>
    </row>
    <row r="1833" spans="5:18">
      <c r="E1833" s="318"/>
      <c r="G1833" s="213"/>
      <c r="I1833" s="213"/>
      <c r="K1833" s="213"/>
      <c r="L1833" s="318"/>
      <c r="M1833" s="318"/>
      <c r="Q1833" s="225"/>
      <c r="R1833" s="225"/>
    </row>
    <row r="1834" spans="5:18">
      <c r="E1834" s="318"/>
      <c r="G1834" s="213"/>
      <c r="I1834" s="213"/>
      <c r="K1834" s="213"/>
      <c r="L1834" s="318"/>
      <c r="M1834" s="318"/>
      <c r="Q1834" s="225"/>
      <c r="R1834" s="225"/>
    </row>
    <row r="1835" spans="5:18">
      <c r="E1835" s="318"/>
      <c r="G1835" s="213"/>
      <c r="I1835" s="213"/>
      <c r="K1835" s="213"/>
      <c r="L1835" s="318"/>
      <c r="M1835" s="318"/>
      <c r="Q1835" s="225"/>
      <c r="R1835" s="225"/>
    </row>
    <row r="1836" spans="5:18">
      <c r="E1836" s="318"/>
      <c r="G1836" s="213"/>
      <c r="I1836" s="213"/>
      <c r="K1836" s="213"/>
      <c r="L1836" s="318"/>
      <c r="M1836" s="318"/>
      <c r="Q1836" s="225"/>
      <c r="R1836" s="225"/>
    </row>
    <row r="1837" spans="5:18">
      <c r="E1837" s="318"/>
      <c r="G1837" s="213"/>
      <c r="I1837" s="213"/>
      <c r="K1837" s="213"/>
      <c r="L1837" s="318"/>
      <c r="M1837" s="318"/>
      <c r="Q1837" s="225"/>
      <c r="R1837" s="225"/>
    </row>
    <row r="1838" spans="5:18">
      <c r="E1838" s="318"/>
      <c r="G1838" s="213"/>
      <c r="I1838" s="213"/>
      <c r="K1838" s="213"/>
      <c r="L1838" s="318"/>
      <c r="M1838" s="318"/>
      <c r="Q1838" s="225"/>
      <c r="R1838" s="225"/>
    </row>
    <row r="1839" spans="5:18">
      <c r="E1839" s="318"/>
      <c r="G1839" s="213"/>
      <c r="I1839" s="213"/>
      <c r="K1839" s="213"/>
      <c r="L1839" s="318"/>
      <c r="M1839" s="318"/>
      <c r="Q1839" s="225"/>
      <c r="R1839" s="225"/>
    </row>
    <row r="1840" spans="5:18">
      <c r="E1840" s="318"/>
      <c r="G1840" s="213"/>
      <c r="I1840" s="213"/>
      <c r="K1840" s="213"/>
      <c r="L1840" s="318"/>
      <c r="M1840" s="318"/>
      <c r="Q1840" s="225"/>
      <c r="R1840" s="225"/>
    </row>
    <row r="1841" spans="5:18">
      <c r="E1841" s="318"/>
      <c r="G1841" s="213"/>
      <c r="I1841" s="213"/>
      <c r="K1841" s="213"/>
      <c r="L1841" s="318"/>
      <c r="M1841" s="318"/>
      <c r="Q1841" s="225"/>
      <c r="R1841" s="225"/>
    </row>
    <row r="1842" spans="5:18">
      <c r="E1842" s="318"/>
      <c r="G1842" s="213"/>
      <c r="I1842" s="213"/>
      <c r="K1842" s="213"/>
      <c r="L1842" s="318"/>
      <c r="M1842" s="318"/>
      <c r="Q1842" s="225"/>
      <c r="R1842" s="225"/>
    </row>
    <row r="1843" spans="5:18">
      <c r="E1843" s="318"/>
      <c r="G1843" s="213"/>
      <c r="I1843" s="213"/>
      <c r="K1843" s="213"/>
      <c r="L1843" s="318"/>
      <c r="M1843" s="318"/>
      <c r="Q1843" s="225"/>
      <c r="R1843" s="225"/>
    </row>
    <row r="1844" spans="5:18">
      <c r="E1844" s="318"/>
      <c r="G1844" s="213"/>
      <c r="I1844" s="213"/>
      <c r="K1844" s="213"/>
      <c r="L1844" s="318"/>
      <c r="M1844" s="318"/>
      <c r="Q1844" s="225"/>
      <c r="R1844" s="225"/>
    </row>
    <row r="1845" spans="5:18">
      <c r="E1845" s="318"/>
      <c r="G1845" s="213"/>
      <c r="I1845" s="213"/>
      <c r="K1845" s="213"/>
      <c r="L1845" s="318"/>
      <c r="M1845" s="318"/>
      <c r="Q1845" s="225"/>
      <c r="R1845" s="225"/>
    </row>
    <row r="1846" spans="5:18">
      <c r="E1846" s="318"/>
      <c r="G1846" s="213"/>
      <c r="I1846" s="213"/>
      <c r="K1846" s="213"/>
      <c r="L1846" s="318"/>
      <c r="M1846" s="318"/>
      <c r="Q1846" s="225"/>
      <c r="R1846" s="225"/>
    </row>
    <row r="1847" spans="5:18">
      <c r="E1847" s="318"/>
      <c r="G1847" s="213"/>
      <c r="I1847" s="213"/>
      <c r="K1847" s="213"/>
      <c r="L1847" s="318"/>
      <c r="M1847" s="318"/>
      <c r="Q1847" s="225"/>
      <c r="R1847" s="225"/>
    </row>
    <row r="1848" spans="5:18">
      <c r="E1848" s="318"/>
      <c r="G1848" s="213"/>
      <c r="I1848" s="213"/>
      <c r="K1848" s="213"/>
      <c r="L1848" s="318"/>
      <c r="M1848" s="318"/>
      <c r="Q1848" s="225"/>
      <c r="R1848" s="225"/>
    </row>
    <row r="1849" spans="5:18">
      <c r="E1849" s="318"/>
      <c r="G1849" s="213"/>
      <c r="I1849" s="213"/>
      <c r="K1849" s="213"/>
      <c r="L1849" s="318"/>
      <c r="M1849" s="318"/>
      <c r="Q1849" s="225"/>
      <c r="R1849" s="225"/>
    </row>
    <row r="1850" spans="5:18">
      <c r="E1850" s="318"/>
      <c r="G1850" s="213"/>
      <c r="I1850" s="213"/>
      <c r="K1850" s="213"/>
      <c r="L1850" s="318"/>
      <c r="M1850" s="318"/>
      <c r="Q1850" s="225"/>
      <c r="R1850" s="225"/>
    </row>
    <row r="1851" spans="5:18">
      <c r="E1851" s="318"/>
      <c r="G1851" s="213"/>
      <c r="I1851" s="213"/>
      <c r="K1851" s="213"/>
      <c r="L1851" s="318"/>
      <c r="M1851" s="318"/>
      <c r="Q1851" s="225"/>
      <c r="R1851" s="225"/>
    </row>
    <row r="1852" spans="5:18">
      <c r="E1852" s="318"/>
      <c r="G1852" s="213"/>
      <c r="I1852" s="213"/>
      <c r="K1852" s="213"/>
      <c r="L1852" s="318"/>
      <c r="M1852" s="318"/>
      <c r="Q1852" s="225"/>
      <c r="R1852" s="225"/>
    </row>
    <row r="1853" spans="5:18">
      <c r="E1853" s="318"/>
      <c r="G1853" s="213"/>
      <c r="I1853" s="213"/>
      <c r="K1853" s="213"/>
      <c r="L1853" s="318"/>
      <c r="M1853" s="318"/>
      <c r="Q1853" s="225"/>
      <c r="R1853" s="225"/>
    </row>
    <row r="1854" spans="5:18">
      <c r="E1854" s="318"/>
      <c r="G1854" s="213"/>
      <c r="I1854" s="213"/>
      <c r="K1854" s="213"/>
      <c r="L1854" s="318"/>
      <c r="M1854" s="318"/>
      <c r="Q1854" s="225"/>
      <c r="R1854" s="225"/>
    </row>
    <row r="1855" spans="5:18">
      <c r="E1855" s="318"/>
      <c r="G1855" s="213"/>
      <c r="I1855" s="213"/>
      <c r="K1855" s="213"/>
      <c r="L1855" s="318"/>
      <c r="M1855" s="318"/>
      <c r="Q1855" s="225"/>
      <c r="R1855" s="225"/>
    </row>
    <row r="1856" spans="5:18">
      <c r="E1856" s="318"/>
      <c r="G1856" s="213"/>
      <c r="I1856" s="213"/>
      <c r="K1856" s="213"/>
      <c r="L1856" s="318"/>
      <c r="M1856" s="318"/>
      <c r="Q1856" s="225"/>
      <c r="R1856" s="225"/>
    </row>
    <row r="1857" spans="5:18">
      <c r="E1857" s="318"/>
      <c r="G1857" s="213"/>
      <c r="I1857" s="213"/>
      <c r="K1857" s="213"/>
      <c r="L1857" s="318"/>
      <c r="M1857" s="318"/>
      <c r="Q1857" s="225"/>
      <c r="R1857" s="225"/>
    </row>
    <row r="1858" spans="5:18">
      <c r="E1858" s="318"/>
      <c r="G1858" s="213"/>
      <c r="I1858" s="213"/>
      <c r="K1858" s="213"/>
      <c r="L1858" s="318"/>
      <c r="M1858" s="318"/>
      <c r="Q1858" s="225"/>
      <c r="R1858" s="225"/>
    </row>
    <row r="1859" spans="5:18">
      <c r="E1859" s="318"/>
      <c r="G1859" s="213"/>
      <c r="I1859" s="213"/>
      <c r="K1859" s="213"/>
      <c r="L1859" s="318"/>
      <c r="M1859" s="318"/>
      <c r="Q1859" s="225"/>
      <c r="R1859" s="225"/>
    </row>
    <row r="1860" spans="5:18">
      <c r="E1860" s="318"/>
      <c r="G1860" s="213"/>
      <c r="I1860" s="213"/>
      <c r="K1860" s="213"/>
      <c r="L1860" s="318"/>
      <c r="M1860" s="318"/>
      <c r="Q1860" s="225"/>
      <c r="R1860" s="225"/>
    </row>
    <row r="1861" spans="5:18">
      <c r="E1861" s="318"/>
      <c r="G1861" s="213"/>
      <c r="I1861" s="213"/>
      <c r="K1861" s="213"/>
      <c r="L1861" s="318"/>
      <c r="M1861" s="318"/>
      <c r="Q1861" s="225"/>
      <c r="R1861" s="225"/>
    </row>
    <row r="1862" spans="5:18">
      <c r="E1862" s="318"/>
      <c r="G1862" s="213"/>
      <c r="I1862" s="213"/>
      <c r="K1862" s="213"/>
      <c r="L1862" s="318"/>
      <c r="M1862" s="318"/>
      <c r="Q1862" s="225"/>
      <c r="R1862" s="225"/>
    </row>
    <row r="1863" spans="5:18">
      <c r="E1863" s="318"/>
      <c r="G1863" s="213"/>
      <c r="I1863" s="213"/>
      <c r="K1863" s="213"/>
      <c r="L1863" s="318"/>
      <c r="M1863" s="318"/>
      <c r="Q1863" s="225"/>
      <c r="R1863" s="225"/>
    </row>
    <row r="1864" spans="5:18">
      <c r="E1864" s="318"/>
      <c r="G1864" s="213"/>
      <c r="I1864" s="213"/>
      <c r="K1864" s="213"/>
      <c r="L1864" s="318"/>
      <c r="M1864" s="318"/>
      <c r="Q1864" s="225"/>
      <c r="R1864" s="225"/>
    </row>
    <row r="1865" spans="5:18">
      <c r="E1865" s="318"/>
      <c r="G1865" s="213"/>
      <c r="I1865" s="213"/>
      <c r="K1865" s="213"/>
      <c r="L1865" s="318"/>
      <c r="M1865" s="318"/>
      <c r="Q1865" s="225"/>
      <c r="R1865" s="225"/>
    </row>
    <row r="1866" spans="5:18">
      <c r="E1866" s="318"/>
      <c r="G1866" s="213"/>
      <c r="I1866" s="213"/>
      <c r="K1866" s="213"/>
      <c r="L1866" s="318"/>
      <c r="M1866" s="318"/>
      <c r="Q1866" s="225"/>
      <c r="R1866" s="225"/>
    </row>
    <row r="1867" spans="5:18">
      <c r="E1867" s="318"/>
      <c r="G1867" s="213"/>
      <c r="I1867" s="213"/>
      <c r="K1867" s="213"/>
      <c r="L1867" s="318"/>
      <c r="M1867" s="318"/>
      <c r="Q1867" s="225"/>
      <c r="R1867" s="225"/>
    </row>
    <row r="1868" spans="5:18">
      <c r="E1868" s="318"/>
      <c r="G1868" s="213"/>
      <c r="I1868" s="213"/>
      <c r="K1868" s="213"/>
      <c r="L1868" s="318"/>
      <c r="M1868" s="318"/>
      <c r="Q1868" s="225"/>
      <c r="R1868" s="225"/>
    </row>
    <row r="1869" spans="5:18">
      <c r="E1869" s="318"/>
      <c r="G1869" s="213"/>
      <c r="I1869" s="213"/>
      <c r="K1869" s="213"/>
      <c r="L1869" s="318"/>
      <c r="M1869" s="318"/>
      <c r="Q1869" s="225"/>
      <c r="R1869" s="225"/>
    </row>
    <row r="1870" spans="5:18">
      <c r="E1870" s="318"/>
      <c r="G1870" s="213"/>
      <c r="I1870" s="213"/>
      <c r="K1870" s="213"/>
      <c r="L1870" s="318"/>
      <c r="M1870" s="318"/>
      <c r="Q1870" s="225"/>
      <c r="R1870" s="225"/>
    </row>
    <row r="1871" spans="5:18">
      <c r="E1871" s="318"/>
      <c r="G1871" s="213"/>
      <c r="I1871" s="213"/>
      <c r="K1871" s="213"/>
      <c r="L1871" s="318"/>
      <c r="M1871" s="318"/>
      <c r="Q1871" s="225"/>
      <c r="R1871" s="225"/>
    </row>
    <row r="1872" spans="5:18">
      <c r="E1872" s="318"/>
      <c r="G1872" s="213"/>
      <c r="I1872" s="213"/>
      <c r="K1872" s="213"/>
      <c r="L1872" s="318"/>
      <c r="M1872" s="318"/>
      <c r="Q1872" s="225"/>
      <c r="R1872" s="225"/>
    </row>
    <row r="1873" spans="5:18">
      <c r="E1873" s="318"/>
      <c r="G1873" s="213"/>
      <c r="I1873" s="213"/>
      <c r="K1873" s="213"/>
      <c r="L1873" s="318"/>
      <c r="M1873" s="318"/>
      <c r="Q1873" s="225"/>
      <c r="R1873" s="225"/>
    </row>
    <row r="1874" spans="5:18">
      <c r="E1874" s="318"/>
      <c r="G1874" s="213"/>
      <c r="I1874" s="213"/>
      <c r="K1874" s="213"/>
      <c r="L1874" s="318"/>
      <c r="M1874" s="318"/>
      <c r="Q1874" s="225"/>
      <c r="R1874" s="225"/>
    </row>
    <row r="1875" spans="5:18">
      <c r="E1875" s="318"/>
      <c r="G1875" s="213"/>
      <c r="I1875" s="213"/>
      <c r="K1875" s="213"/>
      <c r="L1875" s="318"/>
      <c r="M1875" s="318"/>
      <c r="Q1875" s="225"/>
      <c r="R1875" s="225"/>
    </row>
    <row r="1876" spans="5:18">
      <c r="E1876" s="318"/>
      <c r="G1876" s="213"/>
      <c r="I1876" s="213"/>
      <c r="K1876" s="213"/>
      <c r="L1876" s="318"/>
      <c r="M1876" s="318"/>
      <c r="Q1876" s="225"/>
      <c r="R1876" s="225"/>
    </row>
    <row r="1877" spans="5:18">
      <c r="E1877" s="318"/>
      <c r="G1877" s="213"/>
      <c r="I1877" s="213"/>
      <c r="K1877" s="213"/>
      <c r="L1877" s="318"/>
      <c r="M1877" s="318"/>
      <c r="Q1877" s="225"/>
      <c r="R1877" s="225"/>
    </row>
    <row r="1878" spans="5:18">
      <c r="E1878" s="318"/>
      <c r="G1878" s="213"/>
      <c r="I1878" s="213"/>
      <c r="K1878" s="213"/>
      <c r="L1878" s="318"/>
      <c r="M1878" s="318"/>
      <c r="Q1878" s="225"/>
      <c r="R1878" s="225"/>
    </row>
    <row r="1879" spans="5:18">
      <c r="E1879" s="318"/>
      <c r="G1879" s="213"/>
      <c r="I1879" s="213"/>
      <c r="K1879" s="213"/>
      <c r="L1879" s="318"/>
      <c r="M1879" s="318"/>
      <c r="Q1879" s="225"/>
      <c r="R1879" s="225"/>
    </row>
    <row r="1880" spans="5:18">
      <c r="E1880" s="318"/>
      <c r="G1880" s="213"/>
      <c r="I1880" s="213"/>
      <c r="K1880" s="213"/>
      <c r="L1880" s="318"/>
      <c r="M1880" s="318"/>
      <c r="Q1880" s="225"/>
      <c r="R1880" s="225"/>
    </row>
    <row r="1881" spans="5:18">
      <c r="E1881" s="318"/>
      <c r="G1881" s="213"/>
      <c r="I1881" s="213"/>
      <c r="K1881" s="213"/>
      <c r="L1881" s="318"/>
      <c r="M1881" s="318"/>
      <c r="Q1881" s="225"/>
      <c r="R1881" s="225"/>
    </row>
    <row r="1882" spans="5:18">
      <c r="E1882" s="318"/>
      <c r="G1882" s="213"/>
      <c r="I1882" s="213"/>
      <c r="K1882" s="213"/>
      <c r="L1882" s="318"/>
      <c r="M1882" s="318"/>
      <c r="Q1882" s="225"/>
      <c r="R1882" s="225"/>
    </row>
    <row r="1883" spans="5:18">
      <c r="E1883" s="318"/>
      <c r="G1883" s="213"/>
      <c r="I1883" s="213"/>
      <c r="K1883" s="213"/>
      <c r="L1883" s="318"/>
      <c r="M1883" s="318"/>
      <c r="Q1883" s="225"/>
      <c r="R1883" s="225"/>
    </row>
    <row r="1884" spans="5:18">
      <c r="E1884" s="318"/>
      <c r="G1884" s="213"/>
      <c r="I1884" s="213"/>
      <c r="K1884" s="213"/>
      <c r="L1884" s="318"/>
      <c r="M1884" s="318"/>
      <c r="Q1884" s="225"/>
      <c r="R1884" s="225"/>
    </row>
    <row r="1885" spans="5:18">
      <c r="E1885" s="318"/>
      <c r="G1885" s="213"/>
      <c r="I1885" s="213"/>
      <c r="K1885" s="213"/>
      <c r="L1885" s="318"/>
      <c r="M1885" s="318"/>
      <c r="Q1885" s="225"/>
      <c r="R1885" s="225"/>
    </row>
    <row r="1886" spans="5:18">
      <c r="E1886" s="318"/>
      <c r="G1886" s="213"/>
      <c r="I1886" s="213"/>
      <c r="K1886" s="213"/>
      <c r="L1886" s="318"/>
      <c r="M1886" s="318"/>
      <c r="Q1886" s="225"/>
      <c r="R1886" s="225"/>
    </row>
    <row r="1887" spans="5:18">
      <c r="E1887" s="318"/>
      <c r="G1887" s="213"/>
      <c r="I1887" s="213"/>
      <c r="K1887" s="213"/>
      <c r="L1887" s="318"/>
      <c r="M1887" s="318"/>
      <c r="Q1887" s="225"/>
      <c r="R1887" s="225"/>
    </row>
    <row r="1888" spans="5:18">
      <c r="E1888" s="318"/>
      <c r="G1888" s="213"/>
      <c r="I1888" s="213"/>
      <c r="K1888" s="213"/>
      <c r="L1888" s="318"/>
      <c r="M1888" s="318"/>
      <c r="Q1888" s="225"/>
      <c r="R1888" s="225"/>
    </row>
    <row r="1889" spans="5:18">
      <c r="E1889" s="318"/>
      <c r="G1889" s="213"/>
      <c r="I1889" s="213"/>
      <c r="K1889" s="213"/>
      <c r="L1889" s="318"/>
      <c r="M1889" s="318"/>
      <c r="Q1889" s="225"/>
      <c r="R1889" s="225"/>
    </row>
    <row r="1890" spans="5:18">
      <c r="E1890" s="318"/>
      <c r="G1890" s="213"/>
      <c r="I1890" s="213"/>
      <c r="K1890" s="213"/>
      <c r="L1890" s="318"/>
      <c r="M1890" s="318"/>
      <c r="Q1890" s="225"/>
      <c r="R1890" s="225"/>
    </row>
    <row r="1891" spans="5:18">
      <c r="E1891" s="318"/>
      <c r="G1891" s="213"/>
      <c r="I1891" s="213"/>
      <c r="K1891" s="213"/>
      <c r="L1891" s="318"/>
      <c r="M1891" s="318"/>
      <c r="Q1891" s="225"/>
      <c r="R1891" s="225"/>
    </row>
    <row r="1892" spans="5:18">
      <c r="E1892" s="318"/>
      <c r="G1892" s="213"/>
      <c r="I1892" s="213"/>
      <c r="K1892" s="213"/>
      <c r="L1892" s="318"/>
      <c r="M1892" s="318"/>
      <c r="Q1892" s="225"/>
      <c r="R1892" s="225"/>
    </row>
    <row r="1893" spans="5:18">
      <c r="E1893" s="318"/>
      <c r="G1893" s="213"/>
      <c r="I1893" s="213"/>
      <c r="K1893" s="213"/>
      <c r="L1893" s="318"/>
      <c r="M1893" s="318"/>
      <c r="Q1893" s="225"/>
      <c r="R1893" s="225"/>
    </row>
    <row r="1894" spans="5:18">
      <c r="E1894" s="318"/>
      <c r="G1894" s="213"/>
      <c r="I1894" s="213"/>
      <c r="K1894" s="213"/>
      <c r="L1894" s="318"/>
      <c r="M1894" s="318"/>
      <c r="Q1894" s="225"/>
      <c r="R1894" s="225"/>
    </row>
    <row r="1895" spans="5:18">
      <c r="E1895" s="318"/>
      <c r="G1895" s="213"/>
      <c r="I1895" s="213"/>
      <c r="K1895" s="213"/>
      <c r="L1895" s="318"/>
      <c r="M1895" s="318"/>
      <c r="Q1895" s="225"/>
      <c r="R1895" s="225"/>
    </row>
    <row r="1896" spans="5:18">
      <c r="E1896" s="318"/>
      <c r="G1896" s="213"/>
      <c r="I1896" s="213"/>
      <c r="K1896" s="213"/>
      <c r="L1896" s="318"/>
      <c r="M1896" s="318"/>
      <c r="Q1896" s="225"/>
      <c r="R1896" s="225"/>
    </row>
    <row r="1897" spans="5:18">
      <c r="E1897" s="318"/>
      <c r="G1897" s="213"/>
      <c r="I1897" s="213"/>
      <c r="K1897" s="213"/>
      <c r="L1897" s="318"/>
      <c r="M1897" s="318"/>
      <c r="Q1897" s="225"/>
      <c r="R1897" s="225"/>
    </row>
    <row r="1898" spans="5:18">
      <c r="E1898" s="318"/>
      <c r="G1898" s="213"/>
      <c r="I1898" s="213"/>
      <c r="K1898" s="213"/>
      <c r="L1898" s="318"/>
      <c r="M1898" s="318"/>
      <c r="Q1898" s="225"/>
      <c r="R1898" s="225"/>
    </row>
    <row r="1899" spans="5:18">
      <c r="E1899" s="318"/>
      <c r="G1899" s="213"/>
      <c r="I1899" s="213"/>
      <c r="K1899" s="213"/>
      <c r="L1899" s="318"/>
      <c r="M1899" s="318"/>
      <c r="Q1899" s="225"/>
      <c r="R1899" s="225"/>
    </row>
    <row r="1900" spans="5:18">
      <c r="E1900" s="318"/>
      <c r="G1900" s="213"/>
      <c r="I1900" s="213"/>
      <c r="K1900" s="213"/>
      <c r="L1900" s="318"/>
      <c r="M1900" s="318"/>
      <c r="Q1900" s="225"/>
      <c r="R1900" s="225"/>
    </row>
    <row r="1901" spans="5:18">
      <c r="E1901" s="318"/>
      <c r="G1901" s="213"/>
      <c r="I1901" s="213"/>
      <c r="K1901" s="213"/>
      <c r="L1901" s="318"/>
      <c r="M1901" s="318"/>
      <c r="Q1901" s="225"/>
      <c r="R1901" s="225"/>
    </row>
    <row r="1902" spans="5:18">
      <c r="E1902" s="318"/>
      <c r="G1902" s="213"/>
      <c r="I1902" s="213"/>
      <c r="K1902" s="213"/>
      <c r="L1902" s="318"/>
      <c r="M1902" s="318"/>
      <c r="Q1902" s="225"/>
      <c r="R1902" s="225"/>
    </row>
    <row r="1903" spans="5:18">
      <c r="E1903" s="318"/>
      <c r="G1903" s="213"/>
      <c r="I1903" s="213"/>
      <c r="K1903" s="213"/>
      <c r="L1903" s="318"/>
      <c r="M1903" s="318"/>
      <c r="Q1903" s="225"/>
      <c r="R1903" s="225"/>
    </row>
    <row r="1904" spans="5:18">
      <c r="E1904" s="318"/>
      <c r="G1904" s="213"/>
      <c r="I1904" s="213"/>
      <c r="K1904" s="213"/>
      <c r="L1904" s="318"/>
      <c r="M1904" s="318"/>
      <c r="Q1904" s="225"/>
      <c r="R1904" s="225"/>
    </row>
    <row r="1905" spans="5:18">
      <c r="E1905" s="318"/>
      <c r="G1905" s="213"/>
      <c r="I1905" s="213"/>
      <c r="K1905" s="213"/>
      <c r="L1905" s="318"/>
      <c r="M1905" s="318"/>
      <c r="Q1905" s="225"/>
      <c r="R1905" s="225"/>
    </row>
    <row r="1906" spans="5:18">
      <c r="E1906" s="318"/>
      <c r="G1906" s="213"/>
      <c r="I1906" s="213"/>
      <c r="K1906" s="213"/>
      <c r="L1906" s="318"/>
      <c r="M1906" s="318"/>
      <c r="Q1906" s="225"/>
      <c r="R1906" s="225"/>
    </row>
    <row r="1907" spans="5:18">
      <c r="E1907" s="318"/>
      <c r="G1907" s="213"/>
      <c r="I1907" s="213"/>
      <c r="K1907" s="213"/>
      <c r="L1907" s="318"/>
      <c r="M1907" s="318"/>
      <c r="Q1907" s="225"/>
      <c r="R1907" s="225"/>
    </row>
    <row r="1908" spans="5:18">
      <c r="E1908" s="318"/>
      <c r="G1908" s="213"/>
      <c r="I1908" s="213"/>
      <c r="K1908" s="213"/>
      <c r="L1908" s="318"/>
      <c r="M1908" s="318"/>
      <c r="Q1908" s="225"/>
      <c r="R1908" s="225"/>
    </row>
    <row r="1909" spans="5:18">
      <c r="E1909" s="318"/>
      <c r="G1909" s="213"/>
      <c r="I1909" s="213"/>
      <c r="K1909" s="213"/>
      <c r="L1909" s="318"/>
      <c r="M1909" s="318"/>
      <c r="Q1909" s="225"/>
      <c r="R1909" s="225"/>
    </row>
    <row r="1910" spans="5:18">
      <c r="E1910" s="318"/>
      <c r="G1910" s="213"/>
      <c r="I1910" s="213"/>
      <c r="K1910" s="213"/>
      <c r="L1910" s="318"/>
      <c r="M1910" s="318"/>
      <c r="Q1910" s="225"/>
      <c r="R1910" s="225"/>
    </row>
    <row r="1911" spans="5:18">
      <c r="E1911" s="318"/>
      <c r="G1911" s="213"/>
      <c r="I1911" s="213"/>
      <c r="K1911" s="213"/>
      <c r="L1911" s="318"/>
      <c r="M1911" s="318"/>
      <c r="Q1911" s="225"/>
      <c r="R1911" s="225"/>
    </row>
    <row r="1912" spans="5:18">
      <c r="E1912" s="318"/>
      <c r="G1912" s="213"/>
      <c r="I1912" s="213"/>
      <c r="K1912" s="213"/>
      <c r="L1912" s="318"/>
      <c r="M1912" s="318"/>
      <c r="Q1912" s="225"/>
      <c r="R1912" s="225"/>
    </row>
    <row r="1913" spans="5:18">
      <c r="E1913" s="318"/>
      <c r="G1913" s="213"/>
      <c r="I1913" s="213"/>
      <c r="K1913" s="213"/>
      <c r="L1913" s="318"/>
      <c r="M1913" s="318"/>
      <c r="Q1913" s="225"/>
      <c r="R1913" s="225"/>
    </row>
    <row r="1914" spans="5:18">
      <c r="E1914" s="318"/>
      <c r="G1914" s="213"/>
      <c r="I1914" s="213"/>
      <c r="K1914" s="213"/>
      <c r="L1914" s="318"/>
      <c r="M1914" s="318"/>
      <c r="Q1914" s="225"/>
      <c r="R1914" s="225"/>
    </row>
    <row r="1915" spans="5:18">
      <c r="E1915" s="318"/>
      <c r="G1915" s="213"/>
      <c r="I1915" s="213"/>
      <c r="K1915" s="213"/>
      <c r="L1915" s="318"/>
      <c r="M1915" s="318"/>
      <c r="Q1915" s="225"/>
      <c r="R1915" s="225"/>
    </row>
    <row r="1916" spans="5:18">
      <c r="E1916" s="318"/>
      <c r="G1916" s="213"/>
      <c r="I1916" s="213"/>
      <c r="K1916" s="213"/>
      <c r="L1916" s="318"/>
      <c r="M1916" s="318"/>
      <c r="Q1916" s="225"/>
      <c r="R1916" s="225"/>
    </row>
    <row r="1917" spans="5:18">
      <c r="E1917" s="318"/>
      <c r="G1917" s="213"/>
      <c r="I1917" s="213"/>
      <c r="K1917" s="213"/>
      <c r="L1917" s="318"/>
      <c r="M1917" s="318"/>
      <c r="Q1917" s="225"/>
      <c r="R1917" s="225"/>
    </row>
    <row r="1918" spans="5:18">
      <c r="E1918" s="318"/>
      <c r="G1918" s="213"/>
      <c r="I1918" s="213"/>
      <c r="K1918" s="213"/>
      <c r="L1918" s="318"/>
      <c r="M1918" s="318"/>
      <c r="Q1918" s="225"/>
      <c r="R1918" s="225"/>
    </row>
    <row r="1919" spans="5:18">
      <c r="E1919" s="318"/>
      <c r="G1919" s="213"/>
      <c r="I1919" s="213"/>
      <c r="K1919" s="213"/>
      <c r="L1919" s="318"/>
      <c r="M1919" s="318"/>
      <c r="Q1919" s="225"/>
      <c r="R1919" s="225"/>
    </row>
    <row r="1920" spans="5:18">
      <c r="E1920" s="318"/>
      <c r="G1920" s="213"/>
      <c r="I1920" s="213"/>
      <c r="K1920" s="213"/>
      <c r="L1920" s="318"/>
      <c r="M1920" s="318"/>
      <c r="Q1920" s="225"/>
      <c r="R1920" s="225"/>
    </row>
    <row r="1921" spans="5:18">
      <c r="E1921" s="318"/>
      <c r="G1921" s="213"/>
      <c r="I1921" s="213"/>
      <c r="K1921" s="213"/>
      <c r="L1921" s="318"/>
      <c r="M1921" s="318"/>
      <c r="Q1921" s="225"/>
      <c r="R1921" s="225"/>
    </row>
    <row r="1922" spans="5:18">
      <c r="E1922" s="318"/>
      <c r="G1922" s="213"/>
      <c r="I1922" s="213"/>
      <c r="K1922" s="213"/>
      <c r="L1922" s="318"/>
      <c r="M1922" s="318"/>
      <c r="Q1922" s="225"/>
      <c r="R1922" s="225"/>
    </row>
    <row r="1923" spans="5:18">
      <c r="E1923" s="318"/>
      <c r="G1923" s="213"/>
      <c r="I1923" s="213"/>
      <c r="K1923" s="213"/>
      <c r="L1923" s="318"/>
      <c r="M1923" s="318"/>
      <c r="Q1923" s="225"/>
      <c r="R1923" s="225"/>
    </row>
    <row r="1924" spans="5:18">
      <c r="E1924" s="318"/>
      <c r="G1924" s="213"/>
      <c r="I1924" s="213"/>
      <c r="K1924" s="213"/>
      <c r="L1924" s="318"/>
      <c r="M1924" s="318"/>
      <c r="Q1924" s="225"/>
      <c r="R1924" s="225"/>
    </row>
    <row r="1925" spans="5:18">
      <c r="E1925" s="318"/>
      <c r="G1925" s="213"/>
      <c r="I1925" s="213"/>
      <c r="K1925" s="213"/>
      <c r="L1925" s="318"/>
      <c r="M1925" s="318"/>
      <c r="Q1925" s="225"/>
      <c r="R1925" s="225"/>
    </row>
    <row r="1926" spans="5:18">
      <c r="E1926" s="318"/>
      <c r="G1926" s="213"/>
      <c r="I1926" s="213"/>
      <c r="K1926" s="213"/>
      <c r="L1926" s="318"/>
      <c r="M1926" s="318"/>
      <c r="Q1926" s="225"/>
      <c r="R1926" s="225"/>
    </row>
    <row r="1927" spans="5:18">
      <c r="E1927" s="318"/>
      <c r="G1927" s="213"/>
      <c r="I1927" s="213"/>
      <c r="K1927" s="213"/>
      <c r="L1927" s="318"/>
      <c r="M1927" s="318"/>
      <c r="Q1927" s="225"/>
      <c r="R1927" s="225"/>
    </row>
    <row r="1928" spans="5:18">
      <c r="E1928" s="318"/>
      <c r="G1928" s="213"/>
      <c r="I1928" s="213"/>
      <c r="K1928" s="213"/>
      <c r="L1928" s="318"/>
      <c r="M1928" s="318"/>
      <c r="Q1928" s="225"/>
      <c r="R1928" s="225"/>
    </row>
    <row r="1929" spans="5:18">
      <c r="E1929" s="318"/>
      <c r="G1929" s="213"/>
      <c r="I1929" s="213"/>
      <c r="K1929" s="213"/>
      <c r="L1929" s="318"/>
      <c r="M1929" s="318"/>
      <c r="Q1929" s="225"/>
      <c r="R1929" s="225"/>
    </row>
    <row r="1930" spans="5:18">
      <c r="E1930" s="318"/>
      <c r="G1930" s="213"/>
      <c r="I1930" s="213"/>
      <c r="K1930" s="213"/>
      <c r="L1930" s="318"/>
      <c r="M1930" s="318"/>
      <c r="Q1930" s="225"/>
      <c r="R1930" s="225"/>
    </row>
    <row r="1931" spans="5:18">
      <c r="E1931" s="318"/>
      <c r="G1931" s="213"/>
      <c r="I1931" s="213"/>
      <c r="K1931" s="213"/>
      <c r="L1931" s="318"/>
      <c r="M1931" s="318"/>
      <c r="Q1931" s="225"/>
      <c r="R1931" s="225"/>
    </row>
    <row r="1932" spans="5:18">
      <c r="E1932" s="318"/>
      <c r="G1932" s="213"/>
      <c r="I1932" s="213"/>
      <c r="K1932" s="213"/>
      <c r="L1932" s="318"/>
      <c r="M1932" s="318"/>
      <c r="Q1932" s="225"/>
      <c r="R1932" s="225"/>
    </row>
    <row r="1933" spans="5:18">
      <c r="E1933" s="318"/>
      <c r="G1933" s="213"/>
      <c r="I1933" s="213"/>
      <c r="K1933" s="213"/>
      <c r="L1933" s="318"/>
      <c r="M1933" s="318"/>
      <c r="Q1933" s="225"/>
      <c r="R1933" s="225"/>
    </row>
    <row r="1934" spans="5:18">
      <c r="E1934" s="318"/>
      <c r="G1934" s="213"/>
      <c r="I1934" s="213"/>
      <c r="K1934" s="213"/>
      <c r="L1934" s="318"/>
      <c r="M1934" s="318"/>
      <c r="Q1934" s="225"/>
      <c r="R1934" s="225"/>
    </row>
    <row r="1935" spans="5:18">
      <c r="E1935" s="318"/>
      <c r="G1935" s="213"/>
      <c r="I1935" s="213"/>
      <c r="K1935" s="213"/>
      <c r="L1935" s="318"/>
      <c r="M1935" s="318"/>
      <c r="Q1935" s="225"/>
      <c r="R1935" s="225"/>
    </row>
    <row r="1936" spans="5:18">
      <c r="E1936" s="318"/>
      <c r="G1936" s="213"/>
      <c r="I1936" s="213"/>
      <c r="K1936" s="213"/>
      <c r="L1936" s="318"/>
      <c r="M1936" s="318"/>
      <c r="Q1936" s="225"/>
      <c r="R1936" s="225"/>
    </row>
    <row r="1937" spans="5:18">
      <c r="E1937" s="318"/>
      <c r="G1937" s="213"/>
      <c r="I1937" s="213"/>
      <c r="K1937" s="213"/>
      <c r="L1937" s="318"/>
      <c r="M1937" s="318"/>
      <c r="Q1937" s="225"/>
      <c r="R1937" s="225"/>
    </row>
    <row r="1938" spans="5:18">
      <c r="E1938" s="318"/>
      <c r="G1938" s="213"/>
      <c r="I1938" s="213"/>
      <c r="K1938" s="213"/>
      <c r="L1938" s="318"/>
      <c r="M1938" s="318"/>
      <c r="Q1938" s="225"/>
      <c r="R1938" s="225"/>
    </row>
    <row r="1939" spans="5:18">
      <c r="E1939" s="318"/>
      <c r="G1939" s="213"/>
      <c r="I1939" s="213"/>
      <c r="K1939" s="213"/>
      <c r="L1939" s="318"/>
      <c r="M1939" s="318"/>
      <c r="Q1939" s="225"/>
      <c r="R1939" s="225"/>
    </row>
    <row r="1940" spans="5:18">
      <c r="E1940" s="318"/>
      <c r="G1940" s="213"/>
      <c r="I1940" s="213"/>
      <c r="K1940" s="213"/>
      <c r="L1940" s="318"/>
      <c r="M1940" s="318"/>
      <c r="Q1940" s="225"/>
      <c r="R1940" s="225"/>
    </row>
    <row r="1941" spans="5:18">
      <c r="E1941" s="318"/>
      <c r="G1941" s="213"/>
      <c r="I1941" s="213"/>
      <c r="K1941" s="213"/>
      <c r="L1941" s="318"/>
      <c r="M1941" s="318"/>
      <c r="Q1941" s="225"/>
      <c r="R1941" s="225"/>
    </row>
    <row r="1942" spans="5:18">
      <c r="E1942" s="318"/>
      <c r="G1942" s="213"/>
      <c r="I1942" s="213"/>
      <c r="K1942" s="213"/>
      <c r="L1942" s="318"/>
      <c r="M1942" s="318"/>
      <c r="Q1942" s="225"/>
      <c r="R1942" s="225"/>
    </row>
    <row r="1943" spans="5:18">
      <c r="E1943" s="318"/>
      <c r="G1943" s="213"/>
      <c r="I1943" s="213"/>
      <c r="K1943" s="213"/>
      <c r="L1943" s="318"/>
      <c r="M1943" s="318"/>
      <c r="Q1943" s="225"/>
      <c r="R1943" s="225"/>
    </row>
    <row r="1944" spans="5:18">
      <c r="E1944" s="318"/>
      <c r="G1944" s="213"/>
      <c r="I1944" s="213"/>
      <c r="K1944" s="213"/>
      <c r="L1944" s="318"/>
      <c r="M1944" s="318"/>
      <c r="Q1944" s="225"/>
      <c r="R1944" s="225"/>
    </row>
    <row r="1945" spans="5:18">
      <c r="E1945" s="318"/>
      <c r="G1945" s="213"/>
      <c r="I1945" s="213"/>
      <c r="K1945" s="213"/>
      <c r="L1945" s="318"/>
      <c r="M1945" s="318"/>
      <c r="Q1945" s="225"/>
      <c r="R1945" s="225"/>
    </row>
    <row r="1946" spans="5:18">
      <c r="E1946" s="318"/>
      <c r="G1946" s="213"/>
      <c r="I1946" s="213"/>
      <c r="K1946" s="213"/>
      <c r="L1946" s="318"/>
      <c r="M1946" s="318"/>
      <c r="Q1946" s="225"/>
      <c r="R1946" s="225"/>
    </row>
    <row r="1947" spans="5:18">
      <c r="E1947" s="318"/>
      <c r="G1947" s="213"/>
      <c r="I1947" s="213"/>
      <c r="K1947" s="213"/>
      <c r="L1947" s="318"/>
      <c r="M1947" s="318"/>
      <c r="Q1947" s="225"/>
      <c r="R1947" s="225"/>
    </row>
    <row r="1948" spans="5:18">
      <c r="E1948" s="318"/>
      <c r="G1948" s="213"/>
      <c r="I1948" s="213"/>
      <c r="K1948" s="213"/>
      <c r="L1948" s="318"/>
      <c r="M1948" s="318"/>
      <c r="Q1948" s="225"/>
      <c r="R1948" s="225"/>
    </row>
    <row r="1949" spans="5:18">
      <c r="E1949" s="318"/>
      <c r="G1949" s="213"/>
      <c r="I1949" s="213"/>
      <c r="K1949" s="213"/>
      <c r="L1949" s="318"/>
      <c r="M1949" s="318"/>
      <c r="Q1949" s="225"/>
      <c r="R1949" s="225"/>
    </row>
    <row r="1950" spans="5:18">
      <c r="E1950" s="318"/>
      <c r="G1950" s="213"/>
      <c r="I1950" s="213"/>
      <c r="K1950" s="213"/>
      <c r="L1950" s="318"/>
      <c r="M1950" s="318"/>
      <c r="Q1950" s="225"/>
      <c r="R1950" s="225"/>
    </row>
    <row r="1951" spans="5:18">
      <c r="E1951" s="318"/>
      <c r="G1951" s="213"/>
      <c r="I1951" s="213"/>
      <c r="K1951" s="213"/>
      <c r="L1951" s="318"/>
      <c r="M1951" s="318"/>
      <c r="Q1951" s="225"/>
      <c r="R1951" s="225"/>
    </row>
    <row r="1952" spans="5:18">
      <c r="E1952" s="318"/>
      <c r="G1952" s="213"/>
      <c r="I1952" s="213"/>
      <c r="K1952" s="213"/>
      <c r="L1952" s="318"/>
      <c r="M1952" s="318"/>
      <c r="Q1952" s="225"/>
      <c r="R1952" s="225"/>
    </row>
    <row r="1953" spans="5:18">
      <c r="E1953" s="318"/>
      <c r="G1953" s="213"/>
      <c r="I1953" s="213"/>
      <c r="K1953" s="213"/>
      <c r="L1953" s="318"/>
      <c r="M1953" s="318"/>
      <c r="Q1953" s="225"/>
      <c r="R1953" s="225"/>
    </row>
    <row r="1954" spans="5:18">
      <c r="E1954" s="318"/>
      <c r="G1954" s="213"/>
      <c r="I1954" s="213"/>
      <c r="K1954" s="213"/>
      <c r="L1954" s="318"/>
      <c r="M1954" s="318"/>
      <c r="Q1954" s="225"/>
      <c r="R1954" s="225"/>
    </row>
    <row r="1955" spans="5:18">
      <c r="E1955" s="318"/>
      <c r="G1955" s="213"/>
      <c r="I1955" s="213"/>
      <c r="K1955" s="213"/>
      <c r="L1955" s="318"/>
      <c r="M1955" s="318"/>
      <c r="Q1955" s="225"/>
      <c r="R1955" s="225"/>
    </row>
    <row r="1956" spans="5:18">
      <c r="E1956" s="318"/>
      <c r="G1956" s="213"/>
      <c r="I1956" s="213"/>
      <c r="K1956" s="213"/>
      <c r="L1956" s="318"/>
      <c r="M1956" s="318"/>
      <c r="Q1956" s="225"/>
      <c r="R1956" s="225"/>
    </row>
    <row r="1957" spans="5:18">
      <c r="E1957" s="318"/>
      <c r="G1957" s="213"/>
      <c r="I1957" s="213"/>
      <c r="K1957" s="213"/>
      <c r="L1957" s="318"/>
      <c r="M1957" s="318"/>
      <c r="Q1957" s="225"/>
      <c r="R1957" s="225"/>
    </row>
    <row r="1958" spans="5:18">
      <c r="E1958" s="318"/>
      <c r="G1958" s="213"/>
      <c r="I1958" s="213"/>
      <c r="K1958" s="213"/>
      <c r="L1958" s="318"/>
      <c r="M1958" s="318"/>
      <c r="Q1958" s="225"/>
      <c r="R1958" s="225"/>
    </row>
    <row r="1959" spans="5:18">
      <c r="E1959" s="318"/>
      <c r="G1959" s="213"/>
      <c r="I1959" s="213"/>
      <c r="K1959" s="213"/>
      <c r="L1959" s="318"/>
      <c r="M1959" s="318"/>
      <c r="Q1959" s="225"/>
      <c r="R1959" s="225"/>
    </row>
    <row r="1960" spans="5:18">
      <c r="E1960" s="318"/>
      <c r="G1960" s="213"/>
      <c r="I1960" s="213"/>
      <c r="K1960" s="213"/>
      <c r="L1960" s="318"/>
      <c r="M1960" s="318"/>
      <c r="Q1960" s="225"/>
      <c r="R1960" s="225"/>
    </row>
    <row r="1961" spans="5:18">
      <c r="E1961" s="318"/>
      <c r="G1961" s="213"/>
      <c r="I1961" s="213"/>
      <c r="K1961" s="213"/>
      <c r="L1961" s="318"/>
      <c r="M1961" s="318"/>
      <c r="Q1961" s="225"/>
      <c r="R1961" s="225"/>
    </row>
    <row r="1962" spans="5:18">
      <c r="E1962" s="318"/>
      <c r="G1962" s="213"/>
      <c r="I1962" s="213"/>
      <c r="K1962" s="213"/>
      <c r="L1962" s="318"/>
      <c r="M1962" s="318"/>
      <c r="Q1962" s="225"/>
      <c r="R1962" s="225"/>
    </row>
    <row r="1963" spans="5:18">
      <c r="E1963" s="318"/>
      <c r="G1963" s="213"/>
      <c r="I1963" s="213"/>
      <c r="K1963" s="213"/>
      <c r="L1963" s="318"/>
      <c r="M1963" s="318"/>
      <c r="Q1963" s="225"/>
      <c r="R1963" s="225"/>
    </row>
    <row r="1964" spans="5:18">
      <c r="E1964" s="318"/>
      <c r="G1964" s="213"/>
      <c r="I1964" s="213"/>
      <c r="K1964" s="213"/>
      <c r="L1964" s="318"/>
      <c r="M1964" s="318"/>
      <c r="Q1964" s="225"/>
      <c r="R1964" s="225"/>
    </row>
    <row r="1965" spans="5:18">
      <c r="E1965" s="318"/>
      <c r="G1965" s="213"/>
      <c r="I1965" s="213"/>
      <c r="K1965" s="213"/>
      <c r="L1965" s="318"/>
      <c r="M1965" s="318"/>
      <c r="Q1965" s="225"/>
      <c r="R1965" s="225"/>
    </row>
    <row r="1966" spans="5:18">
      <c r="E1966" s="318"/>
      <c r="G1966" s="213"/>
      <c r="I1966" s="213"/>
      <c r="K1966" s="213"/>
      <c r="L1966" s="318"/>
      <c r="M1966" s="318"/>
      <c r="Q1966" s="225"/>
      <c r="R1966" s="225"/>
    </row>
    <row r="1967" spans="5:18">
      <c r="E1967" s="318"/>
      <c r="G1967" s="213"/>
      <c r="I1967" s="213"/>
      <c r="K1967" s="213"/>
      <c r="L1967" s="318"/>
      <c r="M1967" s="318"/>
      <c r="Q1967" s="225"/>
      <c r="R1967" s="225"/>
    </row>
    <row r="1968" spans="5:18">
      <c r="E1968" s="318"/>
      <c r="G1968" s="213"/>
      <c r="I1968" s="213"/>
      <c r="K1968" s="213"/>
      <c r="L1968" s="318"/>
      <c r="M1968" s="318"/>
      <c r="Q1968" s="225"/>
      <c r="R1968" s="225"/>
    </row>
    <row r="1969" spans="5:18">
      <c r="E1969" s="318"/>
      <c r="G1969" s="213"/>
      <c r="I1969" s="213"/>
      <c r="K1969" s="213"/>
      <c r="L1969" s="318"/>
      <c r="M1969" s="318"/>
      <c r="Q1969" s="225"/>
      <c r="R1969" s="225"/>
    </row>
    <row r="1970" spans="5:18">
      <c r="E1970" s="318"/>
      <c r="G1970" s="213"/>
      <c r="I1970" s="213"/>
      <c r="K1970" s="213"/>
      <c r="L1970" s="318"/>
      <c r="M1970" s="318"/>
      <c r="Q1970" s="225"/>
      <c r="R1970" s="225"/>
    </row>
  </sheetData>
  <sheetProtection formatCells="0" formatColumns="0" formatRows="0"/>
  <mergeCells count="54">
    <mergeCell ref="H89:I89"/>
    <mergeCell ref="J89:K89"/>
    <mergeCell ref="L89:M89"/>
    <mergeCell ref="N89:O89"/>
    <mergeCell ref="D89:E89"/>
    <mergeCell ref="F89:G89"/>
    <mergeCell ref="F86:G86"/>
    <mergeCell ref="H86:I86"/>
    <mergeCell ref="J86:K86"/>
    <mergeCell ref="L86:M86"/>
    <mergeCell ref="N81:O81"/>
    <mergeCell ref="N86:O86"/>
    <mergeCell ref="B64:B68"/>
    <mergeCell ref="B69:B70"/>
    <mergeCell ref="B91:B105"/>
    <mergeCell ref="C87:P87"/>
    <mergeCell ref="C100:D100"/>
    <mergeCell ref="C80:C81"/>
    <mergeCell ref="P80:P81"/>
    <mergeCell ref="P88:P89"/>
    <mergeCell ref="C97:D97"/>
    <mergeCell ref="C79:P79"/>
    <mergeCell ref="D81:E81"/>
    <mergeCell ref="F81:G81"/>
    <mergeCell ref="H81:I81"/>
    <mergeCell ref="J81:K81"/>
    <mergeCell ref="L81:M81"/>
    <mergeCell ref="D86:E86"/>
    <mergeCell ref="B59:B63"/>
    <mergeCell ref="F13:G13"/>
    <mergeCell ref="J13:K13"/>
    <mergeCell ref="N13:P13"/>
    <mergeCell ref="D13:E13"/>
    <mergeCell ref="H13:I13"/>
    <mergeCell ref="L13:M13"/>
    <mergeCell ref="B2:F2"/>
    <mergeCell ref="C23:S23"/>
    <mergeCell ref="C15:S15"/>
    <mergeCell ref="C48:S48"/>
    <mergeCell ref="C52:S52"/>
    <mergeCell ref="C33:S33"/>
    <mergeCell ref="C34:S34"/>
    <mergeCell ref="C38:S38"/>
    <mergeCell ref="C47:S47"/>
    <mergeCell ref="C42:S42"/>
    <mergeCell ref="C28:S28"/>
    <mergeCell ref="B9:S9"/>
    <mergeCell ref="C14:S14"/>
    <mergeCell ref="C4:R4"/>
    <mergeCell ref="Q88:Q89"/>
    <mergeCell ref="M95:P95"/>
    <mergeCell ref="M96:P96"/>
    <mergeCell ref="M98:P98"/>
    <mergeCell ref="M99:P99"/>
  </mergeCells>
  <phoneticPr fontId="24" type="noConversion"/>
  <conditionalFormatting sqref="D96">
    <cfRule type="cellIs" dxfId="7" priority="2" operator="lessThan">
      <formula>0.15</formula>
    </cfRule>
  </conditionalFormatting>
  <conditionalFormatting sqref="D99">
    <cfRule type="cellIs" dxfId="6" priority="1" operator="lessThan">
      <formula>0.05</formula>
    </cfRule>
  </conditionalFormatting>
  <conditionalFormatting sqref="Q93:R93">
    <cfRule type="cellIs" dxfId="5" priority="3" operator="greaterThan">
      <formula>1</formula>
    </cfRule>
  </conditionalFormatting>
  <dataValidations xWindow="431" yWindow="475" count="7">
    <dataValidation allowBlank="1" showInputMessage="1" showErrorMessage="1" prompt="Insert *text* description of Output here" sqref="C15 C23 C28 C34 C38 C48 C52" xr:uid="{31AC9CA6-D499-4711-A99F-BECD0A64F3A8}"/>
    <dataValidation allowBlank="1" showInputMessage="1" showErrorMessage="1" prompt="Insert *text* description of Activity here" sqref="C24 C35 C39 C49 C53" xr:uid="{E7A390F5-03DD-4A67-B842-17326B4F2DA4}"/>
    <dataValidation allowBlank="1" showErrorMessage="1" prompt="% Towards Gender Equality and Women's Empowerment Must be Higher than 15%_x000a_" sqref="D98 F98:L98" xr:uid="{8C6643DA-1D03-44FB-AC1F-C4CB706ED3AA}"/>
    <dataValidation allowBlank="1" showInputMessage="1" showErrorMessage="1" prompt="% Towards Gender Equality and Women's Empowerment Must be Higher than 15%_x000a_" sqref="M99 D96 F98:K98 L96:M96" xr:uid="{E72508C7-C8DD-46A5-878C-E4FA07CAB6AF}"/>
    <dataValidation allowBlank="1" showInputMessage="1" showErrorMessage="1" prompt="M&amp;E Budget Cannot be Less than 5%_x000a_" sqref="D99 F99:L99" xr:uid="{53928C0A-D548-4B6B-97FC-07D38B0E5FA7}"/>
    <dataValidation allowBlank="1" showInputMessage="1" showErrorMessage="1" prompt="Insert name of recipient agency here _x000a_" sqref="D13 L13 H13 F13 J13 N13:O13" xr:uid="{6F27C540-9DBA-46EE-AEC3-C6AACF4159B5}"/>
    <dataValidation allowBlank="1" showInputMessage="1" showErrorMessage="1" prompt="Insert *text* description of Outcome here" sqref="C47:T47 C33:T33 C14:T14" xr:uid="{89ACADD6-F982-42D9-AC8D-CCF9750605B2}"/>
  </dataValidations>
  <pageMargins left="0.7" right="0.7" top="0.75" bottom="0.75" header="0.3" footer="0.3"/>
  <pageSetup scale="42"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defaultColWidth="8.85546875" defaultRowHeight="15"/>
  <cols>
    <col min="2" max="2" width="73.28515625" customWidth="1"/>
  </cols>
  <sheetData>
    <row r="1" spans="2:2" ht="15.75" thickBot="1"/>
    <row r="2" spans="2:2" ht="15.75" thickBot="1">
      <c r="B2" s="70" t="s">
        <v>202</v>
      </c>
    </row>
    <row r="3" spans="2:2" ht="70.5" customHeight="1">
      <c r="B3" s="71" t="s">
        <v>203</v>
      </c>
    </row>
    <row r="4" spans="2:2" ht="60">
      <c r="B4" s="68" t="s">
        <v>204</v>
      </c>
    </row>
    <row r="5" spans="2:2">
      <c r="B5" s="68"/>
    </row>
    <row r="6" spans="2:2" ht="75">
      <c r="B6" s="67" t="s">
        <v>205</v>
      </c>
    </row>
    <row r="7" spans="2:2">
      <c r="B7" s="68"/>
    </row>
    <row r="8" spans="2:2" ht="75">
      <c r="B8" s="67" t="s">
        <v>206</v>
      </c>
    </row>
    <row r="9" spans="2:2">
      <c r="B9" s="68"/>
    </row>
    <row r="10" spans="2:2" ht="30">
      <c r="B10" s="68" t="s">
        <v>207</v>
      </c>
    </row>
    <row r="11" spans="2:2">
      <c r="B11" s="68"/>
    </row>
    <row r="12" spans="2:2" ht="75">
      <c r="B12" s="67" t="s">
        <v>208</v>
      </c>
    </row>
    <row r="13" spans="2:2">
      <c r="B13" s="68"/>
    </row>
    <row r="14" spans="2:2" ht="60.75" thickBot="1">
      <c r="B14" s="69" t="s">
        <v>209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2:D31"/>
  <sheetViews>
    <sheetView showGridLines="0" showZeros="0" topLeftCell="A9" zoomScale="80" zoomScaleNormal="80" zoomScaleSheetLayoutView="70" workbookViewId="0">
      <selection activeCell="B10" sqref="B10"/>
    </sheetView>
  </sheetViews>
  <sheetFormatPr defaultColWidth="8.85546875" defaultRowHeight="15"/>
  <cols>
    <col min="2" max="2" width="60.7109375" customWidth="1"/>
    <col min="3" max="3" width="19.42578125" customWidth="1"/>
    <col min="4" max="4" width="27.42578125" customWidth="1"/>
  </cols>
  <sheetData>
    <row r="2" spans="2:4">
      <c r="B2" s="483" t="s">
        <v>210</v>
      </c>
      <c r="C2" s="483"/>
      <c r="D2" s="483"/>
    </row>
    <row r="3" spans="2:4">
      <c r="B3" s="483"/>
      <c r="C3" s="483"/>
      <c r="D3" s="483"/>
    </row>
    <row r="4" spans="2:4">
      <c r="B4" s="186"/>
      <c r="C4" s="186"/>
      <c r="D4" s="186"/>
    </row>
    <row r="5" spans="2:4">
      <c r="B5" s="480" t="s">
        <v>211</v>
      </c>
      <c r="C5" s="480"/>
      <c r="D5" s="480"/>
    </row>
    <row r="6" spans="2:4">
      <c r="B6" s="481"/>
      <c r="C6" s="481"/>
      <c r="D6" s="481"/>
    </row>
    <row r="7" spans="2:4">
      <c r="B7" s="49" t="s">
        <v>212</v>
      </c>
      <c r="C7" s="479" t="e">
        <f>SUM('1) Tableau budgétaire 1'!D22:H22,'1) Tableau budgétaire 1'!D27:H27,'1) Tableau budgétaire 1'!D32:H32,'1) Tableau budgétaire 1'!#REF!)</f>
        <v>#REF!</v>
      </c>
      <c r="D7" s="479"/>
    </row>
    <row r="8" spans="2:4">
      <c r="B8" s="49" t="s">
        <v>213</v>
      </c>
      <c r="C8" s="479" t="e">
        <f>SUM(D10:D10)</f>
        <v>#REF!</v>
      </c>
      <c r="D8" s="479"/>
    </row>
    <row r="9" spans="2:4">
      <c r="B9" s="49" t="s">
        <v>214</v>
      </c>
      <c r="C9" s="49" t="s">
        <v>215</v>
      </c>
      <c r="D9" s="49" t="s">
        <v>216</v>
      </c>
    </row>
    <row r="10" spans="2:4" ht="18" customHeight="1">
      <c r="B10" s="187"/>
      <c r="C10" s="50"/>
      <c r="D10" s="188" t="e">
        <f>$C$7*C10</f>
        <v>#REF!</v>
      </c>
    </row>
    <row r="11" spans="2:4">
      <c r="B11" s="186"/>
      <c r="C11" s="186"/>
      <c r="D11" s="186"/>
    </row>
    <row r="12" spans="2:4">
      <c r="B12" s="480" t="s">
        <v>217</v>
      </c>
      <c r="C12" s="480"/>
      <c r="D12" s="480"/>
    </row>
    <row r="13" spans="2:4">
      <c r="B13" s="482"/>
      <c r="C13" s="482"/>
      <c r="D13" s="482"/>
    </row>
    <row r="14" spans="2:4">
      <c r="B14" s="49" t="s">
        <v>212</v>
      </c>
      <c r="C14" s="479" t="e">
        <f>SUM('1) Tableau budgétaire 1'!D37:H37,'1) Tableau budgétaire 1'!D46:H46,'1) Tableau budgétaire 1'!#REF!,'1) Tableau budgétaire 1'!#REF!)</f>
        <v>#REF!</v>
      </c>
      <c r="D14" s="479"/>
    </row>
    <row r="15" spans="2:4">
      <c r="B15" s="49" t="s">
        <v>213</v>
      </c>
      <c r="C15" s="479" t="e">
        <f>SUM(D17:D17)</f>
        <v>#REF!</v>
      </c>
      <c r="D15" s="479"/>
    </row>
    <row r="16" spans="2:4">
      <c r="B16" s="49" t="s">
        <v>214</v>
      </c>
      <c r="C16" s="49" t="s">
        <v>215</v>
      </c>
      <c r="D16" s="49" t="s">
        <v>216</v>
      </c>
    </row>
    <row r="17" spans="2:4" ht="18.600000000000001" customHeight="1">
      <c r="B17" s="189"/>
      <c r="C17" s="50"/>
      <c r="D17" s="188" t="e">
        <f>$C$14*C17</f>
        <v>#REF!</v>
      </c>
    </row>
    <row r="18" spans="2:4">
      <c r="B18" s="186"/>
      <c r="C18" s="186"/>
      <c r="D18" s="186"/>
    </row>
    <row r="19" spans="2:4">
      <c r="B19" s="480" t="s">
        <v>218</v>
      </c>
      <c r="C19" s="480"/>
      <c r="D19" s="480"/>
    </row>
    <row r="20" spans="2:4">
      <c r="B20" s="481"/>
      <c r="C20" s="481"/>
      <c r="D20" s="481"/>
    </row>
    <row r="21" spans="2:4">
      <c r="B21" s="49" t="s">
        <v>212</v>
      </c>
      <c r="C21" s="479" t="e">
        <f>SUM('1) Tableau budgétaire 1'!D51:H51,'1) Tableau budgétaire 1'!D57:H57,'1) Tableau budgétaire 1'!#REF!,'1) Tableau budgétaire 1'!#REF!)</f>
        <v>#REF!</v>
      </c>
      <c r="D21" s="479"/>
    </row>
    <row r="22" spans="2:4">
      <c r="B22" s="49" t="s">
        <v>213</v>
      </c>
      <c r="C22" s="479" t="e">
        <f>SUM(D24:D24)</f>
        <v>#REF!</v>
      </c>
      <c r="D22" s="479"/>
    </row>
    <row r="23" spans="2:4">
      <c r="B23" s="49" t="s">
        <v>214</v>
      </c>
      <c r="C23" s="49" t="s">
        <v>215</v>
      </c>
      <c r="D23" s="49" t="s">
        <v>216</v>
      </c>
    </row>
    <row r="24" spans="2:4" ht="17.45" customHeight="1">
      <c r="B24" s="189"/>
      <c r="C24" s="50"/>
      <c r="D24" s="188" t="e">
        <f>$C$21*C24</f>
        <v>#REF!</v>
      </c>
    </row>
    <row r="25" spans="2:4">
      <c r="B25" s="186"/>
      <c r="C25" s="186"/>
      <c r="D25" s="186"/>
    </row>
    <row r="26" spans="2:4">
      <c r="B26" s="480" t="s">
        <v>219</v>
      </c>
      <c r="C26" s="480"/>
      <c r="D26" s="480"/>
    </row>
    <row r="27" spans="2:4">
      <c r="B27" s="481"/>
      <c r="C27" s="481"/>
      <c r="D27" s="481"/>
    </row>
    <row r="28" spans="2:4">
      <c r="B28" s="49" t="s">
        <v>212</v>
      </c>
      <c r="C28" s="479" t="e">
        <f>SUM('1) Tableau budgétaire 1'!#REF!,'1) Tableau budgétaire 1'!#REF!,'1) Tableau budgétaire 1'!#REF!,'1) Tableau budgétaire 1'!#REF!)</f>
        <v>#REF!</v>
      </c>
      <c r="D28" s="479"/>
    </row>
    <row r="29" spans="2:4">
      <c r="B29" s="49" t="s">
        <v>213</v>
      </c>
      <c r="C29" s="479" t="e">
        <f>SUM(D31:D31)</f>
        <v>#REF!</v>
      </c>
      <c r="D29" s="479"/>
    </row>
    <row r="30" spans="2:4">
      <c r="B30" s="49" t="s">
        <v>214</v>
      </c>
      <c r="C30" s="49" t="s">
        <v>215</v>
      </c>
      <c r="D30" s="49" t="s">
        <v>216</v>
      </c>
    </row>
    <row r="31" spans="2:4" ht="13.5" customHeight="1">
      <c r="B31" s="189"/>
      <c r="C31" s="50"/>
      <c r="D31" s="188" t="e">
        <f>$C$28*C31</f>
        <v>#REF!</v>
      </c>
    </row>
  </sheetData>
  <mergeCells count="17">
    <mergeCell ref="B2:D3"/>
    <mergeCell ref="C7:D7"/>
    <mergeCell ref="B6:D6"/>
    <mergeCell ref="B5:D5"/>
    <mergeCell ref="C8:D8"/>
    <mergeCell ref="C15:D15"/>
    <mergeCell ref="C22:D22"/>
    <mergeCell ref="B12:D12"/>
    <mergeCell ref="B13:D13"/>
    <mergeCell ref="C14:D14"/>
    <mergeCell ref="B19:D19"/>
    <mergeCell ref="B20:D20"/>
    <mergeCell ref="C29:D29"/>
    <mergeCell ref="C21:D21"/>
    <mergeCell ref="B26:D26"/>
    <mergeCell ref="B27:D27"/>
    <mergeCell ref="C28:D28"/>
  </mergeCells>
  <conditionalFormatting sqref="C8:D8">
    <cfRule type="cellIs" dxfId="4" priority="4" operator="greaterThan">
      <formula>$C$7</formula>
    </cfRule>
  </conditionalFormatting>
  <conditionalFormatting sqref="C15:D15">
    <cfRule type="cellIs" dxfId="3" priority="3" operator="greaterThan">
      <formula>$C$14</formula>
    </cfRule>
  </conditionalFormatting>
  <conditionalFormatting sqref="C22:D22">
    <cfRule type="cellIs" dxfId="2" priority="2" operator="greaterThan">
      <formula>$C$21</formula>
    </cfRule>
  </conditionalFormatting>
  <conditionalFormatting sqref="C29:D29">
    <cfRule type="cellIs" dxfId="1" priority="1" operator="greaterThan">
      <formula>$C$28</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 B17 B24 B31</xm:sqref>
        </x14:dataValidation>
        <x14:dataValidation type="list" allowBlank="1" showInputMessage="1" showErrorMessage="1" xr:uid="{0777CB22-5B10-42BE-9A12-0810C4C8B0D2}">
          <x14:formula1>
            <xm:f>Dropdowns!$A$1:$A$6</xm:f>
          </x14:formula1>
          <xm:sqref>C10 C17 C24 C31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3A47-954F-4F51-B379-CF94A4D8D0A4}">
  <dimension ref="A1"/>
  <sheetViews>
    <sheetView workbookViewId="0"/>
  </sheetViews>
  <sheetFormatPr defaultColWidth="9.14062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L25"/>
  <sheetViews>
    <sheetView showGridLines="0" zoomScale="80" zoomScaleNormal="80" workbookViewId="0">
      <selection activeCell="L9" sqref="L9"/>
    </sheetView>
  </sheetViews>
  <sheetFormatPr defaultColWidth="8.85546875" defaultRowHeight="15"/>
  <cols>
    <col min="1" max="1" width="1.140625" customWidth="1"/>
    <col min="2" max="2" width="13.85546875" customWidth="1"/>
    <col min="3" max="3" width="15.42578125" customWidth="1"/>
    <col min="4" max="5" width="15.7109375" customWidth="1"/>
    <col min="6" max="6" width="15.140625" customWidth="1"/>
    <col min="7" max="8" width="16" customWidth="1"/>
    <col min="9" max="9" width="15.5703125" customWidth="1"/>
    <col min="10" max="10" width="8.5703125" customWidth="1"/>
    <col min="11" max="11" width="21.7109375" customWidth="1"/>
    <col min="12" max="13" width="15.85546875" bestFit="1" customWidth="1"/>
    <col min="14" max="14" width="11.140625" bestFit="1" customWidth="1"/>
  </cols>
  <sheetData>
    <row r="1" spans="2:9" ht="15.75" thickBot="1"/>
    <row r="2" spans="2:9" s="43" customFormat="1" ht="15.75">
      <c r="B2" s="485" t="s">
        <v>220</v>
      </c>
      <c r="C2" s="486"/>
      <c r="D2" s="486"/>
      <c r="E2" s="486"/>
      <c r="F2" s="486"/>
      <c r="G2" s="486"/>
      <c r="H2" s="486"/>
      <c r="I2" s="487"/>
    </row>
    <row r="3" spans="2:9" s="43" customFormat="1" ht="16.5" thickBot="1">
      <c r="B3" s="488"/>
      <c r="C3" s="489"/>
      <c r="D3" s="489"/>
      <c r="E3" s="489"/>
      <c r="F3" s="489"/>
      <c r="G3" s="489"/>
      <c r="H3" s="489"/>
      <c r="I3" s="490"/>
    </row>
    <row r="4" spans="2:9" s="43" customFormat="1" ht="15.75">
      <c r="B4" s="185"/>
      <c r="C4" s="185"/>
      <c r="D4" s="185"/>
      <c r="E4" s="185"/>
      <c r="F4" s="185"/>
      <c r="G4" s="185"/>
      <c r="H4" s="185"/>
      <c r="I4" s="185"/>
    </row>
    <row r="5" spans="2:9" s="43" customFormat="1" ht="16.5" thickBot="1">
      <c r="B5" s="185"/>
      <c r="C5" s="185"/>
      <c r="D5" s="185"/>
      <c r="E5" s="185"/>
      <c r="F5" s="185"/>
      <c r="G5" s="185"/>
      <c r="H5" s="185"/>
      <c r="I5" s="185"/>
    </row>
    <row r="6" spans="2:9" s="43" customFormat="1" ht="16.5" thickBot="1">
      <c r="B6" s="400" t="s">
        <v>221</v>
      </c>
      <c r="C6" s="401"/>
      <c r="D6" s="401"/>
      <c r="E6" s="401"/>
      <c r="F6" s="401"/>
      <c r="G6" s="401"/>
      <c r="H6" s="401"/>
      <c r="I6" s="402"/>
    </row>
    <row r="7" spans="2:9" s="43" customFormat="1" ht="47.25">
      <c r="B7" s="42"/>
      <c r="C7" s="7" t="s">
        <v>5</v>
      </c>
      <c r="D7" s="7" t="s">
        <v>6</v>
      </c>
      <c r="E7" s="7" t="s">
        <v>7</v>
      </c>
      <c r="F7" s="7" t="s">
        <v>8</v>
      </c>
      <c r="G7" s="7" t="s">
        <v>8</v>
      </c>
      <c r="H7" s="7" t="s">
        <v>9</v>
      </c>
      <c r="I7" s="392" t="s">
        <v>221</v>
      </c>
    </row>
    <row r="8" spans="2:9" s="43" customFormat="1" ht="31.5">
      <c r="B8" s="42"/>
      <c r="C8" s="108" t="str">
        <f>'1) Tableau budgétaire 1'!D81</f>
        <v>PNUD GUINEE</v>
      </c>
      <c r="D8" s="111" t="str">
        <f>'1) Tableau budgétaire 1'!F81</f>
        <v>PNUD MALI</v>
      </c>
      <c r="E8" s="114" t="str">
        <f>'1) Tableau budgétaire 1'!H81</f>
        <v>UNFPA GUINEE</v>
      </c>
      <c r="F8" s="117" t="str">
        <f>'1) Tableau budgétaire 1'!J81</f>
        <v>UNFPA MALI</v>
      </c>
      <c r="G8" s="119" t="str">
        <f>'1) Tableau budgétaire 1'!L81</f>
        <v>UNODC GUINEE</v>
      </c>
      <c r="H8" s="119" t="str">
        <f>'1) Tableau budgétaire 1'!N81</f>
        <v>UNODC MALI</v>
      </c>
      <c r="I8" s="393"/>
    </row>
    <row r="9" spans="2:9" s="43" customFormat="1" ht="47.25">
      <c r="B9" s="8" t="s">
        <v>222</v>
      </c>
      <c r="C9" s="190">
        <f>'2) Tableau budgétaire 2'!D208</f>
        <v>206000</v>
      </c>
      <c r="D9" s="190">
        <f>'2) Tableau budgétaire 2'!E208</f>
        <v>135000</v>
      </c>
      <c r="E9" s="190">
        <f>'2) Tableau budgétaire 2'!F208</f>
        <v>70000</v>
      </c>
      <c r="F9" s="190">
        <f>'2) Tableau budgétaire 2'!G208</f>
        <v>70000</v>
      </c>
      <c r="G9" s="190">
        <f>'2) Tableau budgétaire 2'!H208</f>
        <v>36400</v>
      </c>
      <c r="H9" s="190">
        <f>'2) Tableau budgétaire 2'!I208</f>
        <v>28600</v>
      </c>
      <c r="I9" s="191">
        <f>SUM(C9:H9)</f>
        <v>546000</v>
      </c>
    </row>
    <row r="10" spans="2:9" s="43" customFormat="1" ht="47.25">
      <c r="B10" s="8" t="s">
        <v>223</v>
      </c>
      <c r="C10" s="190">
        <f>'2) Tableau budgétaire 2'!D209</f>
        <v>22000</v>
      </c>
      <c r="D10" s="190">
        <f>'2) Tableau budgétaire 2'!E209</f>
        <v>46800</v>
      </c>
      <c r="E10" s="190">
        <f>'2) Tableau budgétaire 2'!F209</f>
        <v>9000</v>
      </c>
      <c r="F10" s="190">
        <f>'2) Tableau budgétaire 2'!G209</f>
        <v>9000</v>
      </c>
      <c r="G10" s="190">
        <f>'2) Tableau budgétaire 2'!H209</f>
        <v>8400.0000000000018</v>
      </c>
      <c r="H10" s="190">
        <f>'2) Tableau budgétaire 2'!I209</f>
        <v>6600</v>
      </c>
      <c r="I10" s="191">
        <f t="shared" ref="I10:I15" si="0">SUM(C10:H10)</f>
        <v>101800</v>
      </c>
    </row>
    <row r="11" spans="2:9" s="43" customFormat="1" ht="77.45" customHeight="1">
      <c r="B11" s="8" t="s">
        <v>224</v>
      </c>
      <c r="C11" s="190">
        <f>'2) Tableau budgétaire 2'!D210</f>
        <v>25000</v>
      </c>
      <c r="D11" s="190">
        <f>'2) Tableau budgétaire 2'!E210</f>
        <v>0</v>
      </c>
      <c r="E11" s="190">
        <f>'2) Tableau budgétaire 2'!F210</f>
        <v>15000</v>
      </c>
      <c r="F11" s="190">
        <f>'2) Tableau budgétaire 2'!G210</f>
        <v>15000</v>
      </c>
      <c r="G11" s="190">
        <f>'2) Tableau budgétaire 2'!H210</f>
        <v>22400</v>
      </c>
      <c r="H11" s="190">
        <f>'2) Tableau budgétaire 2'!I210</f>
        <v>17600</v>
      </c>
      <c r="I11" s="191">
        <f t="shared" si="0"/>
        <v>95000</v>
      </c>
    </row>
    <row r="12" spans="2:9" s="43" customFormat="1" ht="47.25">
      <c r="B12" s="16" t="s">
        <v>225</v>
      </c>
      <c r="C12" s="190">
        <f>'2) Tableau budgétaire 2'!D211</f>
        <v>265000</v>
      </c>
      <c r="D12" s="190">
        <f>'2) Tableau budgétaire 2'!E211</f>
        <v>110773.83199999999</v>
      </c>
      <c r="E12" s="190">
        <f>'2) Tableau budgétaire 2'!F211</f>
        <v>130000</v>
      </c>
      <c r="F12" s="190">
        <f>'2) Tableau budgétaire 2'!G211</f>
        <v>130000</v>
      </c>
      <c r="G12" s="190">
        <f>'2) Tableau budgétaire 2'!H211</f>
        <v>96124.000000000015</v>
      </c>
      <c r="H12" s="190">
        <f>'2) Tableau budgétaire 2'!I211</f>
        <v>75526</v>
      </c>
      <c r="I12" s="191">
        <f t="shared" si="0"/>
        <v>807423.83199999994</v>
      </c>
    </row>
    <row r="13" spans="2:9" s="43" customFormat="1" ht="15.75">
      <c r="B13" s="8" t="s">
        <v>226</v>
      </c>
      <c r="C13" s="190">
        <f>'2) Tableau budgétaire 2'!D212</f>
        <v>155000</v>
      </c>
      <c r="D13" s="190">
        <f>'2) Tableau budgétaire 2'!E212</f>
        <v>196715.88800000001</v>
      </c>
      <c r="E13" s="190">
        <f>'2) Tableau budgétaire 2'!F212</f>
        <v>43000</v>
      </c>
      <c r="F13" s="190">
        <f>'2) Tableau budgétaire 2'!G212</f>
        <v>51000</v>
      </c>
      <c r="G13" s="190">
        <f>'2) Tableau budgétaire 2'!H212</f>
        <v>67592</v>
      </c>
      <c r="H13" s="190">
        <f>'2) Tableau budgétaire 2'!I212</f>
        <v>53108</v>
      </c>
      <c r="I13" s="191">
        <f t="shared" si="0"/>
        <v>566415.88800000004</v>
      </c>
    </row>
    <row r="14" spans="2:9" s="43" customFormat="1" ht="48.95" customHeight="1">
      <c r="B14" s="8" t="s">
        <v>227</v>
      </c>
      <c r="C14" s="190">
        <f>'2) Tableau budgétaire 2'!D213</f>
        <v>491000</v>
      </c>
      <c r="D14" s="190">
        <f>'2) Tableau budgétaire 2'!E213</f>
        <v>410289.72</v>
      </c>
      <c r="E14" s="190">
        <f>'2) Tableau budgétaire 2'!F213</f>
        <v>370000</v>
      </c>
      <c r="F14" s="190">
        <f>'2) Tableau budgétaire 2'!G213</f>
        <v>370000</v>
      </c>
      <c r="G14" s="190">
        <f>'2) Tableau budgétaire 2'!H213</f>
        <v>28000.000000000004</v>
      </c>
      <c r="H14" s="190">
        <f>'2) Tableau budgétaire 2'!I213</f>
        <v>22000</v>
      </c>
      <c r="I14" s="191">
        <f t="shared" si="0"/>
        <v>1691289.72</v>
      </c>
    </row>
    <row r="15" spans="2:9" s="43" customFormat="1" ht="45.95" customHeight="1" thickBot="1">
      <c r="B15" s="73" t="s">
        <v>228</v>
      </c>
      <c r="C15" s="192">
        <f>'2) Tableau budgétaire 2'!D214</f>
        <v>22000</v>
      </c>
      <c r="D15" s="192">
        <f>'2) Tableau budgétaire 2'!E214</f>
        <v>40000</v>
      </c>
      <c r="E15" s="192">
        <f>'2) Tableau budgétaire 2'!F214</f>
        <v>18000</v>
      </c>
      <c r="F15" s="192">
        <f>'2) Tableau budgétaire 2'!G214</f>
        <v>18000</v>
      </c>
      <c r="G15" s="192">
        <f>'2) Tableau budgétaire 2'!H214</f>
        <v>26584</v>
      </c>
      <c r="H15" s="192">
        <f>'2) Tableau budgétaire 2'!I214</f>
        <v>17066</v>
      </c>
      <c r="I15" s="191">
        <f t="shared" si="0"/>
        <v>141650</v>
      </c>
    </row>
    <row r="16" spans="2:9" s="43" customFormat="1" ht="18.600000000000001" customHeight="1">
      <c r="B16" s="103" t="s">
        <v>229</v>
      </c>
      <c r="C16" s="193">
        <f>SUM(C9:C15)</f>
        <v>1186000</v>
      </c>
      <c r="D16" s="193">
        <f t="shared" ref="D16:H16" si="1">SUM(D9:D15)</f>
        <v>939579.44</v>
      </c>
      <c r="E16" s="193">
        <f t="shared" si="1"/>
        <v>655000</v>
      </c>
      <c r="F16" s="193">
        <f t="shared" si="1"/>
        <v>663000</v>
      </c>
      <c r="G16" s="193">
        <f t="shared" si="1"/>
        <v>285500</v>
      </c>
      <c r="H16" s="193">
        <f t="shared" si="1"/>
        <v>220500</v>
      </c>
      <c r="I16" s="194">
        <f>SUM(I9:I15)</f>
        <v>3949579.4399999995</v>
      </c>
    </row>
    <row r="17" spans="2:12" s="43" customFormat="1" ht="17.45" customHeight="1">
      <c r="B17" s="104" t="s">
        <v>230</v>
      </c>
      <c r="C17" s="11">
        <f>C16*0.07</f>
        <v>83020.000000000015</v>
      </c>
      <c r="D17" s="11">
        <f t="shared" ref="D17:H17" si="2">D16*0.07</f>
        <v>65770.560800000007</v>
      </c>
      <c r="E17" s="11">
        <f t="shared" si="2"/>
        <v>45850.000000000007</v>
      </c>
      <c r="F17" s="11">
        <f t="shared" si="2"/>
        <v>46410.000000000007</v>
      </c>
      <c r="G17" s="11">
        <f t="shared" si="2"/>
        <v>19985.000000000004</v>
      </c>
      <c r="H17" s="11">
        <f t="shared" si="2"/>
        <v>15435.000000000002</v>
      </c>
      <c r="I17" s="195">
        <f>I16*0.07</f>
        <v>276470.56079999998</v>
      </c>
      <c r="J17" s="102"/>
      <c r="K17" s="102"/>
      <c r="L17" s="102"/>
    </row>
    <row r="18" spans="2:12" s="43" customFormat="1" ht="18.600000000000001" customHeight="1" thickBot="1">
      <c r="B18" s="72" t="s">
        <v>10</v>
      </c>
      <c r="C18" s="196">
        <f>C16+C17</f>
        <v>1269020</v>
      </c>
      <c r="D18" s="196">
        <f t="shared" ref="D18:H18" si="3">D16+D17</f>
        <v>1005350.0007999999</v>
      </c>
      <c r="E18" s="196">
        <f t="shared" si="3"/>
        <v>700850</v>
      </c>
      <c r="F18" s="196">
        <f t="shared" si="3"/>
        <v>709410</v>
      </c>
      <c r="G18" s="196">
        <f t="shared" si="3"/>
        <v>305485</v>
      </c>
      <c r="H18" s="196">
        <f t="shared" si="3"/>
        <v>235935</v>
      </c>
      <c r="I18" s="197">
        <f>I16+I17</f>
        <v>4226050.0007999996</v>
      </c>
      <c r="J18" s="102"/>
      <c r="K18" s="102"/>
      <c r="L18" s="102"/>
    </row>
    <row r="19" spans="2:12" s="43" customFormat="1" ht="16.5" thickBot="1">
      <c r="B19" s="102"/>
      <c r="C19" s="102"/>
      <c r="D19" s="102"/>
      <c r="E19" s="102"/>
      <c r="F19" s="102"/>
      <c r="G19" s="102"/>
      <c r="H19" s="102"/>
      <c r="I19" s="102"/>
      <c r="J19" s="102"/>
      <c r="K19" s="102"/>
      <c r="L19" s="102"/>
    </row>
    <row r="20" spans="2:12" s="43" customFormat="1" ht="15.75">
      <c r="B20" s="441" t="s">
        <v>231</v>
      </c>
      <c r="C20" s="442"/>
      <c r="D20" s="442"/>
      <c r="E20" s="442"/>
      <c r="F20" s="443"/>
      <c r="G20" s="443"/>
      <c r="H20" s="443"/>
      <c r="I20" s="484"/>
      <c r="J20" s="102"/>
      <c r="K20" s="102"/>
      <c r="L20" s="102"/>
    </row>
    <row r="21" spans="2:12" ht="31.5">
      <c r="B21" s="14"/>
      <c r="C21" s="12" t="s">
        <v>232</v>
      </c>
      <c r="D21" s="12" t="s">
        <v>233</v>
      </c>
      <c r="E21" s="12" t="s">
        <v>234</v>
      </c>
      <c r="F21" s="33" t="s">
        <v>235</v>
      </c>
      <c r="G21" s="33" t="s">
        <v>236</v>
      </c>
      <c r="H21" s="33" t="s">
        <v>237</v>
      </c>
      <c r="I21" s="15" t="s">
        <v>61</v>
      </c>
      <c r="J21" s="78" t="s">
        <v>180</v>
      </c>
      <c r="L21" s="60"/>
    </row>
    <row r="22" spans="2:12" ht="31.5">
      <c r="B22" s="14"/>
      <c r="C22" s="108" t="str">
        <f>'1) Tableau budgétaire 1'!D13</f>
        <v>PNUD GUINEE</v>
      </c>
      <c r="D22" s="111" t="str">
        <f>'1) Tableau budgétaire 1'!F13</f>
        <v>PNUD MALI</v>
      </c>
      <c r="E22" s="114" t="str">
        <f>'1) Tableau budgétaire 1'!H13</f>
        <v>UNFPA GUINEE</v>
      </c>
      <c r="F22" s="117" t="str">
        <f>'1) Tableau budgétaire 1'!J13</f>
        <v>UNFPA MALI</v>
      </c>
      <c r="G22" s="119" t="str">
        <f>'1) Tableau budgétaire 1'!L13</f>
        <v>UNODC GUINEE</v>
      </c>
      <c r="H22" s="119" t="str">
        <f>'1) Tableau budgétaire 1'!N13</f>
        <v>UNODC MALI</v>
      </c>
      <c r="I22" s="15"/>
      <c r="J22" s="78"/>
    </row>
    <row r="23" spans="2:12" ht="20.100000000000001" customHeight="1">
      <c r="B23" s="13" t="s">
        <v>238</v>
      </c>
      <c r="C23" s="11">
        <f>'1) Tableau budgétaire 1'!D90</f>
        <v>888314</v>
      </c>
      <c r="D23" s="11">
        <f>'1) Tableau budgétaire 1'!F90</f>
        <v>703745.00055999996</v>
      </c>
      <c r="E23" s="11">
        <f>'1) Tableau budgétaire 1'!H90</f>
        <v>490594.99999999994</v>
      </c>
      <c r="F23" s="11">
        <f>'1) Tableau budgétaire 1'!J90</f>
        <v>496586.99999999994</v>
      </c>
      <c r="G23" s="11">
        <f>'1) Tableau budgétaire 1'!L90</f>
        <v>213839.5</v>
      </c>
      <c r="H23" s="11">
        <f>'1) Tableau budgétaire 1'!N90</f>
        <v>165154.5</v>
      </c>
      <c r="I23" s="77">
        <f>I18*70%</f>
        <v>2958235.0005599996</v>
      </c>
      <c r="J23" s="79" t="e">
        <f>'1) Tableau budgétaire 1'!#REF!</f>
        <v>#REF!</v>
      </c>
    </row>
    <row r="24" spans="2:12" ht="26.45" customHeight="1">
      <c r="B24" s="13" t="s">
        <v>239</v>
      </c>
      <c r="C24" s="11">
        <f>'1) Tableau budgétaire 1'!D91</f>
        <v>380706</v>
      </c>
      <c r="D24" s="11">
        <f>'1) Tableau budgétaire 1'!F91</f>
        <v>301605.00023999996</v>
      </c>
      <c r="E24" s="11">
        <f>'1) Tableau budgétaire 1'!H91</f>
        <v>210255</v>
      </c>
      <c r="F24" s="11">
        <f>'1) Tableau budgétaire 1'!J91</f>
        <v>212823</v>
      </c>
      <c r="G24" s="11">
        <f>'1) Tableau budgétaire 1'!L91</f>
        <v>91645.5</v>
      </c>
      <c r="H24" s="11">
        <f>'1) Tableau budgétaire 1'!N91</f>
        <v>70780.5</v>
      </c>
      <c r="I24" s="77">
        <f>I18*30%</f>
        <v>1267815.0002399997</v>
      </c>
      <c r="J24" s="79" t="e">
        <f>'1) Tableau budgétaire 1'!#REF!</f>
        <v>#REF!</v>
      </c>
    </row>
    <row r="25" spans="2:12" ht="16.5" thickBot="1">
      <c r="B25" s="5" t="s">
        <v>61</v>
      </c>
      <c r="C25" s="80">
        <f t="shared" ref="C25:I25" si="4">SUM(C23:C24)</f>
        <v>1269020</v>
      </c>
      <c r="D25" s="80">
        <f t="shared" si="4"/>
        <v>1005350.0007999999</v>
      </c>
      <c r="E25" s="80">
        <f t="shared" si="4"/>
        <v>700850</v>
      </c>
      <c r="F25" s="80">
        <f t="shared" si="4"/>
        <v>709410</v>
      </c>
      <c r="G25" s="80">
        <f t="shared" si="4"/>
        <v>305485</v>
      </c>
      <c r="H25" s="80">
        <f t="shared" si="4"/>
        <v>235935</v>
      </c>
      <c r="I25" s="80">
        <f t="shared" si="4"/>
        <v>4226050.0007999996</v>
      </c>
    </row>
  </sheetData>
  <sheetProtection formatCells="0" formatColumns="0" formatRows="0"/>
  <mergeCells count="4">
    <mergeCell ref="B20:I20"/>
    <mergeCell ref="B6:I6"/>
    <mergeCell ref="I7:I8"/>
    <mergeCell ref="B2:I3"/>
  </mergeCells>
  <phoneticPr fontId="24" type="noConversion"/>
  <dataValidations count="7">
    <dataValidation allowBlank="1" showInputMessage="1" showErrorMessage="1" prompt="Includes all related staff and temporary staff costs including base salary, post adjustment and all staff entitlements." sqref="B9"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10"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1" xr:uid="{77711502-57BE-4DB4-AF61-EF9806395508}"/>
    <dataValidation allowBlank="1" showInputMessage="1" showErrorMessage="1" prompt="Includes staff and non-staff travel paid for by the organization directly related to a project." sqref="B13" xr:uid="{7599ADEE-72AD-45B4-93A0-EDFAEB4D5077}"/>
    <dataValidation allowBlank="1" showInputMessage="1" showErrorMessage="1" prompt="Services contracted by an organization which follow the normal procurement processes." sqref="B12"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4"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5" xr:uid="{D281C19F-1EF8-4A9D-BA14-51718AA1EA2B}"/>
  </dataValidations>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1'!$P$84</xm:f>
            <x14:dxf>
              <font>
                <color rgb="FF9C0006"/>
              </font>
              <fill>
                <patternFill>
                  <bgColor rgb="FFFFC7CE"/>
                </patternFill>
              </fill>
            </x14:dxf>
          </x14:cfRule>
          <xm:sqref>I18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5546875" defaultRowHeight="15"/>
  <sheetData>
    <row r="1" spans="1:1">
      <c r="A1" s="60">
        <v>0</v>
      </c>
    </row>
    <row r="2" spans="1:1">
      <c r="A2" s="60">
        <v>0.2</v>
      </c>
    </row>
    <row r="3" spans="1:1">
      <c r="A3" s="60">
        <v>0.4</v>
      </c>
    </row>
    <row r="4" spans="1:1">
      <c r="A4" s="60">
        <v>0.6</v>
      </c>
    </row>
    <row r="5" spans="1:1">
      <c r="A5" s="60">
        <v>0.8</v>
      </c>
    </row>
    <row r="6" spans="1:1">
      <c r="A6" s="60">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sheetData>
    <row r="1" spans="1:2">
      <c r="A1" s="44" t="s">
        <v>240</v>
      </c>
      <c r="B1" s="45" t="s">
        <v>241</v>
      </c>
    </row>
    <row r="2" spans="1:2">
      <c r="A2" s="46" t="s">
        <v>242</v>
      </c>
      <c r="B2" s="47" t="s">
        <v>243</v>
      </c>
    </row>
    <row r="3" spans="1:2">
      <c r="A3" s="46" t="s">
        <v>244</v>
      </c>
      <c r="B3" s="47" t="s">
        <v>245</v>
      </c>
    </row>
    <row r="4" spans="1:2">
      <c r="A4" s="46" t="s">
        <v>246</v>
      </c>
      <c r="B4" s="47" t="s">
        <v>247</v>
      </c>
    </row>
    <row r="5" spans="1:2">
      <c r="A5" s="46" t="s">
        <v>248</v>
      </c>
      <c r="B5" s="47" t="s">
        <v>249</v>
      </c>
    </row>
    <row r="6" spans="1:2">
      <c r="A6" s="46" t="s">
        <v>250</v>
      </c>
      <c r="B6" s="47" t="s">
        <v>251</v>
      </c>
    </row>
    <row r="7" spans="1:2">
      <c r="A7" s="46" t="s">
        <v>252</v>
      </c>
      <c r="B7" s="47" t="s">
        <v>253</v>
      </c>
    </row>
    <row r="8" spans="1:2">
      <c r="A8" s="46" t="s">
        <v>254</v>
      </c>
      <c r="B8" s="47" t="s">
        <v>255</v>
      </c>
    </row>
    <row r="9" spans="1:2">
      <c r="A9" s="46" t="s">
        <v>256</v>
      </c>
      <c r="B9" s="47" t="s">
        <v>257</v>
      </c>
    </row>
    <row r="10" spans="1:2">
      <c r="A10" s="46" t="s">
        <v>258</v>
      </c>
      <c r="B10" s="47" t="s">
        <v>259</v>
      </c>
    </row>
    <row r="11" spans="1:2">
      <c r="A11" s="46" t="s">
        <v>260</v>
      </c>
      <c r="B11" s="47" t="s">
        <v>261</v>
      </c>
    </row>
    <row r="12" spans="1:2">
      <c r="A12" s="46" t="s">
        <v>262</v>
      </c>
      <c r="B12" s="47" t="s">
        <v>263</v>
      </c>
    </row>
    <row r="13" spans="1:2">
      <c r="A13" s="46" t="s">
        <v>264</v>
      </c>
      <c r="B13" s="47" t="s">
        <v>265</v>
      </c>
    </row>
    <row r="14" spans="1:2">
      <c r="A14" s="46" t="s">
        <v>266</v>
      </c>
      <c r="B14" s="47" t="s">
        <v>267</v>
      </c>
    </row>
    <row r="15" spans="1:2">
      <c r="A15" s="46" t="s">
        <v>268</v>
      </c>
      <c r="B15" s="47" t="s">
        <v>269</v>
      </c>
    </row>
    <row r="16" spans="1:2">
      <c r="A16" s="46" t="s">
        <v>270</v>
      </c>
      <c r="B16" s="47" t="s">
        <v>271</v>
      </c>
    </row>
    <row r="17" spans="1:2">
      <c r="A17" s="46" t="s">
        <v>272</v>
      </c>
      <c r="B17" s="47" t="s">
        <v>273</v>
      </c>
    </row>
    <row r="18" spans="1:2">
      <c r="A18" s="46" t="s">
        <v>274</v>
      </c>
      <c r="B18" s="47" t="s">
        <v>275</v>
      </c>
    </row>
    <row r="19" spans="1:2">
      <c r="A19" s="46" t="s">
        <v>276</v>
      </c>
      <c r="B19" s="47" t="s">
        <v>277</v>
      </c>
    </row>
    <row r="20" spans="1:2">
      <c r="A20" s="46" t="s">
        <v>278</v>
      </c>
      <c r="B20" s="47" t="s">
        <v>279</v>
      </c>
    </row>
    <row r="21" spans="1:2">
      <c r="A21" s="46" t="s">
        <v>280</v>
      </c>
      <c r="B21" s="47" t="s">
        <v>281</v>
      </c>
    </row>
    <row r="22" spans="1:2">
      <c r="A22" s="46" t="s">
        <v>282</v>
      </c>
      <c r="B22" s="47" t="s">
        <v>283</v>
      </c>
    </row>
    <row r="23" spans="1:2">
      <c r="A23" s="46" t="s">
        <v>284</v>
      </c>
      <c r="B23" s="47" t="s">
        <v>285</v>
      </c>
    </row>
    <row r="24" spans="1:2">
      <c r="A24" s="46" t="s">
        <v>286</v>
      </c>
      <c r="B24" s="47" t="s">
        <v>287</v>
      </c>
    </row>
    <row r="25" spans="1:2">
      <c r="A25" s="46" t="s">
        <v>288</v>
      </c>
      <c r="B25" s="47" t="s">
        <v>289</v>
      </c>
    </row>
    <row r="26" spans="1:2">
      <c r="A26" s="46" t="s">
        <v>290</v>
      </c>
      <c r="B26" s="47" t="s">
        <v>291</v>
      </c>
    </row>
    <row r="27" spans="1:2">
      <c r="A27" s="46" t="s">
        <v>292</v>
      </c>
      <c r="B27" s="47" t="s">
        <v>293</v>
      </c>
    </row>
    <row r="28" spans="1:2">
      <c r="A28" s="46" t="s">
        <v>294</v>
      </c>
      <c r="B28" s="47" t="s">
        <v>295</v>
      </c>
    </row>
    <row r="29" spans="1:2">
      <c r="A29" s="46" t="s">
        <v>296</v>
      </c>
      <c r="B29" s="47" t="s">
        <v>297</v>
      </c>
    </row>
    <row r="30" spans="1:2">
      <c r="A30" s="46" t="s">
        <v>298</v>
      </c>
      <c r="B30" s="47" t="s">
        <v>299</v>
      </c>
    </row>
    <row r="31" spans="1:2">
      <c r="A31" s="46" t="s">
        <v>300</v>
      </c>
      <c r="B31" s="47" t="s">
        <v>301</v>
      </c>
    </row>
    <row r="32" spans="1:2">
      <c r="A32" s="46" t="s">
        <v>302</v>
      </c>
      <c r="B32" s="47" t="s">
        <v>303</v>
      </c>
    </row>
    <row r="33" spans="1:2">
      <c r="A33" s="46" t="s">
        <v>304</v>
      </c>
      <c r="B33" s="47" t="s">
        <v>305</v>
      </c>
    </row>
    <row r="34" spans="1:2">
      <c r="A34" s="46" t="s">
        <v>306</v>
      </c>
      <c r="B34" s="47" t="s">
        <v>307</v>
      </c>
    </row>
    <row r="35" spans="1:2">
      <c r="A35" s="46" t="s">
        <v>308</v>
      </c>
      <c r="B35" s="47" t="s">
        <v>309</v>
      </c>
    </row>
    <row r="36" spans="1:2">
      <c r="A36" s="46" t="s">
        <v>310</v>
      </c>
      <c r="B36" s="47" t="s">
        <v>311</v>
      </c>
    </row>
    <row r="37" spans="1:2">
      <c r="A37" s="46" t="s">
        <v>312</v>
      </c>
      <c r="B37" s="47" t="s">
        <v>313</v>
      </c>
    </row>
    <row r="38" spans="1:2">
      <c r="A38" s="46" t="s">
        <v>314</v>
      </c>
      <c r="B38" s="47" t="s">
        <v>315</v>
      </c>
    </row>
    <row r="39" spans="1:2">
      <c r="A39" s="46" t="s">
        <v>316</v>
      </c>
      <c r="B39" s="47" t="s">
        <v>317</v>
      </c>
    </row>
    <row r="40" spans="1:2">
      <c r="A40" s="46" t="s">
        <v>318</v>
      </c>
      <c r="B40" s="47" t="s">
        <v>319</v>
      </c>
    </row>
    <row r="41" spans="1:2">
      <c r="A41" s="46" t="s">
        <v>320</v>
      </c>
      <c r="B41" s="47" t="s">
        <v>321</v>
      </c>
    </row>
    <row r="42" spans="1:2">
      <c r="A42" s="46" t="s">
        <v>322</v>
      </c>
      <c r="B42" s="47" t="s">
        <v>323</v>
      </c>
    </row>
    <row r="43" spans="1:2">
      <c r="A43" s="46" t="s">
        <v>324</v>
      </c>
      <c r="B43" s="47" t="s">
        <v>325</v>
      </c>
    </row>
    <row r="44" spans="1:2">
      <c r="A44" s="46" t="s">
        <v>326</v>
      </c>
      <c r="B44" s="47" t="s">
        <v>327</v>
      </c>
    </row>
    <row r="45" spans="1:2">
      <c r="A45" s="46" t="s">
        <v>328</v>
      </c>
      <c r="B45" s="47" t="s">
        <v>329</v>
      </c>
    </row>
    <row r="46" spans="1:2">
      <c r="A46" s="46" t="s">
        <v>330</v>
      </c>
      <c r="B46" s="47" t="s">
        <v>331</v>
      </c>
    </row>
    <row r="47" spans="1:2">
      <c r="A47" s="46" t="s">
        <v>332</v>
      </c>
      <c r="B47" s="47" t="s">
        <v>333</v>
      </c>
    </row>
    <row r="48" spans="1:2">
      <c r="A48" s="46" t="s">
        <v>334</v>
      </c>
      <c r="B48" s="47" t="s">
        <v>335</v>
      </c>
    </row>
    <row r="49" spans="1:2">
      <c r="A49" s="46" t="s">
        <v>336</v>
      </c>
      <c r="B49" s="47" t="s">
        <v>337</v>
      </c>
    </row>
    <row r="50" spans="1:2">
      <c r="A50" s="46" t="s">
        <v>338</v>
      </c>
      <c r="B50" s="47" t="s">
        <v>339</v>
      </c>
    </row>
    <row r="51" spans="1:2">
      <c r="A51" s="46" t="s">
        <v>340</v>
      </c>
      <c r="B51" s="47" t="s">
        <v>341</v>
      </c>
    </row>
    <row r="52" spans="1:2">
      <c r="A52" s="46" t="s">
        <v>342</v>
      </c>
      <c r="B52" s="47" t="s">
        <v>343</v>
      </c>
    </row>
    <row r="53" spans="1:2">
      <c r="A53" s="46" t="s">
        <v>344</v>
      </c>
      <c r="B53" s="47" t="s">
        <v>345</v>
      </c>
    </row>
    <row r="54" spans="1:2">
      <c r="A54" s="46" t="s">
        <v>346</v>
      </c>
      <c r="B54" s="47" t="s">
        <v>347</v>
      </c>
    </row>
    <row r="55" spans="1:2">
      <c r="A55" s="46" t="s">
        <v>348</v>
      </c>
      <c r="B55" s="47" t="s">
        <v>349</v>
      </c>
    </row>
    <row r="56" spans="1:2">
      <c r="A56" s="46" t="s">
        <v>350</v>
      </c>
      <c r="B56" s="47" t="s">
        <v>351</v>
      </c>
    </row>
    <row r="57" spans="1:2">
      <c r="A57" s="46" t="s">
        <v>352</v>
      </c>
      <c r="B57" s="47" t="s">
        <v>353</v>
      </c>
    </row>
    <row r="58" spans="1:2">
      <c r="A58" s="46" t="s">
        <v>354</v>
      </c>
      <c r="B58" s="47" t="s">
        <v>355</v>
      </c>
    </row>
    <row r="59" spans="1:2">
      <c r="A59" s="46" t="s">
        <v>356</v>
      </c>
      <c r="B59" s="47" t="s">
        <v>357</v>
      </c>
    </row>
    <row r="60" spans="1:2">
      <c r="A60" s="46" t="s">
        <v>358</v>
      </c>
      <c r="B60" s="47" t="s">
        <v>359</v>
      </c>
    </row>
    <row r="61" spans="1:2">
      <c r="A61" s="46" t="s">
        <v>360</v>
      </c>
      <c r="B61" s="47" t="s">
        <v>361</v>
      </c>
    </row>
    <row r="62" spans="1:2">
      <c r="A62" s="46" t="s">
        <v>362</v>
      </c>
      <c r="B62" s="47" t="s">
        <v>363</v>
      </c>
    </row>
    <row r="63" spans="1:2">
      <c r="A63" s="46" t="s">
        <v>364</v>
      </c>
      <c r="B63" s="47" t="s">
        <v>365</v>
      </c>
    </row>
    <row r="64" spans="1:2">
      <c r="A64" s="46" t="s">
        <v>366</v>
      </c>
      <c r="B64" s="47" t="s">
        <v>367</v>
      </c>
    </row>
    <row r="65" spans="1:2">
      <c r="A65" s="46" t="s">
        <v>368</v>
      </c>
      <c r="B65" s="47" t="s">
        <v>369</v>
      </c>
    </row>
    <row r="66" spans="1:2">
      <c r="A66" s="46" t="s">
        <v>370</v>
      </c>
      <c r="B66" s="47" t="s">
        <v>371</v>
      </c>
    </row>
    <row r="67" spans="1:2">
      <c r="A67" s="46" t="s">
        <v>372</v>
      </c>
      <c r="B67" s="47" t="s">
        <v>373</v>
      </c>
    </row>
    <row r="68" spans="1:2">
      <c r="A68" s="46" t="s">
        <v>374</v>
      </c>
      <c r="B68" s="47" t="s">
        <v>375</v>
      </c>
    </row>
    <row r="69" spans="1:2">
      <c r="A69" s="46" t="s">
        <v>376</v>
      </c>
      <c r="B69" s="47" t="s">
        <v>377</v>
      </c>
    </row>
    <row r="70" spans="1:2">
      <c r="A70" s="46" t="s">
        <v>378</v>
      </c>
      <c r="B70" s="47" t="s">
        <v>379</v>
      </c>
    </row>
    <row r="71" spans="1:2">
      <c r="A71" s="46" t="s">
        <v>380</v>
      </c>
      <c r="B71" s="47" t="s">
        <v>381</v>
      </c>
    </row>
    <row r="72" spans="1:2">
      <c r="A72" s="46" t="s">
        <v>382</v>
      </c>
      <c r="B72" s="47" t="s">
        <v>383</v>
      </c>
    </row>
    <row r="73" spans="1:2">
      <c r="A73" s="46" t="s">
        <v>384</v>
      </c>
      <c r="B73" s="47" t="s">
        <v>385</v>
      </c>
    </row>
    <row r="74" spans="1:2">
      <c r="A74" s="46" t="s">
        <v>386</v>
      </c>
      <c r="B74" s="47" t="s">
        <v>387</v>
      </c>
    </row>
    <row r="75" spans="1:2">
      <c r="A75" s="46" t="s">
        <v>388</v>
      </c>
      <c r="B75" s="48" t="s">
        <v>389</v>
      </c>
    </row>
    <row r="76" spans="1:2">
      <c r="A76" s="46" t="s">
        <v>390</v>
      </c>
      <c r="B76" s="48" t="s">
        <v>391</v>
      </c>
    </row>
    <row r="77" spans="1:2">
      <c r="A77" s="46" t="s">
        <v>392</v>
      </c>
      <c r="B77" s="48" t="s">
        <v>393</v>
      </c>
    </row>
    <row r="78" spans="1:2">
      <c r="A78" s="46" t="s">
        <v>394</v>
      </c>
      <c r="B78" s="48" t="s">
        <v>395</v>
      </c>
    </row>
    <row r="79" spans="1:2">
      <c r="A79" s="46" t="s">
        <v>396</v>
      </c>
      <c r="B79" s="48" t="s">
        <v>397</v>
      </c>
    </row>
    <row r="80" spans="1:2">
      <c r="A80" s="46" t="s">
        <v>398</v>
      </c>
      <c r="B80" s="48" t="s">
        <v>399</v>
      </c>
    </row>
    <row r="81" spans="1:2">
      <c r="A81" s="46" t="s">
        <v>400</v>
      </c>
      <c r="B81" s="48" t="s">
        <v>401</v>
      </c>
    </row>
    <row r="82" spans="1:2">
      <c r="A82" s="46" t="s">
        <v>402</v>
      </c>
      <c r="B82" s="48" t="s">
        <v>403</v>
      </c>
    </row>
    <row r="83" spans="1:2">
      <c r="A83" s="46" t="s">
        <v>404</v>
      </c>
      <c r="B83" s="48" t="s">
        <v>405</v>
      </c>
    </row>
    <row r="84" spans="1:2">
      <c r="A84" s="46" t="s">
        <v>406</v>
      </c>
      <c r="B84" s="48" t="s">
        <v>407</v>
      </c>
    </row>
    <row r="85" spans="1:2">
      <c r="A85" s="46" t="s">
        <v>408</v>
      </c>
      <c r="B85" s="48" t="s">
        <v>409</v>
      </c>
    </row>
    <row r="86" spans="1:2">
      <c r="A86" s="46" t="s">
        <v>410</v>
      </c>
      <c r="B86" s="48" t="s">
        <v>411</v>
      </c>
    </row>
    <row r="87" spans="1:2">
      <c r="A87" s="46" t="s">
        <v>412</v>
      </c>
      <c r="B87" s="48" t="s">
        <v>413</v>
      </c>
    </row>
    <row r="88" spans="1:2">
      <c r="A88" s="46" t="s">
        <v>414</v>
      </c>
      <c r="B88" s="48" t="s">
        <v>415</v>
      </c>
    </row>
    <row r="89" spans="1:2">
      <c r="A89" s="46" t="s">
        <v>416</v>
      </c>
      <c r="B89" s="48" t="s">
        <v>417</v>
      </c>
    </row>
    <row r="90" spans="1:2">
      <c r="A90" s="46" t="s">
        <v>418</v>
      </c>
      <c r="B90" s="48" t="s">
        <v>419</v>
      </c>
    </row>
    <row r="91" spans="1:2">
      <c r="A91" s="46" t="s">
        <v>420</v>
      </c>
      <c r="B91" s="48" t="s">
        <v>421</v>
      </c>
    </row>
    <row r="92" spans="1:2">
      <c r="A92" s="46" t="s">
        <v>422</v>
      </c>
      <c r="B92" s="48" t="s">
        <v>423</v>
      </c>
    </row>
    <row r="93" spans="1:2">
      <c r="A93" s="46" t="s">
        <v>424</v>
      </c>
      <c r="B93" s="48" t="s">
        <v>425</v>
      </c>
    </row>
    <row r="94" spans="1:2">
      <c r="A94" s="46" t="s">
        <v>426</v>
      </c>
      <c r="B94" s="48" t="s">
        <v>427</v>
      </c>
    </row>
    <row r="95" spans="1:2">
      <c r="A95" s="46" t="s">
        <v>428</v>
      </c>
      <c r="B95" s="48" t="s">
        <v>429</v>
      </c>
    </row>
    <row r="96" spans="1:2">
      <c r="A96" s="46" t="s">
        <v>430</v>
      </c>
      <c r="B96" s="48" t="s">
        <v>431</v>
      </c>
    </row>
    <row r="97" spans="1:2">
      <c r="A97" s="46" t="s">
        <v>432</v>
      </c>
      <c r="B97" s="48" t="s">
        <v>433</v>
      </c>
    </row>
    <row r="98" spans="1:2">
      <c r="A98" s="46" t="s">
        <v>434</v>
      </c>
      <c r="B98" s="48" t="s">
        <v>435</v>
      </c>
    </row>
    <row r="99" spans="1:2">
      <c r="A99" s="46" t="s">
        <v>436</v>
      </c>
      <c r="B99" s="48" t="s">
        <v>437</v>
      </c>
    </row>
    <row r="100" spans="1:2">
      <c r="A100" s="46" t="s">
        <v>438</v>
      </c>
      <c r="B100" s="48" t="s">
        <v>439</v>
      </c>
    </row>
    <row r="101" spans="1:2">
      <c r="A101" s="46" t="s">
        <v>440</v>
      </c>
      <c r="B101" s="48" t="s">
        <v>441</v>
      </c>
    </row>
    <row r="102" spans="1:2">
      <c r="A102" s="46" t="s">
        <v>442</v>
      </c>
      <c r="B102" s="48" t="s">
        <v>443</v>
      </c>
    </row>
    <row r="103" spans="1:2">
      <c r="A103" s="46" t="s">
        <v>444</v>
      </c>
      <c r="B103" s="48" t="s">
        <v>445</v>
      </c>
    </row>
    <row r="104" spans="1:2">
      <c r="A104" s="46" t="s">
        <v>446</v>
      </c>
      <c r="B104" s="48" t="s">
        <v>447</v>
      </c>
    </row>
    <row r="105" spans="1:2">
      <c r="A105" s="46" t="s">
        <v>448</v>
      </c>
      <c r="B105" s="48" t="s">
        <v>449</v>
      </c>
    </row>
    <row r="106" spans="1:2">
      <c r="A106" s="46" t="s">
        <v>450</v>
      </c>
      <c r="B106" s="48" t="s">
        <v>451</v>
      </c>
    </row>
    <row r="107" spans="1:2">
      <c r="A107" s="46" t="s">
        <v>452</v>
      </c>
      <c r="B107" s="48" t="s">
        <v>453</v>
      </c>
    </row>
    <row r="108" spans="1:2">
      <c r="A108" s="46" t="s">
        <v>454</v>
      </c>
      <c r="B108" s="48" t="s">
        <v>455</v>
      </c>
    </row>
    <row r="109" spans="1:2">
      <c r="A109" s="46" t="s">
        <v>456</v>
      </c>
      <c r="B109" s="48" t="s">
        <v>457</v>
      </c>
    </row>
    <row r="110" spans="1:2">
      <c r="A110" s="46" t="s">
        <v>458</v>
      </c>
      <c r="B110" s="48" t="s">
        <v>459</v>
      </c>
    </row>
    <row r="111" spans="1:2">
      <c r="A111" s="46" t="s">
        <v>460</v>
      </c>
      <c r="B111" s="48" t="s">
        <v>461</v>
      </c>
    </row>
    <row r="112" spans="1:2">
      <c r="A112" s="46" t="s">
        <v>462</v>
      </c>
      <c r="B112" s="48" t="s">
        <v>463</v>
      </c>
    </row>
    <row r="113" spans="1:2">
      <c r="A113" s="46" t="s">
        <v>464</v>
      </c>
      <c r="B113" s="48" t="s">
        <v>465</v>
      </c>
    </row>
    <row r="114" spans="1:2">
      <c r="A114" s="46" t="s">
        <v>466</v>
      </c>
      <c r="B114" s="48" t="s">
        <v>467</v>
      </c>
    </row>
    <row r="115" spans="1:2">
      <c r="A115" s="46" t="s">
        <v>468</v>
      </c>
      <c r="B115" s="48" t="s">
        <v>469</v>
      </c>
    </row>
    <row r="116" spans="1:2">
      <c r="A116" s="46" t="s">
        <v>470</v>
      </c>
      <c r="B116" s="48" t="s">
        <v>471</v>
      </c>
    </row>
    <row r="117" spans="1:2">
      <c r="A117" s="46" t="s">
        <v>472</v>
      </c>
      <c r="B117" s="48" t="s">
        <v>473</v>
      </c>
    </row>
    <row r="118" spans="1:2">
      <c r="A118" s="46" t="s">
        <v>474</v>
      </c>
      <c r="B118" s="48" t="s">
        <v>475</v>
      </c>
    </row>
    <row r="119" spans="1:2">
      <c r="A119" s="46" t="s">
        <v>476</v>
      </c>
      <c r="B119" s="48" t="s">
        <v>477</v>
      </c>
    </row>
    <row r="120" spans="1:2">
      <c r="A120" s="46" t="s">
        <v>478</v>
      </c>
      <c r="B120" s="48" t="s">
        <v>479</v>
      </c>
    </row>
    <row r="121" spans="1:2">
      <c r="A121" s="46" t="s">
        <v>480</v>
      </c>
      <c r="B121" s="48" t="s">
        <v>481</v>
      </c>
    </row>
    <row r="122" spans="1:2">
      <c r="A122" s="46" t="s">
        <v>482</v>
      </c>
      <c r="B122" s="48" t="s">
        <v>483</v>
      </c>
    </row>
    <row r="123" spans="1:2">
      <c r="A123" s="46" t="s">
        <v>484</v>
      </c>
      <c r="B123" s="48" t="s">
        <v>485</v>
      </c>
    </row>
    <row r="124" spans="1:2">
      <c r="A124" s="46" t="s">
        <v>486</v>
      </c>
      <c r="B124" s="48" t="s">
        <v>487</v>
      </c>
    </row>
    <row r="125" spans="1:2">
      <c r="A125" s="46" t="s">
        <v>488</v>
      </c>
      <c r="B125" s="48" t="s">
        <v>489</v>
      </c>
    </row>
    <row r="126" spans="1:2">
      <c r="A126" s="46" t="s">
        <v>490</v>
      </c>
      <c r="B126" s="48" t="s">
        <v>491</v>
      </c>
    </row>
    <row r="127" spans="1:2">
      <c r="A127" s="46" t="s">
        <v>492</v>
      </c>
      <c r="B127" s="48" t="s">
        <v>493</v>
      </c>
    </row>
    <row r="128" spans="1:2">
      <c r="A128" s="46" t="s">
        <v>494</v>
      </c>
      <c r="B128" s="48" t="s">
        <v>495</v>
      </c>
    </row>
    <row r="129" spans="1:2">
      <c r="A129" s="46" t="s">
        <v>496</v>
      </c>
      <c r="B129" s="48" t="s">
        <v>497</v>
      </c>
    </row>
    <row r="130" spans="1:2">
      <c r="A130" s="46" t="s">
        <v>498</v>
      </c>
      <c r="B130" s="48" t="s">
        <v>499</v>
      </c>
    </row>
    <row r="131" spans="1:2">
      <c r="A131" s="46" t="s">
        <v>500</v>
      </c>
      <c r="B131" s="48" t="s">
        <v>501</v>
      </c>
    </row>
    <row r="132" spans="1:2">
      <c r="A132" s="46" t="s">
        <v>502</v>
      </c>
      <c r="B132" s="48" t="s">
        <v>503</v>
      </c>
    </row>
    <row r="133" spans="1:2">
      <c r="A133" s="46" t="s">
        <v>504</v>
      </c>
      <c r="B133" s="48" t="s">
        <v>505</v>
      </c>
    </row>
    <row r="134" spans="1:2">
      <c r="A134" s="46" t="s">
        <v>506</v>
      </c>
      <c r="B134" s="48" t="s">
        <v>507</v>
      </c>
    </row>
    <row r="135" spans="1:2">
      <c r="A135" s="46" t="s">
        <v>508</v>
      </c>
      <c r="B135" s="48" t="s">
        <v>509</v>
      </c>
    </row>
    <row r="136" spans="1:2">
      <c r="A136" s="46" t="s">
        <v>510</v>
      </c>
      <c r="B136" s="48" t="s">
        <v>511</v>
      </c>
    </row>
    <row r="137" spans="1:2">
      <c r="A137" s="46" t="s">
        <v>512</v>
      </c>
      <c r="B137" s="48" t="s">
        <v>513</v>
      </c>
    </row>
    <row r="138" spans="1:2">
      <c r="A138" s="46" t="s">
        <v>514</v>
      </c>
      <c r="B138" s="48" t="s">
        <v>515</v>
      </c>
    </row>
    <row r="139" spans="1:2">
      <c r="A139" s="46" t="s">
        <v>516</v>
      </c>
      <c r="B139" s="48" t="s">
        <v>517</v>
      </c>
    </row>
    <row r="140" spans="1:2">
      <c r="A140" s="46" t="s">
        <v>518</v>
      </c>
      <c r="B140" s="48" t="s">
        <v>519</v>
      </c>
    </row>
    <row r="141" spans="1:2">
      <c r="A141" s="46" t="s">
        <v>520</v>
      </c>
      <c r="B141" s="48" t="s">
        <v>521</v>
      </c>
    </row>
    <row r="142" spans="1:2">
      <c r="A142" s="46" t="s">
        <v>522</v>
      </c>
      <c r="B142" s="48" t="s">
        <v>523</v>
      </c>
    </row>
    <row r="143" spans="1:2">
      <c r="A143" s="46" t="s">
        <v>524</v>
      </c>
      <c r="B143" s="48" t="s">
        <v>525</v>
      </c>
    </row>
    <row r="144" spans="1:2">
      <c r="A144" s="46" t="s">
        <v>526</v>
      </c>
      <c r="B144" s="48" t="s">
        <v>527</v>
      </c>
    </row>
    <row r="145" spans="1:2">
      <c r="A145" s="46" t="s">
        <v>528</v>
      </c>
      <c r="B145" s="48" t="s">
        <v>529</v>
      </c>
    </row>
    <row r="146" spans="1:2">
      <c r="A146" s="46" t="s">
        <v>530</v>
      </c>
      <c r="B146" s="48" t="s">
        <v>531</v>
      </c>
    </row>
    <row r="147" spans="1:2">
      <c r="A147" s="46" t="s">
        <v>532</v>
      </c>
      <c r="B147" s="48" t="s">
        <v>533</v>
      </c>
    </row>
    <row r="148" spans="1:2">
      <c r="A148" s="46" t="s">
        <v>534</v>
      </c>
      <c r="B148" s="48" t="s">
        <v>535</v>
      </c>
    </row>
    <row r="149" spans="1:2">
      <c r="A149" s="46" t="s">
        <v>536</v>
      </c>
      <c r="B149" s="48" t="s">
        <v>537</v>
      </c>
    </row>
    <row r="150" spans="1:2">
      <c r="A150" s="46" t="s">
        <v>538</v>
      </c>
      <c r="B150" s="48" t="s">
        <v>539</v>
      </c>
    </row>
    <row r="151" spans="1:2">
      <c r="A151" s="46" t="s">
        <v>540</v>
      </c>
      <c r="B151" s="48" t="s">
        <v>541</v>
      </c>
    </row>
    <row r="152" spans="1:2">
      <c r="A152" s="46" t="s">
        <v>542</v>
      </c>
      <c r="B152" s="48" t="s">
        <v>543</v>
      </c>
    </row>
    <row r="153" spans="1:2">
      <c r="A153" s="46" t="s">
        <v>544</v>
      </c>
      <c r="B153" s="48" t="s">
        <v>545</v>
      </c>
    </row>
    <row r="154" spans="1:2">
      <c r="A154" s="46" t="s">
        <v>546</v>
      </c>
      <c r="B154" s="48" t="s">
        <v>547</v>
      </c>
    </row>
    <row r="155" spans="1:2">
      <c r="A155" s="46" t="s">
        <v>548</v>
      </c>
      <c r="B155" s="48" t="s">
        <v>549</v>
      </c>
    </row>
    <row r="156" spans="1:2">
      <c r="A156" s="46" t="s">
        <v>550</v>
      </c>
      <c r="B156" s="48" t="s">
        <v>551</v>
      </c>
    </row>
    <row r="157" spans="1:2">
      <c r="A157" s="46" t="s">
        <v>552</v>
      </c>
      <c r="B157" s="48" t="s">
        <v>553</v>
      </c>
    </row>
    <row r="158" spans="1:2">
      <c r="A158" s="46" t="s">
        <v>554</v>
      </c>
      <c r="B158" s="48" t="s">
        <v>555</v>
      </c>
    </row>
    <row r="159" spans="1:2">
      <c r="A159" s="46" t="s">
        <v>556</v>
      </c>
      <c r="B159" s="48" t="s">
        <v>557</v>
      </c>
    </row>
    <row r="160" spans="1:2">
      <c r="A160" s="46" t="s">
        <v>558</v>
      </c>
      <c r="B160" s="48" t="s">
        <v>559</v>
      </c>
    </row>
    <row r="161" spans="1:2">
      <c r="A161" s="46" t="s">
        <v>560</v>
      </c>
      <c r="B161" s="48" t="s">
        <v>561</v>
      </c>
    </row>
    <row r="162" spans="1:2">
      <c r="A162" s="46" t="s">
        <v>562</v>
      </c>
      <c r="B162" s="48" t="s">
        <v>563</v>
      </c>
    </row>
    <row r="163" spans="1:2">
      <c r="A163" s="46" t="s">
        <v>564</v>
      </c>
      <c r="B163" s="48" t="s">
        <v>565</v>
      </c>
    </row>
    <row r="164" spans="1:2">
      <c r="A164" s="46" t="s">
        <v>566</v>
      </c>
      <c r="B164" s="48" t="s">
        <v>567</v>
      </c>
    </row>
    <row r="165" spans="1:2">
      <c r="A165" s="46" t="s">
        <v>568</v>
      </c>
      <c r="B165" s="48" t="s">
        <v>569</v>
      </c>
    </row>
    <row r="166" spans="1:2">
      <c r="A166" s="46" t="s">
        <v>570</v>
      </c>
      <c r="B166" s="48" t="s">
        <v>571</v>
      </c>
    </row>
    <row r="167" spans="1:2">
      <c r="A167" s="46" t="s">
        <v>572</v>
      </c>
      <c r="B167" s="48" t="s">
        <v>573</v>
      </c>
    </row>
    <row r="168" spans="1:2">
      <c r="A168" s="46" t="s">
        <v>574</v>
      </c>
      <c r="B168" s="48" t="s">
        <v>575</v>
      </c>
    </row>
    <row r="169" spans="1:2">
      <c r="A169" s="46" t="s">
        <v>576</v>
      </c>
      <c r="B169" s="48" t="s">
        <v>577</v>
      </c>
    </row>
    <row r="170" spans="1:2">
      <c r="A170" s="46" t="s">
        <v>578</v>
      </c>
      <c r="B170" s="48" t="s">
        <v>579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MPTF_00006_01035</ProjectId>
    <FundCode xmlns="f9695bc1-6109-4dcd-a27a-f8a0370b00e2">MPTF_00006</FundCode>
    <Comments xmlns="f9695bc1-6109-4dcd-a27a-f8a0370b00e2">Rapport financier semestriel</Comments>
    <Active xmlns="f9695bc1-6109-4dcd-a27a-f8a0370b00e2">Yes</Active>
    <DocumentDate xmlns="b1528a4b-5ccb-40f7-a09e-43427183cd95">2025-06-13T07:00:00+00:00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D67CEAC-87C9-488A-B2DC-F3BF2318D262}"/>
</file>

<file path=customXml/itemProps2.xml><?xml version="1.0" encoding="utf-8"?>
<ds:datastoreItem xmlns:ds="http://schemas.openxmlformats.org/officeDocument/2006/customXml" ds:itemID="{38D9DA6C-FA8D-47C9-80AF-FA43E873A855}"/>
</file>

<file path=customXml/itemProps3.xml><?xml version="1.0" encoding="utf-8"?>
<ds:datastoreItem xmlns:ds="http://schemas.openxmlformats.org/officeDocument/2006/customXml" ds:itemID="{1DA2A1D0-ED4F-43E9-A85C-7DB0793B49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ANNUEL CUMULE CROSSBORDER 2025 REVU.xlsx</dc:title>
  <dc:subject/>
  <dc:creator>Jelena Zelenovic</dc:creator>
  <cp:keywords/>
  <dc:description/>
  <cp:lastModifiedBy>Sory CONDE</cp:lastModifiedBy>
  <cp:revision/>
  <dcterms:created xsi:type="dcterms:W3CDTF">2017-11-15T21:17:43Z</dcterms:created>
  <dcterms:modified xsi:type="dcterms:W3CDTF">2025-06-02T20:55:40Z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