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fadiga_unfpa\Desktop\Nouveau dossier (2)\FAD 2024\PBF BF\Projets PBF 2025\Rapport d'activités\Semestre 1\Version Kobotoolbox\"/>
    </mc:Choice>
  </mc:AlternateContent>
  <xr:revisionPtr revIDLastSave="0" documentId="8_{FFCCDF0F-86E7-45F4-B3B6-803936CED924}" xr6:coauthVersionLast="36" xr6:coauthVersionMax="36" xr10:uidLastSave="{00000000-0000-0000-0000-000000000000}"/>
  <bookViews>
    <workbookView xWindow="0" yWindow="0" windowWidth="19200" windowHeight="623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externalReferences>
    <externalReference r:id="rId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4" i="1" l="1"/>
  <c r="L191" i="1" l="1"/>
  <c r="L213" i="1"/>
  <c r="L201" i="1" s="1"/>
  <c r="L20" i="1"/>
  <c r="L30" i="1"/>
  <c r="L66" i="1"/>
  <c r="L76" i="1"/>
  <c r="L107" i="1"/>
  <c r="L122" i="1"/>
  <c r="G213" i="1"/>
  <c r="G214" i="1" s="1"/>
  <c r="G216" i="1"/>
  <c r="L202" i="1" l="1"/>
  <c r="L203" i="1" s="1"/>
  <c r="L187" i="1" l="1"/>
  <c r="L113" i="1"/>
  <c r="L56" i="1" l="1"/>
  <c r="L55" i="1" l="1"/>
  <c r="L54" i="1"/>
  <c r="L189" i="1" l="1"/>
  <c r="L188" i="1"/>
  <c r="L9" i="1" l="1"/>
  <c r="L73" i="1" l="1"/>
  <c r="L74" i="1"/>
  <c r="E223" i="1"/>
  <c r="E224" i="1"/>
  <c r="G224" i="1"/>
  <c r="G223" i="1"/>
  <c r="F225" i="1"/>
  <c r="K122" i="1"/>
  <c r="K107" i="1"/>
  <c r="K66" i="1"/>
  <c r="F224" i="1"/>
  <c r="E112" i="5"/>
  <c r="D112" i="5"/>
  <c r="F103" i="5"/>
  <c r="E67" i="5"/>
  <c r="D58" i="5"/>
  <c r="D56" i="5"/>
  <c r="D11" i="5"/>
  <c r="I8" i="1"/>
  <c r="H74" i="1"/>
  <c r="G109" i="1"/>
  <c r="D187" i="5"/>
  <c r="I187" i="1"/>
  <c r="I191" i="1" s="1"/>
  <c r="G187" i="5"/>
  <c r="G187" i="1"/>
  <c r="D193" i="5"/>
  <c r="E115" i="5"/>
  <c r="H187" i="1"/>
  <c r="H122" i="1"/>
  <c r="F194" i="5"/>
  <c r="E225" i="1" l="1"/>
  <c r="G190" i="1"/>
  <c r="I122" i="1" l="1"/>
  <c r="H9" i="1"/>
  <c r="H8" i="1"/>
  <c r="D110" i="5"/>
  <c r="G54" i="1"/>
  <c r="H66" i="1"/>
  <c r="J121" i="1" l="1"/>
  <c r="J120" i="1"/>
  <c r="J119" i="1"/>
  <c r="J118" i="1"/>
  <c r="J65" i="1"/>
  <c r="J64" i="1"/>
  <c r="J63" i="1"/>
  <c r="J62" i="1"/>
  <c r="J61" i="1"/>
  <c r="J56" i="1" l="1"/>
  <c r="J55" i="1"/>
  <c r="E204" i="5" l="1"/>
  <c r="E191" i="5"/>
  <c r="E194" i="5" s="1"/>
  <c r="J117" i="1"/>
  <c r="J116" i="1"/>
  <c r="J115" i="1"/>
  <c r="E108" i="5"/>
  <c r="F108" i="5"/>
  <c r="G122" i="1"/>
  <c r="D108" i="5" s="1"/>
  <c r="G107" i="1"/>
  <c r="D97" i="5" s="1"/>
  <c r="G86" i="1"/>
  <c r="D74" i="5" s="1"/>
  <c r="G76" i="1"/>
  <c r="D63" i="5" s="1"/>
  <c r="E52" i="5"/>
  <c r="I66" i="1"/>
  <c r="F52" i="5" s="1"/>
  <c r="G66" i="1"/>
  <c r="D52" i="5" s="1"/>
  <c r="G50" i="1"/>
  <c r="D40" i="5" s="1"/>
  <c r="G40" i="1"/>
  <c r="D29" i="5" s="1"/>
  <c r="G30" i="1"/>
  <c r="D18" i="5" s="1"/>
  <c r="H20" i="1"/>
  <c r="E7" i="5" s="1"/>
  <c r="I20" i="1"/>
  <c r="F7" i="5" s="1"/>
  <c r="G20" i="1"/>
  <c r="D7" i="5" s="1"/>
  <c r="G200" i="1"/>
  <c r="D19" i="4"/>
  <c r="E19" i="4"/>
  <c r="C19" i="4"/>
  <c r="D6" i="4"/>
  <c r="E6" i="4"/>
  <c r="C6" i="4"/>
  <c r="E197" i="5"/>
  <c r="F197" i="5"/>
  <c r="D197" i="5"/>
  <c r="E4" i="5"/>
  <c r="F4" i="5"/>
  <c r="D4" i="5"/>
  <c r="H200" i="1"/>
  <c r="I200" i="1"/>
  <c r="H207" i="1"/>
  <c r="I207" i="1"/>
  <c r="G207" i="1"/>
  <c r="G22" i="4"/>
  <c r="G21" i="4"/>
  <c r="G20" i="4"/>
  <c r="L184" i="1"/>
  <c r="L174" i="1"/>
  <c r="L164" i="1"/>
  <c r="L154" i="1"/>
  <c r="L142" i="1"/>
  <c r="L132" i="1"/>
  <c r="L96" i="1"/>
  <c r="L86" i="1"/>
  <c r="L50" i="1"/>
  <c r="L40" i="1"/>
  <c r="F203" i="5"/>
  <c r="E12" i="4" s="1"/>
  <c r="K211" i="1"/>
  <c r="D198" i="5"/>
  <c r="C7" i="4" s="1"/>
  <c r="F204" i="5"/>
  <c r="E13" i="4" s="1"/>
  <c r="E203" i="5"/>
  <c r="F202" i="5"/>
  <c r="E11" i="4" s="1"/>
  <c r="E201" i="5"/>
  <c r="D10" i="4" s="1"/>
  <c r="F201" i="5"/>
  <c r="E10" i="4" s="1"/>
  <c r="E200" i="5"/>
  <c r="D9" i="4" s="1"/>
  <c r="F200" i="5"/>
  <c r="E9" i="4" s="1"/>
  <c r="E199" i="5"/>
  <c r="D8" i="4" s="1"/>
  <c r="F199" i="5"/>
  <c r="E8" i="4" s="1"/>
  <c r="D200" i="5"/>
  <c r="C9" i="4" s="1"/>
  <c r="D201" i="5"/>
  <c r="C10" i="4" s="1"/>
  <c r="D202" i="5"/>
  <c r="C11" i="4" s="1"/>
  <c r="D203" i="5"/>
  <c r="C12" i="4" s="1"/>
  <c r="D204" i="5"/>
  <c r="C13" i="4" s="1"/>
  <c r="D199" i="5"/>
  <c r="C8" i="4" s="1"/>
  <c r="E198" i="5"/>
  <c r="D7" i="4" s="1"/>
  <c r="F198" i="5"/>
  <c r="E7" i="4" s="1"/>
  <c r="G164" i="1"/>
  <c r="D153" i="5" s="1"/>
  <c r="H164" i="1"/>
  <c r="E153" i="5" s="1"/>
  <c r="J188" i="1"/>
  <c r="J189" i="1"/>
  <c r="J190" i="1"/>
  <c r="J187" i="1"/>
  <c r="J180" i="1"/>
  <c r="J183" i="1"/>
  <c r="J182" i="1"/>
  <c r="J181" i="1"/>
  <c r="J179" i="1"/>
  <c r="J178" i="1"/>
  <c r="J177" i="1"/>
  <c r="J176" i="1"/>
  <c r="J173" i="1"/>
  <c r="J172" i="1"/>
  <c r="J171" i="1"/>
  <c r="J170" i="1"/>
  <c r="J169" i="1"/>
  <c r="J168" i="1"/>
  <c r="J167" i="1"/>
  <c r="J166" i="1"/>
  <c r="J163" i="1"/>
  <c r="J162" i="1"/>
  <c r="J161" i="1"/>
  <c r="J160" i="1"/>
  <c r="J159" i="1"/>
  <c r="J158" i="1"/>
  <c r="J157" i="1"/>
  <c r="J156" i="1"/>
  <c r="J153" i="1"/>
  <c r="J152" i="1"/>
  <c r="J151" i="1"/>
  <c r="J150" i="1"/>
  <c r="J149" i="1"/>
  <c r="J148" i="1"/>
  <c r="J147" i="1"/>
  <c r="J146" i="1"/>
  <c r="J141" i="1"/>
  <c r="J140" i="1"/>
  <c r="J139" i="1"/>
  <c r="J138" i="1"/>
  <c r="J137" i="1"/>
  <c r="J136" i="1"/>
  <c r="J135" i="1"/>
  <c r="J134" i="1"/>
  <c r="J131" i="1"/>
  <c r="J130" i="1"/>
  <c r="J129" i="1"/>
  <c r="J128" i="1"/>
  <c r="J127" i="1"/>
  <c r="J126" i="1"/>
  <c r="J125" i="1"/>
  <c r="J124" i="1"/>
  <c r="J114" i="1"/>
  <c r="J113" i="1"/>
  <c r="J112" i="1"/>
  <c r="J111" i="1"/>
  <c r="J110" i="1"/>
  <c r="J109" i="1"/>
  <c r="J106" i="1"/>
  <c r="J105" i="1"/>
  <c r="J104" i="1"/>
  <c r="J103" i="1"/>
  <c r="J102" i="1"/>
  <c r="J101" i="1"/>
  <c r="J100" i="1"/>
  <c r="J95" i="1"/>
  <c r="J94" i="1"/>
  <c r="J93" i="1"/>
  <c r="J92" i="1"/>
  <c r="J91" i="1"/>
  <c r="J90" i="1"/>
  <c r="J89" i="1"/>
  <c r="J88" i="1"/>
  <c r="J85" i="1"/>
  <c r="J84" i="1"/>
  <c r="J83" i="1"/>
  <c r="J82" i="1"/>
  <c r="J81" i="1"/>
  <c r="J80" i="1"/>
  <c r="J79" i="1"/>
  <c r="J78" i="1"/>
  <c r="J75" i="1"/>
  <c r="J74" i="1"/>
  <c r="J73" i="1"/>
  <c r="J72" i="1"/>
  <c r="J71" i="1"/>
  <c r="J70" i="1"/>
  <c r="J69" i="1"/>
  <c r="J68" i="1"/>
  <c r="J60" i="1"/>
  <c r="J59" i="1"/>
  <c r="J58" i="1"/>
  <c r="J57" i="1"/>
  <c r="J54" i="1"/>
  <c r="J49" i="1"/>
  <c r="J48" i="1"/>
  <c r="J47" i="1"/>
  <c r="J46" i="1"/>
  <c r="J45" i="1"/>
  <c r="J44" i="1"/>
  <c r="J43" i="1"/>
  <c r="J42" i="1"/>
  <c r="J39" i="1"/>
  <c r="J38" i="1"/>
  <c r="J37" i="1"/>
  <c r="J36" i="1"/>
  <c r="J35" i="1"/>
  <c r="J34" i="1"/>
  <c r="J33" i="1"/>
  <c r="J32" i="1"/>
  <c r="J23" i="1"/>
  <c r="J24" i="1"/>
  <c r="J25" i="1"/>
  <c r="J26" i="1"/>
  <c r="J27" i="1"/>
  <c r="J28" i="1"/>
  <c r="J29" i="1"/>
  <c r="J22" i="1"/>
  <c r="J9" i="1"/>
  <c r="J10" i="1"/>
  <c r="J11" i="1"/>
  <c r="J12" i="1"/>
  <c r="J13" i="1"/>
  <c r="J14" i="1"/>
  <c r="J15" i="1"/>
  <c r="J8" i="1"/>
  <c r="D194" i="5"/>
  <c r="G193" i="5"/>
  <c r="G192" i="5"/>
  <c r="G190" i="5"/>
  <c r="G189" i="5"/>
  <c r="G188" i="5"/>
  <c r="H191" i="1"/>
  <c r="E186" i="5" s="1"/>
  <c r="F186" i="5"/>
  <c r="G191" i="1"/>
  <c r="D186" i="5" s="1"/>
  <c r="G154" i="5"/>
  <c r="G155" i="5"/>
  <c r="G156" i="5"/>
  <c r="G157" i="5"/>
  <c r="G158" i="5"/>
  <c r="G159" i="5"/>
  <c r="G160" i="5"/>
  <c r="D161" i="5"/>
  <c r="E161" i="5"/>
  <c r="G161" i="5" s="1"/>
  <c r="F161" i="5"/>
  <c r="G165" i="5"/>
  <c r="G166" i="5"/>
  <c r="G167" i="5"/>
  <c r="G168" i="5"/>
  <c r="G169" i="5"/>
  <c r="G170" i="5"/>
  <c r="G171" i="5"/>
  <c r="D172" i="5"/>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G138" i="5" s="1"/>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G82" i="5" s="1"/>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G37" i="5" s="1"/>
  <c r="E37" i="5"/>
  <c r="F37" i="5"/>
  <c r="G41" i="5"/>
  <c r="G42" i="5"/>
  <c r="G43" i="5"/>
  <c r="G44" i="5"/>
  <c r="G45" i="5"/>
  <c r="G46" i="5"/>
  <c r="G47" i="5"/>
  <c r="D48" i="5"/>
  <c r="E48" i="5"/>
  <c r="F48" i="5"/>
  <c r="E15" i="5"/>
  <c r="F15" i="5"/>
  <c r="G8" i="5"/>
  <c r="G9" i="5"/>
  <c r="G10" i="5"/>
  <c r="G11" i="5"/>
  <c r="G12" i="5"/>
  <c r="G13" i="5"/>
  <c r="G14" i="5"/>
  <c r="D15" i="5"/>
  <c r="G127" i="5"/>
  <c r="G172" i="5"/>
  <c r="G183" i="5"/>
  <c r="G93" i="5"/>
  <c r="H184" i="1"/>
  <c r="E175" i="5" s="1"/>
  <c r="I184" i="1"/>
  <c r="F175" i="5" s="1"/>
  <c r="H174" i="1"/>
  <c r="E164" i="5" s="1"/>
  <c r="I174" i="1"/>
  <c r="F164" i="5" s="1"/>
  <c r="I164" i="1"/>
  <c r="F153" i="5" s="1"/>
  <c r="H154" i="1"/>
  <c r="E142" i="5" s="1"/>
  <c r="I154" i="1"/>
  <c r="F142" i="5" s="1"/>
  <c r="H142" i="1"/>
  <c r="E130" i="5" s="1"/>
  <c r="I142" i="1"/>
  <c r="F130" i="5" s="1"/>
  <c r="H132" i="1"/>
  <c r="E119" i="5" s="1"/>
  <c r="I132" i="1"/>
  <c r="F119" i="5" s="1"/>
  <c r="H107" i="1"/>
  <c r="E97" i="5" s="1"/>
  <c r="I107" i="1"/>
  <c r="F97" i="5" s="1"/>
  <c r="H96" i="1"/>
  <c r="E85" i="5" s="1"/>
  <c r="I96" i="1"/>
  <c r="F85" i="5" s="1"/>
  <c r="H86" i="1"/>
  <c r="E74" i="5" s="1"/>
  <c r="I86" i="1"/>
  <c r="F74" i="5" s="1"/>
  <c r="H76" i="1"/>
  <c r="E63" i="5" s="1"/>
  <c r="I76" i="1"/>
  <c r="F63" i="5" s="1"/>
  <c r="H50" i="1"/>
  <c r="E40" i="5" s="1"/>
  <c r="I50" i="1"/>
  <c r="F40" i="5" s="1"/>
  <c r="H40" i="1"/>
  <c r="E29" i="5" s="1"/>
  <c r="I40" i="1"/>
  <c r="F29" i="5" s="1"/>
  <c r="H30" i="1"/>
  <c r="E18" i="5" s="1"/>
  <c r="I30" i="1"/>
  <c r="F18" i="5" s="1"/>
  <c r="G184" i="1"/>
  <c r="D175" i="5" s="1"/>
  <c r="G174" i="1"/>
  <c r="D164" i="5" s="1"/>
  <c r="G154" i="1"/>
  <c r="D142" i="5" s="1"/>
  <c r="G142" i="1"/>
  <c r="D130" i="5" s="1"/>
  <c r="G132" i="1"/>
  <c r="D119" i="5" s="1"/>
  <c r="G96" i="1"/>
  <c r="D85" i="5" s="1"/>
  <c r="E202" i="5" l="1"/>
  <c r="E205" i="5" s="1"/>
  <c r="F223" i="1"/>
  <c r="G191" i="5"/>
  <c r="G194" i="5"/>
  <c r="G48" i="5"/>
  <c r="K191" i="1"/>
  <c r="G15" i="5"/>
  <c r="K76" i="1"/>
  <c r="K30" i="1"/>
  <c r="K20" i="1"/>
  <c r="G60" i="5"/>
  <c r="G116" i="5"/>
  <c r="G71" i="5"/>
  <c r="G26" i="5"/>
  <c r="G203" i="5"/>
  <c r="G202" i="5"/>
  <c r="G201" i="5"/>
  <c r="F205" i="5"/>
  <c r="F8" i="4"/>
  <c r="F10" i="4"/>
  <c r="G105" i="5"/>
  <c r="C14" i="4"/>
  <c r="E14" i="4"/>
  <c r="F9" i="4"/>
  <c r="D205" i="5"/>
  <c r="G198" i="5"/>
  <c r="F7" i="4"/>
  <c r="G199" i="5"/>
  <c r="G204" i="5"/>
  <c r="D13" i="4"/>
  <c r="F13" i="4" s="1"/>
  <c r="G200" i="5"/>
  <c r="D11" i="4"/>
  <c r="D12" i="4"/>
  <c r="F12" i="4" s="1"/>
  <c r="J122" i="1"/>
  <c r="J66" i="1"/>
  <c r="J20" i="1"/>
  <c r="J164" i="1"/>
  <c r="J184" i="1"/>
  <c r="G153" i="5"/>
  <c r="G18" i="5"/>
  <c r="G130" i="5"/>
  <c r="G63" i="5"/>
  <c r="K142" i="1"/>
  <c r="G52" i="5"/>
  <c r="G201" i="1"/>
  <c r="G202" i="1" s="1"/>
  <c r="H201" i="1"/>
  <c r="H202" i="1" s="1"/>
  <c r="H203" i="1" s="1"/>
  <c r="J40" i="1"/>
  <c r="J50" i="1"/>
  <c r="J76" i="1"/>
  <c r="J86" i="1"/>
  <c r="K96" i="1"/>
  <c r="K132" i="1"/>
  <c r="J142" i="1"/>
  <c r="K154" i="1"/>
  <c r="K164" i="1"/>
  <c r="J174" i="1"/>
  <c r="K184" i="1"/>
  <c r="C18" i="6"/>
  <c r="D22" i="6" s="1"/>
  <c r="G142" i="5"/>
  <c r="G186" i="5"/>
  <c r="G74" i="5"/>
  <c r="G175" i="5"/>
  <c r="G40" i="5"/>
  <c r="G97" i="5"/>
  <c r="G108" i="5"/>
  <c r="G29" i="5"/>
  <c r="G85" i="5"/>
  <c r="G119" i="5"/>
  <c r="G164" i="5"/>
  <c r="J154" i="1"/>
  <c r="I201" i="1"/>
  <c r="K86" i="1"/>
  <c r="K50" i="1"/>
  <c r="J132" i="1"/>
  <c r="J191" i="1"/>
  <c r="J107" i="1"/>
  <c r="J96" i="1"/>
  <c r="C29" i="6"/>
  <c r="K174" i="1"/>
  <c r="J30" i="1"/>
  <c r="G7" i="5"/>
  <c r="K40" i="1"/>
  <c r="C40" i="6"/>
  <c r="C7" i="6"/>
  <c r="G225" i="1" l="1"/>
  <c r="I202" i="1"/>
  <c r="I203" i="1" s="1"/>
  <c r="F206" i="5"/>
  <c r="F207" i="5" s="1"/>
  <c r="E15" i="4"/>
  <c r="E16" i="4" s="1"/>
  <c r="D206" i="5"/>
  <c r="D207" i="5" s="1"/>
  <c r="C15" i="4"/>
  <c r="C16" i="4" s="1"/>
  <c r="D14" i="4"/>
  <c r="F11" i="4"/>
  <c r="G205" i="5"/>
  <c r="E206" i="5"/>
  <c r="E207" i="5" s="1"/>
  <c r="D21" i="6"/>
  <c r="D25" i="6"/>
  <c r="D24" i="6"/>
  <c r="D23" i="6"/>
  <c r="G203" i="1"/>
  <c r="H208" i="1"/>
  <c r="H209" i="1"/>
  <c r="D21" i="4" s="1"/>
  <c r="H210" i="1"/>
  <c r="D22" i="4" s="1"/>
  <c r="D36" i="6"/>
  <c r="D32" i="6"/>
  <c r="D33" i="6"/>
  <c r="D35" i="6"/>
  <c r="D34" i="6"/>
  <c r="J201" i="1"/>
  <c r="D47" i="6"/>
  <c r="D45" i="6"/>
  <c r="D44" i="6"/>
  <c r="D46" i="6"/>
  <c r="D43" i="6"/>
  <c r="D12" i="6"/>
  <c r="D14" i="6"/>
  <c r="D11" i="6"/>
  <c r="D10" i="6"/>
  <c r="D13" i="6"/>
  <c r="G209" i="1" l="1"/>
  <c r="C21" i="4" s="1"/>
  <c r="I210" i="1"/>
  <c r="E22" i="4" s="1"/>
  <c r="D15" i="4"/>
  <c r="D16" i="4" s="1"/>
  <c r="F14" i="4"/>
  <c r="G206" i="5"/>
  <c r="G207" i="5" s="1"/>
  <c r="C19" i="6"/>
  <c r="J202" i="1"/>
  <c r="J203" i="1" s="1"/>
  <c r="G217" i="1" s="1"/>
  <c r="I209" i="1"/>
  <c r="E21" i="4" s="1"/>
  <c r="G210" i="1"/>
  <c r="C22" i="4" s="1"/>
  <c r="G208" i="1"/>
  <c r="I208" i="1"/>
  <c r="E20" i="4" s="1"/>
  <c r="D20" i="4"/>
  <c r="H211" i="1"/>
  <c r="D23" i="4" s="1"/>
  <c r="C30" i="6"/>
  <c r="C41" i="6"/>
  <c r="C8" i="6"/>
  <c r="F15" i="4" l="1"/>
  <c r="F16" i="4" s="1"/>
  <c r="J209" i="1"/>
  <c r="F21" i="4" s="1"/>
  <c r="J210" i="1"/>
  <c r="F22" i="4" s="1"/>
  <c r="G211" i="1"/>
  <c r="C23" i="4" s="1"/>
  <c r="J208" i="1"/>
  <c r="F20" i="4" s="1"/>
  <c r="C20" i="4"/>
  <c r="I211" i="1"/>
  <c r="E23" i="4" s="1"/>
  <c r="J211" i="1" l="1"/>
  <c r="F23" i="4" s="1"/>
</calcChain>
</file>

<file path=xl/sharedStrings.xml><?xml version="1.0" encoding="utf-8"?>
<sst xmlns="http://schemas.openxmlformats.org/spreadsheetml/2006/main" count="1034" uniqueCount="827">
  <si>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</si>
  <si>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</si>
  <si>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</si>
  <si>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</si>
  <si>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</si>
  <si>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</si>
  <si>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</si>
  <si>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</si>
  <si>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</si>
  <si>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</si>
  <si>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</si>
  <si>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</si>
  <si>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</si>
  <si>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</si>
  <si>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</si>
  <si>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</si>
  <si>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</si>
  <si>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</si>
  <si>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</si>
  <si>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</si>
  <si>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</si>
  <si>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</si>
  <si>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</si>
  <si>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</si>
  <si>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</si>
  <si>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</si>
  <si>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</si>
  <si>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</si>
  <si>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</si>
  <si>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</si>
  <si>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</si>
  <si>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</si>
  <si>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</si>
  <si>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</si>
  <si>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</si>
  <si>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</si>
  <si>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</si>
  <si>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</si>
  <si>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</si>
  <si>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</si>
  <si>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</si>
  <si>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</si>
  <si>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</si>
  <si>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</si>
  <si>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</si>
  <si>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</si>
  <si>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</si>
  <si>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</si>
  <si>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</si>
  <si>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</si>
  <si>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</si>
  <si>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</si>
  <si>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</si>
  <si>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</si>
  <si>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</si>
  <si>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</si>
  <si>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</si>
  <si>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</si>
  <si>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</si>
  <si>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</si>
  <si>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</si>
  <si>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</si>
  <si>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</si>
  <si>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</si>
  <si>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</si>
  <si>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</si>
  <si>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</si>
  <si>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</si>
  <si>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</si>
  <si>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</si>
  <si>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</si>
  <si>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</si>
  <si>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</si>
  <si>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</si>
  <si>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</si>
  <si>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</si>
  <si>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</si>
  <si>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</si>
  <si>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</si>
  <si>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</si>
  <si>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</si>
  <si>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</si>
  <si>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</si>
  <si>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</si>
  <si>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</si>
  <si>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</si>
  <si>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</si>
  <si>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</si>
  <si>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</si>
  <si>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</si>
  <si>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</si>
  <si>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</si>
  <si>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</si>
  <si>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</si>
  <si>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</si>
  <si>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</si>
  <si>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</si>
  <si>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</si>
  <si>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</si>
  <si>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</si>
  <si>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</si>
  <si>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</si>
  <si>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</si>
  <si>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</si>
  <si>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</si>
  <si>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</si>
  <si>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</si>
  <si>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</si>
  <si>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</si>
  <si>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</si>
  <si>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</si>
  <si>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</si>
  <si>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</si>
  <si>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</si>
  <si>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</si>
  <si>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</si>
  <si>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</si>
  <si>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</si>
  <si>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</si>
  <si>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</si>
  <si>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</si>
  <si>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</si>
  <si>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</si>
  <si>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</si>
  <si>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</si>
  <si>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</si>
  <si>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</si>
  <si>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</si>
  <si>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</si>
  <si>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</si>
  <si>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</si>
  <si>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</si>
  <si>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</si>
  <si>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</si>
  <si>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</si>
  <si>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</si>
  <si>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</si>
  <si>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</si>
  <si>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</si>
  <si>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</si>
  <si>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</si>
  <si>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</si>
  <si>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</si>
  <si>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</si>
  <si>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</si>
  <si>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</si>
  <si>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</si>
  <si>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</si>
  <si>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</si>
  <si>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</si>
  <si>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</si>
  <si>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</si>
  <si>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</si>
  <si>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</si>
  <si>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</si>
  <si>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</si>
  <si>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</si>
  <si>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</si>
  <si>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</si>
  <si>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</si>
  <si>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</si>
  <si>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</si>
  <si>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</si>
  <si>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</si>
  <si>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</si>
  <si>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</si>
  <si>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</si>
  <si>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</si>
  <si>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</si>
  <si>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</si>
  <si>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</si>
  <si>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</si>
  <si>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</si>
  <si>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</si>
  <si>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</si>
  <si>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</si>
  <si>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</si>
  <si>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</si>
  <si>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</si>
  <si>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</si>
  <si>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</si>
  <si>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</si>
  <si>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</si>
  <si>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</si>
  <si>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</si>
  <si>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</si>
  <si>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</si>
  <si>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</si>
  <si>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</si>
  <si>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</si>
  <si>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</si>
  <si>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</si>
  <si>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</si>
  <si>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</si>
  <si>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</si>
  <si>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</si>
  <si>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</si>
  <si>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</si>
  <si>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</si>
  <si>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</si>
  <si>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</si>
  <si>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</si>
  <si>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</si>
  <si>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</si>
  <si>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</si>
  <si>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</si>
  <si>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</si>
  <si>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</si>
  <si>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</si>
  <si>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</si>
  <si>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</si>
  <si>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</si>
  <si>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</si>
  <si>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</si>
  <si>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</si>
  <si>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</si>
  <si>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</si>
  <si>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</si>
  <si>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</si>
  <si>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</si>
  <si>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</si>
  <si>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</si>
  <si>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</si>
  <si>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</si>
  <si>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</si>
  <si>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</si>
  <si>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</si>
  <si>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</si>
  <si>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</si>
  <si>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</si>
  <si>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</si>
  <si>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</si>
  <si>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</si>
  <si>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</si>
  <si>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</si>
  <si>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</si>
  <si>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</si>
  <si>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</si>
  <si>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</si>
  <si>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</si>
  <si>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</si>
  <si>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</si>
  <si>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</si>
  <si>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</si>
  <si>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</si>
  <si>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</si>
  <si>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</si>
  <si>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</si>
  <si>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</si>
  <si>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</si>
  <si>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</si>
  <si>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</si>
  <si>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</si>
  <si>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</si>
  <si>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</si>
  <si>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</si>
  <si>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</si>
  <si>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</si>
  <si>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</si>
  <si>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</si>
  <si>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</si>
  <si>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</si>
  <si>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</si>
  <si>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</si>
  <si>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</si>
  <si>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</si>
  <si>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</si>
  <si>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</si>
  <si>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</si>
  <si>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</si>
  <si>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</si>
  <si>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</si>
  <si>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</si>
  <si>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</si>
  <si>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</si>
  <si>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</si>
  <si>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</si>
  <si>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</si>
  <si>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</si>
  <si>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</si>
  <si>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</si>
  <si>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</si>
  <si>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</si>
  <si>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</si>
  <si>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</si>
  <si>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</si>
  <si>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</si>
  <si>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</si>
  <si>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</si>
  <si>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</si>
  <si>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</si>
  <si>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</si>
  <si>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</si>
  <si>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</si>
  <si>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</si>
  <si>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</si>
  <si>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</si>
  <si>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</si>
  <si>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</si>
  <si>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</si>
  <si>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</si>
  <si>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</si>
  <si>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</si>
  <si>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</si>
  <si>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</si>
  <si>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</si>
  <si>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</si>
  <si>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</si>
  <si>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</si>
  <si>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</si>
  <si>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</si>
  <si>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</si>
  <si>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</si>
  <si>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</si>
  <si>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</si>
  <si>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</si>
  <si>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</si>
  <si>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</si>
  <si>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</si>
  <si>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</si>
  <si>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</si>
  <si>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</si>
  <si>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</si>
  <si>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</si>
  <si>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</si>
  <si>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</si>
  <si>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</si>
  <si>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</si>
  <si>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</si>
  <si>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</si>
  <si>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</si>
  <si>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</si>
  <si>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</si>
  <si>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</si>
  <si>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</si>
  <si>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</si>
  <si>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</si>
  <si>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</si>
  <si>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</si>
  <si>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</si>
  <si>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</si>
  <si>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</si>
  <si>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</si>
  <si>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</si>
  <si>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</si>
  <si>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</si>
  <si>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</si>
  <si>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</si>
  <si>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</si>
  <si>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</si>
  <si>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</si>
  <si>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</si>
  <si>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</si>
  <si>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</si>
  <si>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</si>
  <si>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</si>
  <si>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</si>
  <si>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</si>
  <si>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</si>
  <si>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</si>
  <si>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</si>
  <si>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</si>
  <si>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</si>
  <si>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</si>
  <si>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</si>
  <si>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</si>
  <si>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</si>
  <si>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</si>
  <si>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</si>
  <si>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</si>
  <si>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</si>
  <si>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</si>
  <si>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</si>
  <si>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</si>
  <si>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</si>
  <si>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</si>
  <si>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</si>
  <si>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</si>
  <si>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</si>
  <si>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</si>
  <si>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</si>
  <si>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</si>
  <si>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</si>
  <si>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</si>
  <si>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</si>
  <si>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</si>
  <si>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</si>
  <si>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</si>
  <si>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</si>
  <si>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</si>
  <si>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</si>
  <si>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</si>
  <si>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</si>
  <si>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</si>
  <si>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</si>
  <si>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</si>
  <si>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</si>
  <si>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</si>
  <si>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</si>
  <si>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</si>
  <si>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</si>
  <si>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</si>
  <si>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</si>
  <si>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</si>
  <si>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</si>
  <si>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</si>
  <si>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</si>
  <si>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</si>
  <si>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</si>
  <si>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</si>
  <si>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</si>
  <si>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</si>
  <si>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</si>
  <si>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</si>
  <si>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</si>
  <si>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</si>
  <si>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</si>
  <si>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</si>
  <si>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</si>
  <si>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</si>
  <si>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</si>
  <si>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</si>
  <si>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</si>
  <si>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</si>
  <si>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</si>
  <si>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</si>
  <si>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</si>
  <si>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</si>
  <si>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</si>
  <si>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</si>
  <si>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</si>
  <si>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</si>
  <si>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</si>
  <si>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</si>
  <si>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</si>
  <si>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</si>
  <si>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</si>
  <si>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</si>
  <si>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</si>
  <si>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</si>
  <si>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</si>
  <si>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</si>
  <si>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</si>
  <si>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</si>
  <si>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</si>
  <si>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</si>
  <si>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</si>
  <si>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</si>
  <si>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</si>
  <si>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</si>
  <si>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</si>
  <si>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</si>
  <si>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</si>
  <si>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</si>
  <si>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</si>
  <si>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</si>
  <si>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</si>
  <si>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</si>
  <si>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</si>
  <si>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</si>
  <si>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</si>
  <si>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</si>
  <si>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</si>
  <si>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</si>
  <si>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</si>
  <si>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</si>
  <si>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</si>
  <si>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</si>
  <si>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</si>
  <si>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</si>
  <si>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</si>
  <si>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</si>
  <si>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</si>
  <si>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</si>
  <si>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</si>
  <si>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</si>
  <si>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</si>
  <si>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</si>
  <si>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</si>
  <si>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</si>
  <si>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</si>
  <si>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</si>
  <si>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</si>
  <si>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</si>
  <si>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</si>
  <si>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</si>
  <si>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</si>
  <si>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</si>
  <si>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</si>
  <si>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</si>
  <si>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</si>
  <si>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</si>
  <si>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</si>
  <si>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</si>
  <si>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</si>
  <si>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</si>
  <si>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</si>
  <si>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</si>
  <si>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</si>
  <si>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</si>
  <si>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</si>
  <si>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</si>
  <si>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</si>
  <si>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</si>
  <si>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</si>
  <si>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</si>
  <si>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</si>
  <si>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</si>
  <si>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</si>
  <si>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</si>
  <si>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</si>
  <si>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</si>
  <si>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</si>
  <si>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</si>
  <si>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Budget de suivi</t>
  </si>
  <si>
    <t>Budget pour l'évaluation finale indépendante</t>
  </si>
  <si>
    <t>Annexe D - Budget du projet PBF</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</si>
  <si>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</si>
  <si>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</si>
  <si>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</si>
  <si>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</si>
  <si>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</si>
  <si>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</si>
  <si>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</si>
  <si>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</si>
  <si>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</si>
  <si>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</si>
  <si>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</si>
  <si>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</si>
  <si>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</si>
  <si>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</si>
  <si>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</si>
  <si>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</si>
  <si>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</si>
  <si>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</si>
  <si>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</si>
  <si>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</si>
  <si>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</si>
  <si>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</si>
  <si>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</si>
  <si>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</si>
  <si>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</si>
  <si>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</si>
  <si>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</si>
  <si>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</si>
  <si>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</si>
  <si>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</si>
  <si>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</si>
  <si>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</si>
  <si>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</si>
  <si>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</si>
  <si>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</si>
  <si>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</si>
  <si>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</si>
  <si>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</si>
  <si>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</si>
  <si>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</si>
  <si>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</si>
  <si>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</si>
  <si>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</si>
  <si>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</si>
  <si>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</si>
  <si>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</si>
  <si>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</si>
  <si>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</si>
  <si>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</si>
  <si>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</si>
  <si>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</si>
  <si>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</si>
  <si>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</si>
  <si>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</si>
  <si>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</si>
  <si>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</si>
  <si>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</si>
  <si>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</si>
  <si>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</si>
  <si>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</si>
  <si>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</si>
  <si>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</si>
  <si>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</si>
  <si>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</si>
  <si>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</si>
  <si>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</si>
  <si>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</si>
  <si>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</si>
  <si>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</si>
  <si>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Organisation recipiendiaire 1 (UNHCR)</t>
  </si>
  <si>
    <t>Organisation recipiendiaire 2 (FAO)</t>
  </si>
  <si>
    <t>Organisation recipiendiaire 3 (OIM)</t>
  </si>
  <si>
    <t xml:space="preserve">Résultat 1: Une réponse coordonnée et durable au profit des populations vulnérables est assurée grâce à l’opérationnalisation du nexus HDP dans la région des Cascades.  </t>
  </si>
  <si>
    <t>Produit 1.1 :  Les services déconcentrés de l’état, de même que les cadres de coordination et de concertation existants au niveau régional qui regroupent les acteurs humanitaires, de développement et de Paix sont accompagnées en vue de la prise en compte du Nexus HDP dans la région des Cascades.</t>
  </si>
  <si>
    <t>Activite 1.1.9</t>
  </si>
  <si>
    <t>Activite 1.1.10</t>
  </si>
  <si>
    <t>Activite 1.1.11</t>
  </si>
  <si>
    <t>Activite 1.1.12</t>
  </si>
  <si>
    <t>Les capacités des parties prenantes sont renforcées, les poches de stabilité et les conditions propices aux solutions durables sont identifiées pour optimiser la collecte, l’analyse, la gestion des données en lien avec le Nexus HDP.</t>
  </si>
  <si>
    <t>Des mécanismes communautaires de veille et de réponses aux urgences pour la consolidation de la paix sont redynamisés ou mis en place</t>
  </si>
  <si>
    <t>Les conflits communautaires autour du foncier et des autres ressources naturelles ainsi que la méfiances entre les communautés sont réduits</t>
  </si>
  <si>
    <t>Activite 2.1.9</t>
  </si>
  <si>
    <t>Activite 2.1.10</t>
  </si>
  <si>
    <t>Activite 2.1.11</t>
  </si>
  <si>
    <t>Activite 2.1.12</t>
  </si>
  <si>
    <t>Activite 2.1.13</t>
  </si>
  <si>
    <t>Organisation de deux (2) 4 fora régionaux sur la culture de la paix entre les communautés, la gestion pacifique des différends(OIM et HCR)</t>
  </si>
  <si>
    <t xml:space="preserve">Elaboration de 500 guides de sensibilisations sur plusieurs thématiques en lien avec la cohésion sociale et la cohabitation pacifique seront élaborés et traduits dans le  s langues locales  </t>
  </si>
  <si>
    <t>Mise en place de 10 comités mixtes de gestion et de prévention des conflits(20 personnes par comité) et renforcement de leurs capacités</t>
  </si>
  <si>
    <t>Mise en place ou  redynamisation de 50 comités de protection dans le cadre des activités de suivi de protection P21</t>
  </si>
  <si>
    <t>Sécurisation de 30  ha de terres au profit des PDI et des membres de communauté Hôtes</t>
  </si>
  <si>
    <t>La gestion durable des ressources naturelles et du foncier, est améliorée grâce aux pratiques innovantes et à la promotion du dialogue communautaire pour favoriser la restauration de la paix et le vivre ensemble</t>
  </si>
  <si>
    <t xml:space="preserve">Mettre en place 4 Comités de Gestion (COGES) autour des aménagements/infrastructures agrosylvopastoraux, unités de transformation des produits agrosylvopastoraux en s’appuyant sur l’existant  </t>
  </si>
  <si>
    <t>Résultat 3: Les vulnérabilités économiques des PDI et des communautés hôtes sont réduites à travers le développement de solutions durables contribuant au renforcement de la cohésion sociale</t>
  </si>
  <si>
    <t>Les populations Déplacées Internes et les populations hôtes entreprennent des actions visant à améliorer la santé mentale et le soutien psycho-social des plus vulnérables, afin de les faire contribuer au développement socio-économique de leur localité</t>
  </si>
  <si>
    <t xml:space="preserve">Les femmes et les jeunes déplacés de force ont accès à des opportunités stimulant l’entrepreneuriat et la création d’emplois, afin de renforcer leurs moyens de subsistance ,et de promouvoir le développement économique des communautés (et le développement de chaines de valeurs agrosylvopastorale.   </t>
  </si>
  <si>
    <t>Activite 3.2.9</t>
  </si>
  <si>
    <t>Activite 3.2.12</t>
  </si>
  <si>
    <t>Activite 3.2.13</t>
  </si>
  <si>
    <t>Activite 3.2.14</t>
  </si>
  <si>
    <t>Activite 3.2.15</t>
  </si>
  <si>
    <t>Appuyer la mise en  place de 10 Champs Écoles Agropastoraux (CEAP) et Association Villageoise d’Epargne et de crédit (AVEC) pour renforcer les capacités des communautés sur les bonnes pratiques de gestion des ressources naturelles et promouvoir le vivre ensemble</t>
  </si>
  <si>
    <t>Organisation de campagne de sensibilisation sur la prévention des conflits communautaires, le vivre ensemble et  la participation citoyenne à la sécurité dans les communes d'intervention à travers notamment:théâtres, fora, jeux radiophoniques</t>
  </si>
  <si>
    <t>Organisation d'une journée de communauté dans chacune des 2 provinces de la région des Cascades (parenté à plaisenterie, jeux de société, mets locaux, contes, sketches etc) sur la prévention des conflits, la cohésion sociale, la cohabitation pacifique et le vivre ensemble</t>
  </si>
  <si>
    <t xml:space="preserve">Accompagner 300 femmes vulnérables pour entreprendre et ou renforcer leurs activités de résilience </t>
  </si>
  <si>
    <t>Appuyer la Direction régionale en charge de l’agriculture pour le renforcement des capacités de 70 leaders pasteurs sur le processus d’immatriculation des infrastructures pastorales</t>
  </si>
  <si>
    <t>Les fonds nationaux appuyés formés renforcent les capacités techniques de 500   femmes et des jeunes sur les mécanismes d’accès à leurs services pour la création des unités économiques</t>
  </si>
  <si>
    <t>Mettre en place et l’animation de 30 clubs DIMITRA en vue d’améliorer la cohésion sociale, la culture de la paix, la capacité organisationnelle et contribuer à renforcer la résilience des populations affectées par les nombreuses crises</t>
  </si>
  <si>
    <t>Cout de personnel du projet si pas inclus dans les activites ci-dessus</t>
  </si>
  <si>
    <t>Couts operationnels si pas inclus dans les activites ci-dessus</t>
  </si>
  <si>
    <t>Un accent sera mis sur la sensibilisation des pasteurs pour la prise en compte du genre dans le processus d'immatriculation des infrastructures pastorales.</t>
  </si>
  <si>
    <t xml:space="preserve">L'appui concernera environ 50% de femmes et d'hommes </t>
  </si>
  <si>
    <t>Il sera procedé à une representation de 50% de femmes pour l'attribution des boutiques.</t>
  </si>
  <si>
    <t>Les personnes chargées d'animer les sites seront identifiées tenant compte de la dimension genre avec 50% de femmes et 50% d'hommes.</t>
  </si>
  <si>
    <t xml:space="preserve">L'activité concernera de facon spécifique les femmes </t>
  </si>
  <si>
    <t>La session de formation sera organisée avec une représentativité majeure des femmes au sein des agents communaux</t>
  </si>
  <si>
    <t>Il sera organisé des activités de sensibilisation au sein des services de l'action humanitaire pour une representation égale des femmes et des hommes parmi les personnes qui seront chargées de la collecte des données.</t>
  </si>
  <si>
    <t>Les comités mixtes seront mis en place en tenant compte de la representativité 50% hommes et 50% femmes</t>
  </si>
  <si>
    <t>La femmes seront priviligiées pour la participation aux écoles des champs agropastoraux ainsi que les Accociations d'épargne et de Credit.</t>
  </si>
  <si>
    <t>Il sera procédé  à une representation égale des femmes et des hommes pour l'animation des clubs DIMITRA sur la cohésion sociale.</t>
  </si>
  <si>
    <t>La representativité 5O% femmes et 50% sera assurée parmis les membres des comités de gestion.</t>
  </si>
  <si>
    <t>L'appui touchera plus de 50% de femmes en vue de leur accessibilité aux services sociaux de base.</t>
  </si>
  <si>
    <t>Le renforcement des capacités  concernera 50% de femmes et 50% d'hommes.</t>
  </si>
  <si>
    <t>L'activité integrera une dimension genre pour assurer une representation égale des femmes et des hommes.</t>
  </si>
  <si>
    <t>Les campagnes de sensibilisation seront organisées en veillant à une participation égale des femmes et des hommes.</t>
  </si>
  <si>
    <t>Aux journées des communautés seront jointes des sessions de sensibilisation pour la prise en compte de la dimension genre dans toutes les activités communautaires.</t>
  </si>
  <si>
    <t>Description des activité(Ancienne formulation)</t>
  </si>
  <si>
    <t>Atelier de réflexion avec les acteurs nationaux, sur le fonctionnement/ la dynamisation des cadres de concertations créés au niveau régional, provincial et communal et leur rôle dans l’opérationnalisation du nexus HDP</t>
  </si>
  <si>
    <t>Renforcement des capacités des acteurs membres des cadres de concertations communaux, provinciaux et régionaux pour assurer l’opérationnalisation de l’approche HDP</t>
  </si>
  <si>
    <t>Renforcement des capacités de 4 communes pour la prise en compte des activités de consolidation de la paix et des besoins des populations socio-économique des personnes affectées par ces conflits dans les Plans de Développement Communaux</t>
  </si>
  <si>
    <t>Appui matériels et techniques à 8 délégations spéciales en matériels informatiques pour la délivrance des faits d’état civil et formation de 40 agents communaux sur la modernisation des faits d’état civil</t>
  </si>
  <si>
    <t xml:space="preserve">Appuis à la création de 8 centres d’état civil secondaires et Renforcement de leurs capacités matérielles et techniques </t>
  </si>
  <si>
    <t>Mise à disposition de 10 services de l’action humanitaire des outils informatiques (Ordinateurs, Tablettes) en vue du renforcement de la collecte numérique des données sur l’enregistrement des PDI et renforcement de leurs capacités</t>
  </si>
  <si>
    <t>Renforcement des capacités de la DR de l’action humanitaire à travers la construction de deux magasins de stockage de vivres et autres articles essentiels ménagers pour les communautés vulnérables y compris les PDI</t>
  </si>
  <si>
    <t>Renforcement des capacités des agents des services techniques déconcentrés sur l’évaluation de la résilience des communautés victimes de chocs et la conduite des évaluations rapides des moyens d’existence et des évaluations multisectorielles des besoins des PDI et des retournées (MSNA)</t>
  </si>
  <si>
    <t>Appui a la mise en oeuvre de l'indice de solution durable et mobilité, à la collecte des données sur le suivi des localisations et des déplacements</t>
  </si>
  <si>
    <t>Renforcement des capacités de 100 agents étatiques sur la conduite des Evaluations Rapide de protection (ERP) dans le cadre de la mise en œuvre du P21 et l’appui technique à l’organisation des ERP et MSA sur le terrain</t>
  </si>
  <si>
    <t>Appui à la mise en place et/ou redynamisation des démembrements ONAPREGECC, CONASUR et autres mécanismes de gestion des conflits communautaires</t>
  </si>
  <si>
    <t xml:space="preserve">Former 340  jeunes et femmes leaders de la société civile sur les différents cadres de prévention et de gestion des conflits communautaires dont les conflits fonciers </t>
  </si>
  <si>
    <t xml:space="preserve">Formation des propriétaires terriens sur l’intérêt de la sécurisation foncière et organisation de session de sensibilisation sur la loi 034 portant régime du foncier rural et la loi 008 sur la promotion foncière et immobilière </t>
  </si>
  <si>
    <t>Organisation de forum sur la culture de la paix entre les communautés, la gestion pacifique des différends en partenariat avec ONAPREGECC</t>
  </si>
  <si>
    <t xml:space="preserve">Mise en place de 10 comités mixtes de gestion et de prévention des conflits dans les ZAD et renforcement de leurs capacités </t>
  </si>
  <si>
    <t>Sécurisation de 30 ha de terres au profit des PDI et des membres de communauté Hôtes</t>
  </si>
  <si>
    <t>Organisation d'activités de renforcement de la collaboration et de la confiance entre communautés et autorités locales incluant les FDS: sessions de dialogue, travaux d'intérêts communautaires etc</t>
  </si>
  <si>
    <t>Organisation de sessions de formation des formateurs (leaders communautaires, leaders des jeunes, amazones de la cohésion sociale) sur la prévention des conflits communautaires et la consolidation de la paix</t>
  </si>
  <si>
    <t>Renforcer l'offre de service y compris spécialisée en SMSPS</t>
  </si>
  <si>
    <t>Appuyer la direction régionale de l'action humanitaire pour la prise en charge de 300 personnes en vue de leur accessiblité aux services sociaux de base</t>
  </si>
  <si>
    <t>Appuis aux collectivités territoriales pour l’implémentation de   50 boutiques aux profits des PDI et la communauté hôte pour faciliter l’accès au marché aux personnes qui vont développerez des initiatives économiques dans les communes</t>
  </si>
  <si>
    <t xml:space="preserve">Renforcer les capacités   de 200 PDI et membres de la communauté hôtes sur les métiers agricoles et techniques dans des écoles de formations professionnelles sur l’agriculture (ENAFA, Lycée Agricole, Centre professionnel de Bobo…). Et les accompagner avec des kits et fonds de roulement pour leur installation </t>
  </si>
  <si>
    <t>Appuyer la réalisation et mise en valeur des sites de production maraîchère et rizicole pour améliorer les revenus des communautés hôtes et personnes déplacées interne</t>
  </si>
  <si>
    <t>Favoriser l’accès des pasteurs aux ressources naturelles   par la   réalisation des  infrastructures et la sécurisation des sites pastoraux en vue d’améliorer l’alimentation durable des animaux  et l’économie des communautés vulnérables</t>
  </si>
  <si>
    <t>Appuyer le renforcement des capacités techniques de femmes et jeunes pour la restauration et la mise en valeur agricole ou pastorale   de  200 ha de terres et de paysage dégradés</t>
  </si>
  <si>
    <t>Appuyer la réalisation d’une séance de sensibilisation sur  les mesures de mitigation de risques en lien avec la réalisation des ouvrages en vue de renforcer les sauvegardes environnementales et sociales en atténuant les risques négatifs et intensifiant   les risques positifs liés à l'exploitation des infrastructures réalisées dans le cadre dudit projet</t>
  </si>
  <si>
    <r>
      <t>Description des activités</t>
    </r>
    <r>
      <rPr>
        <b/>
        <sz val="12"/>
        <color theme="4"/>
        <rFont val="Calibri"/>
        <family val="2"/>
        <scheme val="minor"/>
      </rPr>
      <t>(nouvelle formulation)</t>
    </r>
  </si>
  <si>
    <t>Mettre en place et soutenir l’animation de 30 clubs DIMITRA en vue d’améliorer la cohésion sociale, la culture de la paix, la capacité organisationnelle et contribuer à renforcer la résilience des populations affectées par les nombreuses crises</t>
  </si>
  <si>
    <t xml:space="preserve">Réaliser une Ingénierie sociale pour informer, sensibiliser les communautés en vue d’identifier de façon participative et conjointe les sites d’implantation et d’aménagement des infrastructures agrosylvopastorales pour réduire la vulnerabilité de bénéficiares
</t>
  </si>
  <si>
    <t>Collectivités territoriales
DREP Casacdes
Agences du SNU(OIM,HCR et FAO)</t>
  </si>
  <si>
    <t>Collectivités territoriales</t>
  </si>
  <si>
    <t>Direction Générale de la Modernisation de l'Etat Civil (DGMEC)</t>
  </si>
  <si>
    <t>Gouvernorat de Banfora</t>
  </si>
  <si>
    <t>Collectivités territoriales
DREP Casacdes
Agences du SNU(OIM,HCR et FAO)
OSC</t>
  </si>
  <si>
    <t>.Cette activité contribuera à avoir une cartographie dynamique  des acteurs et la mise en oeuvre des strategies nationales du NEXUS.Les appuis aux cadres de concertaion seront essentiellement des appuis materiels en outils informatiques.La cartatogtraphie des services qui se veut dynamique contribuera en meilleure maitrise des acteurs HDP dans la province pour une meilleure protection à travers une operationnalisation de la stratégie nationale du Nexus.</t>
  </si>
  <si>
    <t>Acteurs Associés</t>
  </si>
  <si>
    <t xml:space="preserve">Dans le cadre de cette activité il sera pris en compte la dimension genre dans le choix des participants aux differentes activités. </t>
  </si>
  <si>
    <t>CCR,CCP et CCC
Collectivités territoriales
Direction régionale de l'agriculture et de l'élévage
Agences du SNU</t>
  </si>
  <si>
    <t>La mise en ouevre de cette activité prendra en compte la dimension genre</t>
  </si>
  <si>
    <t>Actualiser les  Plans communauax de Developpement de quatre (4) communes de la Région des Cascades prenant  en compte les besoins des PDI et des personnes  retournées.</t>
  </si>
  <si>
    <t>Les Collectivités territoriales</t>
  </si>
  <si>
    <t>Gouvernorat de Banfora
Hauts-Commissariats
Prefectures 
Services Techniques du Minsitère de l'Adminsitration du Territoire
Agences du SNU</t>
  </si>
  <si>
    <t>Le choix des communes sera fait en tenant compte de la dimension genre pour le respect de l'égalité des sexes.Par ailleurs des sessions sur l'égalité des sexes seront organisées pour assurer une pleine représentativité des femmes.</t>
  </si>
  <si>
    <t xml:space="preserve">
Cette activité devra contribuer à la relecture des PLANS COMMUNAUX DE DEVELOPPEMENT pour la prise en compte des besoins des populations deplacées Internes et des personnes retournées.Il s'agira de financer la relecture des plans communaux à travers les sessions organisées y compris la prise en charge des consultants.</t>
  </si>
  <si>
    <t xml:space="preserve">Equiper 8 délégations spéciales pour la delivrance des faits d'état civils.
</t>
  </si>
  <si>
    <t>Cette activité consistera à equiper les délégation spéciales en materiels informatiques, bureaucratique(régistre) et à former au moins 40 agents  en charge de l'état civil pour la modernisation dans la délivrance de 5000 actes d'états civils et document d'idetité.A terme l'activité aura comme impact de contribuer aux besoins des populations PDI et hotes  et des personnes retounées en acte d'étatx civils et en document d'identité dans les 8 communes du projet.</t>
  </si>
  <si>
    <t xml:space="preserve">
Créer huits(08) Centre d'état Civils sécondaires
dans les communes d'intervention.
</t>
  </si>
  <si>
    <t>Délégations Spéciales communales</t>
  </si>
  <si>
    <t>DGMEC
Service d'état civil du Gouvernorat
Agence du SNU</t>
  </si>
  <si>
    <t xml:space="preserve">L'activité permettra aux femmes d'avoir un accès facile aux centres d'état civil secondaire.
</t>
  </si>
  <si>
    <t xml:space="preserve">
Cette activité à terme aura comme impact de contribuer à rapprocher les centres d'états civils des communautés pour faciliter la delivrance des faits d'états civils aux populations (hotes, PDI et personnes retournées)</t>
  </si>
  <si>
    <t xml:space="preserve">Doter le CORESUR en materiels informatiques pour la collecte numérique des données sur les PDI et les personnes retournées.
</t>
  </si>
  <si>
    <t>CORESUR</t>
  </si>
  <si>
    <t>Il s'agira de  doter  au moins  10 services de l’action humanitaire en outils informatiques (Ordinateurs, Tablettes) et renfocer les capcaités du personnes dans la collecte numérique des données.
Cette activité aura comme impact une meilleure maitrise des statistiques des PDI et des personnes retournées en vue d'adresser une meilleure reponse humanitaire en fonction des besoins de chaque commune.</t>
  </si>
  <si>
    <t>CONASUR
Direction Régionalede l'action humanitaire
Collectivités territoriales</t>
  </si>
  <si>
    <t xml:space="preserve">Direction régionale en charge de l'action humanitaire
</t>
  </si>
  <si>
    <t xml:space="preserve">Les collectivités territoriales
Direction régionale  de l'urbanisme
DREP
Agences du SNU
</t>
  </si>
  <si>
    <t>Il sera organisé des activités de plaidoyer pour qu'au moins un des magasins soit géré par une organisation feminine.</t>
  </si>
  <si>
    <t>Il s'agira à travers cette activité de financer la construction de deux magasins de stockage de vivres et des Articles Ménagers Essentiels(AME)
Cette activité aura comme impact de renforcer les capacités de stockage du CONASUR dans les Cascades et contribuer à une  plus grande capacités d'assistance humanitaire.</t>
  </si>
  <si>
    <t xml:space="preserve">Construire deux magasins de stockage de vivres et des Articles Essentiels Ménagers au profit des Populations y compris les PDI et les personnes retournées
</t>
  </si>
  <si>
    <t>Dierction régionale en charge de l'action humanitaire</t>
  </si>
  <si>
    <t xml:space="preserve">Direction régionale en charge de l'agriculture et élévage
Direction régionale en charge de l'environnement
</t>
  </si>
  <si>
    <t xml:space="preserve">Une attention parculière sera accordée aux femmes dans le cadre de la dotation des Kits d'évaluation et de suivi.
</t>
  </si>
  <si>
    <t>Il s'agira d'acheter des tablettes, des ordinnateurs, équiper en outils d'évaluation et de suivi
et former les acteurs terrains pour une utilisation des Kits d'évaluation et de suivi.
Cette activité  va contribuer à mettre en evidence les besoins des populations et leur niveau de resilience</t>
  </si>
  <si>
    <t>Services techniques deconcentrées(agriculture, élévage,environement, DREP, eau et assainisssement, SNU)</t>
  </si>
  <si>
    <t>Cette activité prendra en compte la dimension genre pour dans le cadre des activités de ciblage et d'évaluation des besoins.</t>
  </si>
  <si>
    <t xml:space="preserve">
Il s'agira de financer la réalisation des indices de solutions durables à travers la mise à disposition  auprès  des services deconcentrés les besoins des populations à la base en vue de leur prise en compte dans les projets et programme de developpement.En effet l'activité permettra de  capter les besoins des populations et rendre efficace les interventions en matière de solutions durables.</t>
  </si>
  <si>
    <t>Collectivités locales</t>
  </si>
  <si>
    <t>Services techniques deconcentrées( eau et assainisssement, Santé, Education)
SNU</t>
  </si>
  <si>
    <t xml:space="preserve">Cette activité permettra un accès facile des femmes aux services sociaux de base
</t>
  </si>
  <si>
    <t xml:space="preserve">Réaliser des insfractructures socio-économique au profit des populations(eau potable,santé, éducation) </t>
  </si>
  <si>
    <t>Appuyer à la mise en place et au fonctionnement des commisssions  de conciliation foncière villageoises, les demembrements de l'ONAPREGECC et du CONASUR.</t>
  </si>
  <si>
    <t>Acteur clé</t>
  </si>
  <si>
    <t>OREPREGECC</t>
  </si>
  <si>
    <t>CORESUR
Direction régionale de l'Agriculture et de l'élavage
Partenaires operationels(ONG et OSC locales)</t>
  </si>
  <si>
    <t xml:space="preserve">Un accent sera mis sur la dimension genre par  une représentativité des femmes dans les differentes commissions.
 </t>
  </si>
  <si>
    <t>Il sera pris en compte une représentativité égale des jeunes hommes et des jeunes femmes.</t>
  </si>
  <si>
    <t xml:space="preserve">OREPREGECC
</t>
  </si>
  <si>
    <t xml:space="preserve">Dierction régionale en chrage de l'action humanitaire
Direction régionale de l'agriculture et l'élévage
Direction régionale de la Jeunesse
Partenaires opérationnels(ONG et OSC locales)
</t>
  </si>
  <si>
    <t>Direction régionale de l'urbanisme
Direction régionale de l'agriculture et de l'élévage</t>
  </si>
  <si>
    <t xml:space="preserve">Collectivités térritoriales
Direction régionale de l'environnement
Partenaires operationnels(ONG et Oclocales)
</t>
  </si>
  <si>
    <t xml:space="preserve">Des sessions de sensibilisation seront gréffées à cette activité sur la thématique spécifique de l'égalité des genres en vue d'une pleine participation des femmes aux activités sur l'interêt de la sécurisation foncière. </t>
  </si>
  <si>
    <t xml:space="preserve">
Direction régionale de l'agriculture et de l'élévage</t>
  </si>
  <si>
    <t xml:space="preserve">Collectivités territoriales
Direction régionale de l'urbanismes
Partenaires opérationnels(ONG et OSC locales)
</t>
  </si>
  <si>
    <t xml:space="preserve">Cette activité va consister à réaliser des sessions de formation des leaders pastoraux.Elle permettra de prevenir les conflits liés à l'exploitation des infrastructures pastorales.
</t>
  </si>
  <si>
    <t xml:space="preserve">Réaliser des activités de théatres fora sur la cohésion sociale lors des festivals de la région des Cascades.
</t>
  </si>
  <si>
    <t>L'activité consistera à accompagner au moins deux festivals de promotion de la cohésion sociale entre les communautés dans la région des Cascades.
Cette activité devra contribuer au renforcement de la culture de la paix.</t>
  </si>
  <si>
    <t>Il s'agira à tarvers une convention avec l'ONAPREGECC et les partenaires opértaionnels à accaompganer la mise en place des comités mixtes et ceux de protection dans la région des Cascades.Cette activité devra contribuer à une plus grande inclusion communautaire et un meilleur maillage de l'environnement de protection au sein des populations deplacées internes ,les communautés hotes et les personnes retournées.</t>
  </si>
  <si>
    <t>ONAPREGECC</t>
  </si>
  <si>
    <t xml:space="preserve">Collectivités territoriales
Partenaires operationnels
</t>
  </si>
  <si>
    <t>Il sera pris en compte la dimension genre dans la mise en œuvre des activités lors des festivals à travers des activités de sensibilisation sur l'égalité des sexes.</t>
  </si>
  <si>
    <t>Collectivités locales et partenaires opérationnels</t>
  </si>
  <si>
    <t xml:space="preserve">Collectivités territoriales
</t>
  </si>
  <si>
    <t>Les terres sécurisées seront obtenues au profit des PDI et membres de la communauté hôte tout en tenant en compte une representation à part égale des hommes et des femmes.</t>
  </si>
  <si>
    <t>Direction régionale de l'agriculture
Direction régional en charge de l'eau
Direction régionale en charge de l'environnement
Partenaires operationnels
Direction régionale de l'urbanisme</t>
  </si>
  <si>
    <t>Equiper les organisations communautaires  en materiels  d'assainissement pour faciliter les travaux d'interèt commun  en vue de renforcer le dialogue  social entre FDS et communautés locales</t>
  </si>
  <si>
    <t xml:space="preserve">Collectivités territoriales
</t>
  </si>
  <si>
    <t xml:space="preserve">FDS
OSC locales
SNU
</t>
  </si>
  <si>
    <t xml:space="preserve">L'activité sera mise en œuvre avec une très bonne représentativité des OSC feminines. </t>
  </si>
  <si>
    <t xml:space="preserve">Direction régionale de l'action humanitaire </t>
  </si>
  <si>
    <t>ONAPREGECC
Partenaires opérationnels</t>
  </si>
  <si>
    <t>Il sera pris en compte une représentativité à part egale des femmes et des hommes parmi le pool des formateurs.</t>
  </si>
  <si>
    <t>Il s'agira de financer les activités de formation d'un pool de formateur sur la stratégie nationale de la cohésion sociale et les accompagner dans la mise en oeuvre des activités de sensibilisation dans les communes de la région des cascades.Cette activité devra contribuer à une meilleure maitrise du referentiel national sur la cohésion sociale en vue d'une meilleure consolidation de la cohésion sociale.</t>
  </si>
  <si>
    <t>Direction régionale en charge de l'action humanitaire</t>
  </si>
  <si>
    <t>ONAPREGECC
partenaires opérationnels</t>
  </si>
  <si>
    <t xml:space="preserve">Organiser une foire régionale d’expositions des produits locaux  mettant l’accent sur les initiatives soicio-economiques portées par les femmes, en vue de renforcer leur résilience et leur participation à la  consolidation de la paix. </t>
  </si>
  <si>
    <t>OSC feminines
Partenaires opérationnels</t>
  </si>
  <si>
    <t>Direction régionale en charge de l'agriculturevet de l'élévage</t>
  </si>
  <si>
    <t xml:space="preserve">Collectivités territoriales
Direction régionale en charge de l'environnement
Partenaires operationnels
</t>
  </si>
  <si>
    <t>Assurer les services de santé mentale et de soutien  psychosocial  dans les communes d'intervention du projet au profit des personnes déplacées internes, des personnes  retournées  et des populations hôtes.</t>
  </si>
  <si>
    <t xml:space="preserve">Direction régionale de la santé des Cascades
</t>
  </si>
  <si>
    <t>Il sera pris en compte la dimension genre par une representation égale des femmes et des hommes pour l'offre de service en SMSPS</t>
  </si>
  <si>
    <t>Direction régional en charge de l'action humanitaire
Cluster protection sous national
Partenaires opérationnles(ONG et OSC locales)</t>
  </si>
  <si>
    <t>Direction régionale de la santé
Cluster protection sous national</t>
  </si>
  <si>
    <t>Former 500 jeunes et femmes pour la création des unités économiques par les FAARF et FASO KUNA WILI et financer leur plans d'affaires</t>
  </si>
  <si>
    <t>Fonds Nationaux(FAARF et Faso Kuna Wili)</t>
  </si>
  <si>
    <t xml:space="preserve">Direction régional de la Jeunesse
Direction régionale en charge de l'action humanitaire
Partenaires operationnels
Agence du SNU
</t>
  </si>
  <si>
    <t>Cette activité consistera à identifier 500 jeunes et femmes de la région des Cascades, les former sur le montage de leur plans d'affaires et ensuite les financer pour avoir des unités économiques..Cette activité aura comme impact de renfocer les capacités des jeunes pour une meilleure gestion des unités économiques et renforcer leur autonomisation.</t>
  </si>
  <si>
    <t xml:space="preserve">Fonds Nationaux(FAARF et Faso Kuna Wili)
</t>
  </si>
  <si>
    <t xml:space="preserve">Direction régional de la Jeunesse
Direction régionale en charge de l'action humanitaire
Direction générale des impots
Partenaires operationnels
Agence du SNU
</t>
  </si>
  <si>
    <t xml:space="preserve">Former 200 jeunes et femmes sur les  metiers innovants  et l'insertion socio-professionnelle. </t>
  </si>
  <si>
    <t xml:space="preserve">Ecoles de formation professionnelle
</t>
  </si>
  <si>
    <t>Les collectivités territoriales</t>
  </si>
  <si>
    <t>Direction régionale de l'agriculture et élévage
Direction régionale de l'environnement
Partenaires operationnels(ONG et OSC locales)
Direction régionale de l'action humanitaire</t>
  </si>
  <si>
    <t>Direction régionale de l'environnement
Collectivités territoriales
Partenaires operationnels(ONG et OSC locales)</t>
  </si>
  <si>
    <t>Aménager et mettre en valeur au profit des populations hotes, les PDI et les personnes retournées des sites de  production maraichère et rizicole (300 ha de Bas-fonds, 2 ha pour la maraicher culture et 2 dispositif de production hors sol)</t>
  </si>
  <si>
    <t xml:space="preserve">Réaliser des infrastructures et   sécuriser les  sites pastoraux ;
</t>
  </si>
  <si>
    <t xml:space="preserve">Direction régionale de l'agriculture et l'élévage
</t>
  </si>
  <si>
    <t>Il sera pris en compte la dimension genre dans la mise en œuvre en priorisant les sites explotés par les femmes.</t>
  </si>
  <si>
    <r>
      <rPr>
        <b/>
        <sz val="12"/>
        <color rgb="FF7030A0"/>
        <rFont val="Calibri"/>
        <family val="2"/>
        <scheme val="minor"/>
      </rPr>
      <t>Cette consistera à financer la delimitation et le balisage des zones de patures, l'aménagement des pistes d'accès aux zones de patures et la réalisation d'un forage pastoral.Il s'agira de 50 ha de zones de patures, 100km de pistes d'accès et du forage pastoral.</t>
    </r>
    <r>
      <rPr>
        <b/>
        <sz val="12"/>
        <color rgb="FF0070C0"/>
        <rFont val="Calibri"/>
        <family val="2"/>
        <scheme val="minor"/>
      </rPr>
      <t>Cette activité aura comme impact d’améliorer l’alimentation durable des animaux  et l’économie des communautés vulnérables.</t>
    </r>
  </si>
  <si>
    <t xml:space="preserve">Restaurer et mettre en valeur 200 ha de terres et paysages dégradés à vocation agropastorale
au profit des femmes et des jeunes.
</t>
  </si>
  <si>
    <t>L'activité sera mise en œuvre prioritairement t au profit des femmes.</t>
  </si>
  <si>
    <t xml:space="preserve">Direction régionale en charge de l'environnement
</t>
  </si>
  <si>
    <t>Direction régionale de l'agriculture et de l'élévage
Collectivités territoriales
Partenaires operationnels(ONG et OSC locales)</t>
  </si>
  <si>
    <t>Il sera pris en compte la dimension genre dans le cadre de la mise en œuvre de cette activité avec une representation égale des femmes et des hommes lors des seances de sensibilisation.</t>
  </si>
  <si>
    <t>Créer des activités économique à gain rapide au profit de 300 femmes vulnérables.</t>
  </si>
  <si>
    <t>Direction régionale en charge de  la jeunesse et de l'emploi
Les partenaires operationnels(OSC,ONG locales)</t>
  </si>
  <si>
    <t>L'activité consistera à financer les intitiatives écnomiques de 300 femmes.Elle  aura comme impact de contribuer à l'autonomisation et la résilience de ces femmes.</t>
  </si>
  <si>
    <t xml:space="preserve">Réaliser un repertoire dynamique des acteurs du NEXUS et renforcer les capacités materiels( materiels informatiques et bureaucratique) et humaines  des differents  Cadres de concertations régionaux , provinciaux et communaux.
</t>
  </si>
  <si>
    <t xml:space="preserve">Equiper en materiels roulant les structures membres des cadres de concertation régionaux, provinciaux et communaux.
</t>
  </si>
  <si>
    <t>Cette activité consitera à donenr en materiels roulant les cadre de concertation afin de faciliter leur mobilité dans le cadre de l'opérationnalisation du Nexus HDP.Cette activité devra contribuer à renforcer les capacités des acteurs du cadre de concertations pour leur accessibité aux communautés  dans les differentes communes de la région et  assurer l’opérationnalisation de l’approche HDP et la stratégie nationale du Nexus sur l'ensemble du territoire régionale.</t>
  </si>
  <si>
    <t xml:space="preserve">Assurer le ciblage continu des besoins des populations deplacées Internes, des Personnes retournées et des populations hotes .
</t>
  </si>
  <si>
    <r>
      <rPr>
        <b/>
        <sz val="12"/>
        <color rgb="FF7030A0"/>
        <rFont val="Calibri"/>
        <family val="2"/>
        <scheme val="minor"/>
      </rPr>
      <t xml:space="preserve"> Sur la base des indices de solutions durables il s'agira à travers cette activité de construire ou réhabiliter des infrastructures socio-économiques au profit des populations.</t>
    </r>
    <r>
      <rPr>
        <b/>
        <sz val="12"/>
        <color rgb="FF0070C0"/>
        <rFont val="Calibri"/>
        <family val="2"/>
        <scheme val="minor"/>
      </rPr>
      <t xml:space="preserve"> L'activité aura comme impact de renforcer l'accès des populations aux services sociaux de base.</t>
    </r>
  </si>
  <si>
    <t>Il s'agira à travers cette activité de financer la mise en place des demembrements  et les equiper en materiels de fonctionnement et la tenue des sessions de ces structures.Cette activité aura comme impcat de faciliter la résolution pacifique des conflits communautaires.</t>
  </si>
  <si>
    <t xml:space="preserve">L'activité consistrera à former des jeunes qui seront des relais au sein des communautés pour tenir des session et la sensibilisation sur la prevention et la gestion des conflits communautaires.Cette activité aura comme impact le renforcement de la culture de la paix  au sein des communautés
</t>
  </si>
  <si>
    <t xml:space="preserve">Former et sensibiliser les propriétaires terriens sur l'intérèt de la sécurisation foncière rurale.
</t>
  </si>
  <si>
    <t xml:space="preserve">Cette activité va consister à former les propriétaires terriens sur la loi O34 et la loi 008 sur le foncier et organisation des sensibilisation de masse au profits des populations pour prevenir les conflits fonciers.Elle aura compte impact de prevenir les conflits fonciers ruraux au sein des communautés.
</t>
  </si>
  <si>
    <t>Appuyer la mise en place de 10 comités mixtes de gestion et de prévention des conflits et 50 comités de protection  dans les Zones d'Acceuil des Personnes Déplacées et renforcer leurs capacités.</t>
  </si>
  <si>
    <t>Mobiliser et sécuriser 30 ha de terres au profit des PDI et  ses personnes retournées</t>
  </si>
  <si>
    <t>Il s'agira à travers cette activités de mobilier 30 ha en financant tout le processus d'obtention d'une APFR.Cette activité contribuera à sécuriser 30 ha de terres pour les activités agricoles au profit des PDI et personnes retournées et membres de la communautés hotes.</t>
  </si>
  <si>
    <t>Il s'agira d'acheter des materiels d'assainissement et de voiries au profit des collectivités territoriales pour faciliter la mise en oeuvre des activités communautaires impliquant les OSC et les FDS.Cette activité devra contribuer à renforcer la confiance entre les Forces de Defense et   de Sécurité et les populations.</t>
  </si>
  <si>
    <t>Former un pool de formateurs régionaux pour  la mise en oeuvre de la strategie nationale de la cohésion sociale et de la  prevention des conflits.</t>
  </si>
  <si>
    <t>L'activité consistera à réaliser des campagnes de sensibilisation de proximité dans les communes à travers des théatres fora, des sensibilisations radiophoniques, des causeries educatives.L'activité aura comme impact de renforcer la cohésion sociale et le vivre ensemble entre les communautés.</t>
  </si>
  <si>
    <r>
      <rPr>
        <b/>
        <sz val="12"/>
        <color rgb="FF7030A0"/>
        <rFont val="Calibri"/>
        <family val="2"/>
        <scheme val="minor"/>
      </rPr>
      <t>Cette activité consistera à financer la réalisation d'une foire régionale à travers les collectivités territoriales et la  Direction Régionale en charge du Commerce</t>
    </r>
    <r>
      <rPr>
        <b/>
        <sz val="12"/>
        <color rgb="FF0070C0"/>
        <rFont val="Calibri"/>
        <family val="2"/>
        <scheme val="minor"/>
      </rPr>
      <t xml:space="preserve">.Cette activité aura comme impact de renforcer des moyens économiques des commuanutés notamment des femmes. </t>
    </r>
  </si>
  <si>
    <r>
      <rPr>
        <b/>
        <sz val="12"/>
        <color rgb="FF7030A0"/>
        <rFont val="Calibri"/>
        <family val="2"/>
        <scheme val="minor"/>
      </rPr>
      <t xml:space="preserve">Cette activité va consister à mettre en place 20 groupes de 25 producteurs chacun pour une meilleure appropriation  sur les bonnes pratiques de production agrosylvopastorales. Cette </t>
    </r>
    <r>
      <rPr>
        <b/>
        <sz val="12"/>
        <color rgb="FF0070C0"/>
        <rFont val="Calibri"/>
        <family val="2"/>
        <scheme val="minor"/>
      </rPr>
      <t xml:space="preserve"> activité devra contribuer à renforcer les capacités des communautés sur les bonnes pratiques de gestion des ressources naturelles et promouvoir le vivre ensemble.</t>
    </r>
  </si>
  <si>
    <t>L'activité consistera à mettre en place des Groupes de jeunes, de femmes ou mixtes à travers des Clubs DIMITRA en renforcant leur capacité sur les thématiques en lien avec leurs communautés comme la gestion des ressources naturelles, la prévention des conflits....Cette activité aura comme impact de contribuer à la consolidation de la cohésion sociale et d'avoir une meilleure lecture des difficultés endogènes dans les localités et proposer des solutions.</t>
  </si>
  <si>
    <r>
      <rPr>
        <b/>
        <sz val="12"/>
        <color rgb="FF7030A0"/>
        <rFont val="Calibri"/>
        <family val="2"/>
        <scheme val="minor"/>
      </rPr>
      <t>L'activité consistera à mettre en place , financer les COGES et à renforcer leurs capacités pour une gestion durable des aménagements agrosylvopastoraux.Cette a</t>
    </r>
    <r>
      <rPr>
        <b/>
        <sz val="12"/>
        <color rgb="FF0070C0"/>
        <rFont val="Calibri"/>
        <family val="2"/>
        <scheme val="minor"/>
      </rPr>
      <t>ctivité aura comme impact de permettre aux comités une meilleure gestion des  aménagements/infrastructures agrosylvopastoraux, unités de transformation des produits agrosylvopastoraux</t>
    </r>
  </si>
  <si>
    <t>Mettre en place 4 Comités de Gestion (COGES) autour des aménagements/infrastructures agrosylvopastoraux, unités de transformation des produits agrosylvopastoraux en s’appuyant sur l’existant.</t>
  </si>
  <si>
    <r>
      <rPr>
        <b/>
        <sz val="12"/>
        <color rgb="FF7030A0"/>
        <rFont val="Calibri"/>
        <family val="2"/>
        <scheme val="minor"/>
      </rPr>
      <t>L'activité va consister à l'achat des matériels médico-techniques, des médicaments et la formation des acteurs  de la santé sur l'offre de services en  SMSPS dans les formations sanitaires et dans les communautés.</t>
    </r>
    <r>
      <rPr>
        <b/>
        <sz val="12"/>
        <color rgb="FF0070C0"/>
        <rFont val="Calibri"/>
        <family val="2"/>
        <scheme val="minor"/>
      </rPr>
      <t>Cette activité aura comme impact d'aider les populations à améliorer leur santé mentale et à renforcer  leurs capacités de résilience.</t>
    </r>
  </si>
  <si>
    <r>
      <rPr>
        <b/>
        <sz val="12"/>
        <color rgb="FF7030A0"/>
        <rFont val="Calibri"/>
        <family val="2"/>
        <scheme val="minor"/>
      </rPr>
      <t>L'activité consistera à la prise en charge holistique des personnes survivantes de Violences Basées sur le Genre et renforcer leur capacité de resilience à travers des activités d'autonomisation.</t>
    </r>
    <r>
      <rPr>
        <b/>
        <sz val="12"/>
        <color rgb="FF0070C0"/>
        <rFont val="Calibri"/>
        <family val="2"/>
        <scheme val="minor"/>
      </rPr>
      <t>Cette activité aura comme impact de renforcer la confiance  au sein des communautés notamment les personnes survivantes de VBG.</t>
    </r>
  </si>
  <si>
    <t>Mettre à la disposition des jeunes et femmes  100  boutiques temoins  à travers les fonds nationaux</t>
  </si>
  <si>
    <t xml:space="preserve">Cette activité consistera à travers une collaboration avec les fonds nationaux à financer la construction des boutiques temoins au profit des jeunes et femmes formés.Cette activité vise à renfocer les capacités d'autonomisation des femmes et des jeunes de la région des cascades.
</t>
  </si>
  <si>
    <r>
      <rPr>
        <b/>
        <sz val="12"/>
        <color rgb="FF7030A0"/>
        <rFont val="Calibri"/>
        <family val="2"/>
        <scheme val="minor"/>
      </rPr>
      <t>Cette activité consistera à renforcer les capacités   de 200 PDI et membres de la communauté hôtes sur les métiers agricoles et techniques dans des écoles de formations professionnelles sur l’agriculture (ENAFA, Lycée Agricole, Centre professionnel de Bobo…). Et les accompagner avec des kits et fonds de roulement pour leur installation .</t>
    </r>
    <r>
      <rPr>
        <b/>
        <sz val="12"/>
        <color rgb="FF0070C0"/>
        <rFont val="Calibri"/>
        <family val="2"/>
        <scheme val="minor"/>
      </rPr>
      <t>Cette activité aura comme impact de contribuer à la formation professionnelle de 200 jeunes et femmes PDI, personnes retournées et membres de la communauté hote pour des métiers innovants.</t>
    </r>
  </si>
  <si>
    <t xml:space="preserve">Réaliser une Ingénierie sociale pour informer, sensibiliser les communautés en vue d’identifier de façon participative les sites d’implantation et d’aménagement des infrastructures agrosylvopastorales
</t>
  </si>
  <si>
    <r>
      <rPr>
        <b/>
        <sz val="12"/>
        <color rgb="FF7030A0"/>
        <rFont val="Calibri"/>
        <family val="2"/>
        <scheme val="minor"/>
      </rPr>
      <t>Cette activité consistera à financer le processus de concertation des acteurs directs et indirects, usagers des infrastructures agrosylvopastorales pour une identitification consensuelle des sites d'implantation.</t>
    </r>
    <r>
      <rPr>
        <b/>
        <sz val="12"/>
        <color rgb="FF0070C0"/>
        <rFont val="Calibri"/>
        <family val="2"/>
        <scheme val="minor"/>
      </rPr>
      <t>Cette activité aura comme impact  de garantir une exploitaion pacifique et durable des infrastructures agrosylvopastorales.</t>
    </r>
  </si>
  <si>
    <t>Cette activité consistera à aménager et mettre en valeur deux ha de perimètres maraichers, mettre en valeur  300 ha de Bas-fonds,  implanter et mettre en valeur deux dispositifs de cultures hors sols pour la production maraichère et rizicole.Cette activité aura comme impact de protéger les moyens d'existence des populations, de diversifier leurs sources de revenus et renforcer leur résilience.</t>
  </si>
  <si>
    <t>Cette activité va consister à former les communautés sur les techniques de récupération de terres degradées et les doter d'intrants et de materiels.Elle aura comme impact d'améliorer l'accès des populations aux terres cultivables.</t>
  </si>
  <si>
    <r>
      <rPr>
        <b/>
        <sz val="12"/>
        <color rgb="FF7030A0"/>
        <rFont val="Calibri"/>
        <family val="2"/>
        <scheme val="minor"/>
      </rPr>
      <t>L'activité consistera  à réaliser des seances de sensibilisations accompagnées de plantations, de compensation de  fourniture d'équipements d'entretien et de protection et à assurer le suivi- formation</t>
    </r>
    <r>
      <rPr>
        <b/>
        <sz val="12"/>
        <color rgb="FF0070C0"/>
        <rFont val="Calibri"/>
        <family val="2"/>
        <scheme val="minor"/>
      </rPr>
      <t>.Cette activité à comme impact de travailler à une compensation du couvert végétal et autres activités de compensation au profit des communautés.Elle aura comme impact une exploitation durable des ressources naturelles sensibles à la protection et la préservation de l'environnement.</t>
    </r>
  </si>
  <si>
    <t>Pourcentage des activités</t>
  </si>
  <si>
    <t>Nombre d'activités</t>
  </si>
  <si>
    <t>Pourcentage du budget par types d'activités</t>
  </si>
  <si>
    <t>Budget alloué aux activités hors  couts indirects.</t>
  </si>
  <si>
    <t>Tableau de repartition du budget selon les domaines d'impacts des activités</t>
  </si>
  <si>
    <t>Domaines d'impact des activités</t>
  </si>
  <si>
    <t>Impacts communautaires et institutionnels</t>
  </si>
  <si>
    <t>Impact territorial</t>
  </si>
  <si>
    <t xml:space="preserve">Equiper et doter les acteurs terrain de mise en œuvre du projet en kits logistiques d'évaluation de la résilience.
</t>
  </si>
  <si>
    <r>
      <t>F</t>
    </r>
    <r>
      <rPr>
        <sz val="12"/>
        <color rgb="FF00B050"/>
        <rFont val="Calibri"/>
        <family val="2"/>
        <scheme val="minor"/>
      </rPr>
      <t xml:space="preserve">ormer  et deployer 340  jeunes et femmes leaders de la société civile sur les différents cadres de prévention et de gestion des conflits sur la gestion des ressources naturelles y compris la sensibilisation sur le foncier et sur l'intérèt de la sécurisation foncière.
</t>
    </r>
  </si>
  <si>
    <t>Former 70 leaders pasteurs sur la technique et le processus d'immatriculation  des infrastructures pastorales</t>
  </si>
  <si>
    <t xml:space="preserve">Appuyer la réalisation d'activité d'information d'éducation et de communication pour le changement de comportements  sur la prévention des conflits , le vivre ensemble et  la participation citoyenne à la sécurité dans les communes d'intervention; </t>
  </si>
  <si>
    <t>Appuyer la mise en  place de 10 Champs Écoles Agropastoraux (CEAP) et des Associations Villageoises d’Epargne et de crédit (AVEC) pour renforcer les capacités des communautés  sur les bonnes pratiques de gestion participative et pacifique des ressources naturelles et de promotion du vivre ensemble</t>
  </si>
  <si>
    <t>Assuer la  prise en charge holistique (Sanitaire-psychosociale, juridique et judiciaire,communautaire et economique) de  300 personnes survivantes de Violences Basées sur le Genre (VBG ).</t>
  </si>
  <si>
    <t>Réaliser in situ des séances de sensibilisation sur les mesures de mitigation et d'attenuation pour la sauvegarde de l'environnement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</si>
</sst>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quot;$&quot;* #,##0_);_(&quot;$&quot;* \(#,##0\);_(&quot;$&quot;* &quot;-&quot;??_);_(@_)"/>
    <numFmt numFmtId="166" formatCode="_(&quot;$&quot;* #,##0.0_);_(&quot;$&quot;* \(#,##0.0\);_(&quot;$&quot;* &quot;-&quot;??_);_(@_)"/>
    <numFmt numFmtId="167" formatCode="_(&quot;$&quot;* #,##0.00000_);_(&quot;$&quot;* \(#,##0.00000\);_(&quot;$&quot;* &quot;-&quot;??_);_(@_)"/>
  </numFmts>
  <fonts count="3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6"/>
      <color theme="1"/>
      <name val="Calibri"/>
      <family val="2"/>
      <scheme val="minor"/>
    </font>
    <font>
      <sz val="8"/>
      <name val="Calibri"/>
      <family val="2"/>
      <scheme val="minor"/>
    </font>
    <font>
      <b/>
      <sz val="12"/>
      <name val="Calibri"/>
      <family val="2"/>
      <scheme val="minor"/>
    </font>
    <font>
      <sz val="12"/>
      <name val="Calibri"/>
      <family val="2"/>
      <scheme val="minor"/>
    </font>
    <font>
      <sz val="12"/>
      <color rgb="FF00B050"/>
      <name val="Calibri"/>
      <family val="2"/>
      <scheme val="minor"/>
    </font>
    <font>
      <sz val="12"/>
      <color rgb="FF0070C0"/>
      <name val="Calibri"/>
      <family val="2"/>
      <scheme val="minor"/>
    </font>
    <font>
      <b/>
      <sz val="12"/>
      <color rgb="FF0070C0"/>
      <name val="Calibri"/>
      <family val="2"/>
      <scheme val="minor"/>
    </font>
    <font>
      <b/>
      <sz val="12"/>
      <color theme="4"/>
      <name val="Calibri"/>
      <family val="2"/>
      <scheme val="minor"/>
    </font>
    <font>
      <b/>
      <sz val="12"/>
      <color rgb="FF7030A0"/>
      <name val="Calibri"/>
      <family val="2"/>
      <scheme val="minor"/>
    </font>
    <font>
      <sz val="24"/>
      <color theme="1"/>
      <name val="Calibri"/>
      <family val="2"/>
      <scheme val="minor"/>
    </font>
    <font>
      <b/>
      <sz val="2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theme="4" tint="0.59999389629810485"/>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96">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6" fillId="2" borderId="38" xfId="0" applyFont="1" applyFill="1" applyBorder="1" applyAlignment="1">
      <alignment vertical="center" wrapText="1"/>
    </xf>
    <xf numFmtId="0" fontId="2" fillId="2" borderId="13"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3" borderId="38" xfId="1" applyFont="1" applyFill="1" applyBorder="1" applyAlignment="1" applyProtection="1">
      <alignment horizontal="center" vertical="center"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0" fontId="2" fillId="2" borderId="31"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0" fontId="5" fillId="0" borderId="4"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4" fontId="5" fillId="2" borderId="5" xfId="1" applyFont="1" applyFill="1" applyBorder="1" applyAlignment="1" applyProtection="1">
      <alignment horizontal="center" vertical="center" wrapText="1"/>
    </xf>
    <xf numFmtId="164" fontId="5" fillId="3" borderId="5" xfId="1" applyFont="1" applyFill="1" applyBorder="1" applyAlignment="1" applyProtection="1">
      <alignment horizontal="center" vertical="center" wrapText="1"/>
      <protection locked="0"/>
    </xf>
    <xf numFmtId="164" fontId="5" fillId="0" borderId="0" xfId="0" applyNumberFormat="1" applyFont="1" applyAlignment="1" applyProtection="1">
      <alignment vertical="center" wrapText="1"/>
      <protection locked="0"/>
    </xf>
    <xf numFmtId="164" fontId="5" fillId="0" borderId="5" xfId="1" applyFont="1" applyFill="1" applyBorder="1" applyAlignment="1" applyProtection="1">
      <alignment horizontal="center" vertical="center" wrapText="1"/>
      <protection locked="0"/>
    </xf>
    <xf numFmtId="9" fontId="2" fillId="0" borderId="0" xfId="2" applyFont="1" applyFill="1" applyBorder="1" applyAlignment="1">
      <alignment wrapText="1"/>
    </xf>
    <xf numFmtId="0" fontId="3" fillId="0" borderId="0" xfId="0" applyFont="1" applyAlignment="1">
      <alignment horizontal="center" vertical="center" wrapText="1"/>
    </xf>
    <xf numFmtId="164" fontId="2" fillId="0" borderId="0" xfId="2" applyNumberFormat="1" applyFont="1" applyFill="1" applyBorder="1" applyAlignment="1">
      <alignment wrapText="1"/>
    </xf>
    <xf numFmtId="0" fontId="0" fillId="0" borderId="0" xfId="0" applyAlignment="1">
      <alignment horizontal="center" vertical="center" wrapText="1"/>
    </xf>
    <xf numFmtId="164" fontId="5" fillId="0" borderId="38" xfId="1" applyFont="1" applyFill="1" applyBorder="1" applyAlignment="1" applyProtection="1">
      <alignment horizontal="center" vertical="center" wrapText="1"/>
      <protection locked="0"/>
    </xf>
    <xf numFmtId="164" fontId="1" fillId="0" borderId="38"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0" fontId="13" fillId="0" borderId="0" xfId="0" applyFont="1" applyAlignment="1">
      <alignment vertical="center" wrapText="1"/>
    </xf>
    <xf numFmtId="0" fontId="2" fillId="3" borderId="0" xfId="0" applyFont="1" applyFill="1" applyAlignment="1">
      <alignment horizontal="left" vertical="center" wrapText="1"/>
    </xf>
    <xf numFmtId="0" fontId="2" fillId="0" borderId="0" xfId="0" applyFont="1" applyAlignment="1">
      <alignment horizontal="left" vertical="center" wrapText="1"/>
    </xf>
    <xf numFmtId="164" fontId="2" fillId="2" borderId="13" xfId="0" applyNumberFormat="1" applyFont="1" applyFill="1" applyBorder="1" applyAlignment="1">
      <alignment horizontal="center" vertical="center" wrapText="1"/>
    </xf>
    <xf numFmtId="164" fontId="2" fillId="0" borderId="13" xfId="0" applyNumberFormat="1" applyFont="1" applyBorder="1" applyAlignment="1">
      <alignment horizontal="center" vertical="center" wrapText="1"/>
    </xf>
    <xf numFmtId="164" fontId="2" fillId="2" borderId="13" xfId="0" applyNumberFormat="1" applyFont="1" applyFill="1" applyBorder="1" applyAlignment="1">
      <alignment vertical="center" wrapText="1"/>
    </xf>
    <xf numFmtId="164" fontId="5" fillId="0" borderId="38" xfId="0" applyNumberFormat="1" applyFont="1" applyBorder="1" applyAlignment="1" applyProtection="1">
      <alignment vertical="center" wrapText="1"/>
      <protection locked="0"/>
    </xf>
    <xf numFmtId="164" fontId="2" fillId="2" borderId="38" xfId="0" applyNumberFormat="1" applyFont="1" applyFill="1" applyBorder="1" applyAlignment="1">
      <alignment vertical="center" wrapText="1"/>
    </xf>
    <xf numFmtId="164" fontId="5" fillId="0" borderId="3" xfId="0" applyNumberFormat="1" applyFont="1" applyBorder="1" applyAlignment="1" applyProtection="1">
      <alignment vertical="center" wrapText="1"/>
      <protection locked="0"/>
    </xf>
    <xf numFmtId="164" fontId="2" fillId="2" borderId="3" xfId="0" applyNumberFormat="1" applyFont="1" applyFill="1" applyBorder="1" applyAlignment="1">
      <alignment vertical="center" wrapText="1"/>
    </xf>
    <xf numFmtId="164" fontId="2" fillId="4" borderId="3" xfId="1" applyFont="1" applyFill="1" applyBorder="1" applyAlignment="1">
      <alignment vertical="center" wrapText="1"/>
    </xf>
    <xf numFmtId="164" fontId="2" fillId="2" borderId="4" xfId="0" applyNumberFormat="1" applyFont="1" applyFill="1" applyBorder="1" applyAlignment="1">
      <alignment vertical="center" wrapText="1"/>
    </xf>
    <xf numFmtId="164" fontId="2" fillId="3" borderId="1" xfId="1" applyFont="1" applyFill="1" applyBorder="1" applyAlignment="1">
      <alignment vertical="center" wrapText="1"/>
    </xf>
    <xf numFmtId="164" fontId="2" fillId="0" borderId="1" xfId="1" applyFont="1" applyFill="1" applyBorder="1" applyAlignment="1">
      <alignment vertical="center" wrapText="1"/>
    </xf>
    <xf numFmtId="164" fontId="2" fillId="3" borderId="1" xfId="0" applyNumberFormat="1" applyFont="1" applyFill="1" applyBorder="1" applyAlignment="1">
      <alignment vertical="center" wrapText="1"/>
    </xf>
    <xf numFmtId="164" fontId="1" fillId="0" borderId="3" xfId="0" applyNumberFormat="1" applyFont="1" applyBorder="1" applyAlignment="1" applyProtection="1">
      <alignment vertical="center" wrapText="1"/>
      <protection locked="0"/>
    </xf>
    <xf numFmtId="164" fontId="2" fillId="3" borderId="2" xfId="0" applyNumberFormat="1" applyFont="1" applyFill="1" applyBorder="1" applyAlignment="1">
      <alignment vertical="center" wrapText="1"/>
    </xf>
    <xf numFmtId="164" fontId="2" fillId="4" borderId="5" xfId="1" applyFont="1" applyFill="1" applyBorder="1" applyAlignment="1">
      <alignment vertical="center" wrapText="1"/>
    </xf>
    <xf numFmtId="164" fontId="2" fillId="0" borderId="5" xfId="1" applyFont="1" applyFill="1" applyBorder="1" applyAlignment="1">
      <alignment vertical="center" wrapText="1"/>
    </xf>
    <xf numFmtId="164" fontId="2" fillId="2" borderId="5" xfId="0" applyNumberFormat="1"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164" fontId="2" fillId="0" borderId="3" xfId="1" applyFont="1" applyFill="1" applyBorder="1" applyAlignment="1">
      <alignment vertical="center" wrapText="1"/>
    </xf>
    <xf numFmtId="164" fontId="2" fillId="2" borderId="37"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5" fillId="2" borderId="14" xfId="0" applyNumberFormat="1" applyFont="1" applyFill="1" applyBorder="1" applyAlignment="1">
      <alignment vertical="center" wrapText="1"/>
    </xf>
    <xf numFmtId="164" fontId="2" fillId="2" borderId="33" xfId="0" applyNumberFormat="1" applyFont="1" applyFill="1" applyBorder="1" applyAlignment="1">
      <alignment vertical="center" wrapText="1"/>
    </xf>
    <xf numFmtId="164" fontId="5" fillId="0" borderId="0" xfId="0" applyNumberFormat="1" applyFont="1" applyAlignment="1">
      <alignment vertical="center" wrapText="1"/>
    </xf>
    <xf numFmtId="0" fontId="10" fillId="3" borderId="3" xfId="0" applyFont="1" applyFill="1" applyBorder="1" applyAlignment="1" applyProtection="1">
      <alignment horizontal="left" vertical="top" wrapText="1"/>
      <protection locked="0"/>
    </xf>
    <xf numFmtId="164" fontId="5" fillId="0" borderId="0" xfId="0" applyNumberFormat="1" applyFont="1" applyAlignment="1">
      <alignment wrapText="1"/>
    </xf>
    <xf numFmtId="164" fontId="5" fillId="3" borderId="0" xfId="0" applyNumberFormat="1" applyFont="1" applyFill="1" applyAlignment="1">
      <alignment wrapText="1"/>
    </xf>
    <xf numFmtId="0" fontId="2" fillId="2" borderId="38" xfId="0" applyFont="1" applyFill="1" applyBorder="1" applyAlignment="1">
      <alignment vertical="center" wrapText="1"/>
    </xf>
    <xf numFmtId="164" fontId="1" fillId="0" borderId="3" xfId="1" applyFont="1" applyFill="1" applyBorder="1" applyAlignment="1" applyProtection="1">
      <alignment horizontal="left" vertical="center" wrapText="1"/>
      <protection locked="0"/>
    </xf>
    <xf numFmtId="165" fontId="2" fillId="2" borderId="13" xfId="1" applyNumberFormat="1" applyFont="1" applyFill="1" applyBorder="1" applyAlignment="1" applyProtection="1">
      <alignment vertical="center" wrapText="1"/>
    </xf>
    <xf numFmtId="166" fontId="2" fillId="2" borderId="13" xfId="1" applyNumberFormat="1" applyFont="1" applyFill="1" applyBorder="1" applyAlignment="1" applyProtection="1">
      <alignment vertical="center" wrapText="1"/>
    </xf>
    <xf numFmtId="164" fontId="2" fillId="2" borderId="13" xfId="1" applyFont="1" applyFill="1" applyBorder="1" applyAlignment="1" applyProtection="1">
      <alignment vertical="center" wrapText="1"/>
    </xf>
    <xf numFmtId="165" fontId="2" fillId="2" borderId="3" xfId="0" applyNumberFormat="1" applyFont="1" applyFill="1" applyBorder="1" applyAlignment="1">
      <alignment vertical="center" wrapText="1"/>
    </xf>
    <xf numFmtId="165" fontId="2" fillId="6" borderId="3" xfId="0" applyNumberFormat="1" applyFont="1" applyFill="1" applyBorder="1" applyAlignment="1">
      <alignment vertical="center" wrapText="1"/>
    </xf>
    <xf numFmtId="165" fontId="5" fillId="6" borderId="3" xfId="0" applyNumberFormat="1" applyFont="1" applyFill="1" applyBorder="1" applyAlignment="1">
      <alignment vertical="center" wrapText="1"/>
    </xf>
    <xf numFmtId="165" fontId="1" fillId="0" borderId="3" xfId="0" applyNumberFormat="1" applyFont="1" applyBorder="1" applyAlignment="1" applyProtection="1">
      <alignment horizontal="left" vertical="top" wrapText="1"/>
      <protection locked="0"/>
    </xf>
    <xf numFmtId="165" fontId="5" fillId="0" borderId="3" xfId="1" applyNumberFormat="1" applyFont="1" applyFill="1" applyBorder="1" applyAlignment="1" applyProtection="1">
      <alignment horizontal="center" vertical="center" wrapText="1"/>
      <protection locked="0"/>
    </xf>
    <xf numFmtId="165" fontId="5" fillId="0" borderId="3" xfId="1" applyNumberFormat="1" applyFont="1" applyBorder="1" applyAlignment="1" applyProtection="1">
      <alignment horizontal="center" vertical="center" wrapText="1"/>
      <protection locked="0"/>
    </xf>
    <xf numFmtId="165" fontId="5" fillId="2" borderId="3" xfId="1" applyNumberFormat="1" applyFont="1" applyFill="1" applyBorder="1" applyAlignment="1" applyProtection="1">
      <alignment horizontal="center" vertical="center" wrapText="1"/>
    </xf>
    <xf numFmtId="165" fontId="5" fillId="0" borderId="3" xfId="2" applyNumberFormat="1" applyFont="1" applyBorder="1" applyAlignment="1" applyProtection="1">
      <alignment horizontal="center" vertical="center" wrapText="1"/>
      <protection locked="0"/>
    </xf>
    <xf numFmtId="165" fontId="1" fillId="0" borderId="3" xfId="1" applyNumberFormat="1" applyFont="1" applyFill="1" applyBorder="1" applyAlignment="1" applyProtection="1">
      <alignment horizontal="left" vertical="center" wrapText="1"/>
      <protection locked="0"/>
    </xf>
    <xf numFmtId="165" fontId="5" fillId="0" borderId="3" xfId="1" applyNumberFormat="1" applyFont="1" applyBorder="1" applyAlignment="1" applyProtection="1">
      <alignment horizontal="left" wrapText="1"/>
      <protection locked="0"/>
    </xf>
    <xf numFmtId="165" fontId="1" fillId="3" borderId="3" xfId="0" applyNumberFormat="1" applyFont="1" applyFill="1" applyBorder="1" applyAlignment="1" applyProtection="1">
      <alignment horizontal="left" vertical="top" wrapText="1"/>
      <protection locked="0"/>
    </xf>
    <xf numFmtId="165" fontId="5" fillId="3" borderId="3" xfId="1" applyNumberFormat="1" applyFont="1" applyFill="1" applyBorder="1" applyAlignment="1" applyProtection="1">
      <alignment horizontal="center" vertical="center" wrapText="1"/>
      <protection locked="0"/>
    </xf>
    <xf numFmtId="165" fontId="5" fillId="3" borderId="3" xfId="2" applyNumberFormat="1" applyFont="1" applyFill="1" applyBorder="1" applyAlignment="1" applyProtection="1">
      <alignment horizontal="center" vertical="center" wrapText="1"/>
      <protection locked="0"/>
    </xf>
    <xf numFmtId="165" fontId="5" fillId="3" borderId="3" xfId="1" applyNumberFormat="1" applyFont="1" applyFill="1" applyBorder="1" applyAlignment="1" applyProtection="1">
      <alignment horizontal="left" wrapText="1"/>
      <protection locked="0"/>
    </xf>
    <xf numFmtId="165" fontId="5" fillId="0" borderId="3" xfId="2" applyNumberFormat="1" applyFont="1" applyFill="1" applyBorder="1" applyAlignment="1" applyProtection="1">
      <alignment horizontal="center" vertical="center" wrapText="1"/>
      <protection locked="0"/>
    </xf>
    <xf numFmtId="165" fontId="1" fillId="10" borderId="3" xfId="0" applyNumberFormat="1" applyFont="1" applyFill="1" applyBorder="1" applyAlignment="1" applyProtection="1">
      <alignment horizontal="left" vertical="top" wrapText="1"/>
      <protection locked="0"/>
    </xf>
    <xf numFmtId="165" fontId="5" fillId="2" borderId="5" xfId="1" applyNumberFormat="1" applyFont="1" applyFill="1" applyBorder="1" applyAlignment="1" applyProtection="1">
      <alignment horizontal="center" vertical="center" wrapText="1"/>
    </xf>
    <xf numFmtId="165" fontId="0" fillId="0" borderId="0" xfId="0" applyNumberFormat="1" applyAlignment="1">
      <alignment wrapText="1"/>
    </xf>
    <xf numFmtId="165" fontId="2" fillId="2" borderId="3" xfId="1" applyNumberFormat="1" applyFont="1" applyFill="1" applyBorder="1" applyAlignment="1" applyProtection="1">
      <alignment horizontal="center" vertical="center" wrapText="1"/>
    </xf>
    <xf numFmtId="165" fontId="2" fillId="0" borderId="3" xfId="1" applyNumberFormat="1" applyFont="1" applyFill="1" applyBorder="1" applyAlignment="1" applyProtection="1">
      <alignment horizontal="center" vertical="center" wrapText="1"/>
    </xf>
    <xf numFmtId="165" fontId="5" fillId="0" borderId="3" xfId="0" applyNumberFormat="1" applyFont="1" applyBorder="1" applyAlignment="1" applyProtection="1">
      <alignment horizontal="left" vertical="top" wrapText="1"/>
      <protection locked="0"/>
    </xf>
    <xf numFmtId="165" fontId="5" fillId="3" borderId="3" xfId="0" applyNumberFormat="1" applyFont="1" applyFill="1" applyBorder="1" applyAlignment="1" applyProtection="1">
      <alignment horizontal="left" vertical="top" wrapText="1"/>
      <protection locked="0"/>
    </xf>
    <xf numFmtId="165" fontId="2" fillId="2" borderId="5" xfId="1" applyNumberFormat="1" applyFont="1" applyFill="1" applyBorder="1" applyAlignment="1" applyProtection="1">
      <alignment horizontal="center" vertical="center" wrapText="1"/>
    </xf>
    <xf numFmtId="165" fontId="2" fillId="2"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5" fillId="2" borderId="3" xfId="0" applyNumberFormat="1" applyFont="1" applyFill="1" applyBorder="1" applyAlignment="1">
      <alignment vertical="center" wrapText="1"/>
    </xf>
    <xf numFmtId="165" fontId="10" fillId="0" borderId="3" xfId="1" applyNumberFormat="1" applyFont="1" applyFill="1" applyBorder="1" applyAlignment="1" applyProtection="1">
      <alignment horizontal="center" vertical="center" wrapText="1"/>
      <protection locked="0"/>
    </xf>
    <xf numFmtId="165" fontId="1" fillId="0" borderId="3" xfId="1" applyNumberFormat="1" applyFont="1" applyFill="1" applyBorder="1" applyAlignment="1" applyProtection="1">
      <alignment horizontal="center" vertical="center" wrapText="1"/>
      <protection locked="0"/>
    </xf>
    <xf numFmtId="165" fontId="5" fillId="3" borderId="5" xfId="1" applyNumberFormat="1" applyFont="1" applyFill="1" applyBorder="1" applyAlignment="1" applyProtection="1">
      <alignment horizontal="center" vertical="center" wrapText="1"/>
      <protection locked="0"/>
    </xf>
    <xf numFmtId="165" fontId="5" fillId="0" borderId="5" xfId="1" applyNumberFormat="1" applyFont="1" applyFill="1" applyBorder="1" applyAlignment="1" applyProtection="1">
      <alignment horizontal="center" vertical="center" wrapText="1"/>
      <protection locked="0"/>
    </xf>
    <xf numFmtId="166" fontId="2" fillId="2" borderId="32" xfId="0" applyNumberFormat="1" applyFont="1" applyFill="1" applyBorder="1" applyAlignment="1">
      <alignment vertical="center" wrapText="1"/>
    </xf>
    <xf numFmtId="165" fontId="5" fillId="2" borderId="38" xfId="0" applyNumberFormat="1" applyFont="1" applyFill="1" applyBorder="1" applyAlignment="1">
      <alignment vertical="center" wrapText="1"/>
    </xf>
    <xf numFmtId="165" fontId="5" fillId="2" borderId="3" xfId="1" applyNumberFormat="1" applyFont="1" applyFill="1" applyBorder="1" applyAlignment="1">
      <alignment vertical="center" wrapText="1"/>
    </xf>
    <xf numFmtId="165" fontId="5" fillId="2" borderId="13" xfId="0" applyNumberFormat="1" applyFont="1" applyFill="1" applyBorder="1" applyAlignment="1">
      <alignment vertical="center" wrapText="1"/>
    </xf>
    <xf numFmtId="165" fontId="2" fillId="2" borderId="32" xfId="0" applyNumberFormat="1" applyFont="1" applyFill="1" applyBorder="1" applyAlignment="1">
      <alignment vertical="center" wrapText="1"/>
    </xf>
    <xf numFmtId="164" fontId="25" fillId="0" borderId="3" xfId="1" applyFont="1" applyBorder="1" applyAlignment="1" applyProtection="1">
      <alignment vertical="center" wrapText="1"/>
      <protection locked="0"/>
    </xf>
    <xf numFmtId="164" fontId="5" fillId="2" borderId="3" xfId="1" applyFont="1" applyFill="1" applyBorder="1" applyAlignment="1" applyProtection="1">
      <alignment vertical="center" wrapText="1"/>
    </xf>
    <xf numFmtId="164" fontId="25" fillId="0" borderId="3" xfId="1" applyFont="1" applyFill="1" applyBorder="1" applyAlignment="1" applyProtection="1">
      <alignment vertical="center" wrapText="1"/>
      <protection locked="0"/>
    </xf>
    <xf numFmtId="164" fontId="10" fillId="0" borderId="3" xfId="1" applyFont="1" applyBorder="1" applyAlignment="1" applyProtection="1">
      <alignment vertical="center" wrapText="1"/>
      <protection locked="0"/>
    </xf>
    <xf numFmtId="164" fontId="2" fillId="4" borderId="3" xfId="1" applyFont="1" applyFill="1" applyBorder="1" applyAlignment="1" applyProtection="1">
      <alignment vertical="center" wrapText="1"/>
    </xf>
    <xf numFmtId="164" fontId="2" fillId="2" borderId="3" xfId="1" applyFont="1" applyFill="1" applyBorder="1" applyAlignment="1" applyProtection="1">
      <alignment vertical="center" wrapText="1"/>
    </xf>
    <xf numFmtId="164" fontId="2" fillId="2" borderId="14" xfId="1" applyFont="1" applyFill="1" applyBorder="1" applyAlignment="1" applyProtection="1">
      <alignment vertical="center" wrapText="1"/>
    </xf>
    <xf numFmtId="167" fontId="25" fillId="0" borderId="3" xfId="1" applyNumberFormat="1" applyFont="1" applyFill="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26" fillId="0" borderId="3" xfId="0" applyFont="1" applyBorder="1" applyAlignment="1" applyProtection="1">
      <alignment horizontal="left" vertical="top" wrapText="1"/>
      <protection locked="0"/>
    </xf>
    <xf numFmtId="0" fontId="26" fillId="3" borderId="3" xfId="0" applyFont="1" applyFill="1" applyBorder="1" applyAlignment="1" applyProtection="1">
      <alignment horizontal="left" vertical="top" wrapText="1"/>
      <protection locked="0"/>
    </xf>
    <xf numFmtId="165" fontId="26" fillId="3" borderId="3" xfId="0" applyNumberFormat="1" applyFont="1" applyFill="1" applyBorder="1" applyAlignment="1" applyProtection="1">
      <alignment horizontal="left" vertical="top" wrapText="1"/>
      <protection locked="0"/>
    </xf>
    <xf numFmtId="165" fontId="26" fillId="0" borderId="3" xfId="0" applyNumberFormat="1" applyFont="1" applyBorder="1" applyAlignment="1" applyProtection="1">
      <alignment horizontal="left" vertical="top" wrapText="1"/>
      <protection locked="0"/>
    </xf>
    <xf numFmtId="165" fontId="1" fillId="3" borderId="3" xfId="1" applyNumberFormat="1" applyFont="1" applyFill="1" applyBorder="1" applyAlignment="1" applyProtection="1">
      <alignment horizontal="center" vertical="center" wrapText="1"/>
      <protection locked="0"/>
    </xf>
    <xf numFmtId="165" fontId="25" fillId="3" borderId="3" xfId="1" applyNumberFormat="1" applyFont="1" applyFill="1" applyBorder="1" applyAlignment="1" applyProtection="1">
      <alignment horizontal="center" vertical="center" wrapText="1"/>
      <protection locked="0"/>
    </xf>
    <xf numFmtId="165" fontId="5" fillId="3" borderId="3" xfId="1" applyNumberFormat="1" applyFont="1" applyFill="1" applyBorder="1" applyAlignment="1" applyProtection="1">
      <alignment horizontal="center" vertical="center" wrapText="1"/>
    </xf>
    <xf numFmtId="165" fontId="1" fillId="3" borderId="3" xfId="1" applyNumberFormat="1" applyFont="1" applyFill="1" applyBorder="1" applyAlignment="1" applyProtection="1">
      <alignment horizontal="left" vertical="center" wrapText="1"/>
      <protection locked="0"/>
    </xf>
    <xf numFmtId="165" fontId="5" fillId="3" borderId="5" xfId="1" applyNumberFormat="1" applyFont="1" applyFill="1" applyBorder="1" applyAlignment="1" applyProtection="1">
      <alignment horizontal="center" vertical="center" wrapText="1"/>
    </xf>
    <xf numFmtId="0" fontId="2" fillId="2" borderId="2" xfId="0" applyFont="1" applyFill="1" applyBorder="1" applyAlignment="1">
      <alignment vertical="center" wrapText="1"/>
    </xf>
    <xf numFmtId="0" fontId="10" fillId="3" borderId="3" xfId="0" applyFont="1" applyFill="1" applyBorder="1" applyAlignment="1">
      <alignment vertical="center" wrapText="1"/>
    </xf>
    <xf numFmtId="49" fontId="28" fillId="0" borderId="3" xfId="1" applyNumberFormat="1" applyFont="1" applyBorder="1" applyAlignment="1" applyProtection="1">
      <alignment horizontal="left" wrapText="1"/>
      <protection locked="0"/>
    </xf>
    <xf numFmtId="49" fontId="27" fillId="3" borderId="3" xfId="1" applyNumberFormat="1" applyFont="1" applyFill="1" applyBorder="1" applyAlignment="1" applyProtection="1">
      <alignment horizontal="left" wrapText="1"/>
      <protection locked="0"/>
    </xf>
    <xf numFmtId="49" fontId="28" fillId="3" borderId="3" xfId="1" applyNumberFormat="1" applyFont="1" applyFill="1" applyBorder="1" applyAlignment="1" applyProtection="1">
      <alignment horizontal="left" wrapText="1"/>
      <protection locked="0"/>
    </xf>
    <xf numFmtId="0" fontId="25" fillId="0" borderId="3" xfId="0" applyFont="1" applyBorder="1" applyAlignment="1" applyProtection="1">
      <alignment horizontal="left" vertical="top" wrapText="1"/>
      <protection locked="0"/>
    </xf>
    <xf numFmtId="165" fontId="28" fillId="3" borderId="3" xfId="1" applyNumberFormat="1" applyFont="1" applyFill="1" applyBorder="1" applyAlignment="1" applyProtection="1">
      <alignment horizontal="left" wrapText="1"/>
      <protection locked="0"/>
    </xf>
    <xf numFmtId="165" fontId="10" fillId="3" borderId="3" xfId="0" applyNumberFormat="1" applyFont="1" applyFill="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165" fontId="10" fillId="0" borderId="3" xfId="0" applyNumberFormat="1" applyFont="1" applyBorder="1" applyAlignment="1" applyProtection="1">
      <alignment horizontal="left" vertical="top" wrapText="1"/>
      <protection locked="0"/>
    </xf>
    <xf numFmtId="0" fontId="10" fillId="6" borderId="3" xfId="0" applyFont="1" applyFill="1" applyBorder="1" applyAlignment="1">
      <alignment vertical="center" wrapText="1"/>
    </xf>
    <xf numFmtId="0" fontId="28" fillId="0" borderId="3" xfId="1" applyNumberFormat="1" applyFont="1" applyBorder="1" applyAlignment="1" applyProtection="1">
      <alignment horizontal="left" wrapText="1"/>
      <protection locked="0"/>
    </xf>
    <xf numFmtId="0" fontId="28" fillId="3" borderId="3" xfId="1" applyNumberFormat="1" applyFont="1" applyFill="1" applyBorder="1" applyAlignment="1" applyProtection="1">
      <alignment horizontal="left" wrapText="1"/>
      <protection locked="0"/>
    </xf>
    <xf numFmtId="0" fontId="2" fillId="2" borderId="5" xfId="0" applyFont="1" applyFill="1" applyBorder="1" applyAlignment="1">
      <alignment vertical="center" wrapText="1"/>
    </xf>
    <xf numFmtId="165" fontId="2" fillId="2" borderId="5" xfId="0" applyNumberFormat="1" applyFont="1" applyFill="1" applyBorder="1" applyAlignment="1">
      <alignment vertical="center" wrapText="1"/>
    </xf>
    <xf numFmtId="0" fontId="26" fillId="3" borderId="5"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5" fillId="2" borderId="52" xfId="0" applyFont="1" applyFill="1" applyBorder="1" applyAlignment="1">
      <alignment horizontal="center" vertical="center" wrapText="1"/>
    </xf>
    <xf numFmtId="0" fontId="5" fillId="2" borderId="2" xfId="0" applyFont="1" applyFill="1" applyBorder="1" applyAlignment="1">
      <alignment vertical="center" wrapText="1"/>
    </xf>
    <xf numFmtId="0" fontId="1" fillId="2" borderId="2" xfId="0" applyFont="1" applyFill="1" applyBorder="1" applyAlignment="1">
      <alignment vertical="center" wrapText="1"/>
    </xf>
    <xf numFmtId="0" fontId="2" fillId="2" borderId="5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52" xfId="0" applyFont="1" applyFill="1" applyBorder="1" applyAlignment="1">
      <alignment vertical="center" wrapText="1"/>
    </xf>
    <xf numFmtId="0" fontId="3" fillId="2" borderId="41" xfId="0" applyFont="1" applyFill="1" applyBorder="1" applyAlignment="1">
      <alignment horizontal="left" vertical="center" wrapText="1"/>
    </xf>
    <xf numFmtId="0" fontId="3" fillId="2" borderId="1" xfId="0" applyFont="1" applyFill="1" applyBorder="1" applyAlignment="1">
      <alignment horizontal="left" vertical="center" wrapText="1"/>
    </xf>
    <xf numFmtId="49" fontId="30" fillId="3" borderId="3" xfId="1" applyNumberFormat="1" applyFont="1" applyFill="1" applyBorder="1" applyAlignment="1" applyProtection="1">
      <alignment horizontal="left" wrapText="1"/>
      <protection locked="0"/>
    </xf>
    <xf numFmtId="0" fontId="1" fillId="11" borderId="3" xfId="0" applyFont="1" applyFill="1" applyBorder="1" applyAlignment="1">
      <alignment vertical="center" wrapText="1"/>
    </xf>
    <xf numFmtId="0" fontId="5" fillId="11" borderId="3" xfId="0" applyFont="1" applyFill="1" applyBorder="1" applyAlignment="1">
      <alignment vertical="center" wrapText="1"/>
    </xf>
    <xf numFmtId="0" fontId="1" fillId="12" borderId="3" xfId="0" applyFont="1" applyFill="1" applyBorder="1" applyAlignment="1">
      <alignment vertical="center" wrapText="1"/>
    </xf>
    <xf numFmtId="165" fontId="5" fillId="11" borderId="3" xfId="0" applyNumberFormat="1" applyFont="1" applyFill="1" applyBorder="1" applyAlignment="1">
      <alignment vertical="center" wrapText="1"/>
    </xf>
    <xf numFmtId="165" fontId="1" fillId="11" borderId="3" xfId="0" applyNumberFormat="1" applyFont="1" applyFill="1" applyBorder="1" applyAlignment="1">
      <alignment vertical="center" wrapText="1"/>
    </xf>
    <xf numFmtId="165" fontId="5" fillId="12" borderId="3" xfId="0" applyNumberFormat="1" applyFont="1" applyFill="1" applyBorder="1" applyAlignment="1">
      <alignment vertical="center" wrapText="1"/>
    </xf>
    <xf numFmtId="0" fontId="31" fillId="0" borderId="3" xfId="0" applyFont="1" applyBorder="1" applyAlignment="1">
      <alignment wrapText="1"/>
    </xf>
    <xf numFmtId="9" fontId="31" fillId="0" borderId="3" xfId="2" applyFont="1" applyBorder="1" applyAlignment="1">
      <alignment wrapText="1"/>
    </xf>
    <xf numFmtId="165" fontId="31" fillId="0" borderId="3" xfId="0" applyNumberFormat="1" applyFont="1" applyBorder="1" applyAlignment="1">
      <alignment wrapText="1"/>
    </xf>
    <xf numFmtId="0" fontId="32" fillId="0" borderId="8" xfId="0" applyFont="1" applyBorder="1" applyAlignment="1">
      <alignment horizontal="center" vertical="center" wrapText="1"/>
    </xf>
    <xf numFmtId="9" fontId="31" fillId="0" borderId="9" xfId="2" applyFont="1" applyBorder="1" applyAlignment="1">
      <alignment wrapText="1"/>
    </xf>
    <xf numFmtId="0" fontId="32" fillId="0" borderId="12" xfId="0" applyFont="1" applyBorder="1" applyAlignment="1">
      <alignment horizontal="center" vertical="center" wrapText="1"/>
    </xf>
    <xf numFmtId="0" fontId="31" fillId="0" borderId="13" xfId="0" applyFont="1" applyBorder="1" applyAlignment="1">
      <alignment wrapText="1"/>
    </xf>
    <xf numFmtId="9" fontId="31" fillId="0" borderId="13" xfId="0" applyNumberFormat="1" applyFont="1" applyBorder="1" applyAlignment="1">
      <alignment wrapText="1"/>
    </xf>
    <xf numFmtId="165" fontId="31" fillId="0" borderId="13" xfId="0" applyNumberFormat="1" applyFont="1" applyBorder="1" applyAlignment="1">
      <alignment wrapText="1"/>
    </xf>
    <xf numFmtId="9" fontId="31" fillId="0" borderId="14" xfId="2" applyFont="1" applyBorder="1" applyAlignment="1">
      <alignment wrapText="1"/>
    </xf>
    <xf numFmtId="0" fontId="32" fillId="13" borderId="27" xfId="0" applyFont="1" applyFill="1" applyBorder="1" applyAlignment="1">
      <alignment horizontal="center" vertical="center" wrapText="1"/>
    </xf>
    <xf numFmtId="0" fontId="31" fillId="13" borderId="29" xfId="0" applyFont="1" applyFill="1" applyBorder="1" applyAlignment="1">
      <alignment wrapText="1"/>
    </xf>
    <xf numFmtId="0" fontId="31" fillId="13" borderId="16" xfId="0" applyFont="1" applyFill="1" applyBorder="1" applyAlignment="1">
      <alignment wrapText="1"/>
    </xf>
    <xf numFmtId="0" fontId="2" fillId="10" borderId="3" xfId="0" applyFont="1" applyFill="1" applyBorder="1" applyAlignment="1">
      <alignment horizontal="center" vertical="center" wrapText="1"/>
    </xf>
    <xf numFmtId="164" fontId="2" fillId="10" borderId="30" xfId="1" applyFont="1" applyFill="1" applyBorder="1" applyAlignment="1" applyProtection="1">
      <alignment horizontal="center" vertical="center" wrapText="1"/>
    </xf>
    <xf numFmtId="164" fontId="1" fillId="10" borderId="9" xfId="0" applyNumberFormat="1" applyFont="1" applyFill="1" applyBorder="1" applyAlignment="1">
      <alignment vertical="center" wrapText="1"/>
    </xf>
    <xf numFmtId="164" fontId="2" fillId="10" borderId="14" xfId="1" applyFont="1" applyFill="1" applyBorder="1" applyAlignment="1" applyProtection="1">
      <alignment vertical="center" wrapText="1"/>
    </xf>
    <xf numFmtId="0" fontId="17" fillId="0" borderId="0" xfId="0" applyFont="1" applyAlignment="1">
      <alignment horizontal="left" vertical="top"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165" fontId="2" fillId="3" borderId="3" xfId="0" applyNumberFormat="1" applyFont="1" applyFill="1" applyBorder="1" applyAlignment="1" applyProtection="1">
      <alignment horizontal="left" vertical="top" wrapText="1"/>
      <protection locked="0"/>
    </xf>
    <xf numFmtId="165" fontId="2" fillId="3" borderId="3" xfId="1" applyNumberFormat="1" applyFont="1" applyFill="1" applyBorder="1" applyAlignment="1" applyProtection="1">
      <alignment horizontal="left" vertical="top" wrapText="1"/>
      <protection locked="0"/>
    </xf>
    <xf numFmtId="165" fontId="5" fillId="3" borderId="3" xfId="0" applyNumberFormat="1" applyFont="1" applyFill="1" applyBorder="1" applyAlignment="1" applyProtection="1">
      <alignment horizontal="left" vertical="top" wrapText="1"/>
      <protection locked="0"/>
    </xf>
    <xf numFmtId="165" fontId="5" fillId="3" borderId="3" xfId="1" applyNumberFormat="1" applyFont="1" applyFill="1" applyBorder="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164" fontId="24"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2" fillId="0" borderId="0" xfId="0" applyFont="1" applyAlignment="1">
      <alignment horizontal="left"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32" fillId="13" borderId="0" xfId="0" applyFont="1" applyFill="1" applyAlignment="1">
      <alignment horizont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hcr365-my.sharepoint.com/Users/memel/Desktop/CONULTATION%20DES%20ACTEURS/PBF_project_document_template_2020_annex_d_project_budget_french_FAO%20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220">
          <cell r="E220">
            <v>60000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election activeCell="B3" sqref="B3"/>
    </sheetView>
  </sheetViews>
  <sheetFormatPr defaultColWidth="8.81640625" defaultRowHeight="14.5" x14ac:dyDescent="0.35"/>
  <cols>
    <col min="2" max="2" width="133.453125" customWidth="1"/>
  </cols>
  <sheetData>
    <row r="2" spans="2:5" ht="36.75" customHeight="1" thickBot="1" x14ac:dyDescent="0.4">
      <c r="B2" s="331" t="s">
        <v>582</v>
      </c>
      <c r="C2" s="331"/>
      <c r="D2" s="331"/>
      <c r="E2" s="331"/>
    </row>
    <row r="3" spans="2:5" ht="361.5" customHeight="1" thickBot="1" x14ac:dyDescent="0.4">
      <c r="B3" s="164" t="s">
        <v>583</v>
      </c>
    </row>
  </sheetData>
  <mergeCells count="1">
    <mergeCell ref="B2:E2"/>
  </mergeCells>
  <pageMargins left="0.7" right="0.7" top="0.75" bottom="0.75" header="0.3" footer="0.3"/>
  <pageSetup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O283"/>
  <sheetViews>
    <sheetView showGridLines="0" showZeros="0" tabSelected="1" topLeftCell="D1" zoomScale="60" zoomScaleNormal="60" workbookViewId="0">
      <pane ySplit="5" topLeftCell="A211" activePane="bottomLeft" state="frozen"/>
      <selection pane="bottomLeft" activeCell="J214" sqref="J214"/>
    </sheetView>
  </sheetViews>
  <sheetFormatPr defaultColWidth="9.1796875" defaultRowHeight="14.5" outlineLevelCol="1" x14ac:dyDescent="0.35"/>
  <cols>
    <col min="1" max="1" width="4.26953125" style="37" customWidth="1"/>
    <col min="2" max="2" width="100.7265625" style="37" customWidth="1"/>
    <col min="3" max="3" width="37.81640625" style="37" customWidth="1"/>
    <col min="4" max="4" width="49.7265625" style="37" customWidth="1" outlineLevel="1"/>
    <col min="5" max="6" width="43.54296875" style="37" customWidth="1" outlineLevel="1"/>
    <col min="7" max="10" width="23.1796875" style="37" customWidth="1"/>
    <col min="11" max="11" width="22.453125" style="37" customWidth="1"/>
    <col min="12" max="12" width="22.453125" style="140" customWidth="1"/>
    <col min="13" max="13" width="49" style="146" customWidth="1"/>
    <col min="14" max="14" width="30.26953125" style="37" customWidth="1"/>
    <col min="15" max="15" width="18.81640625" style="37" customWidth="1"/>
    <col min="16" max="16" width="9.1796875" style="37"/>
    <col min="17" max="17" width="17.7265625" style="37" customWidth="1"/>
    <col min="18" max="18" width="26.453125" style="37" customWidth="1"/>
    <col min="19" max="19" width="22.453125" style="37" customWidth="1"/>
    <col min="20" max="20" width="29.7265625" style="37" customWidth="1"/>
    <col min="21" max="21" width="23.453125" style="37" customWidth="1"/>
    <col min="22" max="22" width="18.453125" style="37" customWidth="1"/>
    <col min="23" max="23" width="17.453125" style="37" customWidth="1"/>
    <col min="24" max="24" width="25.1796875" style="37" customWidth="1"/>
    <col min="25" max="16384" width="9.1796875" style="37"/>
  </cols>
  <sheetData>
    <row r="2" spans="1:15" ht="29.25" customHeight="1" x14ac:dyDescent="1">
      <c r="B2" s="331" t="s">
        <v>516</v>
      </c>
      <c r="C2" s="331"/>
      <c r="D2" s="331"/>
      <c r="E2" s="331"/>
      <c r="F2" s="331"/>
      <c r="G2" s="331"/>
      <c r="H2" s="331"/>
      <c r="I2" s="35"/>
      <c r="J2" s="35"/>
      <c r="K2" s="36"/>
      <c r="L2" s="147"/>
      <c r="M2" s="169"/>
      <c r="N2" s="36"/>
    </row>
    <row r="3" spans="1:15" ht="24" customHeight="1" x14ac:dyDescent="0.6">
      <c r="B3" s="343" t="s">
        <v>366</v>
      </c>
      <c r="C3" s="343"/>
      <c r="D3" s="343"/>
      <c r="E3" s="343"/>
      <c r="F3" s="343"/>
      <c r="G3" s="343"/>
      <c r="H3" s="343"/>
      <c r="I3" s="343"/>
      <c r="J3" s="343"/>
      <c r="K3" s="343"/>
      <c r="L3" s="148"/>
      <c r="M3" s="170"/>
    </row>
    <row r="4" spans="1:15" ht="6.75" customHeight="1" x14ac:dyDescent="0.35">
      <c r="G4" s="39"/>
      <c r="H4" s="39"/>
      <c r="I4" s="39"/>
      <c r="J4" s="39"/>
      <c r="L4" s="146"/>
      <c r="N4" s="38"/>
      <c r="O4" s="38"/>
    </row>
    <row r="5" spans="1:15" ht="55" customHeight="1" x14ac:dyDescent="0.35">
      <c r="B5" s="27" t="s">
        <v>367</v>
      </c>
      <c r="C5" s="27" t="s">
        <v>643</v>
      </c>
      <c r="D5" s="27" t="s">
        <v>670</v>
      </c>
      <c r="E5" s="27" t="s">
        <v>716</v>
      </c>
      <c r="F5" s="27" t="s">
        <v>679</v>
      </c>
      <c r="G5" s="165" t="s">
        <v>586</v>
      </c>
      <c r="H5" s="165" t="s">
        <v>587</v>
      </c>
      <c r="I5" s="165" t="s">
        <v>588</v>
      </c>
      <c r="J5" s="27" t="s">
        <v>11</v>
      </c>
      <c r="K5" s="27" t="s">
        <v>517</v>
      </c>
      <c r="L5" s="327" t="s">
        <v>576</v>
      </c>
      <c r="M5" s="177" t="s">
        <v>584</v>
      </c>
      <c r="N5" s="27" t="s">
        <v>585</v>
      </c>
      <c r="O5" s="45"/>
    </row>
    <row r="6" spans="1:15" ht="15.5" x14ac:dyDescent="0.35">
      <c r="B6" s="86" t="s">
        <v>368</v>
      </c>
      <c r="C6" s="86"/>
      <c r="D6" s="342" t="s">
        <v>589</v>
      </c>
      <c r="E6" s="342"/>
      <c r="F6" s="342"/>
      <c r="G6" s="342"/>
      <c r="H6" s="342"/>
      <c r="I6" s="342"/>
      <c r="J6" s="342"/>
      <c r="K6" s="342"/>
      <c r="L6" s="333"/>
      <c r="M6" s="333"/>
      <c r="N6" s="342"/>
      <c r="O6" s="17"/>
    </row>
    <row r="7" spans="1:15" ht="24.65" customHeight="1" x14ac:dyDescent="0.35">
      <c r="B7" s="86" t="s">
        <v>369</v>
      </c>
      <c r="C7" s="86"/>
      <c r="D7" s="342" t="s">
        <v>590</v>
      </c>
      <c r="E7" s="342"/>
      <c r="F7" s="342"/>
      <c r="G7" s="342"/>
      <c r="H7" s="342"/>
      <c r="I7" s="342"/>
      <c r="J7" s="342"/>
      <c r="K7" s="342"/>
      <c r="L7" s="333"/>
      <c r="M7" s="333"/>
      <c r="N7" s="342"/>
      <c r="O7" s="47"/>
    </row>
    <row r="8" spans="1:15" ht="263.5" x14ac:dyDescent="0.35">
      <c r="B8" s="308" t="s">
        <v>370</v>
      </c>
      <c r="C8" s="283" t="s">
        <v>644</v>
      </c>
      <c r="D8" s="179" t="s">
        <v>782</v>
      </c>
      <c r="E8" s="179" t="s">
        <v>676</v>
      </c>
      <c r="F8" s="179" t="s">
        <v>677</v>
      </c>
      <c r="G8" s="277">
        <v>24570</v>
      </c>
      <c r="H8" s="239">
        <f>150000*0+38400</f>
        <v>38400</v>
      </c>
      <c r="I8" s="278">
        <f>19954.8170093463+0.158878504764289</f>
        <v>19954.975887851066</v>
      </c>
      <c r="J8" s="279">
        <f>SUM(G8:I8)</f>
        <v>82924.975887851062</v>
      </c>
      <c r="K8" s="107">
        <v>0.45</v>
      </c>
      <c r="L8" s="19">
        <v>16107</v>
      </c>
      <c r="M8" s="190" t="s">
        <v>680</v>
      </c>
      <c r="N8" s="284" t="s">
        <v>678</v>
      </c>
      <c r="O8" s="48"/>
    </row>
    <row r="9" spans="1:15" ht="111.75" customHeight="1" x14ac:dyDescent="0.35">
      <c r="B9" s="309" t="s">
        <v>371</v>
      </c>
      <c r="C9" s="283" t="s">
        <v>645</v>
      </c>
      <c r="D9" s="274" t="s">
        <v>783</v>
      </c>
      <c r="E9" s="274" t="s">
        <v>676</v>
      </c>
      <c r="F9" s="274" t="s">
        <v>681</v>
      </c>
      <c r="G9" s="239">
        <v>32760</v>
      </c>
      <c r="H9" s="239">
        <f>38400*0+150000</f>
        <v>150000</v>
      </c>
      <c r="I9" s="239"/>
      <c r="J9" s="279">
        <f t="shared" ref="J9:J15" si="0">SUM(G9:I9)</f>
        <v>182760</v>
      </c>
      <c r="K9" s="107">
        <v>0.35</v>
      </c>
      <c r="L9" s="18">
        <f>20000+32760</f>
        <v>52760</v>
      </c>
      <c r="M9" s="190" t="s">
        <v>682</v>
      </c>
      <c r="N9" s="284" t="s">
        <v>784</v>
      </c>
      <c r="O9" s="48"/>
    </row>
    <row r="10" spans="1:15" ht="201.5" x14ac:dyDescent="0.35">
      <c r="B10" s="308" t="s">
        <v>372</v>
      </c>
      <c r="C10" s="283" t="s">
        <v>646</v>
      </c>
      <c r="D10" s="274" t="s">
        <v>683</v>
      </c>
      <c r="E10" s="274" t="s">
        <v>684</v>
      </c>
      <c r="F10" s="274" t="s">
        <v>685</v>
      </c>
      <c r="G10" s="239">
        <v>45000</v>
      </c>
      <c r="H10" s="239"/>
      <c r="I10" s="278">
        <v>10000</v>
      </c>
      <c r="J10" s="279">
        <f t="shared" si="0"/>
        <v>55000</v>
      </c>
      <c r="K10" s="107">
        <v>0.35</v>
      </c>
      <c r="L10" s="18"/>
      <c r="M10" s="190" t="s">
        <v>686</v>
      </c>
      <c r="N10" s="284" t="s">
        <v>687</v>
      </c>
      <c r="O10" s="48"/>
    </row>
    <row r="11" spans="1:15" ht="114.75" customHeight="1" x14ac:dyDescent="0.35">
      <c r="B11" s="309" t="s">
        <v>373</v>
      </c>
      <c r="C11" s="220" t="s">
        <v>647</v>
      </c>
      <c r="D11" s="273" t="s">
        <v>688</v>
      </c>
      <c r="E11" s="273" t="s">
        <v>675</v>
      </c>
      <c r="F11" s="273" t="s">
        <v>673</v>
      </c>
      <c r="G11" s="232">
        <v>65000</v>
      </c>
      <c r="H11" s="232"/>
      <c r="I11" s="233"/>
      <c r="J11" s="234">
        <f t="shared" si="0"/>
        <v>65000</v>
      </c>
      <c r="K11" s="106">
        <v>0.45</v>
      </c>
      <c r="L11" s="18">
        <v>30000</v>
      </c>
      <c r="M11" s="190" t="s">
        <v>632</v>
      </c>
      <c r="N11" s="284" t="s">
        <v>689</v>
      </c>
      <c r="O11" s="48"/>
    </row>
    <row r="12" spans="1:15" ht="104.15" customHeight="1" x14ac:dyDescent="0.35">
      <c r="B12" s="308" t="s">
        <v>374</v>
      </c>
      <c r="C12" s="290" t="s">
        <v>648</v>
      </c>
      <c r="D12" s="273" t="s">
        <v>690</v>
      </c>
      <c r="E12" s="273" t="s">
        <v>691</v>
      </c>
      <c r="F12" s="273" t="s">
        <v>692</v>
      </c>
      <c r="G12" s="232">
        <v>75000</v>
      </c>
      <c r="H12" s="232"/>
      <c r="I12" s="255"/>
      <c r="J12" s="234">
        <f t="shared" si="0"/>
        <v>75000</v>
      </c>
      <c r="K12" s="106">
        <v>0.3</v>
      </c>
      <c r="L12" s="18">
        <v>37500</v>
      </c>
      <c r="M12" s="224" t="s">
        <v>693</v>
      </c>
      <c r="N12" s="284" t="s">
        <v>694</v>
      </c>
      <c r="O12" s="48"/>
    </row>
    <row r="13" spans="1:15" ht="171.65" customHeight="1" x14ac:dyDescent="0.35">
      <c r="B13" s="308" t="s">
        <v>375</v>
      </c>
      <c r="C13" s="290" t="s">
        <v>649</v>
      </c>
      <c r="D13" s="273" t="s">
        <v>695</v>
      </c>
      <c r="E13" s="273" t="s">
        <v>696</v>
      </c>
      <c r="F13" s="273" t="s">
        <v>698</v>
      </c>
      <c r="G13" s="232">
        <v>39000</v>
      </c>
      <c r="H13" s="232"/>
      <c r="I13" s="233"/>
      <c r="J13" s="234">
        <f t="shared" si="0"/>
        <v>39000</v>
      </c>
      <c r="K13" s="106">
        <v>0.3</v>
      </c>
      <c r="L13" s="18"/>
      <c r="M13" s="224" t="s">
        <v>633</v>
      </c>
      <c r="N13" s="284" t="s">
        <v>697</v>
      </c>
      <c r="O13" s="48"/>
    </row>
    <row r="14" spans="1:15" ht="186" x14ac:dyDescent="0.35">
      <c r="B14" s="309" t="s">
        <v>376</v>
      </c>
      <c r="C14" s="220" t="s">
        <v>650</v>
      </c>
      <c r="D14" s="274" t="s">
        <v>703</v>
      </c>
      <c r="E14" s="274" t="s">
        <v>699</v>
      </c>
      <c r="F14" s="274" t="s">
        <v>700</v>
      </c>
      <c r="G14" s="232">
        <v>65420</v>
      </c>
      <c r="H14" s="232"/>
      <c r="I14" s="239"/>
      <c r="J14" s="234">
        <f t="shared" si="0"/>
        <v>65420</v>
      </c>
      <c r="K14" s="107">
        <v>0.45</v>
      </c>
      <c r="L14" s="19"/>
      <c r="M14" s="224" t="s">
        <v>701</v>
      </c>
      <c r="N14" s="286" t="s">
        <v>702</v>
      </c>
      <c r="O14" s="48"/>
    </row>
    <row r="15" spans="1:15" ht="15.5" hidden="1" x14ac:dyDescent="0.35">
      <c r="A15" s="38"/>
      <c r="B15" s="87" t="s">
        <v>377</v>
      </c>
      <c r="C15" s="87"/>
      <c r="D15" s="220"/>
      <c r="E15" s="220"/>
      <c r="F15" s="220"/>
      <c r="G15" s="256"/>
      <c r="H15" s="232"/>
      <c r="I15" s="239"/>
      <c r="J15" s="234">
        <f t="shared" si="0"/>
        <v>0</v>
      </c>
      <c r="K15" s="107"/>
      <c r="L15" s="19"/>
      <c r="M15" s="171"/>
      <c r="N15" s="99"/>
    </row>
    <row r="16" spans="1:15" ht="15.5" hidden="1" x14ac:dyDescent="0.35">
      <c r="A16" s="38"/>
      <c r="B16" s="87" t="s">
        <v>591</v>
      </c>
      <c r="C16" s="87"/>
      <c r="D16" s="179"/>
      <c r="E16" s="179"/>
      <c r="F16" s="179"/>
      <c r="G16" s="232"/>
      <c r="H16" s="232"/>
      <c r="I16" s="239"/>
      <c r="J16" s="234"/>
      <c r="K16" s="107"/>
      <c r="L16" s="19"/>
      <c r="M16" s="171"/>
      <c r="N16" s="99"/>
    </row>
    <row r="17" spans="1:15" ht="15.5" hidden="1" x14ac:dyDescent="0.35">
      <c r="A17" s="38"/>
      <c r="B17" s="87" t="s">
        <v>592</v>
      </c>
      <c r="C17" s="87"/>
      <c r="D17" s="179"/>
      <c r="E17" s="179"/>
      <c r="F17" s="179"/>
      <c r="G17" s="232"/>
      <c r="H17" s="232"/>
      <c r="I17" s="239"/>
      <c r="J17" s="234"/>
      <c r="K17" s="107"/>
      <c r="L17" s="19"/>
      <c r="M17" s="171"/>
      <c r="N17" s="99"/>
    </row>
    <row r="18" spans="1:15" ht="15.5" hidden="1" x14ac:dyDescent="0.35">
      <c r="A18" s="38"/>
      <c r="B18" s="87" t="s">
        <v>593</v>
      </c>
      <c r="C18" s="87"/>
      <c r="D18" s="179"/>
      <c r="E18" s="179"/>
      <c r="F18" s="179"/>
      <c r="G18" s="232"/>
      <c r="H18" s="232"/>
      <c r="I18" s="239"/>
      <c r="J18" s="234"/>
      <c r="K18" s="107"/>
      <c r="L18" s="19"/>
      <c r="M18" s="171"/>
      <c r="N18" s="99"/>
    </row>
    <row r="19" spans="1:15" ht="15.5" hidden="1" x14ac:dyDescent="0.35">
      <c r="A19" s="38"/>
      <c r="B19" s="87" t="s">
        <v>594</v>
      </c>
      <c r="C19" s="87"/>
      <c r="D19" s="179"/>
      <c r="E19" s="179"/>
      <c r="F19" s="179"/>
      <c r="G19" s="232"/>
      <c r="H19" s="232"/>
      <c r="I19" s="239"/>
      <c r="J19" s="234"/>
      <c r="K19" s="107"/>
      <c r="L19" s="19"/>
      <c r="M19" s="171"/>
      <c r="N19" s="99"/>
    </row>
    <row r="20" spans="1:15" ht="15.5" x14ac:dyDescent="0.35">
      <c r="A20" s="38"/>
      <c r="D20" s="88" t="s">
        <v>518</v>
      </c>
      <c r="E20" s="88"/>
      <c r="F20" s="88"/>
      <c r="G20" s="20">
        <f>SUM(G8:G19)</f>
        <v>346750</v>
      </c>
      <c r="H20" s="246">
        <f t="shared" ref="H20:J20" si="1">SUM(H8:H19)</f>
        <v>188400</v>
      </c>
      <c r="I20" s="246">
        <f t="shared" si="1"/>
        <v>29954.975887851066</v>
      </c>
      <c r="J20" s="246">
        <f t="shared" si="1"/>
        <v>565104.97588785109</v>
      </c>
      <c r="K20" s="246">
        <f>J8*K8+J9*K9+J10*K10+J11*K11+J12*K12+J13*K13+J14*K14+J15*K15+J16*K16+J17*K17+J18*K18+J19*K19</f>
        <v>213421.23914953298</v>
      </c>
      <c r="L20" s="20">
        <f>SUM(L8:L19)</f>
        <v>136367</v>
      </c>
      <c r="M20" s="172"/>
      <c r="N20" s="99"/>
      <c r="O20" s="49"/>
    </row>
    <row r="21" spans="1:15" ht="15.5" x14ac:dyDescent="0.35">
      <c r="A21" s="38"/>
      <c r="B21" s="86" t="s">
        <v>378</v>
      </c>
      <c r="C21" s="86"/>
      <c r="D21" s="332" t="s">
        <v>595</v>
      </c>
      <c r="E21" s="332"/>
      <c r="F21" s="332"/>
      <c r="G21" s="332"/>
      <c r="H21" s="332"/>
      <c r="I21" s="332"/>
      <c r="J21" s="332"/>
      <c r="K21" s="332"/>
      <c r="L21" s="333"/>
      <c r="M21" s="333"/>
      <c r="N21" s="332"/>
      <c r="O21" s="47"/>
    </row>
    <row r="22" spans="1:15" ht="170.5" x14ac:dyDescent="0.35">
      <c r="A22" s="38"/>
      <c r="B22" s="308" t="s">
        <v>379</v>
      </c>
      <c r="C22" s="290" t="s">
        <v>651</v>
      </c>
      <c r="D22" s="274" t="s">
        <v>820</v>
      </c>
      <c r="E22" s="274" t="s">
        <v>704</v>
      </c>
      <c r="F22" s="274" t="s">
        <v>705</v>
      </c>
      <c r="G22" s="239"/>
      <c r="H22" s="239">
        <v>18600</v>
      </c>
      <c r="I22" s="239">
        <v>80000</v>
      </c>
      <c r="J22" s="279">
        <f>SUM(G22:I22)</f>
        <v>98600</v>
      </c>
      <c r="K22" s="107">
        <v>0.35</v>
      </c>
      <c r="L22" s="18">
        <v>37953.629999999997</v>
      </c>
      <c r="M22" s="224" t="s">
        <v>706</v>
      </c>
      <c r="N22" s="284" t="s">
        <v>707</v>
      </c>
      <c r="O22" s="48"/>
    </row>
    <row r="23" spans="1:15" ht="248" x14ac:dyDescent="0.35">
      <c r="A23" s="38"/>
      <c r="B23" s="309" t="s">
        <v>380</v>
      </c>
      <c r="C23" s="290" t="s">
        <v>652</v>
      </c>
      <c r="D23" s="274" t="s">
        <v>785</v>
      </c>
      <c r="E23" s="274" t="s">
        <v>704</v>
      </c>
      <c r="F23" s="274" t="s">
        <v>708</v>
      </c>
      <c r="G23" s="277"/>
      <c r="H23" s="239"/>
      <c r="I23" s="239">
        <v>65000</v>
      </c>
      <c r="J23" s="279">
        <f t="shared" ref="J23:J29" si="2">SUM(G23:I23)</f>
        <v>65000</v>
      </c>
      <c r="K23" s="107">
        <v>0.7</v>
      </c>
      <c r="L23" s="18"/>
      <c r="M23" s="224" t="s">
        <v>709</v>
      </c>
      <c r="N23" s="284" t="s">
        <v>710</v>
      </c>
      <c r="O23" s="48"/>
    </row>
    <row r="24" spans="1:15" ht="114" customHeight="1" x14ac:dyDescent="0.35">
      <c r="A24" s="38"/>
      <c r="B24" s="308" t="s">
        <v>381</v>
      </c>
      <c r="C24" s="290" t="s">
        <v>653</v>
      </c>
      <c r="D24" s="274" t="s">
        <v>714</v>
      </c>
      <c r="E24" s="274" t="s">
        <v>711</v>
      </c>
      <c r="F24" s="274" t="s">
        <v>712</v>
      </c>
      <c r="G24" s="232">
        <v>35250</v>
      </c>
      <c r="H24" s="232"/>
      <c r="I24" s="233"/>
      <c r="J24" s="234">
        <f t="shared" si="2"/>
        <v>35250</v>
      </c>
      <c r="K24" s="106">
        <v>0.45</v>
      </c>
      <c r="L24" s="18"/>
      <c r="M24" s="224" t="s">
        <v>713</v>
      </c>
      <c r="N24" s="284" t="s">
        <v>786</v>
      </c>
      <c r="O24" s="48"/>
    </row>
    <row r="25" spans="1:15" ht="15.5" hidden="1" x14ac:dyDescent="0.35">
      <c r="A25" s="38"/>
      <c r="B25" s="87" t="s">
        <v>382</v>
      </c>
      <c r="C25" s="87"/>
      <c r="D25" s="178"/>
      <c r="E25" s="178"/>
      <c r="F25" s="178"/>
      <c r="G25" s="18"/>
      <c r="H25" s="171"/>
      <c r="I25" s="18"/>
      <c r="J25" s="109">
        <f t="shared" si="2"/>
        <v>0</v>
      </c>
      <c r="K25" s="106"/>
      <c r="L25" s="18"/>
      <c r="M25" s="171"/>
      <c r="N25" s="98"/>
      <c r="O25" s="48"/>
    </row>
    <row r="26" spans="1:15" ht="15.5" hidden="1" x14ac:dyDescent="0.35">
      <c r="A26" s="38"/>
      <c r="B26" s="87" t="s">
        <v>383</v>
      </c>
      <c r="C26" s="87"/>
      <c r="D26" s="178"/>
      <c r="E26" s="178"/>
      <c r="F26" s="178"/>
      <c r="G26" s="18"/>
      <c r="H26" s="171"/>
      <c r="I26" s="18"/>
      <c r="J26" s="109">
        <f t="shared" si="2"/>
        <v>0</v>
      </c>
      <c r="K26" s="106"/>
      <c r="L26" s="18"/>
      <c r="M26" s="171"/>
      <c r="N26" s="98"/>
      <c r="O26" s="48"/>
    </row>
    <row r="27" spans="1:15" ht="15.5" hidden="1" x14ac:dyDescent="0.35">
      <c r="A27" s="38"/>
      <c r="B27" s="87" t="s">
        <v>384</v>
      </c>
      <c r="C27" s="87"/>
      <c r="D27" s="178"/>
      <c r="E27" s="178"/>
      <c r="F27" s="178"/>
      <c r="G27" s="18"/>
      <c r="H27" s="171"/>
      <c r="I27" s="18"/>
      <c r="J27" s="109">
        <f t="shared" si="2"/>
        <v>0</v>
      </c>
      <c r="K27" s="106"/>
      <c r="L27" s="18"/>
      <c r="M27" s="171"/>
      <c r="N27" s="98"/>
      <c r="O27" s="48"/>
    </row>
    <row r="28" spans="1:15" ht="15.5" hidden="1" x14ac:dyDescent="0.35">
      <c r="A28" s="38"/>
      <c r="B28" s="87" t="s">
        <v>385</v>
      </c>
      <c r="C28" s="87"/>
      <c r="D28" s="179"/>
      <c r="E28" s="179"/>
      <c r="F28" s="179"/>
      <c r="G28" s="19"/>
      <c r="H28" s="171"/>
      <c r="I28" s="19"/>
      <c r="J28" s="109">
        <f t="shared" si="2"/>
        <v>0</v>
      </c>
      <c r="K28" s="107"/>
      <c r="L28" s="19"/>
      <c r="M28" s="171"/>
      <c r="N28" s="99"/>
      <c r="O28" s="48"/>
    </row>
    <row r="29" spans="1:15" ht="15.5" hidden="1" x14ac:dyDescent="0.35">
      <c r="A29" s="38"/>
      <c r="B29" s="87" t="s">
        <v>386</v>
      </c>
      <c r="C29" s="87"/>
      <c r="D29" s="44"/>
      <c r="E29" s="44"/>
      <c r="F29" s="44"/>
      <c r="G29" s="19"/>
      <c r="H29" s="171"/>
      <c r="I29" s="19"/>
      <c r="J29" s="109">
        <f t="shared" si="2"/>
        <v>0</v>
      </c>
      <c r="K29" s="107"/>
      <c r="L29" s="19"/>
      <c r="M29" s="171"/>
      <c r="N29" s="99"/>
      <c r="O29" s="48"/>
    </row>
    <row r="30" spans="1:15" ht="15.5" x14ac:dyDescent="0.35">
      <c r="A30" s="38"/>
      <c r="D30" s="88" t="s">
        <v>518</v>
      </c>
      <c r="E30" s="88"/>
      <c r="F30" s="88"/>
      <c r="G30" s="20">
        <f>SUM(G22:G29)</f>
        <v>35250</v>
      </c>
      <c r="H30" s="246">
        <f>SUM(H22:H29)</f>
        <v>18600</v>
      </c>
      <c r="I30" s="246">
        <f>SUM(I22:I29)</f>
        <v>145000</v>
      </c>
      <c r="J30" s="246">
        <f>SUM(J22:J29)</f>
        <v>198850</v>
      </c>
      <c r="K30" s="246">
        <f>(K22*J22)+(K23*J23)+(K24*J24)+(K25*J25)+(K26*J26)+(K27*J27)+(K28*J28)+(K29*J29)</f>
        <v>95872.5</v>
      </c>
      <c r="L30" s="20">
        <f>SUM(L22:L29)</f>
        <v>37953.629999999997</v>
      </c>
      <c r="M30" s="172"/>
      <c r="N30" s="99"/>
      <c r="O30" s="49"/>
    </row>
    <row r="31" spans="1:15" ht="51" hidden="1" customHeight="1" x14ac:dyDescent="0.35">
      <c r="A31" s="38"/>
      <c r="B31" s="86" t="s">
        <v>387</v>
      </c>
      <c r="C31" s="86"/>
      <c r="D31" s="334"/>
      <c r="E31" s="334"/>
      <c r="F31" s="334"/>
      <c r="G31" s="334"/>
      <c r="H31" s="334"/>
      <c r="I31" s="334"/>
      <c r="J31" s="334"/>
      <c r="K31" s="334"/>
      <c r="L31" s="335"/>
      <c r="M31" s="335"/>
      <c r="N31" s="334"/>
      <c r="O31" s="47"/>
    </row>
    <row r="32" spans="1:15" ht="15.5" hidden="1" x14ac:dyDescent="0.35">
      <c r="A32" s="38"/>
      <c r="B32" s="87" t="s">
        <v>388</v>
      </c>
      <c r="C32" s="87"/>
      <c r="D32" s="16"/>
      <c r="E32" s="16"/>
      <c r="F32" s="16"/>
      <c r="G32" s="18"/>
      <c r="H32" s="171"/>
      <c r="I32" s="18"/>
      <c r="J32" s="109">
        <f>SUM(G32:I32)</f>
        <v>0</v>
      </c>
      <c r="K32" s="106"/>
      <c r="L32" s="18"/>
      <c r="M32" s="171"/>
      <c r="N32" s="98"/>
      <c r="O32" s="48"/>
    </row>
    <row r="33" spans="1:15" ht="15.5" hidden="1" x14ac:dyDescent="0.35">
      <c r="A33" s="38"/>
      <c r="B33" s="87" t="s">
        <v>389</v>
      </c>
      <c r="C33" s="87"/>
      <c r="D33" s="16"/>
      <c r="E33" s="16"/>
      <c r="F33" s="16"/>
      <c r="G33" s="18"/>
      <c r="H33" s="171"/>
      <c r="I33" s="18"/>
      <c r="J33" s="109">
        <f t="shared" ref="J33:J39" si="3">SUM(G33:I33)</f>
        <v>0</v>
      </c>
      <c r="K33" s="106"/>
      <c r="L33" s="18"/>
      <c r="M33" s="171"/>
      <c r="N33" s="98"/>
      <c r="O33" s="48"/>
    </row>
    <row r="34" spans="1:15" ht="15.5" hidden="1" x14ac:dyDescent="0.35">
      <c r="A34" s="38"/>
      <c r="B34" s="87" t="s">
        <v>390</v>
      </c>
      <c r="C34" s="87"/>
      <c r="D34" s="16"/>
      <c r="E34" s="16"/>
      <c r="F34" s="16"/>
      <c r="G34" s="18"/>
      <c r="H34" s="171"/>
      <c r="I34" s="18"/>
      <c r="J34" s="109">
        <f t="shared" si="3"/>
        <v>0</v>
      </c>
      <c r="K34" s="106"/>
      <c r="L34" s="18"/>
      <c r="M34" s="171"/>
      <c r="N34" s="98"/>
      <c r="O34" s="48"/>
    </row>
    <row r="35" spans="1:15" ht="15.5" hidden="1" x14ac:dyDescent="0.35">
      <c r="A35" s="38"/>
      <c r="B35" s="87" t="s">
        <v>391</v>
      </c>
      <c r="C35" s="87"/>
      <c r="D35" s="16"/>
      <c r="E35" s="16"/>
      <c r="F35" s="16"/>
      <c r="G35" s="18"/>
      <c r="H35" s="171"/>
      <c r="I35" s="18"/>
      <c r="J35" s="109">
        <f t="shared" si="3"/>
        <v>0</v>
      </c>
      <c r="K35" s="106"/>
      <c r="L35" s="18"/>
      <c r="M35" s="171"/>
      <c r="N35" s="98"/>
      <c r="O35" s="48"/>
    </row>
    <row r="36" spans="1:15" s="38" customFormat="1" ht="15.5" hidden="1" x14ac:dyDescent="0.35">
      <c r="B36" s="87" t="s">
        <v>392</v>
      </c>
      <c r="C36" s="87"/>
      <c r="D36" s="16"/>
      <c r="E36" s="16"/>
      <c r="F36" s="16"/>
      <c r="G36" s="18"/>
      <c r="H36" s="171"/>
      <c r="I36" s="18"/>
      <c r="J36" s="109">
        <f t="shared" si="3"/>
        <v>0</v>
      </c>
      <c r="K36" s="106"/>
      <c r="L36" s="18"/>
      <c r="M36" s="171"/>
      <c r="N36" s="98"/>
      <c r="O36" s="48"/>
    </row>
    <row r="37" spans="1:15" s="38" customFormat="1" ht="15.5" hidden="1" x14ac:dyDescent="0.35">
      <c r="B37" s="87" t="s">
        <v>393</v>
      </c>
      <c r="C37" s="87"/>
      <c r="D37" s="16"/>
      <c r="E37" s="16"/>
      <c r="F37" s="16"/>
      <c r="G37" s="18"/>
      <c r="H37" s="171"/>
      <c r="I37" s="18"/>
      <c r="J37" s="109">
        <f t="shared" si="3"/>
        <v>0</v>
      </c>
      <c r="K37" s="106"/>
      <c r="L37" s="18"/>
      <c r="M37" s="171"/>
      <c r="N37" s="98"/>
      <c r="O37" s="48"/>
    </row>
    <row r="38" spans="1:15" s="38" customFormat="1" ht="15.5" hidden="1" x14ac:dyDescent="0.35">
      <c r="A38" s="37"/>
      <c r="B38" s="87" t="s">
        <v>394</v>
      </c>
      <c r="C38" s="87"/>
      <c r="D38" s="44"/>
      <c r="E38" s="44"/>
      <c r="F38" s="44"/>
      <c r="G38" s="19"/>
      <c r="H38" s="171"/>
      <c r="I38" s="19"/>
      <c r="J38" s="109">
        <f t="shared" si="3"/>
        <v>0</v>
      </c>
      <c r="K38" s="107"/>
      <c r="L38" s="19"/>
      <c r="M38" s="171"/>
      <c r="N38" s="99"/>
      <c r="O38" s="48"/>
    </row>
    <row r="39" spans="1:15" ht="15.5" hidden="1" x14ac:dyDescent="0.35">
      <c r="B39" s="87" t="s">
        <v>395</v>
      </c>
      <c r="C39" s="87"/>
      <c r="D39" s="44"/>
      <c r="E39" s="44"/>
      <c r="F39" s="44"/>
      <c r="G39" s="19"/>
      <c r="H39" s="171"/>
      <c r="I39" s="19"/>
      <c r="J39" s="109">
        <f t="shared" si="3"/>
        <v>0</v>
      </c>
      <c r="K39" s="107"/>
      <c r="L39" s="19"/>
      <c r="M39" s="171"/>
      <c r="N39" s="99"/>
      <c r="O39" s="48"/>
    </row>
    <row r="40" spans="1:15" ht="15.5" hidden="1" x14ac:dyDescent="0.35">
      <c r="D40" s="88" t="s">
        <v>518</v>
      </c>
      <c r="E40" s="295"/>
      <c r="F40" s="295"/>
      <c r="G40" s="23">
        <f>SUM(G32:G39)</f>
        <v>0</v>
      </c>
      <c r="H40" s="23">
        <f>SUM(H32:H39)</f>
        <v>0</v>
      </c>
      <c r="I40" s="23">
        <f>SUM(I32:I39)</f>
        <v>0</v>
      </c>
      <c r="J40" s="23">
        <f>SUM(J32:J39)</f>
        <v>0</v>
      </c>
      <c r="K40" s="20">
        <f>(K32*J32)+(K33*J33)+(K34*J34)+(K35*J35)+(K36*J36)+(K37*J37)+(K38*J38)+(K39*J39)</f>
        <v>0</v>
      </c>
      <c r="L40" s="20">
        <f>SUM(L32:L39)</f>
        <v>0</v>
      </c>
      <c r="M40" s="172"/>
      <c r="N40" s="99"/>
      <c r="O40" s="49"/>
    </row>
    <row r="41" spans="1:15" ht="51" hidden="1" customHeight="1" x14ac:dyDescent="0.35">
      <c r="B41" s="86" t="s">
        <v>396</v>
      </c>
      <c r="C41" s="86"/>
      <c r="D41" s="334"/>
      <c r="E41" s="334"/>
      <c r="F41" s="334"/>
      <c r="G41" s="334"/>
      <c r="H41" s="334"/>
      <c r="I41" s="334"/>
      <c r="J41" s="334"/>
      <c r="K41" s="334"/>
      <c r="L41" s="335"/>
      <c r="M41" s="335"/>
      <c r="N41" s="334"/>
      <c r="O41" s="47"/>
    </row>
    <row r="42" spans="1:15" ht="15.5" hidden="1" x14ac:dyDescent="0.35">
      <c r="B42" s="87" t="s">
        <v>397</v>
      </c>
      <c r="C42" s="87"/>
      <c r="D42" s="16"/>
      <c r="E42" s="16"/>
      <c r="F42" s="16"/>
      <c r="G42" s="18"/>
      <c r="H42" s="171"/>
      <c r="I42" s="18"/>
      <c r="J42" s="109">
        <f>SUM(G42:I42)</f>
        <v>0</v>
      </c>
      <c r="K42" s="106"/>
      <c r="L42" s="18"/>
      <c r="M42" s="171"/>
      <c r="N42" s="98"/>
      <c r="O42" s="48"/>
    </row>
    <row r="43" spans="1:15" ht="15.5" hidden="1" x14ac:dyDescent="0.35">
      <c r="B43" s="87" t="s">
        <v>398</v>
      </c>
      <c r="C43" s="87"/>
      <c r="D43" s="16"/>
      <c r="E43" s="16"/>
      <c r="F43" s="16"/>
      <c r="G43" s="18"/>
      <c r="H43" s="171"/>
      <c r="I43" s="18"/>
      <c r="J43" s="109">
        <f t="shared" ref="J43:J49" si="4">SUM(G43:I43)</f>
        <v>0</v>
      </c>
      <c r="K43" s="106"/>
      <c r="L43" s="18"/>
      <c r="M43" s="171"/>
      <c r="N43" s="98"/>
      <c r="O43" s="48"/>
    </row>
    <row r="44" spans="1:15" ht="15.5" hidden="1" x14ac:dyDescent="0.35">
      <c r="B44" s="87" t="s">
        <v>399</v>
      </c>
      <c r="C44" s="87"/>
      <c r="D44" s="16"/>
      <c r="E44" s="16"/>
      <c r="F44" s="16"/>
      <c r="G44" s="18"/>
      <c r="H44" s="171"/>
      <c r="I44" s="18"/>
      <c r="J44" s="109">
        <f t="shared" si="4"/>
        <v>0</v>
      </c>
      <c r="K44" s="106"/>
      <c r="L44" s="18"/>
      <c r="M44" s="171"/>
      <c r="N44" s="98"/>
      <c r="O44" s="48"/>
    </row>
    <row r="45" spans="1:15" ht="15.5" hidden="1" x14ac:dyDescent="0.35">
      <c r="B45" s="87" t="s">
        <v>400</v>
      </c>
      <c r="C45" s="87"/>
      <c r="D45" s="16"/>
      <c r="E45" s="16"/>
      <c r="F45" s="16"/>
      <c r="G45" s="18"/>
      <c r="H45" s="171"/>
      <c r="I45" s="18"/>
      <c r="J45" s="109">
        <f t="shared" si="4"/>
        <v>0</v>
      </c>
      <c r="K45" s="106"/>
      <c r="L45" s="18"/>
      <c r="M45" s="171"/>
      <c r="N45" s="98"/>
      <c r="O45" s="48"/>
    </row>
    <row r="46" spans="1:15" ht="15.5" hidden="1" x14ac:dyDescent="0.35">
      <c r="B46" s="87" t="s">
        <v>401</v>
      </c>
      <c r="C46" s="87"/>
      <c r="D46" s="16"/>
      <c r="E46" s="16"/>
      <c r="F46" s="16"/>
      <c r="G46" s="18"/>
      <c r="H46" s="171"/>
      <c r="I46" s="18"/>
      <c r="J46" s="109">
        <f t="shared" si="4"/>
        <v>0</v>
      </c>
      <c r="K46" s="106"/>
      <c r="L46" s="18"/>
      <c r="M46" s="171"/>
      <c r="N46" s="98"/>
      <c r="O46" s="48"/>
    </row>
    <row r="47" spans="1:15" ht="15.5" hidden="1" x14ac:dyDescent="0.35">
      <c r="A47" s="38"/>
      <c r="B47" s="87" t="s">
        <v>402</v>
      </c>
      <c r="C47" s="87"/>
      <c r="D47" s="16"/>
      <c r="E47" s="16"/>
      <c r="F47" s="16"/>
      <c r="G47" s="18"/>
      <c r="H47" s="171"/>
      <c r="I47" s="18"/>
      <c r="J47" s="109">
        <f t="shared" si="4"/>
        <v>0</v>
      </c>
      <c r="K47" s="106"/>
      <c r="L47" s="18"/>
      <c r="M47" s="171"/>
      <c r="N47" s="98"/>
      <c r="O47" s="48"/>
    </row>
    <row r="48" spans="1:15" s="38" customFormat="1" ht="15.5" hidden="1" x14ac:dyDescent="0.35">
      <c r="A48" s="37"/>
      <c r="B48" s="87" t="s">
        <v>403</v>
      </c>
      <c r="C48" s="87"/>
      <c r="D48" s="44"/>
      <c r="E48" s="44"/>
      <c r="F48" s="44"/>
      <c r="G48" s="19"/>
      <c r="H48" s="171"/>
      <c r="I48" s="19"/>
      <c r="J48" s="109">
        <f t="shared" si="4"/>
        <v>0</v>
      </c>
      <c r="K48" s="107"/>
      <c r="L48" s="19"/>
      <c r="M48" s="171"/>
      <c r="N48" s="99"/>
      <c r="O48" s="48"/>
    </row>
    <row r="49" spans="2:15" ht="15.5" hidden="1" x14ac:dyDescent="0.35">
      <c r="B49" s="87" t="s">
        <v>404</v>
      </c>
      <c r="C49" s="87"/>
      <c r="D49" s="44"/>
      <c r="E49" s="44"/>
      <c r="F49" s="44"/>
      <c r="G49" s="19"/>
      <c r="H49" s="171"/>
      <c r="I49" s="19"/>
      <c r="J49" s="109">
        <f t="shared" si="4"/>
        <v>0</v>
      </c>
      <c r="K49" s="107"/>
      <c r="L49" s="19"/>
      <c r="M49" s="171"/>
      <c r="N49" s="99"/>
      <c r="O49" s="48"/>
    </row>
    <row r="50" spans="2:15" ht="15.5" hidden="1" x14ac:dyDescent="0.35">
      <c r="D50" s="88" t="s">
        <v>518</v>
      </c>
      <c r="E50" s="88"/>
      <c r="F50" s="88"/>
      <c r="G50" s="20">
        <f>SUM(G42:G49)</f>
        <v>0</v>
      </c>
      <c r="H50" s="20">
        <f>SUM(H42:H49)</f>
        <v>0</v>
      </c>
      <c r="I50" s="20">
        <f>SUM(I42:I49)</f>
        <v>0</v>
      </c>
      <c r="J50" s="20">
        <f>SUM(J42:J49)</f>
        <v>0</v>
      </c>
      <c r="K50" s="20">
        <f>(K42*J42)+(K43*J43)+(K44*J44)+(K45*J45)+(K46*J46)+(K47*J47)+(K48*J48)+(K49*J49)</f>
        <v>0</v>
      </c>
      <c r="L50" s="20">
        <f>SUM(L42:L49)</f>
        <v>0</v>
      </c>
      <c r="M50" s="172"/>
      <c r="N50" s="99"/>
      <c r="O50" s="49"/>
    </row>
    <row r="51" spans="2:15" ht="15.5" x14ac:dyDescent="0.35">
      <c r="B51" s="10"/>
      <c r="C51" s="10"/>
      <c r="D51" s="11"/>
      <c r="E51" s="11"/>
      <c r="F51" s="11"/>
      <c r="G51" s="9"/>
      <c r="H51" s="173"/>
      <c r="I51" s="9"/>
      <c r="J51" s="9"/>
      <c r="K51" s="9"/>
      <c r="L51" s="9"/>
      <c r="M51" s="173"/>
      <c r="N51" s="9"/>
      <c r="O51" s="48"/>
    </row>
    <row r="52" spans="2:15" ht="15.5" x14ac:dyDescent="0.35">
      <c r="B52" s="228" t="s">
        <v>405</v>
      </c>
      <c r="C52" s="228"/>
      <c r="D52" s="336" t="s">
        <v>597</v>
      </c>
      <c r="E52" s="336"/>
      <c r="F52" s="336"/>
      <c r="G52" s="336"/>
      <c r="H52" s="336"/>
      <c r="I52" s="336"/>
      <c r="J52" s="336"/>
      <c r="K52" s="336"/>
      <c r="L52" s="337"/>
      <c r="M52" s="337"/>
      <c r="N52" s="336"/>
      <c r="O52" s="17"/>
    </row>
    <row r="53" spans="2:15" ht="15.5" x14ac:dyDescent="0.35">
      <c r="B53" s="229" t="s">
        <v>406</v>
      </c>
      <c r="C53" s="229"/>
      <c r="D53" s="336" t="s">
        <v>596</v>
      </c>
      <c r="E53" s="336"/>
      <c r="F53" s="336"/>
      <c r="G53" s="336"/>
      <c r="H53" s="336"/>
      <c r="I53" s="336"/>
      <c r="J53" s="336"/>
      <c r="K53" s="336"/>
      <c r="L53" s="337"/>
      <c r="M53" s="337"/>
      <c r="N53" s="336"/>
      <c r="O53" s="47"/>
    </row>
    <row r="54" spans="2:15" ht="109.15" customHeight="1" x14ac:dyDescent="0.35">
      <c r="B54" s="311" t="s">
        <v>407</v>
      </c>
      <c r="C54" s="291" t="s">
        <v>654</v>
      </c>
      <c r="D54" s="275" t="s">
        <v>715</v>
      </c>
      <c r="E54" s="275" t="s">
        <v>717</v>
      </c>
      <c r="F54" s="275" t="s">
        <v>718</v>
      </c>
      <c r="G54" s="239">
        <f>75000-20000</f>
        <v>55000</v>
      </c>
      <c r="H54" s="239">
        <v>20000</v>
      </c>
      <c r="I54" s="239">
        <v>80000</v>
      </c>
      <c r="J54" s="279">
        <f>SUM(G54:I54)</f>
        <v>155000</v>
      </c>
      <c r="K54" s="107">
        <v>0.2</v>
      </c>
      <c r="L54" s="239">
        <f>10000+104140.99+25000</f>
        <v>139140.99</v>
      </c>
      <c r="M54" s="236" t="s">
        <v>719</v>
      </c>
      <c r="N54" s="293" t="s">
        <v>787</v>
      </c>
      <c r="O54" s="48"/>
    </row>
    <row r="55" spans="2:15" ht="201.5" x14ac:dyDescent="0.35">
      <c r="B55" s="312" t="s">
        <v>408</v>
      </c>
      <c r="C55" s="291" t="s">
        <v>655</v>
      </c>
      <c r="D55" s="287" t="s">
        <v>821</v>
      </c>
      <c r="E55" s="287" t="s">
        <v>721</v>
      </c>
      <c r="F55" s="287" t="s">
        <v>722</v>
      </c>
      <c r="G55" s="233">
        <v>24570</v>
      </c>
      <c r="H55" s="232">
        <v>26808</v>
      </c>
      <c r="I55" s="233"/>
      <c r="J55" s="234">
        <f t="shared" ref="J55:J65" si="5">SUM(G55:I55)</f>
        <v>51378</v>
      </c>
      <c r="K55" s="106">
        <v>0.65</v>
      </c>
      <c r="L55" s="233">
        <f>12000+20000</f>
        <v>32000</v>
      </c>
      <c r="M55" s="236" t="s">
        <v>720</v>
      </c>
      <c r="N55" s="293" t="s">
        <v>788</v>
      </c>
      <c r="O55" s="48"/>
    </row>
    <row r="56" spans="2:15" ht="93" x14ac:dyDescent="0.35">
      <c r="B56" s="311" t="s">
        <v>409</v>
      </c>
      <c r="C56" s="291" t="s">
        <v>656</v>
      </c>
      <c r="D56" s="276" t="s">
        <v>789</v>
      </c>
      <c r="E56" s="276" t="s">
        <v>723</v>
      </c>
      <c r="F56" s="276" t="s">
        <v>724</v>
      </c>
      <c r="G56" s="233">
        <v>16380</v>
      </c>
      <c r="H56" s="232">
        <v>76044</v>
      </c>
      <c r="I56" s="233"/>
      <c r="J56" s="234">
        <f>SUM(G56:I56)</f>
        <v>92424</v>
      </c>
      <c r="K56" s="106">
        <v>0.4</v>
      </c>
      <c r="L56" s="233">
        <f>16000+15000</f>
        <v>31000</v>
      </c>
      <c r="M56" s="236" t="s">
        <v>725</v>
      </c>
      <c r="N56" s="288" t="s">
        <v>790</v>
      </c>
      <c r="O56" s="48"/>
    </row>
    <row r="57" spans="2:15" ht="112" customHeight="1" x14ac:dyDescent="0.35">
      <c r="B57" s="311" t="s">
        <v>410</v>
      </c>
      <c r="C57" s="291" t="s">
        <v>622</v>
      </c>
      <c r="D57" s="275" t="s">
        <v>822</v>
      </c>
      <c r="E57" s="275" t="s">
        <v>726</v>
      </c>
      <c r="F57" s="275" t="s">
        <v>727</v>
      </c>
      <c r="G57" s="239"/>
      <c r="H57" s="239">
        <v>16000</v>
      </c>
      <c r="I57" s="239"/>
      <c r="J57" s="279">
        <f t="shared" si="5"/>
        <v>16000</v>
      </c>
      <c r="K57" s="107">
        <v>0.3</v>
      </c>
      <c r="L57" s="239">
        <v>7000</v>
      </c>
      <c r="M57" s="280" t="s">
        <v>627</v>
      </c>
      <c r="N57" s="288" t="s">
        <v>728</v>
      </c>
      <c r="O57" s="48"/>
    </row>
    <row r="58" spans="2:15" ht="93.75" customHeight="1" x14ac:dyDescent="0.35">
      <c r="B58" s="311" t="s">
        <v>411</v>
      </c>
      <c r="C58" s="291" t="s">
        <v>657</v>
      </c>
      <c r="D58" s="238" t="s">
        <v>729</v>
      </c>
      <c r="E58" s="238" t="s">
        <v>732</v>
      </c>
      <c r="F58" s="238" t="s">
        <v>733</v>
      </c>
      <c r="G58" s="239">
        <v>24570</v>
      </c>
      <c r="H58" s="239"/>
      <c r="I58" s="239"/>
      <c r="J58" s="279">
        <f t="shared" si="5"/>
        <v>24570</v>
      </c>
      <c r="K58" s="107">
        <v>0.4</v>
      </c>
      <c r="L58" s="239">
        <v>24570</v>
      </c>
      <c r="M58" s="280" t="s">
        <v>734</v>
      </c>
      <c r="N58" s="288" t="s">
        <v>730</v>
      </c>
      <c r="O58" s="48"/>
    </row>
    <row r="59" spans="2:15" ht="78.650000000000006" customHeight="1" x14ac:dyDescent="0.35">
      <c r="B59" s="311" t="s">
        <v>412</v>
      </c>
      <c r="C59" s="291" t="s">
        <v>658</v>
      </c>
      <c r="D59" s="238" t="s">
        <v>791</v>
      </c>
      <c r="E59" s="238" t="s">
        <v>732</v>
      </c>
      <c r="F59" s="238" t="s">
        <v>735</v>
      </c>
      <c r="G59" s="239">
        <v>32760</v>
      </c>
      <c r="H59" s="239"/>
      <c r="I59" s="239"/>
      <c r="J59" s="279">
        <f t="shared" si="5"/>
        <v>32760</v>
      </c>
      <c r="K59" s="107">
        <v>0.35</v>
      </c>
      <c r="L59" s="239"/>
      <c r="M59" s="280" t="s">
        <v>634</v>
      </c>
      <c r="N59" s="294" t="s">
        <v>731</v>
      </c>
      <c r="O59" s="48"/>
    </row>
    <row r="60" spans="2:15" s="38" customFormat="1" ht="15.5" hidden="1" x14ac:dyDescent="0.35">
      <c r="B60" s="230" t="s">
        <v>413</v>
      </c>
      <c r="C60" s="230"/>
      <c r="D60" s="231"/>
      <c r="E60" s="231"/>
      <c r="F60" s="231"/>
      <c r="G60" s="239"/>
      <c r="H60" s="232"/>
      <c r="I60" s="239"/>
      <c r="J60" s="234">
        <f t="shared" si="5"/>
        <v>0</v>
      </c>
      <c r="K60" s="242"/>
      <c r="L60" s="239"/>
      <c r="M60" s="232"/>
      <c r="N60" s="241"/>
      <c r="O60" s="48"/>
    </row>
    <row r="61" spans="2:15" s="38" customFormat="1" ht="46.5" hidden="1" x14ac:dyDescent="0.35">
      <c r="B61" s="230" t="s">
        <v>598</v>
      </c>
      <c r="C61" s="230"/>
      <c r="D61" s="243" t="s">
        <v>603</v>
      </c>
      <c r="E61" s="243"/>
      <c r="F61" s="243"/>
      <c r="G61" s="239"/>
      <c r="H61" s="232"/>
      <c r="I61" s="239"/>
      <c r="J61" s="244">
        <f t="shared" si="5"/>
        <v>0</v>
      </c>
      <c r="K61" s="242"/>
      <c r="L61" s="239"/>
      <c r="M61" s="232"/>
      <c r="N61" s="241"/>
      <c r="O61" s="48"/>
    </row>
    <row r="62" spans="2:15" s="38" customFormat="1" ht="62" hidden="1" x14ac:dyDescent="0.35">
      <c r="B62" s="230" t="s">
        <v>599</v>
      </c>
      <c r="C62" s="230"/>
      <c r="D62" s="243" t="s">
        <v>604</v>
      </c>
      <c r="E62" s="243"/>
      <c r="F62" s="243"/>
      <c r="G62" s="239"/>
      <c r="H62" s="232"/>
      <c r="I62" s="239"/>
      <c r="J62" s="244">
        <f t="shared" si="5"/>
        <v>0</v>
      </c>
      <c r="K62" s="242"/>
      <c r="L62" s="239"/>
      <c r="M62" s="232"/>
      <c r="N62" s="241"/>
      <c r="O62" s="48"/>
    </row>
    <row r="63" spans="2:15" s="38" customFormat="1" ht="46.5" hidden="1" x14ac:dyDescent="0.35">
      <c r="B63" s="230" t="s">
        <v>600</v>
      </c>
      <c r="C63" s="230"/>
      <c r="D63" s="243" t="s">
        <v>605</v>
      </c>
      <c r="E63" s="243"/>
      <c r="F63" s="243"/>
      <c r="G63" s="239"/>
      <c r="H63" s="232"/>
      <c r="I63" s="239"/>
      <c r="J63" s="244">
        <f t="shared" si="5"/>
        <v>0</v>
      </c>
      <c r="K63" s="242"/>
      <c r="L63" s="239"/>
      <c r="M63" s="232"/>
      <c r="N63" s="241"/>
      <c r="O63" s="48"/>
    </row>
    <row r="64" spans="2:15" s="38" customFormat="1" ht="46.5" hidden="1" x14ac:dyDescent="0.35">
      <c r="B64" s="230" t="s">
        <v>601</v>
      </c>
      <c r="C64" s="230"/>
      <c r="D64" s="243" t="s">
        <v>606</v>
      </c>
      <c r="E64" s="243"/>
      <c r="F64" s="243"/>
      <c r="G64" s="239"/>
      <c r="H64" s="232"/>
      <c r="I64" s="239"/>
      <c r="J64" s="244">
        <f t="shared" si="5"/>
        <v>0</v>
      </c>
      <c r="K64" s="242"/>
      <c r="L64" s="239"/>
      <c r="M64" s="232"/>
      <c r="N64" s="241"/>
      <c r="O64" s="48"/>
    </row>
    <row r="65" spans="1:15" s="38" customFormat="1" ht="52.15" hidden="1" customHeight="1" x14ac:dyDescent="0.35">
      <c r="B65" s="230" t="s">
        <v>602</v>
      </c>
      <c r="C65" s="230"/>
      <c r="D65" s="243" t="s">
        <v>607</v>
      </c>
      <c r="E65" s="243"/>
      <c r="F65" s="243"/>
      <c r="G65" s="239"/>
      <c r="H65" s="232"/>
      <c r="I65" s="239"/>
      <c r="J65" s="244">
        <f t="shared" si="5"/>
        <v>0</v>
      </c>
      <c r="K65" s="242"/>
      <c r="L65" s="239"/>
      <c r="M65" s="232"/>
      <c r="N65" s="241"/>
      <c r="O65" s="48"/>
    </row>
    <row r="66" spans="1:15" s="38" customFormat="1" ht="15.5" x14ac:dyDescent="0.35">
      <c r="A66" s="37"/>
      <c r="B66" s="245"/>
      <c r="C66" s="245"/>
      <c r="D66" s="228" t="s">
        <v>518</v>
      </c>
      <c r="E66" s="228"/>
      <c r="F66" s="228"/>
      <c r="G66" s="20">
        <f>SUM(G54:G65)</f>
        <v>153280</v>
      </c>
      <c r="H66" s="246">
        <f>SUM(H54:H65)</f>
        <v>138852</v>
      </c>
      <c r="I66" s="246">
        <f>SUM(I54:I65)</f>
        <v>80000</v>
      </c>
      <c r="J66" s="246">
        <f>SUM(J54:J65)</f>
        <v>372132</v>
      </c>
      <c r="K66" s="246">
        <f>J54*K54+J55*K55+J56*K56+J57*K57+J58*K58+J59*K59+J60*K60+J61*K61+J62*K62+J63*K63+J64*K64+J65*K65</f>
        <v>127459.3</v>
      </c>
      <c r="L66" s="246">
        <f>SUM(L54:L65)</f>
        <v>233710.99</v>
      </c>
      <c r="M66" s="247"/>
      <c r="N66" s="241"/>
      <c r="O66" s="49"/>
    </row>
    <row r="67" spans="1:15" ht="15.5" x14ac:dyDescent="0.35">
      <c r="B67" s="229" t="s">
        <v>414</v>
      </c>
      <c r="C67" s="229"/>
      <c r="D67" s="336" t="s">
        <v>608</v>
      </c>
      <c r="E67" s="336"/>
      <c r="F67" s="336"/>
      <c r="G67" s="336"/>
      <c r="H67" s="336"/>
      <c r="I67" s="336"/>
      <c r="J67" s="336"/>
      <c r="K67" s="336"/>
      <c r="L67" s="337"/>
      <c r="M67" s="337"/>
      <c r="N67" s="336"/>
      <c r="O67" s="47"/>
    </row>
    <row r="68" spans="1:15" ht="155" x14ac:dyDescent="0.35">
      <c r="B68" s="313" t="s">
        <v>415</v>
      </c>
      <c r="C68" s="291" t="s">
        <v>659</v>
      </c>
      <c r="D68" s="276" t="s">
        <v>792</v>
      </c>
      <c r="E68" s="276" t="s">
        <v>736</v>
      </c>
      <c r="F68" s="276" t="s">
        <v>738</v>
      </c>
      <c r="G68" s="233">
        <v>25000</v>
      </c>
      <c r="H68" s="232"/>
      <c r="I68" s="233"/>
      <c r="J68" s="234">
        <f>SUM(G68:I68)</f>
        <v>25000</v>
      </c>
      <c r="K68" s="106">
        <v>0.3</v>
      </c>
      <c r="L68" s="233">
        <v>10000</v>
      </c>
      <c r="M68" s="236" t="s">
        <v>737</v>
      </c>
      <c r="N68" s="293" t="s">
        <v>793</v>
      </c>
      <c r="O68" s="48"/>
    </row>
    <row r="69" spans="1:15" ht="186" x14ac:dyDescent="0.35">
      <c r="B69" s="311" t="s">
        <v>416</v>
      </c>
      <c r="C69" s="291" t="s">
        <v>660</v>
      </c>
      <c r="D69" s="275" t="s">
        <v>739</v>
      </c>
      <c r="E69" s="275" t="s">
        <v>740</v>
      </c>
      <c r="F69" s="275" t="s">
        <v>741</v>
      </c>
      <c r="G69" s="239"/>
      <c r="H69" s="239"/>
      <c r="I69" s="239">
        <v>120000</v>
      </c>
      <c r="J69" s="279">
        <f t="shared" ref="J69:J75" si="6">SUM(G69:I69)</f>
        <v>120000</v>
      </c>
      <c r="K69" s="107">
        <v>0.3</v>
      </c>
      <c r="L69" s="239"/>
      <c r="M69" s="236" t="s">
        <v>742</v>
      </c>
      <c r="N69" s="293" t="s">
        <v>794</v>
      </c>
      <c r="O69" s="48"/>
    </row>
    <row r="70" spans="1:15" ht="232.5" x14ac:dyDescent="0.35">
      <c r="B70" s="311" t="s">
        <v>417</v>
      </c>
      <c r="C70" s="291" t="s">
        <v>661</v>
      </c>
      <c r="D70" s="274" t="s">
        <v>795</v>
      </c>
      <c r="E70" s="274" t="s">
        <v>743</v>
      </c>
      <c r="F70" s="274" t="s">
        <v>744</v>
      </c>
      <c r="G70" s="239"/>
      <c r="H70" s="239"/>
      <c r="I70" s="239">
        <v>60000</v>
      </c>
      <c r="J70" s="279">
        <f t="shared" si="6"/>
        <v>60000</v>
      </c>
      <c r="K70" s="107">
        <v>0.5</v>
      </c>
      <c r="L70" s="239"/>
      <c r="M70" s="280" t="s">
        <v>745</v>
      </c>
      <c r="N70" s="293" t="s">
        <v>746</v>
      </c>
      <c r="O70" s="48"/>
    </row>
    <row r="71" spans="1:15" ht="186" x14ac:dyDescent="0.35">
      <c r="B71" s="312" t="s">
        <v>418</v>
      </c>
      <c r="C71" s="291" t="s">
        <v>619</v>
      </c>
      <c r="D71" s="274" t="s">
        <v>823</v>
      </c>
      <c r="E71" s="238" t="s">
        <v>747</v>
      </c>
      <c r="F71" s="238" t="s">
        <v>748</v>
      </c>
      <c r="G71" s="239"/>
      <c r="H71" s="239"/>
      <c r="I71" s="239">
        <v>124000</v>
      </c>
      <c r="J71" s="279">
        <f t="shared" si="6"/>
        <v>124000</v>
      </c>
      <c r="K71" s="107">
        <v>0.5</v>
      </c>
      <c r="L71" s="233"/>
      <c r="M71" s="236" t="s">
        <v>641</v>
      </c>
      <c r="N71" s="293" t="s">
        <v>796</v>
      </c>
      <c r="O71" s="48"/>
    </row>
    <row r="72" spans="1:15" ht="170.5" customHeight="1" x14ac:dyDescent="0.35">
      <c r="B72" s="312" t="s">
        <v>419</v>
      </c>
      <c r="C72" s="290" t="s">
        <v>620</v>
      </c>
      <c r="D72" s="274" t="s">
        <v>749</v>
      </c>
      <c r="E72" s="274" t="s">
        <v>674</v>
      </c>
      <c r="F72" s="274" t="s">
        <v>750</v>
      </c>
      <c r="G72" s="239"/>
      <c r="H72" s="239"/>
      <c r="I72" s="278">
        <v>104400</v>
      </c>
      <c r="J72" s="279">
        <f t="shared" si="6"/>
        <v>104400</v>
      </c>
      <c r="K72" s="107">
        <v>0.5</v>
      </c>
      <c r="L72" s="233"/>
      <c r="M72" s="236" t="s">
        <v>642</v>
      </c>
      <c r="N72" s="293" t="s">
        <v>797</v>
      </c>
      <c r="O72" s="48"/>
    </row>
    <row r="73" spans="1:15" ht="201.5" x14ac:dyDescent="0.35">
      <c r="B73" s="312" t="s">
        <v>420</v>
      </c>
      <c r="C73" s="292" t="s">
        <v>618</v>
      </c>
      <c r="D73" s="273" t="s">
        <v>824</v>
      </c>
      <c r="E73" s="273" t="s">
        <v>751</v>
      </c>
      <c r="F73" s="273" t="s">
        <v>752</v>
      </c>
      <c r="G73" s="233"/>
      <c r="H73" s="232">
        <v>90995</v>
      </c>
      <c r="I73" s="233"/>
      <c r="J73" s="234">
        <f t="shared" si="6"/>
        <v>90995</v>
      </c>
      <c r="K73" s="106">
        <v>0.5</v>
      </c>
      <c r="L73" s="233">
        <f>38687+3594</f>
        <v>42281</v>
      </c>
      <c r="M73" s="236" t="s">
        <v>635</v>
      </c>
      <c r="N73" s="293" t="s">
        <v>798</v>
      </c>
      <c r="O73" s="48"/>
    </row>
    <row r="74" spans="1:15" ht="248" x14ac:dyDescent="0.35">
      <c r="B74" s="311" t="s">
        <v>421</v>
      </c>
      <c r="C74" s="289" t="s">
        <v>624</v>
      </c>
      <c r="D74" s="275" t="s">
        <v>671</v>
      </c>
      <c r="E74" s="273" t="s">
        <v>751</v>
      </c>
      <c r="F74" s="273" t="s">
        <v>752</v>
      </c>
      <c r="G74" s="239"/>
      <c r="H74" s="239">
        <f>66599+0.218878504587337</f>
        <v>66599.218878504587</v>
      </c>
      <c r="I74" s="239"/>
      <c r="J74" s="279">
        <f t="shared" si="6"/>
        <v>66599.218878504587</v>
      </c>
      <c r="K74" s="107">
        <v>0.5</v>
      </c>
      <c r="L74" s="277">
        <f>39506-244+21</f>
        <v>39283</v>
      </c>
      <c r="M74" s="236" t="s">
        <v>636</v>
      </c>
      <c r="N74" s="294" t="s">
        <v>799</v>
      </c>
      <c r="O74" s="48"/>
    </row>
    <row r="75" spans="1:15" ht="201.5" x14ac:dyDescent="0.35">
      <c r="B75" s="311" t="s">
        <v>422</v>
      </c>
      <c r="C75" s="289" t="s">
        <v>609</v>
      </c>
      <c r="D75" s="238" t="s">
        <v>801</v>
      </c>
      <c r="E75" s="273" t="s">
        <v>751</v>
      </c>
      <c r="F75" s="273" t="s">
        <v>752</v>
      </c>
      <c r="G75" s="239"/>
      <c r="H75" s="232">
        <v>5213</v>
      </c>
      <c r="I75" s="239"/>
      <c r="J75" s="234">
        <f t="shared" si="6"/>
        <v>5213</v>
      </c>
      <c r="K75" s="107">
        <v>0.3</v>
      </c>
      <c r="L75" s="239"/>
      <c r="M75" s="236" t="s">
        <v>637</v>
      </c>
      <c r="N75" s="294" t="s">
        <v>800</v>
      </c>
      <c r="O75" s="48"/>
    </row>
    <row r="76" spans="1:15" ht="15.5" x14ac:dyDescent="0.35">
      <c r="B76" s="245"/>
      <c r="C76" s="245"/>
      <c r="D76" s="228" t="s">
        <v>518</v>
      </c>
      <c r="E76" s="228"/>
      <c r="F76" s="228"/>
      <c r="G76" s="20">
        <f>SUM(G68:G75)</f>
        <v>25000</v>
      </c>
      <c r="H76" s="246">
        <f>SUM(H68:H75)</f>
        <v>162807.21887850459</v>
      </c>
      <c r="I76" s="246">
        <f>SUM(I68:I75)</f>
        <v>408400</v>
      </c>
      <c r="J76" s="246">
        <f>SUM(J68:J75)</f>
        <v>596207.21887850459</v>
      </c>
      <c r="K76" s="246">
        <f>(K68*J68)+(K69*J69)+(K70*J70)+(K71*J71)+(K72*J72)+(K73*J73)+(K74*J74)+(K75*J75)</f>
        <v>268061.00943925232</v>
      </c>
      <c r="L76" s="246">
        <f>SUM(L68:L75)</f>
        <v>91564</v>
      </c>
      <c r="M76" s="247"/>
      <c r="N76" s="241"/>
      <c r="O76" s="49"/>
    </row>
    <row r="77" spans="1:15" ht="51" hidden="1" customHeight="1" x14ac:dyDescent="0.35">
      <c r="B77" s="229" t="s">
        <v>423</v>
      </c>
      <c r="C77" s="229"/>
      <c r="D77" s="338"/>
      <c r="E77" s="338"/>
      <c r="F77" s="338"/>
      <c r="G77" s="338"/>
      <c r="H77" s="338"/>
      <c r="I77" s="338"/>
      <c r="J77" s="338"/>
      <c r="K77" s="338"/>
      <c r="L77" s="339"/>
      <c r="M77" s="339"/>
      <c r="N77" s="338"/>
      <c r="O77" s="47"/>
    </row>
    <row r="78" spans="1:15" ht="15.5" hidden="1" x14ac:dyDescent="0.35">
      <c r="B78" s="230" t="s">
        <v>424</v>
      </c>
      <c r="C78" s="230"/>
      <c r="D78" s="248"/>
      <c r="E78" s="248"/>
      <c r="F78" s="248"/>
      <c r="G78" s="233"/>
      <c r="H78" s="232"/>
      <c r="I78" s="233"/>
      <c r="J78" s="234">
        <f>SUM(G78:I78)</f>
        <v>0</v>
      </c>
      <c r="K78" s="235"/>
      <c r="L78" s="233"/>
      <c r="M78" s="232"/>
      <c r="N78" s="237"/>
      <c r="O78" s="48"/>
    </row>
    <row r="79" spans="1:15" ht="15.5" hidden="1" x14ac:dyDescent="0.35">
      <c r="B79" s="230" t="s">
        <v>425</v>
      </c>
      <c r="C79" s="230"/>
      <c r="D79" s="248"/>
      <c r="E79" s="248"/>
      <c r="F79" s="248"/>
      <c r="G79" s="233"/>
      <c r="H79" s="232"/>
      <c r="I79" s="233"/>
      <c r="J79" s="234">
        <f t="shared" ref="J79:J85" si="7">SUM(G79:I79)</f>
        <v>0</v>
      </c>
      <c r="K79" s="235"/>
      <c r="L79" s="233"/>
      <c r="M79" s="232"/>
      <c r="N79" s="237"/>
      <c r="O79" s="48"/>
    </row>
    <row r="80" spans="1:15" ht="15.5" hidden="1" x14ac:dyDescent="0.35">
      <c r="B80" s="230" t="s">
        <v>426</v>
      </c>
      <c r="C80" s="230"/>
      <c r="D80" s="248"/>
      <c r="E80" s="248"/>
      <c r="F80" s="248"/>
      <c r="G80" s="233"/>
      <c r="H80" s="232"/>
      <c r="I80" s="233"/>
      <c r="J80" s="234">
        <f t="shared" si="7"/>
        <v>0</v>
      </c>
      <c r="K80" s="235"/>
      <c r="L80" s="233"/>
      <c r="M80" s="232"/>
      <c r="N80" s="237"/>
      <c r="O80" s="48"/>
    </row>
    <row r="81" spans="1:15" ht="15.5" hidden="1" x14ac:dyDescent="0.35">
      <c r="A81" s="38"/>
      <c r="B81" s="230" t="s">
        <v>427</v>
      </c>
      <c r="C81" s="230"/>
      <c r="D81" s="248"/>
      <c r="E81" s="248"/>
      <c r="F81" s="248"/>
      <c r="G81" s="233"/>
      <c r="H81" s="232"/>
      <c r="I81" s="233"/>
      <c r="J81" s="234">
        <f t="shared" si="7"/>
        <v>0</v>
      </c>
      <c r="K81" s="235"/>
      <c r="L81" s="233"/>
      <c r="M81" s="232"/>
      <c r="N81" s="237"/>
      <c r="O81" s="48"/>
    </row>
    <row r="82" spans="1:15" s="38" customFormat="1" ht="15.5" hidden="1" x14ac:dyDescent="0.35">
      <c r="A82" s="37"/>
      <c r="B82" s="230" t="s">
        <v>428</v>
      </c>
      <c r="C82" s="230"/>
      <c r="D82" s="248"/>
      <c r="E82" s="248"/>
      <c r="F82" s="248"/>
      <c r="G82" s="233"/>
      <c r="H82" s="232"/>
      <c r="I82" s="233"/>
      <c r="J82" s="234">
        <f t="shared" si="7"/>
        <v>0</v>
      </c>
      <c r="K82" s="235"/>
      <c r="L82" s="233"/>
      <c r="M82" s="232"/>
      <c r="N82" s="237"/>
      <c r="O82" s="48"/>
    </row>
    <row r="83" spans="1:15" ht="15.5" hidden="1" x14ac:dyDescent="0.35">
      <c r="B83" s="230" t="s">
        <v>429</v>
      </c>
      <c r="C83" s="230"/>
      <c r="D83" s="248"/>
      <c r="E83" s="248"/>
      <c r="F83" s="248"/>
      <c r="G83" s="233"/>
      <c r="H83" s="232"/>
      <c r="I83" s="233"/>
      <c r="J83" s="234">
        <f t="shared" si="7"/>
        <v>0</v>
      </c>
      <c r="K83" s="235"/>
      <c r="L83" s="233"/>
      <c r="M83" s="232"/>
      <c r="N83" s="237"/>
      <c r="O83" s="48"/>
    </row>
    <row r="84" spans="1:15" ht="15.5" hidden="1" x14ac:dyDescent="0.35">
      <c r="B84" s="230" t="s">
        <v>430</v>
      </c>
      <c r="C84" s="230"/>
      <c r="D84" s="249"/>
      <c r="E84" s="249"/>
      <c r="F84" s="249"/>
      <c r="G84" s="239"/>
      <c r="H84" s="232"/>
      <c r="I84" s="239"/>
      <c r="J84" s="234">
        <f t="shared" si="7"/>
        <v>0</v>
      </c>
      <c r="K84" s="240"/>
      <c r="L84" s="239"/>
      <c r="M84" s="232"/>
      <c r="N84" s="241"/>
      <c r="O84" s="48"/>
    </row>
    <row r="85" spans="1:15" ht="15.5" hidden="1" x14ac:dyDescent="0.35">
      <c r="B85" s="230" t="s">
        <v>431</v>
      </c>
      <c r="C85" s="230"/>
      <c r="D85" s="249"/>
      <c r="E85" s="249"/>
      <c r="F85" s="249"/>
      <c r="G85" s="239"/>
      <c r="H85" s="232"/>
      <c r="I85" s="239"/>
      <c r="J85" s="234">
        <f t="shared" si="7"/>
        <v>0</v>
      </c>
      <c r="K85" s="240"/>
      <c r="L85" s="239"/>
      <c r="M85" s="232"/>
      <c r="N85" s="241"/>
      <c r="O85" s="48"/>
    </row>
    <row r="86" spans="1:15" ht="15.5" hidden="1" x14ac:dyDescent="0.35">
      <c r="B86" s="245"/>
      <c r="C86" s="245"/>
      <c r="D86" s="228" t="s">
        <v>518</v>
      </c>
      <c r="E86" s="296"/>
      <c r="F86" s="296"/>
      <c r="G86" s="250">
        <f>SUM(G78:G85)</f>
        <v>0</v>
      </c>
      <c r="H86" s="250">
        <f>SUM(H78:H85)</f>
        <v>0</v>
      </c>
      <c r="I86" s="250">
        <f>SUM(I78:I85)</f>
        <v>0</v>
      </c>
      <c r="J86" s="250">
        <f>SUM(J78:J85)</f>
        <v>0</v>
      </c>
      <c r="K86" s="246">
        <f>(K78*J78)+(K79*J79)+(K80*J80)+(K81*J81)+(K82*J82)+(K83*J83)+(K84*J84)+(K85*J85)</f>
        <v>0</v>
      </c>
      <c r="L86" s="246">
        <f>SUM(L78:L85)</f>
        <v>0</v>
      </c>
      <c r="M86" s="247"/>
      <c r="N86" s="241"/>
      <c r="O86" s="49"/>
    </row>
    <row r="87" spans="1:15" ht="51" hidden="1" customHeight="1" x14ac:dyDescent="0.35">
      <c r="B87" s="229" t="s">
        <v>432</v>
      </c>
      <c r="C87" s="229"/>
      <c r="D87" s="338"/>
      <c r="E87" s="338"/>
      <c r="F87" s="338"/>
      <c r="G87" s="338"/>
      <c r="H87" s="338"/>
      <c r="I87" s="338"/>
      <c r="J87" s="338"/>
      <c r="K87" s="338"/>
      <c r="L87" s="339"/>
      <c r="M87" s="339"/>
      <c r="N87" s="338"/>
      <c r="O87" s="47"/>
    </row>
    <row r="88" spans="1:15" ht="15.5" hidden="1" x14ac:dyDescent="0.35">
      <c r="B88" s="230" t="s">
        <v>433</v>
      </c>
      <c r="C88" s="230"/>
      <c r="D88" s="248"/>
      <c r="E88" s="248"/>
      <c r="F88" s="248"/>
      <c r="G88" s="233"/>
      <c r="H88" s="232"/>
      <c r="I88" s="233"/>
      <c r="J88" s="234">
        <f>SUM(G88:I88)</f>
        <v>0</v>
      </c>
      <c r="K88" s="235"/>
      <c r="L88" s="233"/>
      <c r="M88" s="232"/>
      <c r="N88" s="237"/>
      <c r="O88" s="48"/>
    </row>
    <row r="89" spans="1:15" ht="15.5" hidden="1" x14ac:dyDescent="0.35">
      <c r="B89" s="230" t="s">
        <v>434</v>
      </c>
      <c r="C89" s="230"/>
      <c r="D89" s="248"/>
      <c r="E89" s="248"/>
      <c r="F89" s="248"/>
      <c r="G89" s="233"/>
      <c r="H89" s="232"/>
      <c r="I89" s="233"/>
      <c r="J89" s="234">
        <f t="shared" ref="J89:J95" si="8">SUM(G89:I89)</f>
        <v>0</v>
      </c>
      <c r="K89" s="235"/>
      <c r="L89" s="233"/>
      <c r="M89" s="232"/>
      <c r="N89" s="237"/>
      <c r="O89" s="48"/>
    </row>
    <row r="90" spans="1:15" ht="15.5" hidden="1" x14ac:dyDescent="0.35">
      <c r="B90" s="230" t="s">
        <v>435</v>
      </c>
      <c r="C90" s="230"/>
      <c r="D90" s="248"/>
      <c r="E90" s="248"/>
      <c r="F90" s="248"/>
      <c r="G90" s="233"/>
      <c r="H90" s="232"/>
      <c r="I90" s="233"/>
      <c r="J90" s="234">
        <f t="shared" si="8"/>
        <v>0</v>
      </c>
      <c r="K90" s="235"/>
      <c r="L90" s="233"/>
      <c r="M90" s="232"/>
      <c r="N90" s="237"/>
      <c r="O90" s="48"/>
    </row>
    <row r="91" spans="1:15" ht="15.5" hidden="1" x14ac:dyDescent="0.35">
      <c r="B91" s="230" t="s">
        <v>436</v>
      </c>
      <c r="C91" s="230"/>
      <c r="D91" s="248"/>
      <c r="E91" s="248"/>
      <c r="F91" s="248"/>
      <c r="G91" s="233"/>
      <c r="H91" s="232"/>
      <c r="I91" s="233"/>
      <c r="J91" s="234">
        <f t="shared" si="8"/>
        <v>0</v>
      </c>
      <c r="K91" s="235"/>
      <c r="L91" s="233"/>
      <c r="M91" s="232"/>
      <c r="N91" s="237"/>
      <c r="O91" s="48"/>
    </row>
    <row r="92" spans="1:15" ht="15.5" hidden="1" x14ac:dyDescent="0.35">
      <c r="B92" s="230" t="s">
        <v>437</v>
      </c>
      <c r="C92" s="230"/>
      <c r="D92" s="248"/>
      <c r="E92" s="248"/>
      <c r="F92" s="248"/>
      <c r="G92" s="233"/>
      <c r="H92" s="232"/>
      <c r="I92" s="233"/>
      <c r="J92" s="234">
        <f t="shared" si="8"/>
        <v>0</v>
      </c>
      <c r="K92" s="235"/>
      <c r="L92" s="233"/>
      <c r="M92" s="232"/>
      <c r="N92" s="237"/>
      <c r="O92" s="48"/>
    </row>
    <row r="93" spans="1:15" ht="15.5" hidden="1" x14ac:dyDescent="0.35">
      <c r="B93" s="230" t="s">
        <v>438</v>
      </c>
      <c r="C93" s="230"/>
      <c r="D93" s="248"/>
      <c r="E93" s="248"/>
      <c r="F93" s="248"/>
      <c r="G93" s="233"/>
      <c r="H93" s="232"/>
      <c r="I93" s="233"/>
      <c r="J93" s="234">
        <f t="shared" si="8"/>
        <v>0</v>
      </c>
      <c r="K93" s="235"/>
      <c r="L93" s="233"/>
      <c r="M93" s="232"/>
      <c r="N93" s="237"/>
      <c r="O93" s="48"/>
    </row>
    <row r="94" spans="1:15" ht="15.5" hidden="1" x14ac:dyDescent="0.35">
      <c r="B94" s="230" t="s">
        <v>439</v>
      </c>
      <c r="C94" s="230"/>
      <c r="D94" s="249"/>
      <c r="E94" s="249"/>
      <c r="F94" s="249"/>
      <c r="G94" s="239"/>
      <c r="H94" s="232"/>
      <c r="I94" s="239"/>
      <c r="J94" s="234">
        <f t="shared" si="8"/>
        <v>0</v>
      </c>
      <c r="K94" s="240"/>
      <c r="L94" s="239"/>
      <c r="M94" s="232"/>
      <c r="N94" s="241"/>
      <c r="O94" s="48"/>
    </row>
    <row r="95" spans="1:15" ht="15.5" hidden="1" x14ac:dyDescent="0.35">
      <c r="B95" s="230" t="s">
        <v>440</v>
      </c>
      <c r="C95" s="230"/>
      <c r="D95" s="249"/>
      <c r="E95" s="249"/>
      <c r="F95" s="249"/>
      <c r="G95" s="239"/>
      <c r="H95" s="232"/>
      <c r="I95" s="239"/>
      <c r="J95" s="234">
        <f t="shared" si="8"/>
        <v>0</v>
      </c>
      <c r="K95" s="240"/>
      <c r="L95" s="239"/>
      <c r="M95" s="232"/>
      <c r="N95" s="241"/>
      <c r="O95" s="48"/>
    </row>
    <row r="96" spans="1:15" ht="15.5" hidden="1" x14ac:dyDescent="0.35">
      <c r="B96" s="245"/>
      <c r="C96" s="245"/>
      <c r="D96" s="228" t="s">
        <v>518</v>
      </c>
      <c r="E96" s="228"/>
      <c r="F96" s="228"/>
      <c r="G96" s="246">
        <f>SUM(G88:G95)</f>
        <v>0</v>
      </c>
      <c r="H96" s="246">
        <f>SUM(H88:H95)</f>
        <v>0</v>
      </c>
      <c r="I96" s="246">
        <f>SUM(I88:I95)</f>
        <v>0</v>
      </c>
      <c r="J96" s="246">
        <f>SUM(J88:J95)</f>
        <v>0</v>
      </c>
      <c r="K96" s="246">
        <f>(K88*J88)+(K89*J89)+(K90*J90)+(K91*J91)+(K92*J92)+(K93*J93)+(K94*J94)+(K95*J95)</f>
        <v>0</v>
      </c>
      <c r="L96" s="246">
        <f>SUM(L88:L95)</f>
        <v>0</v>
      </c>
      <c r="M96" s="247"/>
      <c r="N96" s="241"/>
      <c r="O96" s="49"/>
    </row>
    <row r="97" spans="2:15" ht="15.75" customHeight="1" x14ac:dyDescent="0.35">
      <c r="B97" s="6"/>
      <c r="C97" s="6"/>
      <c r="D97" s="10"/>
      <c r="E97" s="10"/>
      <c r="F97" s="10"/>
      <c r="G97" s="25"/>
      <c r="H97" s="139"/>
      <c r="I97" s="25"/>
      <c r="J97" s="25"/>
      <c r="K97" s="25"/>
      <c r="L97" s="25"/>
      <c r="M97" s="139"/>
      <c r="N97" s="10"/>
      <c r="O97" s="3"/>
    </row>
    <row r="98" spans="2:15" ht="24" customHeight="1" x14ac:dyDescent="0.35">
      <c r="B98" s="88" t="s">
        <v>441</v>
      </c>
      <c r="C98" s="88"/>
      <c r="D98" s="332" t="s">
        <v>610</v>
      </c>
      <c r="E98" s="332"/>
      <c r="F98" s="332"/>
      <c r="G98" s="332"/>
      <c r="H98" s="332"/>
      <c r="I98" s="332"/>
      <c r="J98" s="332"/>
      <c r="K98" s="332"/>
      <c r="L98" s="333"/>
      <c r="M98" s="333"/>
      <c r="N98" s="332"/>
      <c r="O98" s="17"/>
    </row>
    <row r="99" spans="2:15" ht="37.9" customHeight="1" x14ac:dyDescent="0.35">
      <c r="B99" s="86" t="s">
        <v>442</v>
      </c>
      <c r="C99" s="86"/>
      <c r="D99" s="340" t="s">
        <v>611</v>
      </c>
      <c r="E99" s="340"/>
      <c r="F99" s="340"/>
      <c r="G99" s="340"/>
      <c r="H99" s="340"/>
      <c r="I99" s="340"/>
      <c r="J99" s="340"/>
      <c r="K99" s="340"/>
      <c r="L99" s="341"/>
      <c r="M99" s="341"/>
      <c r="N99" s="340"/>
      <c r="O99" s="47"/>
    </row>
    <row r="100" spans="2:15" ht="106" customHeight="1" x14ac:dyDescent="0.35">
      <c r="B100" s="309" t="s">
        <v>443</v>
      </c>
      <c r="C100" s="290" t="s">
        <v>662</v>
      </c>
      <c r="D100" s="273" t="s">
        <v>753</v>
      </c>
      <c r="E100" s="273" t="s">
        <v>754</v>
      </c>
      <c r="F100" s="273" t="s">
        <v>756</v>
      </c>
      <c r="G100" s="233"/>
      <c r="H100" s="232"/>
      <c r="I100" s="233">
        <v>158908</v>
      </c>
      <c r="J100" s="234">
        <f>SUM(G100:I100)</f>
        <v>158908</v>
      </c>
      <c r="K100" s="106">
        <v>0.5</v>
      </c>
      <c r="L100" s="18"/>
      <c r="M100" s="224" t="s">
        <v>755</v>
      </c>
      <c r="N100" s="284" t="s">
        <v>802</v>
      </c>
      <c r="O100" s="48"/>
    </row>
    <row r="101" spans="2:15" ht="186" x14ac:dyDescent="0.35">
      <c r="B101" s="308" t="s">
        <v>444</v>
      </c>
      <c r="C101" s="220" t="s">
        <v>663</v>
      </c>
      <c r="D101" s="274" t="s">
        <v>825</v>
      </c>
      <c r="E101" s="274" t="s">
        <v>699</v>
      </c>
      <c r="F101" s="274" t="s">
        <v>757</v>
      </c>
      <c r="G101" s="239"/>
      <c r="H101" s="239"/>
      <c r="I101" s="239">
        <v>32000</v>
      </c>
      <c r="J101" s="279">
        <f t="shared" ref="J101:J106" si="9">SUM(G101:I101)</f>
        <v>32000</v>
      </c>
      <c r="K101" s="106">
        <v>0.8</v>
      </c>
      <c r="L101" s="18"/>
      <c r="M101" s="224" t="s">
        <v>638</v>
      </c>
      <c r="N101" s="284" t="s">
        <v>803</v>
      </c>
      <c r="O101" s="48"/>
    </row>
    <row r="102" spans="2:15" ht="15.5" hidden="1" x14ac:dyDescent="0.35">
      <c r="B102" s="87" t="s">
        <v>445</v>
      </c>
      <c r="C102" s="87"/>
      <c r="D102" s="178"/>
      <c r="E102" s="178"/>
      <c r="F102" s="178"/>
      <c r="G102" s="233"/>
      <c r="H102" s="232"/>
      <c r="I102" s="233"/>
      <c r="J102" s="234">
        <f t="shared" si="9"/>
        <v>0</v>
      </c>
      <c r="K102" s="106"/>
      <c r="L102" s="18"/>
      <c r="M102" s="171"/>
      <c r="N102" s="98"/>
      <c r="O102" s="48"/>
    </row>
    <row r="103" spans="2:15" ht="15.5" hidden="1" x14ac:dyDescent="0.35">
      <c r="B103" s="87" t="s">
        <v>446</v>
      </c>
      <c r="C103" s="87"/>
      <c r="D103" s="178"/>
      <c r="E103" s="178"/>
      <c r="F103" s="178"/>
      <c r="G103" s="233"/>
      <c r="H103" s="232"/>
      <c r="I103" s="233"/>
      <c r="J103" s="234">
        <f t="shared" si="9"/>
        <v>0</v>
      </c>
      <c r="K103" s="106"/>
      <c r="L103" s="18"/>
      <c r="M103" s="171"/>
      <c r="N103" s="98"/>
      <c r="O103" s="48"/>
    </row>
    <row r="104" spans="2:15" ht="15.5" hidden="1" x14ac:dyDescent="0.35">
      <c r="B104" s="87" t="s">
        <v>447</v>
      </c>
      <c r="C104" s="87"/>
      <c r="D104" s="178"/>
      <c r="E104" s="178"/>
      <c r="F104" s="178"/>
      <c r="G104" s="233"/>
      <c r="H104" s="232"/>
      <c r="I104" s="233"/>
      <c r="J104" s="234">
        <f t="shared" si="9"/>
        <v>0</v>
      </c>
      <c r="K104" s="106"/>
      <c r="L104" s="18"/>
      <c r="M104" s="171"/>
      <c r="N104" s="98"/>
      <c r="O104" s="48"/>
    </row>
    <row r="105" spans="2:15" ht="15.5" hidden="1" x14ac:dyDescent="0.35">
      <c r="B105" s="87" t="s">
        <v>448</v>
      </c>
      <c r="C105" s="87"/>
      <c r="D105" s="44"/>
      <c r="E105" s="44"/>
      <c r="F105" s="44"/>
      <c r="G105" s="239"/>
      <c r="H105" s="232"/>
      <c r="I105" s="239"/>
      <c r="J105" s="234">
        <f t="shared" si="9"/>
        <v>0</v>
      </c>
      <c r="K105" s="107"/>
      <c r="L105" s="19"/>
      <c r="M105" s="171"/>
      <c r="N105" s="99"/>
      <c r="O105" s="48"/>
    </row>
    <row r="106" spans="2:15" ht="15.5" hidden="1" x14ac:dyDescent="0.35">
      <c r="B106" s="87" t="s">
        <v>449</v>
      </c>
      <c r="C106" s="87"/>
      <c r="D106" s="44"/>
      <c r="E106" s="44"/>
      <c r="F106" s="44"/>
      <c r="G106" s="239"/>
      <c r="H106" s="232"/>
      <c r="I106" s="239"/>
      <c r="J106" s="234">
        <f t="shared" si="9"/>
        <v>0</v>
      </c>
      <c r="K106" s="107"/>
      <c r="L106" s="19"/>
      <c r="M106" s="171"/>
      <c r="N106" s="99"/>
      <c r="O106" s="48"/>
    </row>
    <row r="107" spans="2:15" ht="15.5" x14ac:dyDescent="0.35">
      <c r="D107" s="88" t="s">
        <v>518</v>
      </c>
      <c r="E107" s="88"/>
      <c r="F107" s="88"/>
      <c r="G107" s="246">
        <f>SUM(G100:G106)</f>
        <v>0</v>
      </c>
      <c r="H107" s="246">
        <f>SUM(H100:H106)</f>
        <v>0</v>
      </c>
      <c r="I107" s="246">
        <f>SUM(I100:I106)</f>
        <v>190908</v>
      </c>
      <c r="J107" s="250">
        <f>SUM(J100:J106)</f>
        <v>190908</v>
      </c>
      <c r="K107" s="246">
        <f>(K100*J100)+(K101*J101)+(K102*J102)+(K103*J103)+(K104*J104)+(K105*J105)+(K106*J106)</f>
        <v>105054</v>
      </c>
      <c r="L107" s="20">
        <f>SUM(L100:L106)</f>
        <v>0</v>
      </c>
      <c r="M107" s="172"/>
      <c r="N107" s="99"/>
      <c r="O107" s="49"/>
    </row>
    <row r="108" spans="2:15" ht="51" customHeight="1" x14ac:dyDescent="0.35">
      <c r="B108" s="86" t="s">
        <v>450</v>
      </c>
      <c r="C108" s="86"/>
      <c r="D108" s="332" t="s">
        <v>612</v>
      </c>
      <c r="E108" s="332"/>
      <c r="F108" s="332"/>
      <c r="G108" s="332"/>
      <c r="H108" s="332"/>
      <c r="I108" s="332"/>
      <c r="J108" s="332"/>
      <c r="K108" s="332"/>
      <c r="L108" s="333"/>
      <c r="M108" s="333"/>
      <c r="N108" s="332"/>
      <c r="O108" s="47"/>
    </row>
    <row r="109" spans="2:15" ht="98.25" customHeight="1" x14ac:dyDescent="0.35">
      <c r="B109" s="308" t="s">
        <v>451</v>
      </c>
      <c r="C109" s="290" t="s">
        <v>623</v>
      </c>
      <c r="D109" s="273" t="s">
        <v>758</v>
      </c>
      <c r="E109" s="273" t="s">
        <v>759</v>
      </c>
      <c r="F109" s="273" t="s">
        <v>760</v>
      </c>
      <c r="G109" s="232">
        <f>376740+46600</f>
        <v>423340</v>
      </c>
      <c r="H109" s="232"/>
      <c r="I109" s="233"/>
      <c r="J109" s="234">
        <f t="shared" ref="J109:J117" si="10">SUM(G109:I109)</f>
        <v>423340</v>
      </c>
      <c r="K109" s="106">
        <v>0.7</v>
      </c>
      <c r="L109" s="18"/>
      <c r="M109" s="224" t="s">
        <v>628</v>
      </c>
      <c r="N109" s="284" t="s">
        <v>761</v>
      </c>
      <c r="O109" s="48"/>
    </row>
    <row r="110" spans="2:15" ht="170.5" x14ac:dyDescent="0.35">
      <c r="B110" s="308" t="s">
        <v>452</v>
      </c>
      <c r="C110" s="290" t="s">
        <v>664</v>
      </c>
      <c r="D110" s="273" t="s">
        <v>804</v>
      </c>
      <c r="E110" s="273" t="s">
        <v>762</v>
      </c>
      <c r="F110" s="273" t="s">
        <v>763</v>
      </c>
      <c r="G110" s="232">
        <v>163800</v>
      </c>
      <c r="H110" s="232"/>
      <c r="I110" s="233"/>
      <c r="J110" s="234">
        <f t="shared" si="10"/>
        <v>163800</v>
      </c>
      <c r="K110" s="106">
        <v>0.5</v>
      </c>
      <c r="L110" s="18">
        <v>45000</v>
      </c>
      <c r="M110" s="224" t="s">
        <v>629</v>
      </c>
      <c r="N110" s="284" t="s">
        <v>805</v>
      </c>
      <c r="O110" s="48"/>
    </row>
    <row r="111" spans="2:15" ht="310" x14ac:dyDescent="0.35">
      <c r="B111" s="308" t="s">
        <v>453</v>
      </c>
      <c r="C111" s="290" t="s">
        <v>665</v>
      </c>
      <c r="D111" s="273" t="s">
        <v>764</v>
      </c>
      <c r="E111" s="273" t="s">
        <v>765</v>
      </c>
      <c r="F111" s="273" t="s">
        <v>763</v>
      </c>
      <c r="G111" s="232">
        <v>131040</v>
      </c>
      <c r="H111" s="232"/>
      <c r="I111" s="233"/>
      <c r="J111" s="234">
        <f t="shared" si="10"/>
        <v>131040</v>
      </c>
      <c r="K111" s="106">
        <v>0.5</v>
      </c>
      <c r="L111" s="18">
        <v>30000</v>
      </c>
      <c r="M111" s="224" t="s">
        <v>639</v>
      </c>
      <c r="N111" s="284" t="s">
        <v>806</v>
      </c>
      <c r="O111" s="48"/>
    </row>
    <row r="112" spans="2:15" ht="129" customHeight="1" x14ac:dyDescent="0.35">
      <c r="B112" s="308" t="s">
        <v>454</v>
      </c>
      <c r="C112" s="220" t="s">
        <v>807</v>
      </c>
      <c r="D112" s="274" t="s">
        <v>672</v>
      </c>
      <c r="E112" s="274" t="s">
        <v>766</v>
      </c>
      <c r="F112" s="274" t="s">
        <v>767</v>
      </c>
      <c r="G112" s="239"/>
      <c r="H112" s="239">
        <v>31500</v>
      </c>
      <c r="I112" s="239"/>
      <c r="J112" s="279">
        <f t="shared" si="10"/>
        <v>31500</v>
      </c>
      <c r="K112" s="107">
        <v>0.3</v>
      </c>
      <c r="L112" s="18">
        <v>31500</v>
      </c>
      <c r="M112" s="224" t="s">
        <v>640</v>
      </c>
      <c r="N112" s="284" t="s">
        <v>808</v>
      </c>
      <c r="O112" s="48"/>
    </row>
    <row r="113" spans="2:15" ht="217" x14ac:dyDescent="0.35">
      <c r="B113" s="310" t="s">
        <v>455</v>
      </c>
      <c r="C113" s="220" t="s">
        <v>666</v>
      </c>
      <c r="D113" s="274" t="s">
        <v>769</v>
      </c>
      <c r="E113" s="274" t="s">
        <v>771</v>
      </c>
      <c r="F113" s="274" t="s">
        <v>768</v>
      </c>
      <c r="G113" s="232">
        <v>47500</v>
      </c>
      <c r="H113" s="232">
        <v>240381</v>
      </c>
      <c r="I113" s="239"/>
      <c r="J113" s="234">
        <f t="shared" si="10"/>
        <v>287881</v>
      </c>
      <c r="K113" s="107">
        <v>0.55000000000000004</v>
      </c>
      <c r="L113" s="19">
        <f>54807+34601</f>
        <v>89408</v>
      </c>
      <c r="M113" s="224" t="s">
        <v>630</v>
      </c>
      <c r="N113" s="286" t="s">
        <v>809</v>
      </c>
      <c r="O113" s="48"/>
    </row>
    <row r="114" spans="2:15" ht="217" x14ac:dyDescent="0.35">
      <c r="B114" s="310" t="s">
        <v>456</v>
      </c>
      <c r="C114" s="220" t="s">
        <v>667</v>
      </c>
      <c r="D114" s="274" t="s">
        <v>770</v>
      </c>
      <c r="E114" s="274" t="s">
        <v>771</v>
      </c>
      <c r="F114" s="274" t="s">
        <v>768</v>
      </c>
      <c r="G114" s="239"/>
      <c r="H114" s="232">
        <v>60000</v>
      </c>
      <c r="I114" s="239"/>
      <c r="J114" s="234">
        <f t="shared" si="10"/>
        <v>60000</v>
      </c>
      <c r="K114" s="107">
        <v>0.3</v>
      </c>
      <c r="L114" s="19"/>
      <c r="M114" s="190" t="s">
        <v>772</v>
      </c>
      <c r="N114" s="286" t="s">
        <v>773</v>
      </c>
      <c r="O114" s="48"/>
    </row>
    <row r="115" spans="2:15" ht="139.5" x14ac:dyDescent="0.35">
      <c r="B115" s="310" t="s">
        <v>457</v>
      </c>
      <c r="C115" s="220" t="s">
        <v>668</v>
      </c>
      <c r="D115" s="274" t="s">
        <v>774</v>
      </c>
      <c r="E115" s="274" t="s">
        <v>771</v>
      </c>
      <c r="F115" s="274" t="s">
        <v>768</v>
      </c>
      <c r="G115" s="257"/>
      <c r="H115" s="258">
        <v>58296</v>
      </c>
      <c r="I115" s="257"/>
      <c r="J115" s="244">
        <f t="shared" si="10"/>
        <v>58296</v>
      </c>
      <c r="K115" s="107">
        <v>0.8</v>
      </c>
      <c r="L115" s="19"/>
      <c r="M115" s="224" t="s">
        <v>775</v>
      </c>
      <c r="N115" s="307" t="s">
        <v>810</v>
      </c>
      <c r="O115" s="48"/>
    </row>
    <row r="116" spans="2:15" ht="263.5" x14ac:dyDescent="0.35">
      <c r="B116" s="310" t="s">
        <v>458</v>
      </c>
      <c r="C116" s="220" t="s">
        <v>669</v>
      </c>
      <c r="D116" s="274" t="s">
        <v>826</v>
      </c>
      <c r="E116" s="274" t="s">
        <v>776</v>
      </c>
      <c r="F116" s="274" t="s">
        <v>777</v>
      </c>
      <c r="G116" s="257"/>
      <c r="H116" s="257">
        <v>33838</v>
      </c>
      <c r="I116" s="257"/>
      <c r="J116" s="281">
        <f t="shared" si="10"/>
        <v>33838</v>
      </c>
      <c r="K116" s="107">
        <v>0.3</v>
      </c>
      <c r="L116" s="19">
        <v>15000</v>
      </c>
      <c r="M116" s="224" t="s">
        <v>778</v>
      </c>
      <c r="N116" s="286" t="s">
        <v>811</v>
      </c>
      <c r="O116" s="48"/>
    </row>
    <row r="117" spans="2:15" ht="93" x14ac:dyDescent="0.35">
      <c r="B117" s="308" t="s">
        <v>613</v>
      </c>
      <c r="C117" s="220" t="s">
        <v>621</v>
      </c>
      <c r="D117" s="274" t="s">
        <v>779</v>
      </c>
      <c r="E117" s="297" t="s">
        <v>747</v>
      </c>
      <c r="F117" s="297" t="s">
        <v>780</v>
      </c>
      <c r="G117" s="257"/>
      <c r="H117" s="258"/>
      <c r="I117" s="257">
        <v>60000</v>
      </c>
      <c r="J117" s="244">
        <f t="shared" si="10"/>
        <v>60000</v>
      </c>
      <c r="K117" s="107">
        <v>1</v>
      </c>
      <c r="L117" s="19"/>
      <c r="M117" s="190" t="s">
        <v>631</v>
      </c>
      <c r="N117" s="285" t="s">
        <v>781</v>
      </c>
      <c r="O117" s="48"/>
    </row>
    <row r="118" spans="2:15" ht="15.5" hidden="1" x14ac:dyDescent="0.35">
      <c r="B118" s="87" t="s">
        <v>614</v>
      </c>
      <c r="C118" s="87"/>
      <c r="D118" s="179"/>
      <c r="E118" s="298"/>
      <c r="F118" s="298"/>
      <c r="G118" s="181"/>
      <c r="H118" s="183"/>
      <c r="I118" s="181"/>
      <c r="J118" s="180">
        <f>SUM(G118:I118)</f>
        <v>0</v>
      </c>
      <c r="K118" s="107"/>
      <c r="L118" s="19"/>
      <c r="M118" s="171"/>
      <c r="N118" s="99"/>
      <c r="O118" s="48"/>
    </row>
    <row r="119" spans="2:15" ht="15.5" hidden="1" x14ac:dyDescent="0.35">
      <c r="B119" s="87" t="s">
        <v>615</v>
      </c>
      <c r="C119" s="87"/>
      <c r="D119" s="179"/>
      <c r="E119" s="298"/>
      <c r="F119" s="298"/>
      <c r="G119" s="181"/>
      <c r="H119" s="183"/>
      <c r="J119" s="180">
        <f t="shared" ref="J119:J121" si="11">SUM(G119:I119)</f>
        <v>0</v>
      </c>
      <c r="K119" s="107"/>
      <c r="L119" s="19"/>
      <c r="M119" s="171"/>
      <c r="N119" s="99"/>
      <c r="O119" s="48"/>
    </row>
    <row r="120" spans="2:15" ht="15.5" hidden="1" x14ac:dyDescent="0.35">
      <c r="B120" s="87" t="s">
        <v>616</v>
      </c>
      <c r="C120" s="87"/>
      <c r="D120" s="179"/>
      <c r="E120" s="298"/>
      <c r="F120" s="298"/>
      <c r="G120" s="181"/>
      <c r="H120" s="183"/>
      <c r="I120" s="181"/>
      <c r="J120" s="180">
        <f t="shared" si="11"/>
        <v>0</v>
      </c>
      <c r="K120" s="107"/>
      <c r="L120" s="19"/>
      <c r="M120" s="171"/>
      <c r="N120" s="99"/>
      <c r="O120" s="48"/>
    </row>
    <row r="121" spans="2:15" ht="15.5" hidden="1" x14ac:dyDescent="0.35">
      <c r="B121" s="87" t="s">
        <v>617</v>
      </c>
      <c r="C121" s="87"/>
      <c r="D121" s="179"/>
      <c r="E121" s="298"/>
      <c r="F121" s="298"/>
      <c r="G121" s="181"/>
      <c r="H121" s="183"/>
      <c r="I121" s="181"/>
      <c r="J121" s="180">
        <f t="shared" si="11"/>
        <v>0</v>
      </c>
      <c r="K121" s="107"/>
      <c r="L121" s="19"/>
      <c r="M121" s="171"/>
      <c r="N121" s="99"/>
      <c r="O121" s="48"/>
    </row>
    <row r="122" spans="2:15" ht="15.5" x14ac:dyDescent="0.35">
      <c r="D122" s="88" t="s">
        <v>518</v>
      </c>
      <c r="E122" s="88"/>
      <c r="F122" s="88"/>
      <c r="G122" s="20">
        <f>SUM(G109:G121)</f>
        <v>765680</v>
      </c>
      <c r="H122" s="246">
        <f>SUM(H109:H121)</f>
        <v>424015</v>
      </c>
      <c r="I122" s="246">
        <f>SUM(I109:I121)</f>
        <v>60000</v>
      </c>
      <c r="J122" s="246">
        <f>SUM(J109:J121)</f>
        <v>1249695</v>
      </c>
      <c r="K122" s="246">
        <f>J109*K109+J110*K110+J111*K111+J112*K112+J113*K113+J114*K114+J115*K115+J116*K116+J117*K117+J118*K118+J119*K119+J120*K120+J121*K121</f>
        <v>746330.75000000012</v>
      </c>
      <c r="L122" s="20">
        <f>SUM(L109:L121)</f>
        <v>210908</v>
      </c>
      <c r="M122" s="172"/>
      <c r="N122" s="99"/>
      <c r="O122" s="49"/>
    </row>
    <row r="123" spans="2:15" ht="51" hidden="1" customHeight="1" x14ac:dyDescent="0.35">
      <c r="B123" s="124" t="s">
        <v>459</v>
      </c>
      <c r="C123" s="124"/>
      <c r="D123" s="334"/>
      <c r="E123" s="334"/>
      <c r="F123" s="334"/>
      <c r="G123" s="334"/>
      <c r="H123" s="334"/>
      <c r="I123" s="334"/>
      <c r="J123" s="334"/>
      <c r="K123" s="334"/>
      <c r="L123" s="335"/>
      <c r="M123" s="335"/>
      <c r="N123" s="334"/>
      <c r="O123" s="47"/>
    </row>
    <row r="124" spans="2:15" ht="15.5" hidden="1" x14ac:dyDescent="0.35">
      <c r="B124" s="87" t="s">
        <v>460</v>
      </c>
      <c r="C124" s="87"/>
      <c r="D124" s="16"/>
      <c r="E124" s="16"/>
      <c r="F124" s="16"/>
      <c r="G124" s="18"/>
      <c r="H124" s="171"/>
      <c r="I124" s="18"/>
      <c r="J124" s="109">
        <f>SUM(G124:I124)</f>
        <v>0</v>
      </c>
      <c r="K124" s="106"/>
      <c r="L124" s="18"/>
      <c r="M124" s="171"/>
      <c r="N124" s="98"/>
      <c r="O124" s="48"/>
    </row>
    <row r="125" spans="2:15" ht="15.5" hidden="1" x14ac:dyDescent="0.35">
      <c r="B125" s="87" t="s">
        <v>461</v>
      </c>
      <c r="C125" s="87"/>
      <c r="D125" s="16"/>
      <c r="E125" s="16"/>
      <c r="F125" s="16"/>
      <c r="G125" s="18"/>
      <c r="H125" s="171"/>
      <c r="I125" s="18"/>
      <c r="J125" s="109">
        <f t="shared" ref="J125:J131" si="12">SUM(G125:I125)</f>
        <v>0</v>
      </c>
      <c r="K125" s="106"/>
      <c r="L125" s="18"/>
      <c r="M125" s="171"/>
      <c r="N125" s="98"/>
      <c r="O125" s="48"/>
    </row>
    <row r="126" spans="2:15" ht="15.5" hidden="1" x14ac:dyDescent="0.35">
      <c r="B126" s="87" t="s">
        <v>462</v>
      </c>
      <c r="C126" s="87"/>
      <c r="D126" s="16"/>
      <c r="E126" s="16"/>
      <c r="F126" s="16"/>
      <c r="G126" s="18"/>
      <c r="H126" s="171"/>
      <c r="I126" s="18"/>
      <c r="J126" s="109">
        <f t="shared" si="12"/>
        <v>0</v>
      </c>
      <c r="K126" s="106"/>
      <c r="L126" s="18"/>
      <c r="M126" s="171"/>
      <c r="N126" s="98"/>
      <c r="O126" s="48"/>
    </row>
    <row r="127" spans="2:15" ht="15.5" hidden="1" x14ac:dyDescent="0.35">
      <c r="B127" s="87" t="s">
        <v>463</v>
      </c>
      <c r="C127" s="87"/>
      <c r="D127" s="16"/>
      <c r="E127" s="16"/>
      <c r="F127" s="16"/>
      <c r="G127" s="18"/>
      <c r="H127" s="171"/>
      <c r="I127" s="18"/>
      <c r="J127" s="109">
        <f t="shared" si="12"/>
        <v>0</v>
      </c>
      <c r="K127" s="106"/>
      <c r="L127" s="18"/>
      <c r="M127" s="171"/>
      <c r="N127" s="98"/>
      <c r="O127" s="48"/>
    </row>
    <row r="128" spans="2:15" ht="15.5" hidden="1" x14ac:dyDescent="0.35">
      <c r="B128" s="87" t="s">
        <v>464</v>
      </c>
      <c r="C128" s="87"/>
      <c r="D128" s="16"/>
      <c r="E128" s="16"/>
      <c r="F128" s="16"/>
      <c r="G128" s="18"/>
      <c r="H128" s="171"/>
      <c r="I128" s="18"/>
      <c r="J128" s="109">
        <f t="shared" si="12"/>
        <v>0</v>
      </c>
      <c r="K128" s="106"/>
      <c r="L128" s="18"/>
      <c r="M128" s="171"/>
      <c r="N128" s="98"/>
      <c r="O128" s="48"/>
    </row>
    <row r="129" spans="2:15" ht="15.5" hidden="1" x14ac:dyDescent="0.35">
      <c r="B129" s="87" t="s">
        <v>465</v>
      </c>
      <c r="C129" s="87"/>
      <c r="D129" s="16"/>
      <c r="E129" s="16"/>
      <c r="F129" s="16"/>
      <c r="G129" s="18"/>
      <c r="H129" s="171"/>
      <c r="I129" s="18"/>
      <c r="J129" s="109">
        <f t="shared" si="12"/>
        <v>0</v>
      </c>
      <c r="K129" s="106"/>
      <c r="L129" s="18"/>
      <c r="M129" s="171"/>
      <c r="N129" s="98"/>
      <c r="O129" s="48"/>
    </row>
    <row r="130" spans="2:15" ht="15.5" hidden="1" x14ac:dyDescent="0.35">
      <c r="B130" s="87" t="s">
        <v>466</v>
      </c>
      <c r="C130" s="87"/>
      <c r="D130" s="44"/>
      <c r="E130" s="44"/>
      <c r="F130" s="44"/>
      <c r="G130" s="19"/>
      <c r="H130" s="171"/>
      <c r="I130" s="19"/>
      <c r="J130" s="109">
        <f t="shared" si="12"/>
        <v>0</v>
      </c>
      <c r="K130" s="107"/>
      <c r="L130" s="19"/>
      <c r="M130" s="171"/>
      <c r="N130" s="99"/>
      <c r="O130" s="48"/>
    </row>
    <row r="131" spans="2:15" ht="15.5" hidden="1" x14ac:dyDescent="0.35">
      <c r="B131" s="87" t="s">
        <v>467</v>
      </c>
      <c r="C131" s="87"/>
      <c r="D131" s="44"/>
      <c r="E131" s="44"/>
      <c r="F131" s="44"/>
      <c r="G131" s="19"/>
      <c r="H131" s="171"/>
      <c r="I131" s="19"/>
      <c r="J131" s="109">
        <f t="shared" si="12"/>
        <v>0</v>
      </c>
      <c r="K131" s="107"/>
      <c r="L131" s="19"/>
      <c r="M131" s="171"/>
      <c r="N131" s="99"/>
      <c r="O131" s="48"/>
    </row>
    <row r="132" spans="2:15" ht="15.5" hidden="1" x14ac:dyDescent="0.35">
      <c r="D132" s="88" t="s">
        <v>518</v>
      </c>
      <c r="E132" s="295"/>
      <c r="F132" s="295"/>
      <c r="G132" s="23">
        <f>SUM(G124:G131)</f>
        <v>0</v>
      </c>
      <c r="H132" s="23">
        <f>SUM(H124:H131)</f>
        <v>0</v>
      </c>
      <c r="I132" s="23">
        <f>SUM(I124:I131)</f>
        <v>0</v>
      </c>
      <c r="J132" s="23">
        <f>SUM(J124:J131)</f>
        <v>0</v>
      </c>
      <c r="K132" s="20">
        <f>(K124*J124)+(K125*J125)+(K126*J126)+(K127*J127)+(K128*J128)+(K129*J129)+(K130*J130)+(K131*J131)</f>
        <v>0</v>
      </c>
      <c r="L132" s="20">
        <f>SUM(L124:L131)</f>
        <v>0</v>
      </c>
      <c r="M132" s="172"/>
      <c r="N132" s="99"/>
      <c r="O132" s="49"/>
    </row>
    <row r="133" spans="2:15" ht="51" hidden="1" customHeight="1" x14ac:dyDescent="0.35">
      <c r="B133" s="124" t="s">
        <v>468</v>
      </c>
      <c r="C133" s="124"/>
      <c r="D133" s="334"/>
      <c r="E133" s="334"/>
      <c r="F133" s="334"/>
      <c r="G133" s="334"/>
      <c r="H133" s="334"/>
      <c r="I133" s="334"/>
      <c r="J133" s="334"/>
      <c r="K133" s="334"/>
      <c r="L133" s="335"/>
      <c r="M133" s="335"/>
      <c r="N133" s="334"/>
      <c r="O133" s="47"/>
    </row>
    <row r="134" spans="2:15" ht="15.5" hidden="1" x14ac:dyDescent="0.35">
      <c r="B134" s="87" t="s">
        <v>469</v>
      </c>
      <c r="C134" s="87"/>
      <c r="D134" s="16"/>
      <c r="E134" s="16"/>
      <c r="F134" s="16"/>
      <c r="G134" s="18"/>
      <c r="H134" s="171"/>
      <c r="I134" s="18"/>
      <c r="J134" s="109">
        <f>SUM(G134:I134)</f>
        <v>0</v>
      </c>
      <c r="K134" s="106"/>
      <c r="L134" s="18"/>
      <c r="M134" s="171"/>
      <c r="N134" s="98"/>
      <c r="O134" s="48"/>
    </row>
    <row r="135" spans="2:15" ht="15.5" hidden="1" x14ac:dyDescent="0.35">
      <c r="B135" s="87" t="s">
        <v>470</v>
      </c>
      <c r="C135" s="87"/>
      <c r="D135" s="16"/>
      <c r="E135" s="16"/>
      <c r="F135" s="16"/>
      <c r="G135" s="18"/>
      <c r="H135" s="171"/>
      <c r="I135" s="18"/>
      <c r="J135" s="109">
        <f t="shared" ref="J135:J141" si="13">SUM(G135:I135)</f>
        <v>0</v>
      </c>
      <c r="K135" s="106"/>
      <c r="L135" s="18"/>
      <c r="M135" s="171"/>
      <c r="N135" s="98"/>
      <c r="O135" s="48"/>
    </row>
    <row r="136" spans="2:15" ht="15.5" hidden="1" x14ac:dyDescent="0.35">
      <c r="B136" s="87" t="s">
        <v>471</v>
      </c>
      <c r="C136" s="87"/>
      <c r="D136" s="16"/>
      <c r="E136" s="16"/>
      <c r="F136" s="16"/>
      <c r="G136" s="18"/>
      <c r="H136" s="171"/>
      <c r="I136" s="18"/>
      <c r="J136" s="109">
        <f t="shared" si="13"/>
        <v>0</v>
      </c>
      <c r="K136" s="106"/>
      <c r="L136" s="18"/>
      <c r="M136" s="171"/>
      <c r="N136" s="98"/>
      <c r="O136" s="48"/>
    </row>
    <row r="137" spans="2:15" ht="15.5" hidden="1" x14ac:dyDescent="0.35">
      <c r="B137" s="87" t="s">
        <v>472</v>
      </c>
      <c r="C137" s="87"/>
      <c r="D137" s="16"/>
      <c r="E137" s="16"/>
      <c r="F137" s="16"/>
      <c r="G137" s="18"/>
      <c r="H137" s="171"/>
      <c r="I137" s="18"/>
      <c r="J137" s="109">
        <f t="shared" si="13"/>
        <v>0</v>
      </c>
      <c r="K137" s="106"/>
      <c r="L137" s="18"/>
      <c r="M137" s="171"/>
      <c r="N137" s="98"/>
      <c r="O137" s="48"/>
    </row>
    <row r="138" spans="2:15" ht="15.5" hidden="1" x14ac:dyDescent="0.35">
      <c r="B138" s="87" t="s">
        <v>473</v>
      </c>
      <c r="C138" s="87"/>
      <c r="D138" s="16"/>
      <c r="E138" s="16"/>
      <c r="F138" s="16"/>
      <c r="G138" s="18"/>
      <c r="H138" s="171"/>
      <c r="I138" s="18"/>
      <c r="J138" s="109">
        <f t="shared" si="13"/>
        <v>0</v>
      </c>
      <c r="K138" s="106"/>
      <c r="L138" s="18"/>
      <c r="M138" s="171"/>
      <c r="N138" s="98"/>
      <c r="O138" s="48"/>
    </row>
    <row r="139" spans="2:15" ht="15.5" hidden="1" x14ac:dyDescent="0.35">
      <c r="B139" s="87" t="s">
        <v>474</v>
      </c>
      <c r="C139" s="87"/>
      <c r="D139" s="16"/>
      <c r="E139" s="16"/>
      <c r="F139" s="16"/>
      <c r="G139" s="18"/>
      <c r="H139" s="171"/>
      <c r="I139" s="18"/>
      <c r="J139" s="109">
        <f t="shared" si="13"/>
        <v>0</v>
      </c>
      <c r="K139" s="106"/>
      <c r="L139" s="18"/>
      <c r="M139" s="171"/>
      <c r="N139" s="98"/>
      <c r="O139" s="48"/>
    </row>
    <row r="140" spans="2:15" ht="15.5" hidden="1" x14ac:dyDescent="0.35">
      <c r="B140" s="87" t="s">
        <v>475</v>
      </c>
      <c r="C140" s="87"/>
      <c r="D140" s="44"/>
      <c r="E140" s="44"/>
      <c r="F140" s="44"/>
      <c r="G140" s="19"/>
      <c r="H140" s="171"/>
      <c r="I140" s="19"/>
      <c r="J140" s="109">
        <f t="shared" si="13"/>
        <v>0</v>
      </c>
      <c r="K140" s="107"/>
      <c r="L140" s="19"/>
      <c r="M140" s="171"/>
      <c r="N140" s="99"/>
      <c r="O140" s="48"/>
    </row>
    <row r="141" spans="2:15" ht="15.5" hidden="1" x14ac:dyDescent="0.35">
      <c r="B141" s="87" t="s">
        <v>476</v>
      </c>
      <c r="C141" s="87"/>
      <c r="D141" s="44"/>
      <c r="E141" s="44"/>
      <c r="F141" s="44"/>
      <c r="G141" s="19"/>
      <c r="H141" s="171"/>
      <c r="I141" s="19"/>
      <c r="J141" s="109">
        <f t="shared" si="13"/>
        <v>0</v>
      </c>
      <c r="K141" s="107"/>
      <c r="L141" s="19"/>
      <c r="M141" s="171"/>
      <c r="N141" s="99"/>
      <c r="O141" s="48"/>
    </row>
    <row r="142" spans="2:15" ht="15.5" hidden="1" x14ac:dyDescent="0.35">
      <c r="D142" s="88" t="s">
        <v>518</v>
      </c>
      <c r="E142" s="88"/>
      <c r="F142" s="88"/>
      <c r="G142" s="20">
        <f>SUM(G134:G141)</f>
        <v>0</v>
      </c>
      <c r="H142" s="20">
        <f>SUM(H134:H141)</f>
        <v>0</v>
      </c>
      <c r="I142" s="20">
        <f>SUM(I134:I141)</f>
        <v>0</v>
      </c>
      <c r="J142" s="20">
        <f>SUM(J134:J141)</f>
        <v>0</v>
      </c>
      <c r="K142" s="20">
        <f>(K134*J134)+(K135*J135)+(K136*J136)+(K137*J137)+(K138*J138)+(K139*J139)+(K140*J140)+(K141*J141)</f>
        <v>0</v>
      </c>
      <c r="L142" s="20">
        <f>SUM(L134:L141)</f>
        <v>0</v>
      </c>
      <c r="M142" s="172"/>
      <c r="N142" s="99"/>
      <c r="O142" s="49"/>
    </row>
    <row r="143" spans="2:15" ht="15.75" hidden="1" customHeight="1" x14ac:dyDescent="0.35">
      <c r="B143" s="6"/>
      <c r="C143" s="6"/>
      <c r="D143" s="10"/>
      <c r="E143" s="10"/>
      <c r="F143" s="10"/>
      <c r="G143" s="25"/>
      <c r="H143" s="139"/>
      <c r="I143" s="25"/>
      <c r="J143" s="25"/>
      <c r="K143" s="25"/>
      <c r="L143" s="25"/>
      <c r="M143" s="139"/>
      <c r="N143" s="63"/>
      <c r="O143" s="3"/>
    </row>
    <row r="144" spans="2:15" ht="51" hidden="1" customHeight="1" x14ac:dyDescent="0.35">
      <c r="B144" s="88" t="s">
        <v>477</v>
      </c>
      <c r="C144" s="88"/>
      <c r="D144" s="332"/>
      <c r="E144" s="332"/>
      <c r="F144" s="332"/>
      <c r="G144" s="332"/>
      <c r="H144" s="332"/>
      <c r="I144" s="332"/>
      <c r="J144" s="332"/>
      <c r="K144" s="332"/>
      <c r="L144" s="333"/>
      <c r="M144" s="333"/>
      <c r="N144" s="332"/>
      <c r="O144" s="17"/>
    </row>
    <row r="145" spans="2:15" ht="51" hidden="1" customHeight="1" x14ac:dyDescent="0.35">
      <c r="B145" s="86" t="s">
        <v>478</v>
      </c>
      <c r="C145" s="86"/>
      <c r="D145" s="334"/>
      <c r="E145" s="334"/>
      <c r="F145" s="334"/>
      <c r="G145" s="334"/>
      <c r="H145" s="334"/>
      <c r="I145" s="334"/>
      <c r="J145" s="334"/>
      <c r="K145" s="334"/>
      <c r="L145" s="335"/>
      <c r="M145" s="335"/>
      <c r="N145" s="334"/>
      <c r="O145" s="47"/>
    </row>
    <row r="146" spans="2:15" ht="15.5" hidden="1" x14ac:dyDescent="0.35">
      <c r="B146" s="87" t="s">
        <v>479</v>
      </c>
      <c r="C146" s="87"/>
      <c r="D146" s="16"/>
      <c r="E146" s="16"/>
      <c r="F146" s="16"/>
      <c r="G146" s="18"/>
      <c r="H146" s="171"/>
      <c r="I146" s="18"/>
      <c r="J146" s="109">
        <f>SUM(G146:I146)</f>
        <v>0</v>
      </c>
      <c r="K146" s="106"/>
      <c r="L146" s="18"/>
      <c r="M146" s="171"/>
      <c r="N146" s="98"/>
      <c r="O146" s="48"/>
    </row>
    <row r="147" spans="2:15" ht="15.5" hidden="1" x14ac:dyDescent="0.35">
      <c r="B147" s="87" t="s">
        <v>480</v>
      </c>
      <c r="C147" s="87"/>
      <c r="D147" s="16"/>
      <c r="E147" s="16"/>
      <c r="F147" s="16"/>
      <c r="G147" s="18"/>
      <c r="H147" s="171"/>
      <c r="I147" s="18"/>
      <c r="J147" s="109">
        <f t="shared" ref="J147:J153" si="14">SUM(G147:I147)</f>
        <v>0</v>
      </c>
      <c r="K147" s="106"/>
      <c r="L147" s="18"/>
      <c r="M147" s="171"/>
      <c r="N147" s="98"/>
      <c r="O147" s="48"/>
    </row>
    <row r="148" spans="2:15" ht="15.5" hidden="1" x14ac:dyDescent="0.35">
      <c r="B148" s="87" t="s">
        <v>481</v>
      </c>
      <c r="C148" s="87"/>
      <c r="D148" s="16"/>
      <c r="E148" s="16"/>
      <c r="F148" s="16"/>
      <c r="G148" s="18"/>
      <c r="H148" s="171"/>
      <c r="I148" s="18"/>
      <c r="J148" s="109">
        <f t="shared" si="14"/>
        <v>0</v>
      </c>
      <c r="K148" s="106"/>
      <c r="L148" s="18"/>
      <c r="M148" s="171"/>
      <c r="N148" s="98"/>
      <c r="O148" s="48"/>
    </row>
    <row r="149" spans="2:15" ht="15.5" hidden="1" x14ac:dyDescent="0.35">
      <c r="B149" s="87" t="s">
        <v>482</v>
      </c>
      <c r="C149" s="87"/>
      <c r="D149" s="16"/>
      <c r="E149" s="16"/>
      <c r="F149" s="16"/>
      <c r="G149" s="18"/>
      <c r="H149" s="171"/>
      <c r="I149" s="18"/>
      <c r="J149" s="109">
        <f t="shared" si="14"/>
        <v>0</v>
      </c>
      <c r="K149" s="106"/>
      <c r="L149" s="18"/>
      <c r="M149" s="171"/>
      <c r="N149" s="98"/>
      <c r="O149" s="48"/>
    </row>
    <row r="150" spans="2:15" ht="15.5" hidden="1" x14ac:dyDescent="0.35">
      <c r="B150" s="87" t="s">
        <v>483</v>
      </c>
      <c r="C150" s="87"/>
      <c r="D150" s="16"/>
      <c r="E150" s="16"/>
      <c r="F150" s="16"/>
      <c r="G150" s="18"/>
      <c r="H150" s="171"/>
      <c r="I150" s="18"/>
      <c r="J150" s="109">
        <f t="shared" si="14"/>
        <v>0</v>
      </c>
      <c r="K150" s="106"/>
      <c r="L150" s="18"/>
      <c r="M150" s="171"/>
      <c r="N150" s="98"/>
      <c r="O150" s="48"/>
    </row>
    <row r="151" spans="2:15" ht="15.5" hidden="1" x14ac:dyDescent="0.35">
      <c r="B151" s="87" t="s">
        <v>484</v>
      </c>
      <c r="C151" s="87"/>
      <c r="D151" s="16"/>
      <c r="E151" s="16"/>
      <c r="F151" s="16"/>
      <c r="G151" s="18"/>
      <c r="H151" s="171"/>
      <c r="I151" s="18"/>
      <c r="J151" s="109">
        <f t="shared" si="14"/>
        <v>0</v>
      </c>
      <c r="K151" s="106"/>
      <c r="L151" s="18"/>
      <c r="M151" s="171"/>
      <c r="N151" s="98"/>
      <c r="O151" s="48"/>
    </row>
    <row r="152" spans="2:15" ht="15.5" hidden="1" x14ac:dyDescent="0.35">
      <c r="B152" s="87" t="s">
        <v>485</v>
      </c>
      <c r="C152" s="87"/>
      <c r="D152" s="44"/>
      <c r="E152" s="44"/>
      <c r="F152" s="44"/>
      <c r="G152" s="19"/>
      <c r="H152" s="171"/>
      <c r="I152" s="19"/>
      <c r="J152" s="109">
        <f t="shared" si="14"/>
        <v>0</v>
      </c>
      <c r="K152" s="107"/>
      <c r="L152" s="19"/>
      <c r="M152" s="171"/>
      <c r="N152" s="99"/>
      <c r="O152" s="48"/>
    </row>
    <row r="153" spans="2:15" ht="15.5" hidden="1" x14ac:dyDescent="0.35">
      <c r="B153" s="87" t="s">
        <v>486</v>
      </c>
      <c r="C153" s="87"/>
      <c r="D153" s="44"/>
      <c r="E153" s="44"/>
      <c r="F153" s="44"/>
      <c r="G153" s="19"/>
      <c r="H153" s="171"/>
      <c r="I153" s="19"/>
      <c r="J153" s="109">
        <f t="shared" si="14"/>
        <v>0</v>
      </c>
      <c r="K153" s="107"/>
      <c r="L153" s="19"/>
      <c r="M153" s="171"/>
      <c r="N153" s="99"/>
      <c r="O153" s="48"/>
    </row>
    <row r="154" spans="2:15" ht="15.5" hidden="1" x14ac:dyDescent="0.35">
      <c r="D154" s="88" t="s">
        <v>518</v>
      </c>
      <c r="E154" s="88"/>
      <c r="F154" s="88"/>
      <c r="G154" s="20">
        <f>SUM(G146:G153)</f>
        <v>0</v>
      </c>
      <c r="H154" s="20">
        <f>SUM(H146:H153)</f>
        <v>0</v>
      </c>
      <c r="I154" s="20">
        <f>SUM(I146:I153)</f>
        <v>0</v>
      </c>
      <c r="J154" s="23">
        <f>SUM(J146:J153)</f>
        <v>0</v>
      </c>
      <c r="K154" s="20">
        <f>(K146*J146)+(K147*J147)+(K148*J148)+(K149*J149)+(K150*J150)+(K151*J151)+(K152*J152)+(K153*J153)</f>
        <v>0</v>
      </c>
      <c r="L154" s="20">
        <f>SUM(L146:L153)</f>
        <v>0</v>
      </c>
      <c r="M154" s="172"/>
      <c r="N154" s="99"/>
      <c r="O154" s="49"/>
    </row>
    <row r="155" spans="2:15" ht="51" hidden="1" customHeight="1" x14ac:dyDescent="0.35">
      <c r="B155" s="86" t="s">
        <v>487</v>
      </c>
      <c r="C155" s="86"/>
      <c r="D155" s="334"/>
      <c r="E155" s="334"/>
      <c r="F155" s="334"/>
      <c r="G155" s="334"/>
      <c r="H155" s="334"/>
      <c r="I155" s="334"/>
      <c r="J155" s="334"/>
      <c r="K155" s="334"/>
      <c r="L155" s="335"/>
      <c r="M155" s="335"/>
      <c r="N155" s="334"/>
      <c r="O155" s="47"/>
    </row>
    <row r="156" spans="2:15" ht="15.5" hidden="1" x14ac:dyDescent="0.35">
      <c r="B156" s="87" t="s">
        <v>488</v>
      </c>
      <c r="C156" s="87"/>
      <c r="D156" s="16"/>
      <c r="E156" s="16"/>
      <c r="F156" s="16"/>
      <c r="G156" s="18"/>
      <c r="H156" s="171"/>
      <c r="I156" s="18"/>
      <c r="J156" s="109">
        <f>SUM(G156:I156)</f>
        <v>0</v>
      </c>
      <c r="K156" s="106"/>
      <c r="L156" s="18"/>
      <c r="M156" s="171"/>
      <c r="N156" s="98"/>
      <c r="O156" s="48"/>
    </row>
    <row r="157" spans="2:15" ht="15.5" hidden="1" x14ac:dyDescent="0.35">
      <c r="B157" s="87" t="s">
        <v>489</v>
      </c>
      <c r="C157" s="87"/>
      <c r="D157" s="16"/>
      <c r="E157" s="16"/>
      <c r="F157" s="16"/>
      <c r="G157" s="18"/>
      <c r="H157" s="171"/>
      <c r="I157" s="18"/>
      <c r="J157" s="109">
        <f t="shared" ref="J157:J163" si="15">SUM(G157:I157)</f>
        <v>0</v>
      </c>
      <c r="K157" s="106"/>
      <c r="L157" s="18"/>
      <c r="M157" s="171"/>
      <c r="N157" s="98"/>
      <c r="O157" s="48"/>
    </row>
    <row r="158" spans="2:15" ht="15.5" hidden="1" x14ac:dyDescent="0.35">
      <c r="B158" s="87" t="s">
        <v>490</v>
      </c>
      <c r="C158" s="87"/>
      <c r="D158" s="16"/>
      <c r="E158" s="16"/>
      <c r="F158" s="16"/>
      <c r="G158" s="18"/>
      <c r="H158" s="171"/>
      <c r="I158" s="18"/>
      <c r="J158" s="109">
        <f t="shared" si="15"/>
        <v>0</v>
      </c>
      <c r="K158" s="106"/>
      <c r="L158" s="18"/>
      <c r="M158" s="171"/>
      <c r="N158" s="98"/>
      <c r="O158" s="48"/>
    </row>
    <row r="159" spans="2:15" ht="15.5" hidden="1" x14ac:dyDescent="0.35">
      <c r="B159" s="87" t="s">
        <v>491</v>
      </c>
      <c r="C159" s="87"/>
      <c r="D159" s="16"/>
      <c r="E159" s="16"/>
      <c r="F159" s="16"/>
      <c r="G159" s="18"/>
      <c r="H159" s="171"/>
      <c r="I159" s="18"/>
      <c r="J159" s="109">
        <f t="shared" si="15"/>
        <v>0</v>
      </c>
      <c r="K159" s="106"/>
      <c r="L159" s="18"/>
      <c r="M159" s="171"/>
      <c r="N159" s="98"/>
      <c r="O159" s="48"/>
    </row>
    <row r="160" spans="2:15" ht="15.5" hidden="1" x14ac:dyDescent="0.35">
      <c r="B160" s="87" t="s">
        <v>492</v>
      </c>
      <c r="C160" s="87"/>
      <c r="D160" s="16"/>
      <c r="E160" s="16"/>
      <c r="F160" s="16"/>
      <c r="G160" s="18"/>
      <c r="H160" s="171"/>
      <c r="I160" s="18"/>
      <c r="J160" s="109">
        <f t="shared" si="15"/>
        <v>0</v>
      </c>
      <c r="K160" s="106"/>
      <c r="L160" s="18"/>
      <c r="M160" s="171"/>
      <c r="N160" s="98"/>
      <c r="O160" s="48"/>
    </row>
    <row r="161" spans="2:15" ht="15.5" hidden="1" x14ac:dyDescent="0.35">
      <c r="B161" s="87" t="s">
        <v>493</v>
      </c>
      <c r="C161" s="87"/>
      <c r="D161" s="16"/>
      <c r="E161" s="16"/>
      <c r="F161" s="16"/>
      <c r="G161" s="18"/>
      <c r="H161" s="171"/>
      <c r="I161" s="18"/>
      <c r="J161" s="109">
        <f t="shared" si="15"/>
        <v>0</v>
      </c>
      <c r="K161" s="106"/>
      <c r="L161" s="18"/>
      <c r="M161" s="171"/>
      <c r="N161" s="98"/>
      <c r="O161" s="48"/>
    </row>
    <row r="162" spans="2:15" ht="15.5" hidden="1" x14ac:dyDescent="0.35">
      <c r="B162" s="87" t="s">
        <v>494</v>
      </c>
      <c r="C162" s="87"/>
      <c r="D162" s="44"/>
      <c r="E162" s="44"/>
      <c r="F162" s="44"/>
      <c r="G162" s="19"/>
      <c r="H162" s="171"/>
      <c r="I162" s="19"/>
      <c r="J162" s="109">
        <f t="shared" si="15"/>
        <v>0</v>
      </c>
      <c r="K162" s="107"/>
      <c r="L162" s="19"/>
      <c r="M162" s="171"/>
      <c r="N162" s="99"/>
      <c r="O162" s="48"/>
    </row>
    <row r="163" spans="2:15" ht="15.5" hidden="1" x14ac:dyDescent="0.35">
      <c r="B163" s="87" t="s">
        <v>495</v>
      </c>
      <c r="C163" s="87"/>
      <c r="D163" s="44"/>
      <c r="E163" s="44"/>
      <c r="F163" s="44"/>
      <c r="G163" s="19"/>
      <c r="H163" s="171"/>
      <c r="I163" s="19"/>
      <c r="J163" s="109">
        <f t="shared" si="15"/>
        <v>0</v>
      </c>
      <c r="K163" s="107"/>
      <c r="L163" s="19"/>
      <c r="M163" s="171"/>
      <c r="N163" s="99"/>
      <c r="O163" s="48"/>
    </row>
    <row r="164" spans="2:15" ht="15.5" hidden="1" x14ac:dyDescent="0.35">
      <c r="D164" s="88" t="s">
        <v>518</v>
      </c>
      <c r="E164" s="295"/>
      <c r="F164" s="295"/>
      <c r="G164" s="23">
        <f>SUM(G156:G163)</f>
        <v>0</v>
      </c>
      <c r="H164" s="23">
        <f>SUM(H156:H163)</f>
        <v>0</v>
      </c>
      <c r="I164" s="23">
        <f>SUM(I156:I163)</f>
        <v>0</v>
      </c>
      <c r="J164" s="23">
        <f>SUM(J156:J163)</f>
        <v>0</v>
      </c>
      <c r="K164" s="20">
        <f>(K156*J156)+(K157*J157)+(K158*J158)+(K159*J159)+(K160*J160)+(K161*J161)+(K162*J162)+(K163*J163)</f>
        <v>0</v>
      </c>
      <c r="L164" s="20">
        <f>SUM(L156:L163)</f>
        <v>0</v>
      </c>
      <c r="M164" s="172"/>
      <c r="N164" s="99"/>
      <c r="O164" s="49"/>
    </row>
    <row r="165" spans="2:15" ht="51" hidden="1" customHeight="1" x14ac:dyDescent="0.35">
      <c r="B165" s="86" t="s">
        <v>496</v>
      </c>
      <c r="C165" s="86"/>
      <c r="D165" s="334"/>
      <c r="E165" s="334"/>
      <c r="F165" s="334"/>
      <c r="G165" s="334"/>
      <c r="H165" s="334"/>
      <c r="I165" s="334"/>
      <c r="J165" s="334"/>
      <c r="K165" s="334"/>
      <c r="L165" s="335"/>
      <c r="M165" s="335"/>
      <c r="N165" s="334"/>
      <c r="O165" s="47"/>
    </row>
    <row r="166" spans="2:15" ht="15.5" hidden="1" x14ac:dyDescent="0.35">
      <c r="B166" s="87" t="s">
        <v>497</v>
      </c>
      <c r="C166" s="87"/>
      <c r="D166" s="16"/>
      <c r="E166" s="16"/>
      <c r="F166" s="16"/>
      <c r="G166" s="18"/>
      <c r="H166" s="171"/>
      <c r="I166" s="18"/>
      <c r="J166" s="109">
        <f>SUM(G166:I166)</f>
        <v>0</v>
      </c>
      <c r="K166" s="106"/>
      <c r="L166" s="18"/>
      <c r="M166" s="171"/>
      <c r="N166" s="98"/>
      <c r="O166" s="48"/>
    </row>
    <row r="167" spans="2:15" ht="15.5" hidden="1" x14ac:dyDescent="0.35">
      <c r="B167" s="87" t="s">
        <v>498</v>
      </c>
      <c r="C167" s="87"/>
      <c r="D167" s="16"/>
      <c r="E167" s="16"/>
      <c r="F167" s="16"/>
      <c r="G167" s="18"/>
      <c r="H167" s="171"/>
      <c r="I167" s="18"/>
      <c r="J167" s="109">
        <f t="shared" ref="J167:J173" si="16">SUM(G167:I167)</f>
        <v>0</v>
      </c>
      <c r="K167" s="106"/>
      <c r="L167" s="18"/>
      <c r="M167" s="171"/>
      <c r="N167" s="98"/>
      <c r="O167" s="48"/>
    </row>
    <row r="168" spans="2:15" ht="15.5" hidden="1" x14ac:dyDescent="0.35">
      <c r="B168" s="87" t="s">
        <v>499</v>
      </c>
      <c r="C168" s="87"/>
      <c r="D168" s="16"/>
      <c r="E168" s="16"/>
      <c r="F168" s="16"/>
      <c r="G168" s="18"/>
      <c r="H168" s="171"/>
      <c r="I168" s="18"/>
      <c r="J168" s="109">
        <f t="shared" si="16"/>
        <v>0</v>
      </c>
      <c r="K168" s="106"/>
      <c r="L168" s="18"/>
      <c r="M168" s="171"/>
      <c r="N168" s="98"/>
      <c r="O168" s="48"/>
    </row>
    <row r="169" spans="2:15" ht="15.5" hidden="1" x14ac:dyDescent="0.35">
      <c r="B169" s="87" t="s">
        <v>500</v>
      </c>
      <c r="C169" s="87"/>
      <c r="D169" s="16"/>
      <c r="E169" s="16"/>
      <c r="F169" s="16"/>
      <c r="G169" s="18"/>
      <c r="H169" s="171"/>
      <c r="I169" s="18"/>
      <c r="J169" s="109">
        <f t="shared" si="16"/>
        <v>0</v>
      </c>
      <c r="K169" s="106"/>
      <c r="L169" s="18"/>
      <c r="M169" s="171"/>
      <c r="N169" s="98"/>
      <c r="O169" s="48"/>
    </row>
    <row r="170" spans="2:15" ht="15.5" hidden="1" x14ac:dyDescent="0.35">
      <c r="B170" s="87" t="s">
        <v>501</v>
      </c>
      <c r="C170" s="87"/>
      <c r="D170" s="16"/>
      <c r="E170" s="16"/>
      <c r="F170" s="16"/>
      <c r="G170" s="18"/>
      <c r="H170" s="171"/>
      <c r="I170" s="18"/>
      <c r="J170" s="109">
        <f t="shared" si="16"/>
        <v>0</v>
      </c>
      <c r="K170" s="106"/>
      <c r="L170" s="18"/>
      <c r="M170" s="171"/>
      <c r="N170" s="98"/>
      <c r="O170" s="48"/>
    </row>
    <row r="171" spans="2:15" ht="15.5" hidden="1" x14ac:dyDescent="0.35">
      <c r="B171" s="87" t="s">
        <v>502</v>
      </c>
      <c r="C171" s="87"/>
      <c r="D171" s="16"/>
      <c r="E171" s="16"/>
      <c r="F171" s="16"/>
      <c r="G171" s="18"/>
      <c r="H171" s="171"/>
      <c r="I171" s="18"/>
      <c r="J171" s="109">
        <f t="shared" si="16"/>
        <v>0</v>
      </c>
      <c r="K171" s="106"/>
      <c r="L171" s="18"/>
      <c r="M171" s="171"/>
      <c r="N171" s="98"/>
      <c r="O171" s="48"/>
    </row>
    <row r="172" spans="2:15" ht="15.5" hidden="1" x14ac:dyDescent="0.35">
      <c r="B172" s="87" t="s">
        <v>503</v>
      </c>
      <c r="C172" s="87"/>
      <c r="D172" s="44"/>
      <c r="E172" s="44"/>
      <c r="F172" s="44"/>
      <c r="G172" s="19"/>
      <c r="H172" s="171"/>
      <c r="I172" s="19"/>
      <c r="J172" s="109">
        <f t="shared" si="16"/>
        <v>0</v>
      </c>
      <c r="K172" s="107"/>
      <c r="L172" s="19"/>
      <c r="M172" s="171"/>
      <c r="N172" s="99"/>
      <c r="O172" s="48"/>
    </row>
    <row r="173" spans="2:15" ht="15.5" hidden="1" x14ac:dyDescent="0.35">
      <c r="B173" s="87" t="s">
        <v>504</v>
      </c>
      <c r="C173" s="87"/>
      <c r="D173" s="44"/>
      <c r="E173" s="44"/>
      <c r="F173" s="44"/>
      <c r="G173" s="19"/>
      <c r="H173" s="171"/>
      <c r="I173" s="19"/>
      <c r="J173" s="109">
        <f t="shared" si="16"/>
        <v>0</v>
      </c>
      <c r="K173" s="107"/>
      <c r="L173" s="19"/>
      <c r="M173" s="171"/>
      <c r="N173" s="99"/>
      <c r="O173" s="48"/>
    </row>
    <row r="174" spans="2:15" ht="15.5" hidden="1" x14ac:dyDescent="0.35">
      <c r="D174" s="88" t="s">
        <v>518</v>
      </c>
      <c r="E174" s="295"/>
      <c r="F174" s="295"/>
      <c r="G174" s="23">
        <f>SUM(G166:G173)</f>
        <v>0</v>
      </c>
      <c r="H174" s="23">
        <f>SUM(H166:H173)</f>
        <v>0</v>
      </c>
      <c r="I174" s="23">
        <f>SUM(I166:I173)</f>
        <v>0</v>
      </c>
      <c r="J174" s="23">
        <f>SUM(J166:J173)</f>
        <v>0</v>
      </c>
      <c r="K174" s="20">
        <f>(K166*J166)+(K167*J167)+(K168*J168)+(K169*J169)+(K170*J170)+(K171*J171)+(K172*J172)+(K173*J173)</f>
        <v>0</v>
      </c>
      <c r="L174" s="20">
        <f>SUM(L166:L173)</f>
        <v>0</v>
      </c>
      <c r="M174" s="172"/>
      <c r="N174" s="99"/>
      <c r="O174" s="49"/>
    </row>
    <row r="175" spans="2:15" ht="51" hidden="1" customHeight="1" x14ac:dyDescent="0.35">
      <c r="B175" s="86" t="s">
        <v>505</v>
      </c>
      <c r="C175" s="86"/>
      <c r="D175" s="334"/>
      <c r="E175" s="334"/>
      <c r="F175" s="334"/>
      <c r="G175" s="334"/>
      <c r="H175" s="334"/>
      <c r="I175" s="334"/>
      <c r="J175" s="334"/>
      <c r="K175" s="334"/>
      <c r="L175" s="335"/>
      <c r="M175" s="335"/>
      <c r="N175" s="334"/>
      <c r="O175" s="47"/>
    </row>
    <row r="176" spans="2:15" ht="15.5" hidden="1" x14ac:dyDescent="0.35">
      <c r="B176" s="87" t="s">
        <v>506</v>
      </c>
      <c r="C176" s="87"/>
      <c r="D176" s="16"/>
      <c r="E176" s="16"/>
      <c r="F176" s="16"/>
      <c r="G176" s="18"/>
      <c r="H176" s="171"/>
      <c r="I176" s="18"/>
      <c r="J176" s="109">
        <f>SUM(G176:I176)</f>
        <v>0</v>
      </c>
      <c r="K176" s="106"/>
      <c r="L176" s="18"/>
      <c r="M176" s="171"/>
      <c r="N176" s="98"/>
      <c r="O176" s="48"/>
    </row>
    <row r="177" spans="2:15" ht="15.5" hidden="1" x14ac:dyDescent="0.35">
      <c r="B177" s="87" t="s">
        <v>507</v>
      </c>
      <c r="C177" s="87"/>
      <c r="D177" s="16"/>
      <c r="E177" s="16"/>
      <c r="F177" s="16"/>
      <c r="G177" s="18"/>
      <c r="H177" s="171"/>
      <c r="I177" s="18"/>
      <c r="J177" s="109">
        <f t="shared" ref="J177:J183" si="17">SUM(G177:I177)</f>
        <v>0</v>
      </c>
      <c r="K177" s="106"/>
      <c r="L177" s="18"/>
      <c r="M177" s="171"/>
      <c r="N177" s="98"/>
      <c r="O177" s="48"/>
    </row>
    <row r="178" spans="2:15" ht="15.5" hidden="1" x14ac:dyDescent="0.35">
      <c r="B178" s="87" t="s">
        <v>508</v>
      </c>
      <c r="C178" s="87"/>
      <c r="D178" s="16"/>
      <c r="E178" s="16"/>
      <c r="F178" s="16"/>
      <c r="G178" s="18"/>
      <c r="H178" s="171"/>
      <c r="I178" s="18"/>
      <c r="J178" s="109">
        <f t="shared" si="17"/>
        <v>0</v>
      </c>
      <c r="K178" s="106"/>
      <c r="L178" s="18"/>
      <c r="M178" s="171"/>
      <c r="N178" s="98"/>
      <c r="O178" s="48"/>
    </row>
    <row r="179" spans="2:15" ht="15.5" hidden="1" x14ac:dyDescent="0.35">
      <c r="B179" s="87" t="s">
        <v>509</v>
      </c>
      <c r="C179" s="87"/>
      <c r="D179" s="16"/>
      <c r="E179" s="16"/>
      <c r="F179" s="16"/>
      <c r="G179" s="18"/>
      <c r="H179" s="171"/>
      <c r="I179" s="18"/>
      <c r="J179" s="109">
        <f t="shared" si="17"/>
        <v>0</v>
      </c>
      <c r="K179" s="106"/>
      <c r="L179" s="18"/>
      <c r="M179" s="171"/>
      <c r="N179" s="98"/>
      <c r="O179" s="48"/>
    </row>
    <row r="180" spans="2:15" ht="15.5" hidden="1" x14ac:dyDescent="0.35">
      <c r="B180" s="87" t="s">
        <v>510</v>
      </c>
      <c r="C180" s="87"/>
      <c r="D180" s="16"/>
      <c r="E180" s="16"/>
      <c r="F180" s="16"/>
      <c r="G180" s="18"/>
      <c r="H180" s="171"/>
      <c r="I180" s="18"/>
      <c r="J180" s="109">
        <f>SUM(G180:I180)</f>
        <v>0</v>
      </c>
      <c r="K180" s="106"/>
      <c r="L180" s="18"/>
      <c r="M180" s="171"/>
      <c r="N180" s="98"/>
      <c r="O180" s="48"/>
    </row>
    <row r="181" spans="2:15" ht="15.5" hidden="1" x14ac:dyDescent="0.35">
      <c r="B181" s="87" t="s">
        <v>511</v>
      </c>
      <c r="C181" s="87"/>
      <c r="D181" s="16"/>
      <c r="E181" s="16"/>
      <c r="F181" s="16"/>
      <c r="G181" s="18"/>
      <c r="H181" s="171"/>
      <c r="I181" s="18"/>
      <c r="J181" s="109">
        <f t="shared" si="17"/>
        <v>0</v>
      </c>
      <c r="K181" s="106"/>
      <c r="L181" s="18"/>
      <c r="M181" s="171"/>
      <c r="N181" s="98"/>
      <c r="O181" s="48"/>
    </row>
    <row r="182" spans="2:15" ht="15.5" hidden="1" x14ac:dyDescent="0.35">
      <c r="B182" s="87" t="s">
        <v>512</v>
      </c>
      <c r="C182" s="87"/>
      <c r="D182" s="44"/>
      <c r="E182" s="44"/>
      <c r="F182" s="44"/>
      <c r="G182" s="19"/>
      <c r="H182" s="171"/>
      <c r="I182" s="19"/>
      <c r="J182" s="109">
        <f t="shared" si="17"/>
        <v>0</v>
      </c>
      <c r="K182" s="107"/>
      <c r="L182" s="19"/>
      <c r="M182" s="171"/>
      <c r="N182" s="99"/>
      <c r="O182" s="48"/>
    </row>
    <row r="183" spans="2:15" ht="15.5" hidden="1" x14ac:dyDescent="0.35">
      <c r="B183" s="87" t="s">
        <v>513</v>
      </c>
      <c r="C183" s="87"/>
      <c r="D183" s="44"/>
      <c r="E183" s="44"/>
      <c r="F183" s="44"/>
      <c r="G183" s="19"/>
      <c r="H183" s="171"/>
      <c r="I183" s="19"/>
      <c r="J183" s="109">
        <f t="shared" si="17"/>
        <v>0</v>
      </c>
      <c r="K183" s="107"/>
      <c r="L183" s="19"/>
      <c r="M183" s="171"/>
      <c r="N183" s="99"/>
      <c r="O183" s="48"/>
    </row>
    <row r="184" spans="2:15" ht="15.5" hidden="1" x14ac:dyDescent="0.35">
      <c r="D184" s="88" t="s">
        <v>518</v>
      </c>
      <c r="E184" s="88"/>
      <c r="F184" s="88"/>
      <c r="G184" s="20">
        <f>SUM(G176:G183)</f>
        <v>0</v>
      </c>
      <c r="H184" s="20">
        <f>SUM(H176:H183)</f>
        <v>0</v>
      </c>
      <c r="I184" s="20">
        <f>SUM(I176:I183)</f>
        <v>0</v>
      </c>
      <c r="J184" s="20">
        <f>SUM(J176:J183)</f>
        <v>0</v>
      </c>
      <c r="K184" s="20">
        <f>(K176*J176)+(K177*J177)+(K178*J178)+(K179*J179)+(K180*J180)+(K181*J181)+(K182*J182)+(K183*J183)</f>
        <v>0</v>
      </c>
      <c r="L184" s="20">
        <f>SUM(L176:L183)</f>
        <v>0</v>
      </c>
      <c r="M184" s="172"/>
      <c r="N184" s="99"/>
      <c r="O184" s="49"/>
    </row>
    <row r="185" spans="2:15" ht="15.75" customHeight="1" x14ac:dyDescent="0.35">
      <c r="B185" s="6"/>
      <c r="C185" s="6"/>
      <c r="D185" s="10"/>
      <c r="E185" s="10"/>
      <c r="F185" s="10"/>
      <c r="G185" s="25"/>
      <c r="H185" s="139"/>
      <c r="I185" s="25"/>
      <c r="J185" s="25"/>
      <c r="K185" s="25"/>
      <c r="L185" s="25"/>
      <c r="M185" s="139"/>
      <c r="N185" s="10"/>
      <c r="O185" s="3"/>
    </row>
    <row r="186" spans="2:15" ht="15.75" customHeight="1" x14ac:dyDescent="0.35">
      <c r="B186" s="6"/>
      <c r="C186" s="6"/>
      <c r="D186" s="10"/>
      <c r="E186" s="10"/>
      <c r="F186" s="10"/>
      <c r="G186" s="25"/>
      <c r="H186" s="139"/>
      <c r="I186" s="25"/>
      <c r="J186" s="25"/>
      <c r="K186" s="25"/>
      <c r="L186" s="25"/>
      <c r="M186" s="139"/>
      <c r="N186" s="10"/>
      <c r="O186" s="3"/>
    </row>
    <row r="187" spans="2:15" ht="63.75" customHeight="1" x14ac:dyDescent="0.35">
      <c r="B187" s="88" t="s">
        <v>625</v>
      </c>
      <c r="C187" s="88"/>
      <c r="D187" s="15"/>
      <c r="E187" s="15"/>
      <c r="F187" s="15"/>
      <c r="G187" s="271">
        <f>444690-0.233-0.01</f>
        <v>444689.75699999998</v>
      </c>
      <c r="H187" s="266">
        <f>295576.9-74157.9</f>
        <v>221419.00000000003</v>
      </c>
      <c r="I187" s="264">
        <f>323574-74158+0.24</f>
        <v>249416.24</v>
      </c>
      <c r="J187" s="265">
        <f>SUM(G187:I187)</f>
        <v>915524.99699999997</v>
      </c>
      <c r="K187" s="108"/>
      <c r="L187" s="31">
        <f>98000+2766.11+95739</f>
        <v>196505.11</v>
      </c>
      <c r="M187" s="174"/>
      <c r="N187" s="102"/>
      <c r="O187" s="49"/>
    </row>
    <row r="188" spans="2:15" ht="69.75" customHeight="1" x14ac:dyDescent="0.35">
      <c r="B188" s="88" t="s">
        <v>626</v>
      </c>
      <c r="C188" s="88"/>
      <c r="D188" s="15"/>
      <c r="E188" s="15"/>
      <c r="F188" s="15"/>
      <c r="G188" s="174">
        <v>101825</v>
      </c>
      <c r="H188" s="272">
        <v>113618</v>
      </c>
      <c r="I188" s="31">
        <v>134032</v>
      </c>
      <c r="J188" s="265">
        <f>SUM(G188:I188)</f>
        <v>349475</v>
      </c>
      <c r="K188" s="108"/>
      <c r="L188" s="31">
        <f>19251+1593.85+25456.25</f>
        <v>46301.1</v>
      </c>
      <c r="M188" s="174"/>
      <c r="N188" s="102"/>
      <c r="O188" s="49"/>
    </row>
    <row r="189" spans="2:15" ht="57" customHeight="1" x14ac:dyDescent="0.35">
      <c r="B189" s="88" t="s">
        <v>514</v>
      </c>
      <c r="C189" s="282"/>
      <c r="D189" s="103"/>
      <c r="E189" s="103"/>
      <c r="F189" s="103"/>
      <c r="G189" s="266">
        <v>55000</v>
      </c>
      <c r="H189" s="266">
        <v>60000</v>
      </c>
      <c r="I189" s="264">
        <v>30000</v>
      </c>
      <c r="J189" s="265">
        <f>SUM(G189:I189)</f>
        <v>145000</v>
      </c>
      <c r="K189" s="108"/>
      <c r="L189" s="31">
        <f>7510+8250</f>
        <v>15760</v>
      </c>
      <c r="M189" s="174"/>
      <c r="N189" s="102"/>
      <c r="O189" s="49"/>
    </row>
    <row r="190" spans="2:15" ht="65.25" customHeight="1" x14ac:dyDescent="0.35">
      <c r="B190" s="223" t="s">
        <v>515</v>
      </c>
      <c r="C190" s="223"/>
      <c r="D190" s="15"/>
      <c r="E190" s="15"/>
      <c r="F190" s="15"/>
      <c r="G190" s="264">
        <f>45000*0+90000</f>
        <v>90000</v>
      </c>
      <c r="H190" s="174"/>
      <c r="I190" s="267"/>
      <c r="J190" s="265">
        <f>SUM(G190:I190)</f>
        <v>90000</v>
      </c>
      <c r="K190" s="108"/>
      <c r="L190" s="31"/>
      <c r="M190" s="174"/>
      <c r="N190" s="102"/>
      <c r="O190" s="49"/>
    </row>
    <row r="191" spans="2:15" ht="38.25" customHeight="1" x14ac:dyDescent="0.35">
      <c r="B191" s="6"/>
      <c r="C191" s="6"/>
      <c r="D191" s="104" t="s">
        <v>519</v>
      </c>
      <c r="E191" s="104"/>
      <c r="F191" s="104"/>
      <c r="G191" s="268">
        <f>SUM(G187:G190)</f>
        <v>691514.75699999998</v>
      </c>
      <c r="H191" s="269">
        <f>SUM(H187:H190)</f>
        <v>395037</v>
      </c>
      <c r="I191" s="268">
        <f>SUM(I187:I190)</f>
        <v>413448.24</v>
      </c>
      <c r="J191" s="268">
        <f>SUM(J187:J190)</f>
        <v>1499999.997</v>
      </c>
      <c r="K191" s="20">
        <f>(K187*J187)+(K188*J188)+(K189*J189)+(K190*J190)</f>
        <v>0</v>
      </c>
      <c r="L191" s="20">
        <f>SUM(L187:L190)</f>
        <v>258566.21</v>
      </c>
      <c r="M191" s="172"/>
      <c r="N191" s="15"/>
      <c r="O191" s="13"/>
    </row>
    <row r="192" spans="2:15" ht="15.75" customHeight="1" x14ac:dyDescent="0.35">
      <c r="B192" s="6"/>
      <c r="C192" s="6"/>
      <c r="D192" s="10"/>
      <c r="E192" s="10"/>
      <c r="F192" s="10"/>
      <c r="G192" s="25"/>
      <c r="H192" s="139"/>
      <c r="I192" s="25"/>
      <c r="J192" s="25"/>
      <c r="K192" s="25"/>
      <c r="L192" s="25"/>
      <c r="M192" s="139"/>
      <c r="N192" s="10"/>
      <c r="O192" s="13"/>
    </row>
    <row r="193" spans="2:15" ht="15.75" customHeight="1" x14ac:dyDescent="0.35">
      <c r="B193" s="6"/>
      <c r="C193" s="6"/>
      <c r="D193" s="10"/>
      <c r="E193" s="10"/>
      <c r="F193" s="10"/>
      <c r="G193" s="25"/>
      <c r="H193" s="139"/>
      <c r="I193" s="25"/>
      <c r="J193" s="25"/>
      <c r="K193" s="25"/>
      <c r="L193" s="25"/>
      <c r="M193" s="139"/>
      <c r="N193" s="10"/>
      <c r="O193" s="13"/>
    </row>
    <row r="194" spans="2:15" ht="15.75" customHeight="1" x14ac:dyDescent="0.35">
      <c r="B194" s="6"/>
      <c r="C194" s="6"/>
      <c r="D194" s="10"/>
      <c r="E194" s="10"/>
      <c r="F194" s="10"/>
      <c r="G194" s="25"/>
      <c r="H194" s="139"/>
      <c r="I194" s="25"/>
      <c r="J194" s="25"/>
      <c r="K194" s="25"/>
      <c r="L194" s="25"/>
      <c r="M194" s="139"/>
      <c r="N194" s="10"/>
      <c r="O194" s="13"/>
    </row>
    <row r="195" spans="2:15" ht="15.75" customHeight="1" x14ac:dyDescent="0.35">
      <c r="B195" s="6"/>
      <c r="C195" s="6"/>
      <c r="D195" s="10"/>
      <c r="E195" s="10"/>
      <c r="F195" s="10"/>
      <c r="G195" s="25"/>
      <c r="H195" s="139"/>
      <c r="I195" s="25"/>
      <c r="J195" s="25"/>
      <c r="K195" s="25"/>
      <c r="L195" s="25"/>
      <c r="M195" s="139"/>
      <c r="N195" s="10"/>
      <c r="O195" s="13"/>
    </row>
    <row r="196" spans="2:15" ht="15.75" customHeight="1" x14ac:dyDescent="0.35">
      <c r="B196" s="6"/>
      <c r="C196" s="6"/>
      <c r="D196" s="10"/>
      <c r="E196" s="10"/>
      <c r="F196" s="10"/>
      <c r="G196" s="25"/>
      <c r="H196" s="139"/>
      <c r="I196" s="25"/>
      <c r="J196" s="25"/>
      <c r="K196" s="25"/>
      <c r="L196" s="25"/>
      <c r="M196" s="139"/>
      <c r="N196" s="10"/>
      <c r="O196" s="13"/>
    </row>
    <row r="197" spans="2:15" ht="15.75" customHeight="1" x14ac:dyDescent="0.35">
      <c r="B197" s="6"/>
      <c r="C197" s="6"/>
      <c r="D197" s="10"/>
      <c r="E197" s="10"/>
      <c r="F197" s="10"/>
      <c r="G197" s="25"/>
      <c r="H197" s="139"/>
      <c r="I197" s="25"/>
      <c r="J197" s="25"/>
      <c r="K197" s="25"/>
      <c r="L197" s="25"/>
      <c r="M197" s="139"/>
      <c r="N197" s="10"/>
      <c r="O197" s="13"/>
    </row>
    <row r="198" spans="2:15" ht="15.75" customHeight="1" thickBot="1" x14ac:dyDescent="0.4">
      <c r="B198" s="6"/>
      <c r="C198" s="6"/>
      <c r="D198" s="10"/>
      <c r="E198" s="10"/>
      <c r="F198" s="10"/>
      <c r="G198" s="25"/>
      <c r="H198" s="139"/>
      <c r="I198" s="25"/>
      <c r="J198" s="25"/>
      <c r="K198" s="25"/>
      <c r="L198" s="25"/>
      <c r="M198" s="139"/>
      <c r="N198" s="10"/>
      <c r="O198" s="13"/>
    </row>
    <row r="199" spans="2:15" ht="15.5" x14ac:dyDescent="0.35">
      <c r="B199" s="6"/>
      <c r="C199" s="6"/>
      <c r="D199" s="356" t="s">
        <v>528</v>
      </c>
      <c r="E199" s="357"/>
      <c r="F199" s="357"/>
      <c r="G199" s="357"/>
      <c r="H199" s="357"/>
      <c r="I199" s="357"/>
      <c r="J199" s="358"/>
      <c r="K199" s="13"/>
      <c r="L199" s="138"/>
      <c r="M199" s="175"/>
      <c r="N199" s="13"/>
    </row>
    <row r="200" spans="2:15" ht="54.75" customHeight="1" x14ac:dyDescent="0.35">
      <c r="B200" s="6"/>
      <c r="C200" s="6"/>
      <c r="D200" s="159"/>
      <c r="E200" s="299"/>
      <c r="F200" s="299"/>
      <c r="G200" s="167" t="str">
        <f>G5</f>
        <v>Organisation recipiendiaire 1 (UNHCR)</v>
      </c>
      <c r="H200" s="167" t="str">
        <f t="shared" ref="H200:I200" si="18">H5</f>
        <v>Organisation recipiendiaire 2 (FAO)</v>
      </c>
      <c r="I200" s="167" t="str">
        <f t="shared" si="18"/>
        <v>Organisation recipiendiaire 3 (OIM)</v>
      </c>
      <c r="J200" s="160" t="s">
        <v>11</v>
      </c>
      <c r="K200" s="10"/>
      <c r="L200" s="328" t="s">
        <v>576</v>
      </c>
      <c r="M200" s="139"/>
      <c r="N200" s="13"/>
    </row>
    <row r="201" spans="2:15" ht="41.25" customHeight="1" x14ac:dyDescent="0.35">
      <c r="B201" s="14"/>
      <c r="C201" s="14"/>
      <c r="D201" s="100" t="s">
        <v>520</v>
      </c>
      <c r="E201" s="300"/>
      <c r="F201" s="300"/>
      <c r="G201" s="89">
        <f>SUM(G20,G30,G40,G50,G66,G76,G86,G96,G107,G122,G132,G142,G154,G164,G174,G184,G187,G188,G189,G190)</f>
        <v>2017474.757</v>
      </c>
      <c r="H201" s="89">
        <f>SUM(H20,H30,H40,H50,H66,H76,H86,H96,H107,H122,H132,H142,H154,H164,H174,H184,H187,H188,H189,H190)</f>
        <v>1327711.2188785046</v>
      </c>
      <c r="I201" s="89">
        <f>SUM(I20,I30,I40,I50,I66,I76,I86,I96,I107,I122,I132,I142,I154,I164,I174,I184,I187,I188,I189,I190)</f>
        <v>1327711.2158878511</v>
      </c>
      <c r="J201" s="101">
        <f>SUM(G201:I201)</f>
        <v>4672897.1917663552</v>
      </c>
      <c r="K201" s="10"/>
      <c r="L201" s="329">
        <f>+L213</f>
        <v>969069.83</v>
      </c>
      <c r="M201" s="139"/>
      <c r="N201" s="14"/>
    </row>
    <row r="202" spans="2:15" ht="51.75" customHeight="1" x14ac:dyDescent="0.35">
      <c r="B202" s="4"/>
      <c r="C202" s="4"/>
      <c r="D202" s="149" t="s">
        <v>521</v>
      </c>
      <c r="E202" s="301"/>
      <c r="F202" s="301"/>
      <c r="G202" s="89">
        <f>G201*0.07</f>
        <v>141223.23299000002</v>
      </c>
      <c r="H202" s="89">
        <f>H201*0.07</f>
        <v>92939.785321495336</v>
      </c>
      <c r="I202" s="89">
        <f>I201*0.07</f>
        <v>92939.785112149591</v>
      </c>
      <c r="J202" s="101">
        <f>J201*0.07</f>
        <v>327102.80342364492</v>
      </c>
      <c r="K202" s="4"/>
      <c r="L202" s="329">
        <f>L201*0.07</f>
        <v>67834.888099999996</v>
      </c>
      <c r="M202" s="139"/>
      <c r="N202" s="1"/>
    </row>
    <row r="203" spans="2:15" ht="51.75" customHeight="1" thickBot="1" x14ac:dyDescent="0.4">
      <c r="B203" s="4"/>
      <c r="C203" s="4"/>
      <c r="D203" s="8" t="s">
        <v>11</v>
      </c>
      <c r="E203" s="302"/>
      <c r="F203" s="302"/>
      <c r="G203" s="226">
        <f>SUM(G201:G202)</f>
        <v>2158697.9899900001</v>
      </c>
      <c r="H203" s="227">
        <f>SUM(H201:H202)</f>
        <v>1420651.0041999999</v>
      </c>
      <c r="I203" s="227">
        <f>SUM(I201:I202)</f>
        <v>1420651.0010000006</v>
      </c>
      <c r="J203" s="270">
        <f>SUM(J201:J202)</f>
        <v>4999999.9951900002</v>
      </c>
      <c r="K203" s="182"/>
      <c r="L203" s="330">
        <f>SUM(L201:L202)</f>
        <v>1036904.7180999999</v>
      </c>
      <c r="M203" s="139"/>
      <c r="N203" s="1"/>
    </row>
    <row r="204" spans="2:15" ht="42" customHeight="1" x14ac:dyDescent="0.35">
      <c r="B204" s="4"/>
      <c r="C204" s="4"/>
      <c r="N204" s="3"/>
      <c r="O204" s="1"/>
    </row>
    <row r="205" spans="2:15" s="38" customFormat="1" ht="29.25" customHeight="1" thickBot="1" x14ac:dyDescent="0.4">
      <c r="B205" s="10"/>
      <c r="C205" s="10"/>
      <c r="D205" s="6"/>
      <c r="E205" s="6"/>
      <c r="F205" s="6"/>
      <c r="G205" s="33"/>
      <c r="H205" s="7"/>
      <c r="I205" s="33"/>
      <c r="J205" s="33"/>
      <c r="K205" s="33"/>
      <c r="L205" s="141"/>
      <c r="M205" s="145"/>
      <c r="N205" s="13"/>
      <c r="O205" s="14"/>
    </row>
    <row r="206" spans="2:15" ht="23.25" customHeight="1" x14ac:dyDescent="0.35">
      <c r="B206" s="1"/>
      <c r="C206" s="1"/>
      <c r="D206" s="345" t="s">
        <v>522</v>
      </c>
      <c r="E206" s="346"/>
      <c r="F206" s="346"/>
      <c r="G206" s="347"/>
      <c r="H206" s="348"/>
      <c r="I206" s="348"/>
      <c r="J206" s="348"/>
      <c r="K206" s="349"/>
      <c r="L206" s="142"/>
      <c r="M206" s="49"/>
      <c r="N206" s="1"/>
    </row>
    <row r="207" spans="2:15" ht="51.75" customHeight="1" x14ac:dyDescent="0.35">
      <c r="B207" s="1"/>
      <c r="C207" s="1"/>
      <c r="D207" s="29"/>
      <c r="E207" s="303"/>
      <c r="F207" s="303"/>
      <c r="G207" s="167" t="str">
        <f>G5</f>
        <v>Organisation recipiendiaire 1 (UNHCR)</v>
      </c>
      <c r="H207" s="167" t="str">
        <f t="shared" ref="H207:I207" si="19">H5</f>
        <v>Organisation recipiendiaire 2 (FAO)</v>
      </c>
      <c r="I207" s="167" t="str">
        <f t="shared" si="19"/>
        <v>Organisation recipiendiaire 3 (OIM)</v>
      </c>
      <c r="J207" s="161" t="s">
        <v>11</v>
      </c>
      <c r="K207" s="162" t="s">
        <v>9</v>
      </c>
      <c r="L207" s="142"/>
      <c r="M207" s="49"/>
      <c r="N207" s="1"/>
    </row>
    <row r="208" spans="2:15" ht="55.5" customHeight="1" x14ac:dyDescent="0.35">
      <c r="B208" s="1"/>
      <c r="C208" s="1"/>
      <c r="D208" s="28" t="s">
        <v>523</v>
      </c>
      <c r="E208" s="282"/>
      <c r="F208" s="282"/>
      <c r="G208" s="251">
        <f>$G$203*K208</f>
        <v>647609.39699699997</v>
      </c>
      <c r="H208" s="252">
        <f>$H$203*K208</f>
        <v>426195.30125999992</v>
      </c>
      <c r="I208" s="252">
        <f>$I$203*K208</f>
        <v>426195.30030000018</v>
      </c>
      <c r="J208" s="252">
        <f>SUM(G208:I208)</f>
        <v>1499999.9985570002</v>
      </c>
      <c r="K208" s="111">
        <v>0.3</v>
      </c>
      <c r="L208" s="138"/>
      <c r="M208" s="175"/>
      <c r="N208" s="1"/>
    </row>
    <row r="209" spans="2:15" ht="57.75" customHeight="1" x14ac:dyDescent="0.35">
      <c r="B209" s="344"/>
      <c r="C209" s="40"/>
      <c r="D209" s="105" t="s">
        <v>524</v>
      </c>
      <c r="E209" s="304"/>
      <c r="F209" s="304"/>
      <c r="G209" s="251">
        <f>$G$203*K209</f>
        <v>1511088.5929930001</v>
      </c>
      <c r="H209" s="252">
        <f>$H$203*K209</f>
        <v>994455.70293999987</v>
      </c>
      <c r="I209" s="252">
        <f>$I$203*K209</f>
        <v>994455.70070000039</v>
      </c>
      <c r="J209" s="253">
        <f>SUM(G209:I209)</f>
        <v>3499999.9966330002</v>
      </c>
      <c r="K209" s="112">
        <v>0.7</v>
      </c>
      <c r="L209" s="138"/>
      <c r="M209" s="175"/>
    </row>
    <row r="210" spans="2:15" ht="57.75" customHeight="1" x14ac:dyDescent="0.35">
      <c r="B210" s="344"/>
      <c r="C210" s="40"/>
      <c r="D210" s="105" t="s">
        <v>525</v>
      </c>
      <c r="E210" s="304"/>
      <c r="F210" s="304"/>
      <c r="G210" s="251">
        <f>$G$203*K210</f>
        <v>0</v>
      </c>
      <c r="H210" s="252">
        <f>$H$203*K210</f>
        <v>0</v>
      </c>
      <c r="I210" s="252">
        <f>$I$203*K210</f>
        <v>0</v>
      </c>
      <c r="J210" s="253">
        <f>SUM(G210:I210)</f>
        <v>0</v>
      </c>
      <c r="K210" s="113">
        <v>0</v>
      </c>
      <c r="L210" s="143"/>
      <c r="M210" s="176"/>
    </row>
    <row r="211" spans="2:15" ht="38.25" customHeight="1" thickBot="1" x14ac:dyDescent="0.4">
      <c r="B211" s="344"/>
      <c r="C211" s="40"/>
      <c r="D211" s="8" t="s">
        <v>11</v>
      </c>
      <c r="E211" s="302"/>
      <c r="F211" s="302"/>
      <c r="G211" s="225">
        <f>SUM(G208:G210)</f>
        <v>2158697.9899900001</v>
      </c>
      <c r="H211" s="225">
        <f>SUM(H208:H210)</f>
        <v>1420651.0041999999</v>
      </c>
      <c r="I211" s="225">
        <f>SUM(I208:I210)</f>
        <v>1420651.0010000006</v>
      </c>
      <c r="J211" s="225">
        <f>SUM(J208:J210)</f>
        <v>4999999.9951900002</v>
      </c>
      <c r="K211" s="90">
        <f>SUM(K208:K210)</f>
        <v>1</v>
      </c>
      <c r="L211" s="144"/>
      <c r="M211" s="47"/>
    </row>
    <row r="212" spans="2:15" ht="21.75" customHeight="1" thickBot="1" x14ac:dyDescent="0.4">
      <c r="B212" s="344"/>
      <c r="C212" s="40"/>
      <c r="D212" s="2"/>
      <c r="E212" s="2"/>
      <c r="F212" s="2"/>
      <c r="G212" s="7"/>
      <c r="H212" s="7"/>
      <c r="I212" s="7"/>
      <c r="J212" s="7"/>
      <c r="K212" s="7"/>
      <c r="L212" s="145"/>
      <c r="M212" s="145"/>
    </row>
    <row r="213" spans="2:15" ht="49.5" customHeight="1" x14ac:dyDescent="0.35">
      <c r="B213" s="344"/>
      <c r="C213" s="40"/>
      <c r="D213" s="91" t="s">
        <v>577</v>
      </c>
      <c r="E213" s="305"/>
      <c r="F213" s="305"/>
      <c r="G213" s="92">
        <f>SUM(K20,K30,K40,K50,K66,K76,K86,K96,K107,K122,K132,K142,K154,K164,K174,K184,K191)*1.07</f>
        <v>1665132.7144900004</v>
      </c>
      <c r="H213" s="7"/>
      <c r="I213" s="33"/>
      <c r="J213" s="33"/>
      <c r="K213" s="150" t="s">
        <v>579</v>
      </c>
      <c r="L213" s="151">
        <f>SUM(L191,L184,L174,L164,L154,L142,L132,L122,L107,L96,L86,L76,L66,L50,L40,L30,L20)</f>
        <v>969069.83</v>
      </c>
      <c r="M213" s="166"/>
    </row>
    <row r="214" spans="2:15" ht="28.5" customHeight="1" thickBot="1" x14ac:dyDescent="0.4">
      <c r="B214" s="344"/>
      <c r="C214" s="40"/>
      <c r="D214" s="93" t="s">
        <v>526</v>
      </c>
      <c r="E214" s="306"/>
      <c r="F214" s="306"/>
      <c r="G214" s="137">
        <f>G213/J203</f>
        <v>0.33302654321837161</v>
      </c>
      <c r="H214" s="184"/>
      <c r="I214" s="41"/>
      <c r="J214" s="41"/>
      <c r="K214" s="152" t="s">
        <v>580</v>
      </c>
      <c r="L214" s="153">
        <f>L213/J203</f>
        <v>0.19381396618644903</v>
      </c>
      <c r="M214" s="166"/>
    </row>
    <row r="215" spans="2:15" ht="28.5" customHeight="1" x14ac:dyDescent="0.35">
      <c r="B215" s="344"/>
      <c r="C215" s="40"/>
      <c r="D215" s="353"/>
      <c r="E215" s="354"/>
      <c r="F215" s="354"/>
      <c r="G215" s="355"/>
      <c r="H215" s="185"/>
      <c r="I215" s="42"/>
      <c r="J215" s="42"/>
    </row>
    <row r="216" spans="2:15" ht="28.5" customHeight="1" x14ac:dyDescent="0.35">
      <c r="B216" s="344"/>
      <c r="C216" s="40"/>
      <c r="D216" s="93" t="s">
        <v>578</v>
      </c>
      <c r="E216" s="306"/>
      <c r="F216" s="306"/>
      <c r="G216" s="94">
        <f>SUM(G189:I190)*1.07</f>
        <v>251450.00000000003</v>
      </c>
      <c r="H216" s="186"/>
      <c r="I216" s="43"/>
      <c r="J216" s="43"/>
    </row>
    <row r="217" spans="2:15" ht="23.25" customHeight="1" x14ac:dyDescent="0.35">
      <c r="B217" s="344"/>
      <c r="C217" s="40"/>
      <c r="D217" s="93" t="s">
        <v>527</v>
      </c>
      <c r="E217" s="306"/>
      <c r="F217" s="306"/>
      <c r="G217" s="137">
        <f>G216/J203</f>
        <v>5.0290000048378983E-2</v>
      </c>
      <c r="H217" s="186"/>
      <c r="I217" s="43"/>
      <c r="J217" s="43"/>
    </row>
    <row r="218" spans="2:15" ht="66.75" customHeight="1" thickBot="1" x14ac:dyDescent="0.4">
      <c r="B218" s="344"/>
      <c r="C218" s="40"/>
      <c r="D218" s="350" t="s">
        <v>568</v>
      </c>
      <c r="E218" s="351"/>
      <c r="F218" s="351"/>
      <c r="G218" s="352"/>
      <c r="H218" s="187"/>
      <c r="I218" s="34"/>
      <c r="J218" s="34"/>
      <c r="L218" s="146"/>
    </row>
    <row r="219" spans="2:15" ht="55.5" customHeight="1" x14ac:dyDescent="0.35">
      <c r="B219" s="344"/>
      <c r="C219" s="40"/>
      <c r="O219" s="38"/>
    </row>
    <row r="220" spans="2:15" ht="42.75" customHeight="1" x14ac:dyDescent="0.7">
      <c r="B220" s="344"/>
      <c r="C220" s="359" t="s">
        <v>816</v>
      </c>
      <c r="D220" s="359"/>
      <c r="E220" s="359"/>
      <c r="F220" s="359"/>
      <c r="G220" s="359"/>
    </row>
    <row r="221" spans="2:15" ht="21.75" customHeight="1" thickBot="1" x14ac:dyDescent="0.4">
      <c r="B221" s="344"/>
    </row>
    <row r="222" spans="2:15" ht="57.65" customHeight="1" x14ac:dyDescent="0.7">
      <c r="B222" s="344"/>
      <c r="C222" s="324" t="s">
        <v>817</v>
      </c>
      <c r="D222" s="325" t="s">
        <v>813</v>
      </c>
      <c r="E222" s="325" t="s">
        <v>812</v>
      </c>
      <c r="F222" s="325" t="s">
        <v>815</v>
      </c>
      <c r="G222" s="326" t="s">
        <v>814</v>
      </c>
    </row>
    <row r="223" spans="2:15" ht="127" customHeight="1" x14ac:dyDescent="0.7">
      <c r="B223" s="344"/>
      <c r="C223" s="317" t="s">
        <v>818</v>
      </c>
      <c r="D223" s="314">
        <v>30</v>
      </c>
      <c r="E223" s="315">
        <f>D223/D225</f>
        <v>0.8571428571428571</v>
      </c>
      <c r="F223" s="316">
        <f>J8+J9+J10+J11+J12+J13+J14+J22+J23+J24+J54+J55+J56+J57+J58+J59+J69+J70+J71+J72+J73+J74+J75+J100+J101+J109+J110+J111+J112+J117</f>
        <v>2707882.1947663557</v>
      </c>
      <c r="G223" s="318">
        <f>F223/F225</f>
        <v>0.85344151686760128</v>
      </c>
      <c r="J223" s="245"/>
    </row>
    <row r="224" spans="2:15" ht="60" customHeight="1" x14ac:dyDescent="0.7">
      <c r="C224" s="317" t="s">
        <v>819</v>
      </c>
      <c r="D224" s="314">
        <v>5</v>
      </c>
      <c r="E224" s="315">
        <f>D224/D225</f>
        <v>0.14285714285714285</v>
      </c>
      <c r="F224" s="316">
        <f>J68+J113+J114+J115+J116</f>
        <v>465015</v>
      </c>
      <c r="G224" s="318">
        <f>F224/F225</f>
        <v>0.14655848313239866</v>
      </c>
      <c r="J224" s="245"/>
    </row>
    <row r="225" spans="3:10" ht="58.5" customHeight="1" thickBot="1" x14ac:dyDescent="0.75">
      <c r="C225" s="319" t="s">
        <v>14</v>
      </c>
      <c r="D225" s="320">
        <v>35</v>
      </c>
      <c r="E225" s="321">
        <f>SUM(E223:E224)</f>
        <v>1</v>
      </c>
      <c r="F225" s="322">
        <f>F223+F224</f>
        <v>3172897.1947663557</v>
      </c>
      <c r="G225" s="323">
        <f>SUM(G223:G224)</f>
        <v>1</v>
      </c>
      <c r="J225" s="245"/>
    </row>
    <row r="226" spans="3:10" ht="16.5" customHeight="1" x14ac:dyDescent="0.35"/>
    <row r="227" spans="3:10" ht="29.25" customHeight="1" x14ac:dyDescent="0.35"/>
    <row r="228" spans="3:10" ht="24.75" customHeight="1" x14ac:dyDescent="0.35"/>
    <row r="229" spans="3:10" ht="33" customHeight="1" x14ac:dyDescent="0.35"/>
    <row r="231" spans="3:10" ht="15" customHeight="1" x14ac:dyDescent="0.35"/>
    <row r="232" spans="3:10" ht="25.5" customHeight="1" x14ac:dyDescent="0.35"/>
    <row r="283" spans="1:1" x14ac:dyDescent="0.35">
      <c r="A283" s="37" t="s">
        <v>575</v>
      </c>
    </row>
  </sheetData>
  <sheetProtection formatCells="0" formatColumns="0" formatRows="0"/>
  <dataConsolidate/>
  <mergeCells count="28">
    <mergeCell ref="D165:N165"/>
    <mergeCell ref="D175:N175"/>
    <mergeCell ref="B209:B223"/>
    <mergeCell ref="D206:K206"/>
    <mergeCell ref="D218:G218"/>
    <mergeCell ref="D215:G215"/>
    <mergeCell ref="D199:J199"/>
    <mergeCell ref="C220:G220"/>
    <mergeCell ref="D41:N41"/>
    <mergeCell ref="D6:N6"/>
    <mergeCell ref="D52:N52"/>
    <mergeCell ref="D53:N53"/>
    <mergeCell ref="B2:H2"/>
    <mergeCell ref="B3:K3"/>
    <mergeCell ref="D21:N21"/>
    <mergeCell ref="D7:N7"/>
    <mergeCell ref="D31:N31"/>
    <mergeCell ref="D67:N67"/>
    <mergeCell ref="D77:N77"/>
    <mergeCell ref="D87:N87"/>
    <mergeCell ref="D98:N98"/>
    <mergeCell ref="D99:N99"/>
    <mergeCell ref="D108:N108"/>
    <mergeCell ref="D123:N123"/>
    <mergeCell ref="D144:N144"/>
    <mergeCell ref="D133:N133"/>
    <mergeCell ref="D155:N155"/>
    <mergeCell ref="D145:N145"/>
  </mergeCells>
  <phoneticPr fontId="23" type="noConversion"/>
  <conditionalFormatting sqref="G214">
    <cfRule type="cellIs" dxfId="25" priority="46" operator="lessThan">
      <formula>0.15</formula>
    </cfRule>
  </conditionalFormatting>
  <conditionalFormatting sqref="G217">
    <cfRule type="cellIs" dxfId="24" priority="44" operator="lessThan">
      <formula>0.05</formula>
    </cfRule>
  </conditionalFormatting>
  <conditionalFormatting sqref="K211:M211">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I214:J214" xr:uid="{E72508C7-C8DD-46A5-878C-E4FA07CAB6AF}"/>
    <dataValidation allowBlank="1" showInputMessage="1" showErrorMessage="1" prompt="M&amp;E Budget Cannot be Less than 5%_x000a_" sqref="H217:J217" xr:uid="{53928C0A-D548-4B6B-97FC-07D38B0E5FA7}"/>
    <dataValidation allowBlank="1" showInputMessage="1" showErrorMessage="1" prompt="Insert *text* description of Outcome here" sqref="D6:N6 D52:N52 D98:N98 D144:N144" xr:uid="{89ACADD6-F982-42D9-AC8D-CCF9750605B2}"/>
    <dataValidation allowBlank="1" showInputMessage="1" showErrorMessage="1" prompt="Insert *text* description of Output here" sqref="D7:F7 D21:F21 D31:F31 D41:F41 D53:F53 D67:F67 D77:F77 D87:F87 D99:F99 D108:F108 D123:F123 D133:F133 D145:F145 D155:F155 D165:F165 D175:F175" xr:uid="{31AC9CA6-D499-4711-A99F-BECD0A64F3A8}"/>
    <dataValidation allowBlank="1" showInputMessage="1" showErrorMessage="1" prompt="Insert *text* description of Activity here" sqref="D176:F176 C22:F22 D32:F32 D42:F42 C54:F54 C68:F68 D78:F78 D88:F88 C100:F100 D124:F124 D134:F134 D146:F146 D156:F156 D166:F166 D8:F8" xr:uid="{E7A390F5-03DD-4A67-B842-17326B4F2DA4}"/>
    <dataValidation allowBlank="1" showErrorMessage="1" prompt="% Towards Gender Equality and Women's Empowerment Must be Higher than 15%_x000a_" sqref="G216:J216 G214" xr:uid="{8C6643DA-1D03-44FB-AC1F-C4CB706ED3AA}"/>
  </dataValidations>
  <pageMargins left="0.7" right="0.7" top="0.75" bottom="0.75" header="0.3" footer="0.3"/>
  <pageSetup scale="74" orientation="landscape" r:id="rId1"/>
  <rowBreaks count="1" manualBreakCount="1">
    <brk id="67" max="16383" man="1"/>
  </rowBreaks>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71" zoomScaleNormal="100" workbookViewId="0">
      <pane ySplit="4" topLeftCell="A200" activePane="bottomLeft" state="frozen"/>
      <selection pane="bottomLeft" activeCell="K186" sqref="K186"/>
    </sheetView>
  </sheetViews>
  <sheetFormatPr defaultColWidth="9.1796875" defaultRowHeight="15.5" x14ac:dyDescent="0.35"/>
  <cols>
    <col min="1" max="1" width="4.453125" style="52" customWidth="1"/>
    <col min="2" max="2" width="3.26953125" style="52" customWidth="1"/>
    <col min="3" max="3" width="51.453125" style="52" customWidth="1"/>
    <col min="4" max="4" width="34.26953125" style="14" customWidth="1"/>
    <col min="5" max="5" width="35" style="1" customWidth="1"/>
    <col min="6" max="6" width="34" style="14" customWidth="1"/>
    <col min="7" max="7" width="25.7265625" style="1"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26953125" style="52" customWidth="1"/>
    <col min="16" max="16" width="26.453125" style="52" customWidth="1"/>
    <col min="17" max="17" width="30.1796875" style="52" customWidth="1"/>
    <col min="18" max="18" width="33" style="52" customWidth="1"/>
    <col min="19" max="20" width="22.7265625" style="52" customWidth="1"/>
    <col min="21" max="21" width="23.453125" style="52" customWidth="1"/>
    <col min="22" max="22" width="32.1796875" style="52" customWidth="1"/>
    <col min="23" max="23" width="9.1796875" style="52"/>
    <col min="24" max="24" width="17.7265625" style="52" customWidth="1"/>
    <col min="25" max="25" width="26.453125" style="52" customWidth="1"/>
    <col min="26" max="26" width="22.453125" style="52" customWidth="1"/>
    <col min="27" max="27" width="29.7265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331" t="s">
        <v>516</v>
      </c>
      <c r="D1" s="331"/>
      <c r="E1" s="331"/>
      <c r="F1" s="331"/>
      <c r="G1" s="191"/>
      <c r="H1" s="36"/>
      <c r="I1" s="36"/>
      <c r="L1" s="22"/>
      <c r="M1" s="5"/>
    </row>
    <row r="2" spans="2:13" ht="25.5" customHeight="1" x14ac:dyDescent="0.45">
      <c r="C2" s="360" t="s">
        <v>569</v>
      </c>
      <c r="D2" s="360"/>
      <c r="E2" s="360"/>
      <c r="F2" s="360"/>
      <c r="L2" s="22"/>
      <c r="M2" s="5"/>
    </row>
    <row r="3" spans="2:13" ht="9.75" customHeight="1" x14ac:dyDescent="0.35">
      <c r="C3" s="46"/>
      <c r="D3" s="192"/>
      <c r="E3" s="193"/>
      <c r="F3" s="192"/>
      <c r="L3" s="22"/>
      <c r="M3" s="5"/>
    </row>
    <row r="4" spans="2:13" ht="33.75" customHeight="1" x14ac:dyDescent="0.35">
      <c r="C4" s="46"/>
      <c r="D4" s="167" t="str">
        <f>'1) Tableau budgétaire 1'!G5</f>
        <v>Organisation recipiendiaire 1 (UNHCR)</v>
      </c>
      <c r="E4" s="167" t="str">
        <f>'1) Tableau budgétaire 1'!H5</f>
        <v>Organisation recipiendiaire 2 (FAO)</v>
      </c>
      <c r="F4" s="167" t="str">
        <f>'1) Tableau budgétaire 1'!I5</f>
        <v>Organisation recipiendiaire 3 (OIM)</v>
      </c>
      <c r="G4" s="161" t="s">
        <v>11</v>
      </c>
      <c r="L4" s="22"/>
      <c r="M4" s="5"/>
    </row>
    <row r="5" spans="2:13" ht="24" customHeight="1" x14ac:dyDescent="0.35">
      <c r="B5" s="361" t="s">
        <v>529</v>
      </c>
      <c r="C5" s="362"/>
      <c r="D5" s="362"/>
      <c r="E5" s="362"/>
      <c r="F5" s="362"/>
      <c r="G5" s="363"/>
      <c r="L5" s="22"/>
      <c r="M5" s="5"/>
    </row>
    <row r="6" spans="2:13" ht="22.5" customHeight="1" x14ac:dyDescent="0.35">
      <c r="C6" s="361" t="s">
        <v>530</v>
      </c>
      <c r="D6" s="362"/>
      <c r="E6" s="362"/>
      <c r="F6" s="362"/>
      <c r="G6" s="363"/>
      <c r="L6" s="22"/>
      <c r="M6" s="5"/>
    </row>
    <row r="7" spans="2:13" ht="24.75" customHeight="1" thickBot="1" x14ac:dyDescent="0.4">
      <c r="C7" s="60" t="s">
        <v>531</v>
      </c>
      <c r="D7" s="194">
        <f>'1) Tableau budgétaire 1'!G20</f>
        <v>346750</v>
      </c>
      <c r="E7" s="194">
        <f>'1) Tableau budgétaire 1'!H20</f>
        <v>188400</v>
      </c>
      <c r="F7" s="194">
        <f>'1) Tableau budgétaire 1'!I20</f>
        <v>29954.975887851066</v>
      </c>
      <c r="G7" s="196">
        <f>SUM(D7:F7)</f>
        <v>565104.97588785109</v>
      </c>
      <c r="L7" s="22"/>
      <c r="M7" s="5"/>
    </row>
    <row r="8" spans="2:13" ht="21.75" customHeight="1" x14ac:dyDescent="0.35">
      <c r="C8" s="59" t="s">
        <v>532</v>
      </c>
      <c r="D8" s="197"/>
      <c r="E8" s="188"/>
      <c r="F8" s="85"/>
      <c r="G8" s="198">
        <f t="shared" ref="G8:G15" si="0">SUM(D8:F8)</f>
        <v>0</v>
      </c>
    </row>
    <row r="9" spans="2:13" x14ac:dyDescent="0.35">
      <c r="C9" s="50" t="s">
        <v>533</v>
      </c>
      <c r="D9" s="199"/>
      <c r="E9" s="171"/>
      <c r="F9" s="19">
        <v>15954.975887851067</v>
      </c>
      <c r="G9" s="200">
        <f t="shared" si="0"/>
        <v>15954.975887851067</v>
      </c>
    </row>
    <row r="10" spans="2:13" ht="15.75" customHeight="1" x14ac:dyDescent="0.35">
      <c r="C10" s="50" t="s">
        <v>534</v>
      </c>
      <c r="D10" s="199">
        <v>225500</v>
      </c>
      <c r="E10" s="199"/>
      <c r="F10" s="199"/>
      <c r="G10" s="200">
        <f t="shared" si="0"/>
        <v>225500</v>
      </c>
    </row>
    <row r="11" spans="2:13" x14ac:dyDescent="0.35">
      <c r="C11" s="51" t="s">
        <v>535</v>
      </c>
      <c r="D11" s="199">
        <f>40932+18920</f>
        <v>59852</v>
      </c>
      <c r="E11" s="199"/>
      <c r="F11" s="199"/>
      <c r="G11" s="200">
        <f t="shared" si="0"/>
        <v>59852</v>
      </c>
    </row>
    <row r="12" spans="2:13" x14ac:dyDescent="0.35">
      <c r="C12" s="50" t="s">
        <v>536</v>
      </c>
      <c r="D12" s="199">
        <v>61398</v>
      </c>
      <c r="E12" s="189">
        <v>115800</v>
      </c>
      <c r="F12" s="199">
        <v>14000</v>
      </c>
      <c r="G12" s="200">
        <f t="shared" si="0"/>
        <v>191198</v>
      </c>
    </row>
    <row r="13" spans="2:13" ht="21.75" customHeight="1" x14ac:dyDescent="0.35">
      <c r="C13" s="50" t="s">
        <v>537</v>
      </c>
      <c r="D13" s="199"/>
      <c r="E13" s="189"/>
      <c r="F13" s="199"/>
      <c r="G13" s="200">
        <f t="shared" si="0"/>
        <v>0</v>
      </c>
    </row>
    <row r="14" spans="2:13" ht="36.75" customHeight="1" x14ac:dyDescent="0.35">
      <c r="C14" s="50" t="s">
        <v>538</v>
      </c>
      <c r="D14" s="199"/>
      <c r="E14" s="189">
        <v>72600</v>
      </c>
      <c r="F14" s="199"/>
      <c r="G14" s="200">
        <f t="shared" si="0"/>
        <v>72600</v>
      </c>
    </row>
    <row r="15" spans="2:13" ht="15.75" customHeight="1" x14ac:dyDescent="0.35">
      <c r="C15" s="54" t="s">
        <v>14</v>
      </c>
      <c r="D15" s="201">
        <f>SUM(D8:D14)</f>
        <v>346750</v>
      </c>
      <c r="E15" s="26">
        <f>SUM(E8:E14)</f>
        <v>188400</v>
      </c>
      <c r="F15" s="201">
        <f>SUM(F8:F14)</f>
        <v>29954.975887851069</v>
      </c>
      <c r="G15" s="202">
        <f t="shared" si="0"/>
        <v>565104.97588785109</v>
      </c>
      <c r="I15" s="221"/>
    </row>
    <row r="16" spans="2:13" s="53" customFormat="1" x14ac:dyDescent="0.35">
      <c r="C16" s="61"/>
      <c r="D16" s="203"/>
      <c r="E16" s="204"/>
      <c r="F16" s="203"/>
      <c r="G16" s="205"/>
      <c r="I16" s="222"/>
    </row>
    <row r="17" spans="3:7" x14ac:dyDescent="0.35">
      <c r="C17" s="361" t="s">
        <v>539</v>
      </c>
      <c r="D17" s="362"/>
      <c r="E17" s="362"/>
      <c r="F17" s="362"/>
      <c r="G17" s="363"/>
    </row>
    <row r="18" spans="3:7" ht="27" customHeight="1" thickBot="1" x14ac:dyDescent="0.4">
      <c r="C18" s="60" t="s">
        <v>540</v>
      </c>
      <c r="D18" s="194">
        <f>'1) Tableau budgétaire 1'!G30</f>
        <v>35250</v>
      </c>
      <c r="E18" s="194">
        <f>'1) Tableau budgétaire 1'!H30</f>
        <v>18600</v>
      </c>
      <c r="F18" s="194">
        <f>'1) Tableau budgétaire 1'!I30</f>
        <v>145000</v>
      </c>
      <c r="G18" s="196">
        <f t="shared" ref="G18:G26" si="1">SUM(D18:F18)</f>
        <v>198850</v>
      </c>
    </row>
    <row r="19" spans="3:7" x14ac:dyDescent="0.35">
      <c r="C19" s="59" t="s">
        <v>532</v>
      </c>
      <c r="D19" s="197"/>
      <c r="E19" s="188"/>
      <c r="F19" s="85"/>
      <c r="G19" s="198">
        <f t="shared" si="1"/>
        <v>0</v>
      </c>
    </row>
    <row r="20" spans="3:7" x14ac:dyDescent="0.35">
      <c r="C20" s="50" t="s">
        <v>533</v>
      </c>
      <c r="D20" s="199"/>
      <c r="E20" s="171"/>
      <c r="F20" s="19">
        <v>125000</v>
      </c>
      <c r="G20" s="200">
        <f t="shared" si="1"/>
        <v>125000</v>
      </c>
    </row>
    <row r="21" spans="3:7" ht="31" x14ac:dyDescent="0.35">
      <c r="C21" s="50" t="s">
        <v>534</v>
      </c>
      <c r="D21" s="199"/>
      <c r="E21" s="199"/>
      <c r="F21" s="199"/>
      <c r="G21" s="200">
        <f t="shared" si="1"/>
        <v>0</v>
      </c>
    </row>
    <row r="22" spans="3:7" x14ac:dyDescent="0.35">
      <c r="C22" s="51" t="s">
        <v>535</v>
      </c>
      <c r="D22" s="199">
        <v>14100</v>
      </c>
      <c r="E22" s="199"/>
      <c r="F22" s="199"/>
      <c r="G22" s="200">
        <f t="shared" si="1"/>
        <v>14100</v>
      </c>
    </row>
    <row r="23" spans="3:7" x14ac:dyDescent="0.35">
      <c r="C23" s="50" t="s">
        <v>536</v>
      </c>
      <c r="D23" s="199">
        <v>21150</v>
      </c>
      <c r="E23" s="206">
        <v>13000</v>
      </c>
      <c r="F23" s="199">
        <v>20000</v>
      </c>
      <c r="G23" s="200">
        <f t="shared" si="1"/>
        <v>54150</v>
      </c>
    </row>
    <row r="24" spans="3:7" x14ac:dyDescent="0.35">
      <c r="C24" s="50" t="s">
        <v>537</v>
      </c>
      <c r="D24" s="199"/>
      <c r="E24" s="206"/>
      <c r="F24" s="199"/>
      <c r="G24" s="200">
        <f t="shared" si="1"/>
        <v>0</v>
      </c>
    </row>
    <row r="25" spans="3:7" ht="31" x14ac:dyDescent="0.35">
      <c r="C25" s="50" t="s">
        <v>538</v>
      </c>
      <c r="D25" s="199"/>
      <c r="E25" s="206">
        <v>5600</v>
      </c>
      <c r="F25" s="199"/>
      <c r="G25" s="200">
        <f t="shared" si="1"/>
        <v>5600</v>
      </c>
    </row>
    <row r="26" spans="3:7" x14ac:dyDescent="0.35">
      <c r="C26" s="54" t="s">
        <v>14</v>
      </c>
      <c r="D26" s="201">
        <f>SUM(D19:D25)</f>
        <v>35250</v>
      </c>
      <c r="E26" s="26">
        <f>SUM(E19:E25)</f>
        <v>18600</v>
      </c>
      <c r="F26" s="201">
        <f>SUM(F19:F25)</f>
        <v>145000</v>
      </c>
      <c r="G26" s="200">
        <f t="shared" si="1"/>
        <v>198850</v>
      </c>
    </row>
    <row r="27" spans="3:7" s="53" customFormat="1" x14ac:dyDescent="0.35">
      <c r="C27" s="61"/>
      <c r="D27" s="203"/>
      <c r="E27" s="204"/>
      <c r="F27" s="203"/>
      <c r="G27" s="207"/>
    </row>
    <row r="28" spans="3:7" hidden="1" x14ac:dyDescent="0.35">
      <c r="C28" s="361" t="s">
        <v>541</v>
      </c>
      <c r="D28" s="362"/>
      <c r="E28" s="362"/>
      <c r="F28" s="362"/>
      <c r="G28" s="363"/>
    </row>
    <row r="29" spans="3:7" ht="21.75" hidden="1" customHeight="1" thickBot="1" x14ac:dyDescent="0.4">
      <c r="C29" s="60" t="s">
        <v>542</v>
      </c>
      <c r="D29" s="194">
        <f>'1) Tableau budgétaire 1'!G40</f>
        <v>0</v>
      </c>
      <c r="E29" s="195">
        <f>'1) Tableau budgétaire 1'!H40</f>
        <v>0</v>
      </c>
      <c r="F29" s="194">
        <f>'1) Tableau budgétaire 1'!I40</f>
        <v>0</v>
      </c>
      <c r="G29" s="196">
        <f t="shared" ref="G29:G37" si="2">SUM(D29:F29)</f>
        <v>0</v>
      </c>
    </row>
    <row r="30" spans="3:7" hidden="1" x14ac:dyDescent="0.35">
      <c r="C30" s="59" t="s">
        <v>532</v>
      </c>
      <c r="D30" s="197"/>
      <c r="E30" s="188"/>
      <c r="F30" s="85"/>
      <c r="G30" s="198">
        <f t="shared" si="2"/>
        <v>0</v>
      </c>
    </row>
    <row r="31" spans="3:7" s="53" customFormat="1" ht="15.75" hidden="1" customHeight="1" x14ac:dyDescent="0.35">
      <c r="C31" s="50" t="s">
        <v>533</v>
      </c>
      <c r="D31" s="199"/>
      <c r="E31" s="171"/>
      <c r="F31" s="19"/>
      <c r="G31" s="200">
        <f t="shared" si="2"/>
        <v>0</v>
      </c>
    </row>
    <row r="32" spans="3:7" s="53" customFormat="1" ht="31" hidden="1" x14ac:dyDescent="0.35">
      <c r="C32" s="50" t="s">
        <v>534</v>
      </c>
      <c r="D32" s="199"/>
      <c r="E32" s="199"/>
      <c r="F32" s="199"/>
      <c r="G32" s="200">
        <f t="shared" si="2"/>
        <v>0</v>
      </c>
    </row>
    <row r="33" spans="3:7" s="53" customFormat="1" hidden="1" x14ac:dyDescent="0.35">
      <c r="C33" s="51" t="s">
        <v>535</v>
      </c>
      <c r="D33" s="199">
        <v>0</v>
      </c>
      <c r="E33" s="199"/>
      <c r="F33" s="199"/>
      <c r="G33" s="200">
        <f t="shared" si="2"/>
        <v>0</v>
      </c>
    </row>
    <row r="34" spans="3:7" hidden="1" x14ac:dyDescent="0.35">
      <c r="C34" s="50" t="s">
        <v>536</v>
      </c>
      <c r="D34" s="199">
        <v>0</v>
      </c>
      <c r="E34" s="199"/>
      <c r="F34" s="199"/>
      <c r="G34" s="200">
        <f t="shared" si="2"/>
        <v>0</v>
      </c>
    </row>
    <row r="35" spans="3:7" hidden="1" x14ac:dyDescent="0.35">
      <c r="C35" s="50" t="s">
        <v>537</v>
      </c>
      <c r="D35" s="199"/>
      <c r="E35" s="199"/>
      <c r="F35" s="199"/>
      <c r="G35" s="200">
        <f t="shared" si="2"/>
        <v>0</v>
      </c>
    </row>
    <row r="36" spans="3:7" ht="31" hidden="1" x14ac:dyDescent="0.35">
      <c r="C36" s="50" t="s">
        <v>538</v>
      </c>
      <c r="D36" s="199"/>
      <c r="E36" s="199"/>
      <c r="F36" s="199"/>
      <c r="G36" s="200">
        <f t="shared" si="2"/>
        <v>0</v>
      </c>
    </row>
    <row r="37" spans="3:7" hidden="1" x14ac:dyDescent="0.35">
      <c r="C37" s="115" t="s">
        <v>14</v>
      </c>
      <c r="D37" s="208">
        <f>SUM(D30:D36)</f>
        <v>0</v>
      </c>
      <c r="E37" s="209">
        <f>SUM(E30:E36)</f>
        <v>0</v>
      </c>
      <c r="F37" s="208">
        <f>SUM(F30:F36)</f>
        <v>0</v>
      </c>
      <c r="G37" s="210">
        <f t="shared" si="2"/>
        <v>0</v>
      </c>
    </row>
    <row r="38" spans="3:7" hidden="1" x14ac:dyDescent="0.35">
      <c r="C38" s="116"/>
      <c r="D38" s="211"/>
      <c r="E38" s="212"/>
      <c r="F38" s="211"/>
      <c r="G38" s="213"/>
    </row>
    <row r="39" spans="3:7" s="53" customFormat="1" hidden="1" x14ac:dyDescent="0.35">
      <c r="C39" s="364" t="s">
        <v>543</v>
      </c>
      <c r="D39" s="365"/>
      <c r="E39" s="365"/>
      <c r="F39" s="365"/>
      <c r="G39" s="366"/>
    </row>
    <row r="40" spans="3:7" ht="20.25" hidden="1" customHeight="1" thickBot="1" x14ac:dyDescent="0.4">
      <c r="C40" s="60" t="s">
        <v>544</v>
      </c>
      <c r="D40" s="194">
        <f>'1) Tableau budgétaire 1'!G50</f>
        <v>0</v>
      </c>
      <c r="E40" s="195">
        <f>'1) Tableau budgétaire 1'!H50</f>
        <v>0</v>
      </c>
      <c r="F40" s="194">
        <f>'1) Tableau budgétaire 1'!I50</f>
        <v>0</v>
      </c>
      <c r="G40" s="196">
        <f t="shared" ref="G40:G48" si="3">SUM(D40:F40)</f>
        <v>0</v>
      </c>
    </row>
    <row r="41" spans="3:7" hidden="1" x14ac:dyDescent="0.35">
      <c r="C41" s="59" t="s">
        <v>532</v>
      </c>
      <c r="D41" s="197"/>
      <c r="E41" s="188"/>
      <c r="F41" s="85"/>
      <c r="G41" s="198">
        <f t="shared" si="3"/>
        <v>0</v>
      </c>
    </row>
    <row r="42" spans="3:7" ht="15.75" hidden="1" customHeight="1" x14ac:dyDescent="0.35">
      <c r="C42" s="50" t="s">
        <v>533</v>
      </c>
      <c r="D42" s="199"/>
      <c r="E42" s="171"/>
      <c r="F42" s="19"/>
      <c r="G42" s="200">
        <f t="shared" si="3"/>
        <v>0</v>
      </c>
    </row>
    <row r="43" spans="3:7" ht="32.25" hidden="1" customHeight="1" x14ac:dyDescent="0.35">
      <c r="C43" s="50" t="s">
        <v>534</v>
      </c>
      <c r="D43" s="199"/>
      <c r="E43" s="199"/>
      <c r="F43" s="199"/>
      <c r="G43" s="200">
        <f t="shared" si="3"/>
        <v>0</v>
      </c>
    </row>
    <row r="44" spans="3:7" s="53" customFormat="1" hidden="1" x14ac:dyDescent="0.35">
      <c r="C44" s="51" t="s">
        <v>535</v>
      </c>
      <c r="D44" s="199"/>
      <c r="E44" s="199"/>
      <c r="F44" s="199"/>
      <c r="G44" s="200">
        <f t="shared" si="3"/>
        <v>0</v>
      </c>
    </row>
    <row r="45" spans="3:7" hidden="1" x14ac:dyDescent="0.35">
      <c r="C45" s="50" t="s">
        <v>536</v>
      </c>
      <c r="D45" s="199"/>
      <c r="E45" s="199"/>
      <c r="F45" s="199"/>
      <c r="G45" s="200">
        <f t="shared" si="3"/>
        <v>0</v>
      </c>
    </row>
    <row r="46" spans="3:7" hidden="1" x14ac:dyDescent="0.35">
      <c r="C46" s="50" t="s">
        <v>537</v>
      </c>
      <c r="D46" s="199"/>
      <c r="E46" s="199"/>
      <c r="F46" s="199"/>
      <c r="G46" s="200">
        <f t="shared" si="3"/>
        <v>0</v>
      </c>
    </row>
    <row r="47" spans="3:7" ht="31" hidden="1" x14ac:dyDescent="0.35">
      <c r="C47" s="50" t="s">
        <v>538</v>
      </c>
      <c r="D47" s="199"/>
      <c r="E47" s="199"/>
      <c r="F47" s="199"/>
      <c r="G47" s="200">
        <f t="shared" si="3"/>
        <v>0</v>
      </c>
    </row>
    <row r="48" spans="3:7" ht="21" hidden="1" customHeight="1" x14ac:dyDescent="0.35">
      <c r="C48" s="54" t="s">
        <v>14</v>
      </c>
      <c r="D48" s="201">
        <f>SUM(D41:D47)</f>
        <v>0</v>
      </c>
      <c r="E48" s="214">
        <f>SUM(E41:E47)</f>
        <v>0</v>
      </c>
      <c r="F48" s="201">
        <f>SUM(F41:F47)</f>
        <v>0</v>
      </c>
      <c r="G48" s="200">
        <f t="shared" si="3"/>
        <v>0</v>
      </c>
    </row>
    <row r="49" spans="2:10" s="53" customFormat="1" ht="22.5" hidden="1" customHeight="1" x14ac:dyDescent="0.35">
      <c r="C49" s="62"/>
      <c r="D49" s="203"/>
      <c r="E49" s="204"/>
      <c r="F49" s="203"/>
      <c r="G49" s="207"/>
    </row>
    <row r="50" spans="2:10" x14ac:dyDescent="0.35">
      <c r="B50" s="361" t="s">
        <v>545</v>
      </c>
      <c r="C50" s="362"/>
      <c r="D50" s="362"/>
      <c r="E50" s="362"/>
      <c r="F50" s="362"/>
      <c r="G50" s="363"/>
    </row>
    <row r="51" spans="2:10" x14ac:dyDescent="0.35">
      <c r="C51" s="361" t="s">
        <v>406</v>
      </c>
      <c r="D51" s="362"/>
      <c r="E51" s="362"/>
      <c r="F51" s="362"/>
      <c r="G51" s="363"/>
    </row>
    <row r="52" spans="2:10" ht="24" customHeight="1" thickBot="1" x14ac:dyDescent="0.4">
      <c r="C52" s="60" t="s">
        <v>546</v>
      </c>
      <c r="D52" s="194">
        <f>'1) Tableau budgétaire 1'!G66</f>
        <v>153280</v>
      </c>
      <c r="E52" s="194">
        <f>'1) Tableau budgétaire 1'!H66</f>
        <v>138852</v>
      </c>
      <c r="F52" s="194">
        <f>'1) Tableau budgétaire 1'!I66</f>
        <v>80000</v>
      </c>
      <c r="G52" s="196">
        <f>SUM(D52:F52)</f>
        <v>372132</v>
      </c>
    </row>
    <row r="53" spans="2:10" ht="15.75" customHeight="1" x14ac:dyDescent="0.35">
      <c r="C53" s="59" t="s">
        <v>532</v>
      </c>
      <c r="D53" s="197"/>
      <c r="E53" s="188"/>
      <c r="F53" s="85"/>
      <c r="G53" s="198">
        <f t="shared" ref="G53:G60" si="4">SUM(D53:F53)</f>
        <v>0</v>
      </c>
    </row>
    <row r="54" spans="2:10" ht="15.75" customHeight="1" x14ac:dyDescent="0.35">
      <c r="C54" s="50" t="s">
        <v>533</v>
      </c>
      <c r="D54" s="199"/>
      <c r="E54" s="171"/>
      <c r="F54" s="19">
        <v>47800</v>
      </c>
      <c r="G54" s="200">
        <f t="shared" si="4"/>
        <v>47800</v>
      </c>
    </row>
    <row r="55" spans="2:10" ht="15.75" customHeight="1" x14ac:dyDescent="0.35">
      <c r="C55" s="50" t="s">
        <v>534</v>
      </c>
      <c r="D55" s="199"/>
      <c r="E55" s="206">
        <v>15044</v>
      </c>
      <c r="F55" s="199"/>
      <c r="G55" s="200">
        <f t="shared" si="4"/>
        <v>15044</v>
      </c>
    </row>
    <row r="56" spans="2:10" ht="18.75" customHeight="1" x14ac:dyDescent="0.35">
      <c r="C56" s="51" t="s">
        <v>535</v>
      </c>
      <c r="D56" s="199">
        <f>83000-29140</f>
        <v>53860</v>
      </c>
      <c r="E56" s="206">
        <v>7500</v>
      </c>
      <c r="F56" s="199"/>
      <c r="G56" s="200">
        <f t="shared" si="4"/>
        <v>61360</v>
      </c>
    </row>
    <row r="57" spans="2:10" x14ac:dyDescent="0.35">
      <c r="C57" s="50" t="s">
        <v>536</v>
      </c>
      <c r="D57" s="199">
        <v>37520</v>
      </c>
      <c r="E57" s="206">
        <v>57899</v>
      </c>
      <c r="F57" s="199">
        <v>32200</v>
      </c>
      <c r="G57" s="200">
        <f t="shared" si="4"/>
        <v>127619</v>
      </c>
    </row>
    <row r="58" spans="2:10" s="53" customFormat="1" ht="21.75" customHeight="1" x14ac:dyDescent="0.35">
      <c r="B58" s="52"/>
      <c r="C58" s="50" t="s">
        <v>537</v>
      </c>
      <c r="D58" s="199">
        <f>81900-20000</f>
        <v>61900</v>
      </c>
      <c r="E58" s="206">
        <v>36000</v>
      </c>
      <c r="F58" s="199"/>
      <c r="G58" s="200">
        <f t="shared" si="4"/>
        <v>97900</v>
      </c>
    </row>
    <row r="59" spans="2:10" s="53" customFormat="1" ht="31" x14ac:dyDescent="0.35">
      <c r="B59" s="52"/>
      <c r="C59" s="50" t="s">
        <v>538</v>
      </c>
      <c r="D59" s="199"/>
      <c r="E59" s="206">
        <v>22409</v>
      </c>
      <c r="F59" s="199"/>
      <c r="G59" s="200">
        <f t="shared" si="4"/>
        <v>22409</v>
      </c>
    </row>
    <row r="60" spans="2:10" x14ac:dyDescent="0.35">
      <c r="C60" s="54" t="s">
        <v>14</v>
      </c>
      <c r="D60" s="201">
        <f>SUM(D53:D59)</f>
        <v>153280</v>
      </c>
      <c r="E60" s="26">
        <f>SUM(E53:E59)</f>
        <v>138852</v>
      </c>
      <c r="F60" s="201">
        <f>SUM(F53:F59)</f>
        <v>80000</v>
      </c>
      <c r="G60" s="200">
        <f t="shared" si="4"/>
        <v>372132</v>
      </c>
      <c r="J60" s="221"/>
    </row>
    <row r="61" spans="2:10" s="53" customFormat="1" x14ac:dyDescent="0.35">
      <c r="C61" s="61"/>
      <c r="D61" s="203"/>
      <c r="E61" s="204"/>
      <c r="F61" s="203"/>
      <c r="G61" s="207"/>
    </row>
    <row r="62" spans="2:10" x14ac:dyDescent="0.35">
      <c r="B62" s="53"/>
      <c r="C62" s="361" t="s">
        <v>414</v>
      </c>
      <c r="D62" s="362"/>
      <c r="E62" s="362"/>
      <c r="F62" s="362"/>
      <c r="G62" s="363"/>
    </row>
    <row r="63" spans="2:10" ht="21.75" customHeight="1" thickBot="1" x14ac:dyDescent="0.4">
      <c r="C63" s="60" t="s">
        <v>547</v>
      </c>
      <c r="D63" s="194">
        <f>'1) Tableau budgétaire 1'!G76</f>
        <v>25000</v>
      </c>
      <c r="E63" s="194">
        <f>'1) Tableau budgétaire 1'!H76</f>
        <v>162807.21887850459</v>
      </c>
      <c r="F63" s="194">
        <f>'1) Tableau budgétaire 1'!I76</f>
        <v>408400</v>
      </c>
      <c r="G63" s="196">
        <f t="shared" ref="G63:G71" si="5">SUM(D63:F63)</f>
        <v>596207.21887850459</v>
      </c>
    </row>
    <row r="64" spans="2:10" ht="15.75" customHeight="1" x14ac:dyDescent="0.35">
      <c r="C64" s="59" t="s">
        <v>532</v>
      </c>
      <c r="D64" s="197"/>
      <c r="E64" s="188"/>
      <c r="F64" s="85"/>
      <c r="G64" s="198">
        <f t="shared" si="5"/>
        <v>0</v>
      </c>
    </row>
    <row r="65" spans="2:9" ht="15.75" customHeight="1" x14ac:dyDescent="0.35">
      <c r="C65" s="50" t="s">
        <v>533</v>
      </c>
      <c r="D65" s="199"/>
      <c r="E65" s="190">
        <v>14009</v>
      </c>
      <c r="F65" s="19">
        <v>159000</v>
      </c>
      <c r="G65" s="200">
        <f t="shared" si="5"/>
        <v>173009</v>
      </c>
    </row>
    <row r="66" spans="2:9" ht="15.75" customHeight="1" x14ac:dyDescent="0.35">
      <c r="C66" s="50" t="s">
        <v>534</v>
      </c>
      <c r="D66" s="199"/>
      <c r="E66" s="206"/>
      <c r="F66" s="199"/>
      <c r="G66" s="200">
        <f t="shared" si="5"/>
        <v>0</v>
      </c>
    </row>
    <row r="67" spans="2:9" x14ac:dyDescent="0.35">
      <c r="C67" s="51" t="s">
        <v>535</v>
      </c>
      <c r="D67" s="199"/>
      <c r="E67" s="206">
        <f>40000+0.218878504587337</f>
        <v>40000.218878504587</v>
      </c>
      <c r="F67" s="199"/>
      <c r="G67" s="200">
        <f t="shared" si="5"/>
        <v>40000.218878504587</v>
      </c>
    </row>
    <row r="68" spans="2:9" x14ac:dyDescent="0.35">
      <c r="C68" s="50" t="s">
        <v>536</v>
      </c>
      <c r="D68" s="199"/>
      <c r="E68" s="206">
        <v>46116</v>
      </c>
      <c r="F68" s="199">
        <v>145000</v>
      </c>
      <c r="G68" s="200">
        <f t="shared" si="5"/>
        <v>191116</v>
      </c>
    </row>
    <row r="69" spans="2:9" x14ac:dyDescent="0.35">
      <c r="C69" s="50" t="s">
        <v>537</v>
      </c>
      <c r="D69" s="199">
        <v>25000</v>
      </c>
      <c r="E69" s="206">
        <v>37874</v>
      </c>
      <c r="F69" s="199">
        <v>104400</v>
      </c>
      <c r="G69" s="200">
        <f t="shared" si="5"/>
        <v>167274</v>
      </c>
    </row>
    <row r="70" spans="2:9" ht="31" x14ac:dyDescent="0.35">
      <c r="C70" s="50" t="s">
        <v>538</v>
      </c>
      <c r="D70" s="199"/>
      <c r="E70" s="206">
        <v>24808</v>
      </c>
      <c r="F70" s="199"/>
      <c r="G70" s="200">
        <f t="shared" si="5"/>
        <v>24808</v>
      </c>
    </row>
    <row r="71" spans="2:9" x14ac:dyDescent="0.35">
      <c r="C71" s="54" t="s">
        <v>14</v>
      </c>
      <c r="D71" s="201">
        <f>SUM(D64:D70)</f>
        <v>25000</v>
      </c>
      <c r="E71" s="26">
        <f>SUM(E64:E70)</f>
        <v>162807.21887850459</v>
      </c>
      <c r="F71" s="201">
        <f>SUM(F64:F70)</f>
        <v>408400</v>
      </c>
      <c r="G71" s="200">
        <f t="shared" si="5"/>
        <v>596207.21887850459</v>
      </c>
      <c r="I71" s="221"/>
    </row>
    <row r="72" spans="2:9" s="53" customFormat="1" x14ac:dyDescent="0.35">
      <c r="C72" s="61"/>
      <c r="D72" s="203"/>
      <c r="E72" s="204"/>
      <c r="F72" s="203"/>
      <c r="G72" s="207"/>
    </row>
    <row r="73" spans="2:9" hidden="1" x14ac:dyDescent="0.35">
      <c r="C73" s="361" t="s">
        <v>423</v>
      </c>
      <c r="D73" s="362"/>
      <c r="E73" s="362"/>
      <c r="F73" s="362"/>
      <c r="G73" s="363"/>
    </row>
    <row r="74" spans="2:9" ht="21.75" hidden="1" customHeight="1" thickBot="1" x14ac:dyDescent="0.4">
      <c r="B74" s="53"/>
      <c r="C74" s="60" t="s">
        <v>548</v>
      </c>
      <c r="D74" s="194">
        <f>'1) Tableau budgétaire 1'!G86</f>
        <v>0</v>
      </c>
      <c r="E74" s="195">
        <f>'1) Tableau budgétaire 1'!H86</f>
        <v>0</v>
      </c>
      <c r="F74" s="194">
        <f>'1) Tableau budgétaire 1'!I86</f>
        <v>0</v>
      </c>
      <c r="G74" s="196">
        <f t="shared" ref="G74:G82" si="6">SUM(D74:F74)</f>
        <v>0</v>
      </c>
    </row>
    <row r="75" spans="2:9" ht="18" hidden="1" customHeight="1" x14ac:dyDescent="0.35">
      <c r="C75" s="59" t="s">
        <v>532</v>
      </c>
      <c r="D75" s="197"/>
      <c r="E75" s="188"/>
      <c r="F75" s="85"/>
      <c r="G75" s="198">
        <f t="shared" si="6"/>
        <v>0</v>
      </c>
    </row>
    <row r="76" spans="2:9" ht="15.75" hidden="1" customHeight="1" x14ac:dyDescent="0.35">
      <c r="C76" s="50" t="s">
        <v>533</v>
      </c>
      <c r="D76" s="199"/>
      <c r="E76" s="171"/>
      <c r="F76" s="19"/>
      <c r="G76" s="200">
        <f t="shared" si="6"/>
        <v>0</v>
      </c>
    </row>
    <row r="77" spans="2:9" s="53" customFormat="1" ht="15.75" hidden="1" customHeight="1" x14ac:dyDescent="0.35">
      <c r="B77" s="52"/>
      <c r="C77" s="50" t="s">
        <v>534</v>
      </c>
      <c r="D77" s="199"/>
      <c r="E77" s="199"/>
      <c r="F77" s="199"/>
      <c r="G77" s="200">
        <f t="shared" si="6"/>
        <v>0</v>
      </c>
    </row>
    <row r="78" spans="2:9" hidden="1" x14ac:dyDescent="0.35">
      <c r="B78" s="53"/>
      <c r="C78" s="51" t="s">
        <v>535</v>
      </c>
      <c r="D78" s="199"/>
      <c r="E78" s="199"/>
      <c r="F78" s="199"/>
      <c r="G78" s="200">
        <f t="shared" si="6"/>
        <v>0</v>
      </c>
    </row>
    <row r="79" spans="2:9" hidden="1" x14ac:dyDescent="0.35">
      <c r="B79" s="53"/>
      <c r="C79" s="50" t="s">
        <v>536</v>
      </c>
      <c r="D79" s="199"/>
      <c r="E79" s="199"/>
      <c r="F79" s="199"/>
      <c r="G79" s="200">
        <f t="shared" si="6"/>
        <v>0</v>
      </c>
    </row>
    <row r="80" spans="2:9" hidden="1" x14ac:dyDescent="0.35">
      <c r="B80" s="53"/>
      <c r="C80" s="50" t="s">
        <v>537</v>
      </c>
      <c r="D80" s="199"/>
      <c r="E80" s="199"/>
      <c r="F80" s="199"/>
      <c r="G80" s="200">
        <f t="shared" si="6"/>
        <v>0</v>
      </c>
    </row>
    <row r="81" spans="2:7" ht="31" hidden="1" x14ac:dyDescent="0.35">
      <c r="C81" s="50" t="s">
        <v>538</v>
      </c>
      <c r="D81" s="199"/>
      <c r="E81" s="199"/>
      <c r="F81" s="199"/>
      <c r="G81" s="200">
        <f t="shared" si="6"/>
        <v>0</v>
      </c>
    </row>
    <row r="82" spans="2:7" hidden="1" x14ac:dyDescent="0.35">
      <c r="C82" s="54" t="s">
        <v>14</v>
      </c>
      <c r="D82" s="201">
        <f>SUM(D75:D81)</f>
        <v>0</v>
      </c>
      <c r="E82" s="214">
        <f>SUM(E75:E81)</f>
        <v>0</v>
      </c>
      <c r="F82" s="201">
        <f>SUM(F75:F81)</f>
        <v>0</v>
      </c>
      <c r="G82" s="200">
        <f t="shared" si="6"/>
        <v>0</v>
      </c>
    </row>
    <row r="83" spans="2:7" s="53" customFormat="1" hidden="1" x14ac:dyDescent="0.35">
      <c r="C83" s="61"/>
      <c r="D83" s="203"/>
      <c r="E83" s="204"/>
      <c r="F83" s="203"/>
      <c r="G83" s="207"/>
    </row>
    <row r="84" spans="2:7" hidden="1" x14ac:dyDescent="0.35">
      <c r="C84" s="361" t="s">
        <v>432</v>
      </c>
      <c r="D84" s="362"/>
      <c r="E84" s="362"/>
      <c r="F84" s="362"/>
      <c r="G84" s="363"/>
    </row>
    <row r="85" spans="2:7" ht="21.75" hidden="1" customHeight="1" thickBot="1" x14ac:dyDescent="0.4">
      <c r="C85" s="60" t="s">
        <v>549</v>
      </c>
      <c r="D85" s="194">
        <f>'1) Tableau budgétaire 1'!G96</f>
        <v>0</v>
      </c>
      <c r="E85" s="195">
        <f>'1) Tableau budgétaire 1'!H96</f>
        <v>0</v>
      </c>
      <c r="F85" s="194">
        <f>'1) Tableau budgétaire 1'!I96</f>
        <v>0</v>
      </c>
      <c r="G85" s="196">
        <f t="shared" ref="G85:G93" si="7">SUM(D85:F85)</f>
        <v>0</v>
      </c>
    </row>
    <row r="86" spans="2:7" ht="15.75" hidden="1" customHeight="1" x14ac:dyDescent="0.35">
      <c r="C86" s="59" t="s">
        <v>532</v>
      </c>
      <c r="D86" s="197"/>
      <c r="E86" s="188"/>
      <c r="F86" s="85"/>
      <c r="G86" s="198">
        <f t="shared" si="7"/>
        <v>0</v>
      </c>
    </row>
    <row r="87" spans="2:7" ht="15.75" hidden="1" customHeight="1" x14ac:dyDescent="0.35">
      <c r="B87" s="53"/>
      <c r="C87" s="50" t="s">
        <v>533</v>
      </c>
      <c r="D87" s="199"/>
      <c r="E87" s="171"/>
      <c r="F87" s="19"/>
      <c r="G87" s="200">
        <f t="shared" si="7"/>
        <v>0</v>
      </c>
    </row>
    <row r="88" spans="2:7" ht="15.75" hidden="1" customHeight="1" x14ac:dyDescent="0.35">
      <c r="C88" s="50" t="s">
        <v>534</v>
      </c>
      <c r="D88" s="199"/>
      <c r="E88" s="199"/>
      <c r="F88" s="199"/>
      <c r="G88" s="200">
        <f t="shared" si="7"/>
        <v>0</v>
      </c>
    </row>
    <row r="89" spans="2:7" hidden="1" x14ac:dyDescent="0.35">
      <c r="C89" s="51" t="s">
        <v>535</v>
      </c>
      <c r="D89" s="199"/>
      <c r="E89" s="199"/>
      <c r="F89" s="199"/>
      <c r="G89" s="200">
        <f t="shared" si="7"/>
        <v>0</v>
      </c>
    </row>
    <row r="90" spans="2:7" hidden="1" x14ac:dyDescent="0.35">
      <c r="C90" s="50" t="s">
        <v>536</v>
      </c>
      <c r="D90" s="199"/>
      <c r="E90" s="199"/>
      <c r="F90" s="199"/>
      <c r="G90" s="200">
        <f t="shared" si="7"/>
        <v>0</v>
      </c>
    </row>
    <row r="91" spans="2:7" ht="25.5" hidden="1" customHeight="1" x14ac:dyDescent="0.35">
      <c r="C91" s="50" t="s">
        <v>537</v>
      </c>
      <c r="D91" s="199"/>
      <c r="E91" s="199"/>
      <c r="F91" s="199"/>
      <c r="G91" s="200">
        <f t="shared" si="7"/>
        <v>0</v>
      </c>
    </row>
    <row r="92" spans="2:7" ht="31" hidden="1" x14ac:dyDescent="0.35">
      <c r="B92" s="53"/>
      <c r="C92" s="50" t="s">
        <v>538</v>
      </c>
      <c r="D92" s="199"/>
      <c r="E92" s="199"/>
      <c r="F92" s="199"/>
      <c r="G92" s="200">
        <f t="shared" si="7"/>
        <v>0</v>
      </c>
    </row>
    <row r="93" spans="2:7" ht="15.75" hidden="1" customHeight="1" x14ac:dyDescent="0.35">
      <c r="C93" s="54" t="s">
        <v>14</v>
      </c>
      <c r="D93" s="201">
        <f>SUM(D86:D92)</f>
        <v>0</v>
      </c>
      <c r="E93" s="214">
        <f>SUM(E86:E92)</f>
        <v>0</v>
      </c>
      <c r="F93" s="201">
        <f>SUM(F86:F92)</f>
        <v>0</v>
      </c>
      <c r="G93" s="200">
        <f t="shared" si="7"/>
        <v>0</v>
      </c>
    </row>
    <row r="94" spans="2:7" ht="25.5" hidden="1" customHeight="1" x14ac:dyDescent="0.35">
      <c r="D94" s="1"/>
      <c r="F94" s="1"/>
    </row>
    <row r="95" spans="2:7" x14ac:dyDescent="0.35">
      <c r="B95" s="361" t="s">
        <v>550</v>
      </c>
      <c r="C95" s="362"/>
      <c r="D95" s="362"/>
      <c r="E95" s="362"/>
      <c r="F95" s="362"/>
      <c r="G95" s="363"/>
    </row>
    <row r="96" spans="2:7" x14ac:dyDescent="0.35">
      <c r="C96" s="361" t="s">
        <v>442</v>
      </c>
      <c r="D96" s="362"/>
      <c r="E96" s="362"/>
      <c r="F96" s="362"/>
      <c r="G96" s="363"/>
    </row>
    <row r="97" spans="3:9" ht="22.5" customHeight="1" thickBot="1" x14ac:dyDescent="0.4">
      <c r="C97" s="60" t="s">
        <v>551</v>
      </c>
      <c r="D97" s="194">
        <f>'1) Tableau budgétaire 1'!G107</f>
        <v>0</v>
      </c>
      <c r="E97" s="194">
        <f>'1) Tableau budgétaire 1'!H107</f>
        <v>0</v>
      </c>
      <c r="F97" s="194">
        <f>'1) Tableau budgétaire 1'!I107</f>
        <v>190908</v>
      </c>
      <c r="G97" s="196">
        <f>SUM(D97:F97)</f>
        <v>190908</v>
      </c>
    </row>
    <row r="98" spans="3:9" x14ac:dyDescent="0.35">
      <c r="C98" s="59" t="s">
        <v>532</v>
      </c>
      <c r="D98" s="197"/>
      <c r="E98" s="188"/>
      <c r="F98" s="85"/>
      <c r="G98" s="198">
        <f t="shared" ref="G98:G105" si="8">SUM(D98:F98)</f>
        <v>0</v>
      </c>
    </row>
    <row r="99" spans="3:9" x14ac:dyDescent="0.35">
      <c r="C99" s="50" t="s">
        <v>533</v>
      </c>
      <c r="D99" s="199"/>
      <c r="E99" s="171"/>
      <c r="F99" s="19">
        <v>67519</v>
      </c>
      <c r="G99" s="200">
        <f t="shared" si="8"/>
        <v>67519</v>
      </c>
    </row>
    <row r="100" spans="3:9" ht="15.75" customHeight="1" x14ac:dyDescent="0.35">
      <c r="C100" s="50" t="s">
        <v>534</v>
      </c>
      <c r="D100" s="199"/>
      <c r="E100" s="199"/>
      <c r="F100" s="199"/>
      <c r="G100" s="200">
        <f t="shared" si="8"/>
        <v>0</v>
      </c>
    </row>
    <row r="101" spans="3:9" x14ac:dyDescent="0.35">
      <c r="C101" s="51" t="s">
        <v>535</v>
      </c>
      <c r="D101" s="199"/>
      <c r="E101" s="199"/>
      <c r="F101" s="199"/>
      <c r="G101" s="200">
        <f t="shared" si="8"/>
        <v>0</v>
      </c>
    </row>
    <row r="102" spans="3:9" x14ac:dyDescent="0.35">
      <c r="C102" s="50" t="s">
        <v>536</v>
      </c>
      <c r="D102" s="199"/>
      <c r="E102" s="199"/>
      <c r="F102" s="199">
        <v>25200</v>
      </c>
      <c r="G102" s="200">
        <f t="shared" si="8"/>
        <v>25200</v>
      </c>
    </row>
    <row r="103" spans="3:9" x14ac:dyDescent="0.35">
      <c r="C103" s="50" t="s">
        <v>537</v>
      </c>
      <c r="D103" s="199"/>
      <c r="E103" s="199"/>
      <c r="F103" s="199">
        <f>117600-19411</f>
        <v>98189</v>
      </c>
      <c r="G103" s="200">
        <f t="shared" si="8"/>
        <v>98189</v>
      </c>
    </row>
    <row r="104" spans="3:9" ht="31" x14ac:dyDescent="0.35">
      <c r="C104" s="50" t="s">
        <v>538</v>
      </c>
      <c r="D104" s="199"/>
      <c r="E104" s="199"/>
      <c r="F104" s="199"/>
      <c r="G104" s="200">
        <f t="shared" si="8"/>
        <v>0</v>
      </c>
    </row>
    <row r="105" spans="3:9" x14ac:dyDescent="0.35">
      <c r="C105" s="54" t="s">
        <v>14</v>
      </c>
      <c r="D105" s="201">
        <f>SUM(D98:D104)</f>
        <v>0</v>
      </c>
      <c r="E105" s="26">
        <f>SUM(E98:E104)</f>
        <v>0</v>
      </c>
      <c r="F105" s="201">
        <f>SUM(F98:F104)</f>
        <v>190908</v>
      </c>
      <c r="G105" s="200">
        <f t="shared" si="8"/>
        <v>190908</v>
      </c>
      <c r="I105" s="221"/>
    </row>
    <row r="106" spans="3:9" s="53" customFormat="1" x14ac:dyDescent="0.35">
      <c r="C106" s="61"/>
      <c r="D106" s="203"/>
      <c r="E106" s="204"/>
      <c r="F106" s="203"/>
      <c r="G106" s="207"/>
    </row>
    <row r="107" spans="3:9" ht="15.75" customHeight="1" x14ac:dyDescent="0.35">
      <c r="C107" s="361" t="s">
        <v>552</v>
      </c>
      <c r="D107" s="362"/>
      <c r="E107" s="362"/>
      <c r="F107" s="362"/>
      <c r="G107" s="363"/>
    </row>
    <row r="108" spans="3:9" ht="21.75" customHeight="1" thickBot="1" x14ac:dyDescent="0.4">
      <c r="C108" s="60" t="s">
        <v>553</v>
      </c>
      <c r="D108" s="194">
        <f>'1) Tableau budgétaire 1'!G122</f>
        <v>765680</v>
      </c>
      <c r="E108" s="194">
        <f>'1) Tableau budgétaire 1'!H122</f>
        <v>424015</v>
      </c>
      <c r="F108" s="194">
        <f>'1) Tableau budgétaire 1'!I122</f>
        <v>60000</v>
      </c>
      <c r="G108" s="196">
        <f t="shared" ref="G108:G116" si="9">SUM(D108:F108)</f>
        <v>1249695</v>
      </c>
    </row>
    <row r="109" spans="3:9" x14ac:dyDescent="0.35">
      <c r="C109" s="59" t="s">
        <v>532</v>
      </c>
      <c r="D109" s="197"/>
      <c r="E109" s="188"/>
      <c r="F109" s="85"/>
      <c r="G109" s="198">
        <f t="shared" si="9"/>
        <v>0</v>
      </c>
    </row>
    <row r="110" spans="3:9" x14ac:dyDescent="0.35">
      <c r="C110" s="50" t="s">
        <v>533</v>
      </c>
      <c r="D110" s="199">
        <f>65520+0.000778504414483905</f>
        <v>65520.000778504414</v>
      </c>
      <c r="E110" s="190">
        <v>152231</v>
      </c>
      <c r="F110" s="19">
        <v>55920</v>
      </c>
      <c r="G110" s="200">
        <f t="shared" si="9"/>
        <v>273671.00077850441</v>
      </c>
    </row>
    <row r="111" spans="3:9" ht="31" x14ac:dyDescent="0.35">
      <c r="C111" s="50" t="s">
        <v>534</v>
      </c>
      <c r="D111" s="199"/>
      <c r="E111" s="206"/>
      <c r="F111" s="199"/>
      <c r="G111" s="200">
        <f t="shared" si="9"/>
        <v>0</v>
      </c>
    </row>
    <row r="112" spans="3:9" x14ac:dyDescent="0.35">
      <c r="C112" s="51" t="s">
        <v>535</v>
      </c>
      <c r="D112" s="199">
        <f>649440+30219.9992214955</f>
        <v>679659.99922149547</v>
      </c>
      <c r="E112" s="206">
        <f>197348-40000.2181000001</f>
        <v>157347.78189999989</v>
      </c>
      <c r="F112" s="199"/>
      <c r="G112" s="200">
        <f t="shared" si="9"/>
        <v>837007.78112149541</v>
      </c>
    </row>
    <row r="113" spans="3:11" x14ac:dyDescent="0.35">
      <c r="C113" s="50" t="s">
        <v>536</v>
      </c>
      <c r="D113" s="199">
        <v>12000</v>
      </c>
      <c r="E113" s="206">
        <v>5551</v>
      </c>
      <c r="F113" s="199">
        <v>4080</v>
      </c>
      <c r="G113" s="200">
        <f t="shared" si="9"/>
        <v>21631</v>
      </c>
    </row>
    <row r="114" spans="3:11" x14ac:dyDescent="0.35">
      <c r="C114" s="50" t="s">
        <v>537</v>
      </c>
      <c r="D114" s="199"/>
      <c r="E114" s="206">
        <v>103500</v>
      </c>
      <c r="F114" s="199"/>
      <c r="G114" s="200">
        <f t="shared" si="9"/>
        <v>103500</v>
      </c>
    </row>
    <row r="115" spans="3:11" ht="31" x14ac:dyDescent="0.35">
      <c r="C115" s="50" t="s">
        <v>538</v>
      </c>
      <c r="D115" s="199">
        <v>8500</v>
      </c>
      <c r="E115" s="206">
        <f>5385+0.169999999925494-0.0118999998085201+0.06</f>
        <v>5385.2181000001174</v>
      </c>
      <c r="F115" s="199"/>
      <c r="G115" s="200">
        <f t="shared" si="9"/>
        <v>13885.218100000118</v>
      </c>
    </row>
    <row r="116" spans="3:11" x14ac:dyDescent="0.35">
      <c r="C116" s="54" t="s">
        <v>14</v>
      </c>
      <c r="D116" s="201">
        <f>SUM(D109:D115)</f>
        <v>765679.99999999988</v>
      </c>
      <c r="E116" s="26">
        <f>SUM(E109:E115)</f>
        <v>424015</v>
      </c>
      <c r="F116" s="201">
        <f>SUM(F109:F115)</f>
        <v>60000</v>
      </c>
      <c r="G116" s="200">
        <f t="shared" si="9"/>
        <v>1249695</v>
      </c>
      <c r="H116" s="221"/>
      <c r="I116" s="221"/>
      <c r="J116" s="221"/>
      <c r="K116" s="221"/>
    </row>
    <row r="117" spans="3:11" s="53" customFormat="1" x14ac:dyDescent="0.35">
      <c r="C117" s="61"/>
      <c r="D117" s="203"/>
      <c r="E117" s="204"/>
      <c r="F117" s="203"/>
      <c r="G117" s="207"/>
    </row>
    <row r="118" spans="3:11" hidden="1" x14ac:dyDescent="0.35">
      <c r="C118" s="361" t="s">
        <v>459</v>
      </c>
      <c r="D118" s="362"/>
      <c r="E118" s="362"/>
      <c r="F118" s="362"/>
      <c r="G118" s="363"/>
    </row>
    <row r="119" spans="3:11" ht="21" hidden="1" customHeight="1" thickBot="1" x14ac:dyDescent="0.4">
      <c r="C119" s="60" t="s">
        <v>554</v>
      </c>
      <c r="D119" s="194">
        <f>'1) Tableau budgétaire 1'!G132</f>
        <v>0</v>
      </c>
      <c r="E119" s="195">
        <f>'1) Tableau budgétaire 1'!H132</f>
        <v>0</v>
      </c>
      <c r="F119" s="194">
        <f>'1) Tableau budgétaire 1'!I132</f>
        <v>0</v>
      </c>
      <c r="G119" s="196">
        <f t="shared" ref="G119:G127" si="10">SUM(D119:F119)</f>
        <v>0</v>
      </c>
    </row>
    <row r="120" spans="3:11" hidden="1" x14ac:dyDescent="0.35">
      <c r="C120" s="59" t="s">
        <v>532</v>
      </c>
      <c r="D120" s="197"/>
      <c r="E120" s="188"/>
      <c r="F120" s="85"/>
      <c r="G120" s="198">
        <f t="shared" si="10"/>
        <v>0</v>
      </c>
    </row>
    <row r="121" spans="3:11" hidden="1" x14ac:dyDescent="0.35">
      <c r="C121" s="50" t="s">
        <v>533</v>
      </c>
      <c r="D121" s="199"/>
      <c r="E121" s="171"/>
      <c r="F121" s="19"/>
      <c r="G121" s="200">
        <f t="shared" si="10"/>
        <v>0</v>
      </c>
    </row>
    <row r="122" spans="3:11" ht="31" hidden="1" x14ac:dyDescent="0.35">
      <c r="C122" s="50" t="s">
        <v>534</v>
      </c>
      <c r="D122" s="199"/>
      <c r="E122" s="199"/>
      <c r="F122" s="199"/>
      <c r="G122" s="200">
        <f t="shared" si="10"/>
        <v>0</v>
      </c>
    </row>
    <row r="123" spans="3:11" hidden="1" x14ac:dyDescent="0.35">
      <c r="C123" s="51" t="s">
        <v>535</v>
      </c>
      <c r="D123" s="199"/>
      <c r="E123" s="199"/>
      <c r="F123" s="199"/>
      <c r="G123" s="200">
        <f t="shared" si="10"/>
        <v>0</v>
      </c>
    </row>
    <row r="124" spans="3:11" hidden="1" x14ac:dyDescent="0.35">
      <c r="C124" s="50" t="s">
        <v>536</v>
      </c>
      <c r="D124" s="199"/>
      <c r="E124" s="199"/>
      <c r="F124" s="199"/>
      <c r="G124" s="200">
        <f t="shared" si="10"/>
        <v>0</v>
      </c>
    </row>
    <row r="125" spans="3:11" hidden="1" x14ac:dyDescent="0.35">
      <c r="C125" s="50" t="s">
        <v>537</v>
      </c>
      <c r="D125" s="199"/>
      <c r="E125" s="199"/>
      <c r="F125" s="199"/>
      <c r="G125" s="200">
        <f t="shared" si="10"/>
        <v>0</v>
      </c>
    </row>
    <row r="126" spans="3:11" ht="31" hidden="1" x14ac:dyDescent="0.35">
      <c r="C126" s="50" t="s">
        <v>538</v>
      </c>
      <c r="D126" s="199"/>
      <c r="E126" s="199"/>
      <c r="F126" s="199"/>
      <c r="G126" s="200">
        <f t="shared" si="10"/>
        <v>0</v>
      </c>
    </row>
    <row r="127" spans="3:11" hidden="1" x14ac:dyDescent="0.35">
      <c r="C127" s="54" t="s">
        <v>14</v>
      </c>
      <c r="D127" s="201">
        <f>SUM(D120:D126)</f>
        <v>0</v>
      </c>
      <c r="E127" s="214">
        <f>SUM(E120:E126)</f>
        <v>0</v>
      </c>
      <c r="F127" s="201">
        <f>SUM(F120:F126)</f>
        <v>0</v>
      </c>
      <c r="G127" s="200">
        <f t="shared" si="10"/>
        <v>0</v>
      </c>
    </row>
    <row r="128" spans="3:11" s="53" customFormat="1" hidden="1" x14ac:dyDescent="0.35">
      <c r="C128" s="61"/>
      <c r="D128" s="203"/>
      <c r="E128" s="204"/>
      <c r="F128" s="203"/>
      <c r="G128" s="207"/>
    </row>
    <row r="129" spans="2:7" hidden="1" x14ac:dyDescent="0.35">
      <c r="C129" s="361" t="s">
        <v>468</v>
      </c>
      <c r="D129" s="362"/>
      <c r="E129" s="362"/>
      <c r="F129" s="362"/>
      <c r="G129" s="363"/>
    </row>
    <row r="130" spans="2:7" ht="24" hidden="1" customHeight="1" thickBot="1" x14ac:dyDescent="0.4">
      <c r="C130" s="60" t="s">
        <v>555</v>
      </c>
      <c r="D130" s="194">
        <f>'1) Tableau budgétaire 1'!G142</f>
        <v>0</v>
      </c>
      <c r="E130" s="195">
        <f>'1) Tableau budgétaire 1'!H142</f>
        <v>0</v>
      </c>
      <c r="F130" s="194">
        <f>'1) Tableau budgétaire 1'!I142</f>
        <v>0</v>
      </c>
      <c r="G130" s="196">
        <f t="shared" ref="G130:G138" si="11">SUM(D130:F130)</f>
        <v>0</v>
      </c>
    </row>
    <row r="131" spans="2:7" ht="15.75" hidden="1" customHeight="1" x14ac:dyDescent="0.35">
      <c r="C131" s="59" t="s">
        <v>532</v>
      </c>
      <c r="D131" s="197"/>
      <c r="E131" s="188"/>
      <c r="F131" s="85"/>
      <c r="G131" s="198">
        <f t="shared" si="11"/>
        <v>0</v>
      </c>
    </row>
    <row r="132" spans="2:7" hidden="1" x14ac:dyDescent="0.35">
      <c r="C132" s="50" t="s">
        <v>533</v>
      </c>
      <c r="D132" s="199"/>
      <c r="E132" s="171"/>
      <c r="F132" s="19"/>
      <c r="G132" s="200">
        <f t="shared" si="11"/>
        <v>0</v>
      </c>
    </row>
    <row r="133" spans="2:7" ht="15.75" hidden="1" customHeight="1" x14ac:dyDescent="0.35">
      <c r="C133" s="50" t="s">
        <v>534</v>
      </c>
      <c r="D133" s="199"/>
      <c r="E133" s="199"/>
      <c r="F133" s="199"/>
      <c r="G133" s="200">
        <f t="shared" si="11"/>
        <v>0</v>
      </c>
    </row>
    <row r="134" spans="2:7" hidden="1" x14ac:dyDescent="0.35">
      <c r="C134" s="51" t="s">
        <v>535</v>
      </c>
      <c r="D134" s="199"/>
      <c r="E134" s="199"/>
      <c r="F134" s="199"/>
      <c r="G134" s="200">
        <f t="shared" si="11"/>
        <v>0</v>
      </c>
    </row>
    <row r="135" spans="2:7" hidden="1" x14ac:dyDescent="0.35">
      <c r="C135" s="50" t="s">
        <v>536</v>
      </c>
      <c r="D135" s="199"/>
      <c r="E135" s="199"/>
      <c r="F135" s="199"/>
      <c r="G135" s="200">
        <f t="shared" si="11"/>
        <v>0</v>
      </c>
    </row>
    <row r="136" spans="2:7" ht="15.75" hidden="1" customHeight="1" x14ac:dyDescent="0.35">
      <c r="C136" s="50" t="s">
        <v>537</v>
      </c>
      <c r="D136" s="199"/>
      <c r="E136" s="199"/>
      <c r="F136" s="199"/>
      <c r="G136" s="200">
        <f t="shared" si="11"/>
        <v>0</v>
      </c>
    </row>
    <row r="137" spans="2:7" ht="31" hidden="1" x14ac:dyDescent="0.35">
      <c r="C137" s="50" t="s">
        <v>538</v>
      </c>
      <c r="D137" s="199"/>
      <c r="E137" s="199"/>
      <c r="F137" s="199"/>
      <c r="G137" s="200">
        <f t="shared" si="11"/>
        <v>0</v>
      </c>
    </row>
    <row r="138" spans="2:7" hidden="1" x14ac:dyDescent="0.35">
      <c r="C138" s="54" t="s">
        <v>14</v>
      </c>
      <c r="D138" s="201">
        <f>SUM(D131:D137)</f>
        <v>0</v>
      </c>
      <c r="E138" s="214">
        <f>SUM(E131:E137)</f>
        <v>0</v>
      </c>
      <c r="F138" s="201">
        <f>SUM(F131:F137)</f>
        <v>0</v>
      </c>
      <c r="G138" s="200">
        <f t="shared" si="11"/>
        <v>0</v>
      </c>
    </row>
    <row r="139" spans="2:7" hidden="1" x14ac:dyDescent="0.35"/>
    <row r="140" spans="2:7" hidden="1" x14ac:dyDescent="0.35">
      <c r="B140" s="361" t="s">
        <v>556</v>
      </c>
      <c r="C140" s="362"/>
      <c r="D140" s="362"/>
      <c r="E140" s="362"/>
      <c r="F140" s="362"/>
      <c r="G140" s="363"/>
    </row>
    <row r="141" spans="2:7" hidden="1" x14ac:dyDescent="0.35">
      <c r="C141" s="361" t="s">
        <v>478</v>
      </c>
      <c r="D141" s="362"/>
      <c r="E141" s="362"/>
      <c r="F141" s="362"/>
      <c r="G141" s="363"/>
    </row>
    <row r="142" spans="2:7" ht="24" hidden="1" customHeight="1" thickBot="1" x14ac:dyDescent="0.4">
      <c r="C142" s="60" t="s">
        <v>557</v>
      </c>
      <c r="D142" s="194">
        <f>'1) Tableau budgétaire 1'!G154</f>
        <v>0</v>
      </c>
      <c r="E142" s="195">
        <f>'1) Tableau budgétaire 1'!H154</f>
        <v>0</v>
      </c>
      <c r="F142" s="194">
        <f>'1) Tableau budgétaire 1'!I154</f>
        <v>0</v>
      </c>
      <c r="G142" s="196">
        <f>SUM(D142:F142)</f>
        <v>0</v>
      </c>
    </row>
    <row r="143" spans="2:7" ht="24.75" hidden="1" customHeight="1" x14ac:dyDescent="0.35">
      <c r="C143" s="59" t="s">
        <v>532</v>
      </c>
      <c r="D143" s="197"/>
      <c r="E143" s="188"/>
      <c r="F143" s="85"/>
      <c r="G143" s="198">
        <f t="shared" ref="G143:G150" si="12">SUM(D143:F143)</f>
        <v>0</v>
      </c>
    </row>
    <row r="144" spans="2:7" ht="15.75" hidden="1" customHeight="1" x14ac:dyDescent="0.35">
      <c r="C144" s="50" t="s">
        <v>533</v>
      </c>
      <c r="D144" s="199"/>
      <c r="E144" s="171"/>
      <c r="F144" s="19"/>
      <c r="G144" s="200">
        <f t="shared" si="12"/>
        <v>0</v>
      </c>
    </row>
    <row r="145" spans="3:7" ht="15.75" hidden="1" customHeight="1" x14ac:dyDescent="0.35">
      <c r="C145" s="50" t="s">
        <v>534</v>
      </c>
      <c r="D145" s="199"/>
      <c r="E145" s="199"/>
      <c r="F145" s="199"/>
      <c r="G145" s="200">
        <f t="shared" si="12"/>
        <v>0</v>
      </c>
    </row>
    <row r="146" spans="3:7" ht="15.75" hidden="1" customHeight="1" x14ac:dyDescent="0.35">
      <c r="C146" s="51" t="s">
        <v>535</v>
      </c>
      <c r="D146" s="199"/>
      <c r="E146" s="199"/>
      <c r="F146" s="199"/>
      <c r="G146" s="200">
        <f t="shared" si="12"/>
        <v>0</v>
      </c>
    </row>
    <row r="147" spans="3:7" ht="15.75" hidden="1" customHeight="1" x14ac:dyDescent="0.35">
      <c r="C147" s="50" t="s">
        <v>536</v>
      </c>
      <c r="D147" s="199"/>
      <c r="E147" s="199"/>
      <c r="F147" s="199"/>
      <c r="G147" s="200">
        <f t="shared" si="12"/>
        <v>0</v>
      </c>
    </row>
    <row r="148" spans="3:7" ht="15.75" hidden="1" customHeight="1" x14ac:dyDescent="0.35">
      <c r="C148" s="50" t="s">
        <v>537</v>
      </c>
      <c r="D148" s="199"/>
      <c r="E148" s="199"/>
      <c r="F148" s="199"/>
      <c r="G148" s="200">
        <f t="shared" si="12"/>
        <v>0</v>
      </c>
    </row>
    <row r="149" spans="3:7" ht="15.75" hidden="1" customHeight="1" x14ac:dyDescent="0.35">
      <c r="C149" s="50" t="s">
        <v>538</v>
      </c>
      <c r="D149" s="199"/>
      <c r="E149" s="199"/>
      <c r="F149" s="199"/>
      <c r="G149" s="200">
        <f t="shared" si="12"/>
        <v>0</v>
      </c>
    </row>
    <row r="150" spans="3:7" ht="15.75" hidden="1" customHeight="1" x14ac:dyDescent="0.35">
      <c r="C150" s="54" t="s">
        <v>14</v>
      </c>
      <c r="D150" s="201">
        <f>SUM(D143:D149)</f>
        <v>0</v>
      </c>
      <c r="E150" s="214">
        <f>SUM(E143:E149)</f>
        <v>0</v>
      </c>
      <c r="F150" s="201">
        <f>SUM(F143:F149)</f>
        <v>0</v>
      </c>
      <c r="G150" s="200">
        <f t="shared" si="12"/>
        <v>0</v>
      </c>
    </row>
    <row r="151" spans="3:7" s="53" customFormat="1" ht="15.75" hidden="1" customHeight="1" x14ac:dyDescent="0.35">
      <c r="C151" s="61"/>
      <c r="D151" s="203"/>
      <c r="E151" s="204"/>
      <c r="F151" s="203"/>
      <c r="G151" s="207"/>
    </row>
    <row r="152" spans="3:7" ht="15.75" hidden="1" customHeight="1" x14ac:dyDescent="0.35">
      <c r="C152" s="361" t="s">
        <v>487</v>
      </c>
      <c r="D152" s="362"/>
      <c r="E152" s="362"/>
      <c r="F152" s="362"/>
      <c r="G152" s="363"/>
    </row>
    <row r="153" spans="3:7" ht="21" hidden="1" customHeight="1" thickBot="1" x14ac:dyDescent="0.4">
      <c r="C153" s="60" t="s">
        <v>558</v>
      </c>
      <c r="D153" s="194">
        <f>'1) Tableau budgétaire 1'!G164</f>
        <v>0</v>
      </c>
      <c r="E153" s="195">
        <f>'1) Tableau budgétaire 1'!H164</f>
        <v>0</v>
      </c>
      <c r="F153" s="194">
        <f>'1) Tableau budgétaire 1'!I164</f>
        <v>0</v>
      </c>
      <c r="G153" s="196">
        <f t="shared" ref="G153:G161" si="13">SUM(D153:F153)</f>
        <v>0</v>
      </c>
    </row>
    <row r="154" spans="3:7" ht="15.75" hidden="1" customHeight="1" x14ac:dyDescent="0.35">
      <c r="C154" s="59" t="s">
        <v>532</v>
      </c>
      <c r="D154" s="197"/>
      <c r="E154" s="188"/>
      <c r="F154" s="85"/>
      <c r="G154" s="198">
        <f t="shared" si="13"/>
        <v>0</v>
      </c>
    </row>
    <row r="155" spans="3:7" ht="15.75" hidden="1" customHeight="1" x14ac:dyDescent="0.35">
      <c r="C155" s="50" t="s">
        <v>533</v>
      </c>
      <c r="D155" s="199"/>
      <c r="E155" s="171"/>
      <c r="F155" s="19"/>
      <c r="G155" s="200">
        <f t="shared" si="13"/>
        <v>0</v>
      </c>
    </row>
    <row r="156" spans="3:7" ht="15.75" hidden="1" customHeight="1" x14ac:dyDescent="0.35">
      <c r="C156" s="50" t="s">
        <v>534</v>
      </c>
      <c r="D156" s="199"/>
      <c r="E156" s="199"/>
      <c r="F156" s="199"/>
      <c r="G156" s="200">
        <f t="shared" si="13"/>
        <v>0</v>
      </c>
    </row>
    <row r="157" spans="3:7" ht="15.75" hidden="1" customHeight="1" x14ac:dyDescent="0.35">
      <c r="C157" s="51" t="s">
        <v>535</v>
      </c>
      <c r="D157" s="199"/>
      <c r="E157" s="199"/>
      <c r="F157" s="199"/>
      <c r="G157" s="200">
        <f t="shared" si="13"/>
        <v>0</v>
      </c>
    </row>
    <row r="158" spans="3:7" ht="15.75" hidden="1" customHeight="1" x14ac:dyDescent="0.35">
      <c r="C158" s="50" t="s">
        <v>536</v>
      </c>
      <c r="D158" s="199"/>
      <c r="E158" s="199"/>
      <c r="F158" s="199"/>
      <c r="G158" s="200">
        <f t="shared" si="13"/>
        <v>0</v>
      </c>
    </row>
    <row r="159" spans="3:7" ht="15.75" hidden="1" customHeight="1" x14ac:dyDescent="0.35">
      <c r="C159" s="50" t="s">
        <v>537</v>
      </c>
      <c r="D159" s="199"/>
      <c r="E159" s="199"/>
      <c r="F159" s="199"/>
      <c r="G159" s="200">
        <f t="shared" si="13"/>
        <v>0</v>
      </c>
    </row>
    <row r="160" spans="3:7" ht="15.75" hidden="1" customHeight="1" x14ac:dyDescent="0.35">
      <c r="C160" s="50" t="s">
        <v>538</v>
      </c>
      <c r="D160" s="199"/>
      <c r="E160" s="199"/>
      <c r="F160" s="199"/>
      <c r="G160" s="200">
        <f t="shared" si="13"/>
        <v>0</v>
      </c>
    </row>
    <row r="161" spans="3:7" ht="15.75" hidden="1" customHeight="1" x14ac:dyDescent="0.35">
      <c r="C161" s="54" t="s">
        <v>14</v>
      </c>
      <c r="D161" s="201">
        <f>SUM(D154:D160)</f>
        <v>0</v>
      </c>
      <c r="E161" s="214">
        <f>SUM(E154:E160)</f>
        <v>0</v>
      </c>
      <c r="F161" s="201">
        <f>SUM(F154:F160)</f>
        <v>0</v>
      </c>
      <c r="G161" s="200">
        <f t="shared" si="13"/>
        <v>0</v>
      </c>
    </row>
    <row r="162" spans="3:7" s="53" customFormat="1" ht="15.75" hidden="1" customHeight="1" x14ac:dyDescent="0.35">
      <c r="C162" s="61"/>
      <c r="D162" s="203"/>
      <c r="E162" s="204"/>
      <c r="F162" s="203"/>
      <c r="G162" s="207"/>
    </row>
    <row r="163" spans="3:7" ht="15.75" hidden="1" customHeight="1" x14ac:dyDescent="0.35">
      <c r="C163" s="361" t="s">
        <v>496</v>
      </c>
      <c r="D163" s="362"/>
      <c r="E163" s="362"/>
      <c r="F163" s="362"/>
      <c r="G163" s="363"/>
    </row>
    <row r="164" spans="3:7" ht="19.5" hidden="1" customHeight="1" thickBot="1" x14ac:dyDescent="0.4">
      <c r="C164" s="60" t="s">
        <v>559</v>
      </c>
      <c r="D164" s="194">
        <f>'1) Tableau budgétaire 1'!G174</f>
        <v>0</v>
      </c>
      <c r="E164" s="195">
        <f>'1) Tableau budgétaire 1'!H174</f>
        <v>0</v>
      </c>
      <c r="F164" s="194">
        <f>'1) Tableau budgétaire 1'!I174</f>
        <v>0</v>
      </c>
      <c r="G164" s="196">
        <f t="shared" ref="G164:G172" si="14">SUM(D164:F164)</f>
        <v>0</v>
      </c>
    </row>
    <row r="165" spans="3:7" ht="15.75" hidden="1" customHeight="1" x14ac:dyDescent="0.35">
      <c r="C165" s="59" t="s">
        <v>532</v>
      </c>
      <c r="D165" s="197"/>
      <c r="E165" s="188"/>
      <c r="F165" s="85"/>
      <c r="G165" s="198">
        <f t="shared" si="14"/>
        <v>0</v>
      </c>
    </row>
    <row r="166" spans="3:7" ht="15.75" hidden="1" customHeight="1" x14ac:dyDescent="0.35">
      <c r="C166" s="50" t="s">
        <v>533</v>
      </c>
      <c r="D166" s="199"/>
      <c r="E166" s="171"/>
      <c r="F166" s="19"/>
      <c r="G166" s="200">
        <f t="shared" si="14"/>
        <v>0</v>
      </c>
    </row>
    <row r="167" spans="3:7" ht="15.75" hidden="1" customHeight="1" x14ac:dyDescent="0.35">
      <c r="C167" s="50" t="s">
        <v>534</v>
      </c>
      <c r="D167" s="199"/>
      <c r="E167" s="199"/>
      <c r="F167" s="199"/>
      <c r="G167" s="200">
        <f t="shared" si="14"/>
        <v>0</v>
      </c>
    </row>
    <row r="168" spans="3:7" ht="15.75" hidden="1" customHeight="1" x14ac:dyDescent="0.35">
      <c r="C168" s="51" t="s">
        <v>535</v>
      </c>
      <c r="D168" s="199"/>
      <c r="E168" s="199"/>
      <c r="F168" s="199"/>
      <c r="G168" s="200">
        <f t="shared" si="14"/>
        <v>0</v>
      </c>
    </row>
    <row r="169" spans="3:7" ht="15.75" hidden="1" customHeight="1" x14ac:dyDescent="0.35">
      <c r="C169" s="50" t="s">
        <v>536</v>
      </c>
      <c r="D169" s="199"/>
      <c r="E169" s="199"/>
      <c r="F169" s="199"/>
      <c r="G169" s="200">
        <f t="shared" si="14"/>
        <v>0</v>
      </c>
    </row>
    <row r="170" spans="3:7" ht="15.75" hidden="1" customHeight="1" x14ac:dyDescent="0.35">
      <c r="C170" s="50" t="s">
        <v>537</v>
      </c>
      <c r="D170" s="199"/>
      <c r="E170" s="199"/>
      <c r="F170" s="199"/>
      <c r="G170" s="200">
        <f t="shared" si="14"/>
        <v>0</v>
      </c>
    </row>
    <row r="171" spans="3:7" ht="15.75" hidden="1" customHeight="1" x14ac:dyDescent="0.35">
      <c r="C171" s="50" t="s">
        <v>538</v>
      </c>
      <c r="D171" s="199"/>
      <c r="E171" s="199"/>
      <c r="F171" s="199"/>
      <c r="G171" s="200">
        <f t="shared" si="14"/>
        <v>0</v>
      </c>
    </row>
    <row r="172" spans="3:7" ht="15.75" hidden="1" customHeight="1" x14ac:dyDescent="0.35">
      <c r="C172" s="54" t="s">
        <v>14</v>
      </c>
      <c r="D172" s="201">
        <f>SUM(D165:D171)</f>
        <v>0</v>
      </c>
      <c r="E172" s="214">
        <f>SUM(E165:E171)</f>
        <v>0</v>
      </c>
      <c r="F172" s="201">
        <f>SUM(F165:F171)</f>
        <v>0</v>
      </c>
      <c r="G172" s="200">
        <f t="shared" si="14"/>
        <v>0</v>
      </c>
    </row>
    <row r="173" spans="3:7" s="53" customFormat="1" ht="15.75" hidden="1" customHeight="1" x14ac:dyDescent="0.35">
      <c r="C173" s="61"/>
      <c r="D173" s="203"/>
      <c r="E173" s="204"/>
      <c r="F173" s="203"/>
      <c r="G173" s="207"/>
    </row>
    <row r="174" spans="3:7" ht="15.75" hidden="1" customHeight="1" x14ac:dyDescent="0.35">
      <c r="C174" s="361" t="s">
        <v>505</v>
      </c>
      <c r="D174" s="362"/>
      <c r="E174" s="362"/>
      <c r="F174" s="362"/>
      <c r="G174" s="363"/>
    </row>
    <row r="175" spans="3:7" ht="22.5" hidden="1" customHeight="1" thickBot="1" x14ac:dyDescent="0.4">
      <c r="C175" s="60" t="s">
        <v>560</v>
      </c>
      <c r="D175" s="194">
        <f>'1) Tableau budgétaire 1'!G184</f>
        <v>0</v>
      </c>
      <c r="E175" s="195">
        <f>'1) Tableau budgétaire 1'!H184</f>
        <v>0</v>
      </c>
      <c r="F175" s="194">
        <f>'1) Tableau budgétaire 1'!I184</f>
        <v>0</v>
      </c>
      <c r="G175" s="196">
        <f t="shared" ref="G175:G183" si="15">SUM(D175:F175)</f>
        <v>0</v>
      </c>
    </row>
    <row r="176" spans="3:7" ht="15.75" hidden="1" customHeight="1" x14ac:dyDescent="0.35">
      <c r="C176" s="59" t="s">
        <v>532</v>
      </c>
      <c r="D176" s="197"/>
      <c r="E176" s="188"/>
      <c r="F176" s="85"/>
      <c r="G176" s="198">
        <f t="shared" si="15"/>
        <v>0</v>
      </c>
    </row>
    <row r="177" spans="3:7" ht="15.75" hidden="1" customHeight="1" x14ac:dyDescent="0.35">
      <c r="C177" s="50" t="s">
        <v>533</v>
      </c>
      <c r="D177" s="199"/>
      <c r="E177" s="171"/>
      <c r="F177" s="19"/>
      <c r="G177" s="200">
        <f t="shared" si="15"/>
        <v>0</v>
      </c>
    </row>
    <row r="178" spans="3:7" ht="15.75" hidden="1" customHeight="1" x14ac:dyDescent="0.35">
      <c r="C178" s="50" t="s">
        <v>534</v>
      </c>
      <c r="D178" s="199"/>
      <c r="E178" s="199"/>
      <c r="F178" s="199"/>
      <c r="G178" s="200">
        <f t="shared" si="15"/>
        <v>0</v>
      </c>
    </row>
    <row r="179" spans="3:7" ht="15.75" hidden="1" customHeight="1" x14ac:dyDescent="0.35">
      <c r="C179" s="51" t="s">
        <v>535</v>
      </c>
      <c r="D179" s="199"/>
      <c r="E179" s="199"/>
      <c r="F179" s="199"/>
      <c r="G179" s="200">
        <f t="shared" si="15"/>
        <v>0</v>
      </c>
    </row>
    <row r="180" spans="3:7" ht="15.75" hidden="1" customHeight="1" x14ac:dyDescent="0.35">
      <c r="C180" s="50" t="s">
        <v>536</v>
      </c>
      <c r="D180" s="199"/>
      <c r="E180" s="199"/>
      <c r="F180" s="199"/>
      <c r="G180" s="200">
        <f t="shared" si="15"/>
        <v>0</v>
      </c>
    </row>
    <row r="181" spans="3:7" ht="15.75" hidden="1" customHeight="1" x14ac:dyDescent="0.35">
      <c r="C181" s="50" t="s">
        <v>537</v>
      </c>
      <c r="D181" s="199"/>
      <c r="E181" s="199"/>
      <c r="F181" s="199"/>
      <c r="G181" s="200">
        <f t="shared" si="15"/>
        <v>0</v>
      </c>
    </row>
    <row r="182" spans="3:7" ht="15.75" hidden="1" customHeight="1" x14ac:dyDescent="0.35">
      <c r="C182" s="50" t="s">
        <v>538</v>
      </c>
      <c r="D182" s="199"/>
      <c r="E182" s="199"/>
      <c r="F182" s="199"/>
      <c r="G182" s="200">
        <f t="shared" si="15"/>
        <v>0</v>
      </c>
    </row>
    <row r="183" spans="3:7" ht="15.75" hidden="1" customHeight="1" x14ac:dyDescent="0.35">
      <c r="C183" s="54" t="s">
        <v>14</v>
      </c>
      <c r="D183" s="201">
        <f>SUM(D176:D182)</f>
        <v>0</v>
      </c>
      <c r="E183" s="214">
        <f>SUM(E176:E182)</f>
        <v>0</v>
      </c>
      <c r="F183" s="201">
        <f>SUM(F176:F182)</f>
        <v>0</v>
      </c>
      <c r="G183" s="200">
        <f t="shared" si="15"/>
        <v>0</v>
      </c>
    </row>
    <row r="184" spans="3:7" ht="15.75" customHeight="1" x14ac:dyDescent="0.35"/>
    <row r="185" spans="3:7" ht="15.75" customHeight="1" x14ac:dyDescent="0.35">
      <c r="C185" s="361" t="s">
        <v>561</v>
      </c>
      <c r="D185" s="362"/>
      <c r="E185" s="362"/>
      <c r="F185" s="362"/>
      <c r="G185" s="363"/>
    </row>
    <row r="186" spans="3:7" ht="36" customHeight="1" thickBot="1" x14ac:dyDescent="0.4">
      <c r="C186" s="60" t="s">
        <v>562</v>
      </c>
      <c r="D186" s="194">
        <f>'1) Tableau budgétaire 1'!G191</f>
        <v>691514.75699999998</v>
      </c>
      <c r="E186" s="194">
        <f>'1) Tableau budgétaire 1'!H191</f>
        <v>395037</v>
      </c>
      <c r="F186" s="194">
        <f>'1) Tableau budgétaire 1'!I191</f>
        <v>413448.24</v>
      </c>
      <c r="G186" s="196">
        <f t="shared" ref="G186:G193" si="16">SUM(D186:F186)</f>
        <v>1499999.997</v>
      </c>
    </row>
    <row r="187" spans="3:7" ht="15.75" customHeight="1" x14ac:dyDescent="0.35">
      <c r="C187" s="59" t="s">
        <v>532</v>
      </c>
      <c r="D187" s="197">
        <f>444689.767-0.01</f>
        <v>444689.75699999998</v>
      </c>
      <c r="E187" s="189">
        <v>221419</v>
      </c>
      <c r="F187" s="85">
        <v>249416.24</v>
      </c>
      <c r="G187" s="198">
        <f>SUM(D187:F187)</f>
        <v>915524.99699999997</v>
      </c>
    </row>
    <row r="188" spans="3:7" ht="15.75" customHeight="1" x14ac:dyDescent="0.35">
      <c r="C188" s="50" t="s">
        <v>533</v>
      </c>
      <c r="D188" s="199">
        <v>25000</v>
      </c>
      <c r="E188" s="190"/>
      <c r="F188" s="19"/>
      <c r="G188" s="200">
        <f t="shared" si="16"/>
        <v>25000</v>
      </c>
    </row>
    <row r="189" spans="3:7" ht="15.75" customHeight="1" x14ac:dyDescent="0.35">
      <c r="C189" s="50" t="s">
        <v>534</v>
      </c>
      <c r="D189" s="199"/>
      <c r="E189" s="206"/>
      <c r="F189" s="199"/>
      <c r="G189" s="200">
        <f t="shared" si="16"/>
        <v>0</v>
      </c>
    </row>
    <row r="190" spans="3:7" ht="15.75" customHeight="1" x14ac:dyDescent="0.35">
      <c r="C190" s="51" t="s">
        <v>535</v>
      </c>
      <c r="D190" s="199">
        <v>50000</v>
      </c>
      <c r="E190" s="206"/>
      <c r="F190" s="199">
        <v>35000</v>
      </c>
      <c r="G190" s="200">
        <f t="shared" si="16"/>
        <v>85000</v>
      </c>
    </row>
    <row r="191" spans="3:7" ht="15.75" customHeight="1" x14ac:dyDescent="0.35">
      <c r="C191" s="50" t="s">
        <v>536</v>
      </c>
      <c r="D191" s="199">
        <v>45000</v>
      </c>
      <c r="E191" s="206">
        <f>'[1]1) Tableau budgétaire 1'!E220</f>
        <v>60000</v>
      </c>
      <c r="F191" s="199">
        <v>40000</v>
      </c>
      <c r="G191" s="200">
        <f t="shared" si="16"/>
        <v>145000</v>
      </c>
    </row>
    <row r="192" spans="3:7" ht="15.75" customHeight="1" x14ac:dyDescent="0.35">
      <c r="C192" s="50" t="s">
        <v>537</v>
      </c>
      <c r="D192" s="199"/>
      <c r="E192" s="206"/>
      <c r="F192" s="199"/>
      <c r="G192" s="200">
        <f t="shared" si="16"/>
        <v>0</v>
      </c>
    </row>
    <row r="193" spans="3:13" ht="15.75" customHeight="1" x14ac:dyDescent="0.35">
      <c r="C193" s="50" t="s">
        <v>538</v>
      </c>
      <c r="D193" s="206">
        <f>126825</f>
        <v>126825</v>
      </c>
      <c r="E193" s="206">
        <v>113618</v>
      </c>
      <c r="F193" s="199">
        <v>89032</v>
      </c>
      <c r="G193" s="200">
        <f t="shared" si="16"/>
        <v>329475</v>
      </c>
    </row>
    <row r="194" spans="3:13" ht="15.75" customHeight="1" x14ac:dyDescent="0.35">
      <c r="C194" s="54" t="s">
        <v>14</v>
      </c>
      <c r="D194" s="201">
        <f>SUM(D187:D193)</f>
        <v>691514.75699999998</v>
      </c>
      <c r="E194" s="26">
        <f>SUM(E187:E193)</f>
        <v>395037</v>
      </c>
      <c r="F194" s="201">
        <f>SUM(F187:F193)</f>
        <v>413448.24</v>
      </c>
      <c r="G194" s="200">
        <f>SUM(D194:F194)</f>
        <v>1499999.997</v>
      </c>
      <c r="H194" s="221"/>
      <c r="I194" s="221"/>
      <c r="J194" s="221"/>
    </row>
    <row r="195" spans="3:13" ht="15.75" customHeight="1" thickBot="1" x14ac:dyDescent="0.4">
      <c r="I195" s="221"/>
    </row>
    <row r="196" spans="3:13" ht="19.5" customHeight="1" thickBot="1" x14ac:dyDescent="0.4">
      <c r="C196" s="367" t="s">
        <v>528</v>
      </c>
      <c r="D196" s="368"/>
      <c r="E196" s="368"/>
      <c r="F196" s="368"/>
      <c r="G196" s="369"/>
      <c r="H196" s="221"/>
      <c r="J196" s="221"/>
    </row>
    <row r="197" spans="3:13" ht="51.75" customHeight="1" x14ac:dyDescent="0.35">
      <c r="C197" s="66"/>
      <c r="D197" s="167" t="str">
        <f>'1) Tableau budgétaire 1'!G5</f>
        <v>Organisation recipiendiaire 1 (UNHCR)</v>
      </c>
      <c r="E197" s="167" t="str">
        <f>'1) Tableau budgétaire 1'!H5</f>
        <v>Organisation recipiendiaire 2 (FAO)</v>
      </c>
      <c r="F197" s="167" t="str">
        <f>'1) Tableau budgétaire 1'!I5</f>
        <v>Organisation recipiendiaire 3 (OIM)</v>
      </c>
      <c r="G197" s="163" t="s">
        <v>528</v>
      </c>
    </row>
    <row r="198" spans="3:13" ht="19.5" customHeight="1" x14ac:dyDescent="0.35">
      <c r="C198" s="168" t="s">
        <v>532</v>
      </c>
      <c r="D198" s="260">
        <f t="shared" ref="D198:F204" si="17">SUM(D176,D165,D154,D143,D131,D120,D109,D98,D86,D75,D64,D53,D41,D30,D19,D8,D187)</f>
        <v>444689.75699999998</v>
      </c>
      <c r="E198" s="260">
        <f>SUM(E176,E165,E154,E143,E131,E120,E109,E98,E86,E75,E64,E53,E41,E30,E19,E8,E187)</f>
        <v>221419</v>
      </c>
      <c r="F198" s="254">
        <f t="shared" si="17"/>
        <v>249416.24</v>
      </c>
      <c r="G198" s="215">
        <f t="shared" ref="G198:G205" si="18">SUM(D198:F198)</f>
        <v>915524.99699999997</v>
      </c>
    </row>
    <row r="199" spans="3:13" ht="34.5" customHeight="1" x14ac:dyDescent="0.35">
      <c r="C199" s="117" t="s">
        <v>533</v>
      </c>
      <c r="D199" s="260">
        <f t="shared" si="17"/>
        <v>90520.000778504414</v>
      </c>
      <c r="E199" s="260">
        <f>SUM(E177,E166,E155,E144,E132,E121,E110,E99,E87,E76,E65,E54,E42,E31,E20,E9,E188)</f>
        <v>166240</v>
      </c>
      <c r="F199" s="260">
        <f t="shared" si="17"/>
        <v>471193.97588785109</v>
      </c>
      <c r="G199" s="216">
        <f t="shared" si="18"/>
        <v>727953.97666635551</v>
      </c>
    </row>
    <row r="200" spans="3:13" ht="48" customHeight="1" x14ac:dyDescent="0.35">
      <c r="C200" s="117" t="s">
        <v>534</v>
      </c>
      <c r="D200" s="260">
        <f t="shared" si="17"/>
        <v>225500</v>
      </c>
      <c r="E200" s="260">
        <f t="shared" si="17"/>
        <v>15044</v>
      </c>
      <c r="F200" s="260">
        <f t="shared" si="17"/>
        <v>0</v>
      </c>
      <c r="G200" s="216">
        <f t="shared" si="18"/>
        <v>240544</v>
      </c>
    </row>
    <row r="201" spans="3:13" ht="33" customHeight="1" x14ac:dyDescent="0.35">
      <c r="C201" s="118" t="s">
        <v>535</v>
      </c>
      <c r="D201" s="260">
        <f t="shared" si="17"/>
        <v>857471.99922149547</v>
      </c>
      <c r="E201" s="260">
        <f t="shared" si="17"/>
        <v>204848.00077850447</v>
      </c>
      <c r="F201" s="260">
        <f t="shared" si="17"/>
        <v>35000</v>
      </c>
      <c r="G201" s="216">
        <f t="shared" si="18"/>
        <v>1097320</v>
      </c>
    </row>
    <row r="202" spans="3:13" ht="21" customHeight="1" x14ac:dyDescent="0.35">
      <c r="C202" s="117" t="s">
        <v>536</v>
      </c>
      <c r="D202" s="260">
        <f t="shared" si="17"/>
        <v>177068</v>
      </c>
      <c r="E202" s="260">
        <f t="shared" si="17"/>
        <v>298366</v>
      </c>
      <c r="F202" s="260">
        <f t="shared" si="17"/>
        <v>280480</v>
      </c>
      <c r="G202" s="216">
        <f t="shared" si="18"/>
        <v>755914</v>
      </c>
      <c r="H202" s="25"/>
      <c r="I202" s="25"/>
      <c r="J202" s="25"/>
      <c r="K202" s="25"/>
      <c r="L202" s="25"/>
      <c r="M202" s="24"/>
    </row>
    <row r="203" spans="3:13" ht="39.75" customHeight="1" x14ac:dyDescent="0.35">
      <c r="C203" s="117" t="s">
        <v>537</v>
      </c>
      <c r="D203" s="260">
        <f t="shared" si="17"/>
        <v>86900</v>
      </c>
      <c r="E203" s="260">
        <f t="shared" si="17"/>
        <v>177374</v>
      </c>
      <c r="F203" s="260">
        <f t="shared" si="17"/>
        <v>202589</v>
      </c>
      <c r="G203" s="216">
        <f t="shared" si="18"/>
        <v>466863</v>
      </c>
      <c r="H203" s="25"/>
      <c r="I203" s="25"/>
      <c r="J203" s="25"/>
      <c r="K203" s="25"/>
      <c r="L203" s="25"/>
      <c r="M203" s="24"/>
    </row>
    <row r="204" spans="3:13" ht="39.75" customHeight="1" x14ac:dyDescent="0.35">
      <c r="C204" s="117" t="s">
        <v>538</v>
      </c>
      <c r="D204" s="254">
        <f t="shared" si="17"/>
        <v>135325</v>
      </c>
      <c r="E204" s="254">
        <f t="shared" si="17"/>
        <v>244420.21810000011</v>
      </c>
      <c r="F204" s="254">
        <f t="shared" si="17"/>
        <v>89032</v>
      </c>
      <c r="G204" s="216">
        <f t="shared" si="18"/>
        <v>468777.21810000011</v>
      </c>
      <c r="H204" s="25"/>
      <c r="I204" s="25"/>
      <c r="J204" s="25"/>
      <c r="K204" s="25"/>
      <c r="L204" s="25"/>
      <c r="M204" s="24"/>
    </row>
    <row r="205" spans="3:13" ht="22.5" customHeight="1" x14ac:dyDescent="0.35">
      <c r="C205" s="100" t="s">
        <v>520</v>
      </c>
      <c r="D205" s="261">
        <f>SUM(D198:D204)</f>
        <v>2017474.7569999998</v>
      </c>
      <c r="E205" s="261">
        <f>SUM(E198:E204)</f>
        <v>1327711.2188785046</v>
      </c>
      <c r="F205" s="261">
        <f>SUM(F198:F204)</f>
        <v>1327711.2158878511</v>
      </c>
      <c r="G205" s="101">
        <f t="shared" si="18"/>
        <v>4672897.1917663552</v>
      </c>
      <c r="H205" s="25"/>
      <c r="I205" s="25"/>
      <c r="J205" s="25"/>
      <c r="K205" s="25"/>
      <c r="L205" s="25"/>
      <c r="M205" s="24"/>
    </row>
    <row r="206" spans="3:13" ht="26.25" customHeight="1" thickBot="1" x14ac:dyDescent="0.4">
      <c r="C206" s="100" t="s">
        <v>521</v>
      </c>
      <c r="D206" s="262">
        <f>D205*0.07</f>
        <v>141223.23298999999</v>
      </c>
      <c r="E206" s="262">
        <f t="shared" ref="E206:G206" si="19">E205*0.07</f>
        <v>92939.785321495336</v>
      </c>
      <c r="F206" s="262">
        <f t="shared" si="19"/>
        <v>92939.785112149591</v>
      </c>
      <c r="G206" s="217">
        <f t="shared" si="19"/>
        <v>327102.80342364492</v>
      </c>
      <c r="H206" s="33"/>
      <c r="I206" s="33"/>
      <c r="J206" s="33"/>
      <c r="K206" s="33"/>
      <c r="L206" s="55"/>
      <c r="M206" s="53"/>
    </row>
    <row r="207" spans="3:13" ht="23.25" customHeight="1" thickBot="1" x14ac:dyDescent="0.4">
      <c r="C207" s="110" t="s">
        <v>364</v>
      </c>
      <c r="D207" s="259">
        <f>SUM(D205:D206)</f>
        <v>2158697.9899899997</v>
      </c>
      <c r="E207" s="263">
        <f t="shared" ref="E207:G207" si="20">SUM(E205:E206)</f>
        <v>1420651.0041999999</v>
      </c>
      <c r="F207" s="263">
        <f t="shared" si="20"/>
        <v>1420651.0010000006</v>
      </c>
      <c r="G207" s="218">
        <f t="shared" si="20"/>
        <v>4999999.9951900002</v>
      </c>
      <c r="H207" s="33"/>
      <c r="I207" s="33"/>
      <c r="J207" s="33"/>
      <c r="K207" s="33"/>
      <c r="L207" s="55"/>
      <c r="M207" s="53"/>
    </row>
    <row r="208" spans="3:13" ht="15.75" customHeight="1" x14ac:dyDescent="0.35">
      <c r="L208" s="56"/>
    </row>
    <row r="209" spans="3:13" ht="15.75" customHeight="1" x14ac:dyDescent="0.35">
      <c r="E209" s="219"/>
      <c r="H209" s="40"/>
      <c r="I209" s="40"/>
      <c r="L209" s="56"/>
    </row>
    <row r="210" spans="3:13" ht="15.75" customHeight="1" x14ac:dyDescent="0.35">
      <c r="E210" s="219"/>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D216" s="14"/>
      <c r="E216" s="1"/>
      <c r="F216" s="14"/>
      <c r="G216" s="1"/>
      <c r="H216" s="52"/>
      <c r="I216" s="40"/>
      <c r="J216" s="52"/>
      <c r="K216" s="52"/>
      <c r="L216" s="57"/>
      <c r="M216" s="52"/>
    </row>
    <row r="217" spans="3:13" s="53" customFormat="1" ht="42" customHeight="1" x14ac:dyDescent="0.35">
      <c r="C217" s="52"/>
      <c r="D217" s="14"/>
      <c r="E217" s="1"/>
      <c r="F217" s="14"/>
      <c r="G217" s="1"/>
      <c r="H217" s="52"/>
      <c r="I217" s="40"/>
      <c r="J217" s="52"/>
      <c r="K217" s="52"/>
      <c r="L217" s="52"/>
      <c r="M217" s="52"/>
    </row>
    <row r="218" spans="3:13" s="53" customFormat="1" ht="63.75" customHeight="1" x14ac:dyDescent="0.35">
      <c r="C218" s="52"/>
      <c r="D218" s="14"/>
      <c r="E218" s="1"/>
      <c r="F218" s="14"/>
      <c r="G218" s="1"/>
      <c r="H218" s="52"/>
      <c r="I218" s="56"/>
      <c r="J218" s="52"/>
      <c r="K218" s="52"/>
      <c r="L218" s="52"/>
      <c r="M218" s="52"/>
    </row>
    <row r="219" spans="3:13" s="53" customFormat="1" ht="42" customHeight="1" x14ac:dyDescent="0.35">
      <c r="C219" s="52"/>
      <c r="D219" s="14"/>
      <c r="E219" s="1"/>
      <c r="F219" s="14"/>
      <c r="G219" s="1"/>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customProperties>
    <customPr name="layoutContexts" r:id="rId2"/>
  </customPropertie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1'!$J$203</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D14" sqref="D14"/>
    </sheetView>
  </sheetViews>
  <sheetFormatPr defaultColWidth="8.81640625" defaultRowHeight="14.5" x14ac:dyDescent="0.35"/>
  <cols>
    <col min="2" max="2" width="73.26953125" customWidth="1"/>
  </cols>
  <sheetData>
    <row r="1" spans="2:2" ht="15" thickBot="1" x14ac:dyDescent="0.4"/>
    <row r="2" spans="2:2" ht="15" thickBot="1" x14ac:dyDescent="0.4">
      <c r="B2" s="122" t="s">
        <v>563</v>
      </c>
    </row>
    <row r="3" spans="2:2" ht="70.5" customHeight="1" x14ac:dyDescent="0.35">
      <c r="B3" s="123" t="s">
        <v>570</v>
      </c>
    </row>
    <row r="4" spans="2:2" ht="58" x14ac:dyDescent="0.35">
      <c r="B4" s="120" t="s">
        <v>564</v>
      </c>
    </row>
    <row r="5" spans="2:2" x14ac:dyDescent="0.35">
      <c r="B5" s="120"/>
    </row>
    <row r="6" spans="2:2" ht="58" x14ac:dyDescent="0.35">
      <c r="B6" s="119" t="s">
        <v>565</v>
      </c>
    </row>
    <row r="7" spans="2:2" x14ac:dyDescent="0.35">
      <c r="B7" s="120"/>
    </row>
    <row r="8" spans="2:2" ht="72.5" x14ac:dyDescent="0.35">
      <c r="B8" s="119" t="s">
        <v>571</v>
      </c>
    </row>
    <row r="9" spans="2:2" x14ac:dyDescent="0.35">
      <c r="B9" s="120"/>
    </row>
    <row r="10" spans="2:2" ht="29" x14ac:dyDescent="0.35">
      <c r="B10" s="120" t="s">
        <v>566</v>
      </c>
    </row>
    <row r="11" spans="2:2" x14ac:dyDescent="0.35">
      <c r="B11" s="120"/>
    </row>
    <row r="12" spans="2:2" ht="72.5" x14ac:dyDescent="0.35">
      <c r="B12" s="119" t="s">
        <v>572</v>
      </c>
    </row>
    <row r="13" spans="2:2" x14ac:dyDescent="0.35">
      <c r="B13" s="120"/>
    </row>
    <row r="14" spans="2:2" ht="58.5" thickBot="1" x14ac:dyDescent="0.4">
      <c r="B14" s="121" t="s">
        <v>567</v>
      </c>
    </row>
  </sheetData>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14" sqref="B14"/>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83" t="s">
        <v>365</v>
      </c>
      <c r="C2" s="384"/>
      <c r="D2" s="385"/>
    </row>
    <row r="3" spans="2:4" ht="15" thickBot="1" x14ac:dyDescent="0.4">
      <c r="B3" s="386"/>
      <c r="C3" s="387"/>
      <c r="D3" s="388"/>
    </row>
    <row r="4" spans="2:4" ht="15" thickBot="1" x14ac:dyDescent="0.4"/>
    <row r="5" spans="2:4" x14ac:dyDescent="0.35">
      <c r="B5" s="374" t="s">
        <v>15</v>
      </c>
      <c r="C5" s="375"/>
      <c r="D5" s="376"/>
    </row>
    <row r="6" spans="2:4" ht="15" thickBot="1" x14ac:dyDescent="0.4">
      <c r="B6" s="377"/>
      <c r="C6" s="378"/>
      <c r="D6" s="379"/>
    </row>
    <row r="7" spans="2:4" x14ac:dyDescent="0.35">
      <c r="B7" s="74" t="s">
        <v>16</v>
      </c>
      <c r="C7" s="372">
        <f>SUM('1) Tableau budgétaire 1'!G20:I20,'1) Tableau budgétaire 1'!G30:I30,'1) Tableau budgétaire 1'!G40:I40,'1) Tableau budgétaire 1'!G50:I50)</f>
        <v>763954.97588785109</v>
      </c>
      <c r="D7" s="373"/>
    </row>
    <row r="8" spans="2:4" x14ac:dyDescent="0.35">
      <c r="B8" s="74" t="s">
        <v>363</v>
      </c>
      <c r="C8" s="370">
        <f>SUM(D10:D14)</f>
        <v>0</v>
      </c>
      <c r="D8" s="371"/>
    </row>
    <row r="9" spans="2:4" x14ac:dyDescent="0.35">
      <c r="B9" s="75" t="s">
        <v>357</v>
      </c>
      <c r="C9" s="76" t="s">
        <v>358</v>
      </c>
      <c r="D9" s="77" t="s">
        <v>359</v>
      </c>
    </row>
    <row r="10" spans="2:4" ht="35.15" customHeight="1" x14ac:dyDescent="0.35">
      <c r="B10" s="95"/>
      <c r="C10" s="79"/>
      <c r="D10" s="80">
        <f>$C$7*C10</f>
        <v>0</v>
      </c>
    </row>
    <row r="11" spans="2:4" ht="35.15" customHeight="1" x14ac:dyDescent="0.35">
      <c r="B11" s="95"/>
      <c r="C11" s="79"/>
      <c r="D11" s="80">
        <f>C7*C11</f>
        <v>0</v>
      </c>
    </row>
    <row r="12" spans="2:4" ht="35.15" customHeight="1" x14ac:dyDescent="0.35">
      <c r="B12" s="96"/>
      <c r="C12" s="79"/>
      <c r="D12" s="80">
        <f>C7*C12</f>
        <v>0</v>
      </c>
    </row>
    <row r="13" spans="2:4" ht="35.15" customHeight="1" x14ac:dyDescent="0.35">
      <c r="B13" s="96"/>
      <c r="C13" s="79"/>
      <c r="D13" s="80">
        <f>C7*C13</f>
        <v>0</v>
      </c>
    </row>
    <row r="14" spans="2:4" ht="35.15" customHeight="1" thickBot="1" x14ac:dyDescent="0.4">
      <c r="B14" s="97"/>
      <c r="C14" s="79"/>
      <c r="D14" s="84">
        <f>C7*C14</f>
        <v>0</v>
      </c>
    </row>
    <row r="15" spans="2:4" ht="15" thickBot="1" x14ac:dyDescent="0.4"/>
    <row r="16" spans="2:4" x14ac:dyDescent="0.35">
      <c r="B16" s="374" t="s">
        <v>360</v>
      </c>
      <c r="C16" s="375"/>
      <c r="D16" s="376"/>
    </row>
    <row r="17" spans="2:4" ht="15" thickBot="1" x14ac:dyDescent="0.4">
      <c r="B17" s="380"/>
      <c r="C17" s="381"/>
      <c r="D17" s="382"/>
    </row>
    <row r="18" spans="2:4" x14ac:dyDescent="0.35">
      <c r="B18" s="74" t="s">
        <v>16</v>
      </c>
      <c r="C18" s="372">
        <f>SUM('1) Tableau budgétaire 1'!G66:I66,'1) Tableau budgétaire 1'!G76:I76,'1) Tableau budgétaire 1'!G86:I86,'1) Tableau budgétaire 1'!G96:I96)</f>
        <v>968339.21887850459</v>
      </c>
      <c r="D18" s="373"/>
    </row>
    <row r="19" spans="2:4" x14ac:dyDescent="0.35">
      <c r="B19" s="74" t="s">
        <v>363</v>
      </c>
      <c r="C19" s="370">
        <f>SUM(D21:D25)</f>
        <v>0</v>
      </c>
      <c r="D19" s="371"/>
    </row>
    <row r="20" spans="2:4" x14ac:dyDescent="0.35">
      <c r="B20" s="75" t="s">
        <v>357</v>
      </c>
      <c r="C20" s="76" t="s">
        <v>358</v>
      </c>
      <c r="D20" s="77" t="s">
        <v>359</v>
      </c>
    </row>
    <row r="21" spans="2:4" ht="35.15" customHeight="1" x14ac:dyDescent="0.35">
      <c r="B21" s="78"/>
      <c r="C21" s="79"/>
      <c r="D21" s="80">
        <f>$C$18*C21</f>
        <v>0</v>
      </c>
    </row>
    <row r="22" spans="2:4" ht="35.15" customHeight="1" x14ac:dyDescent="0.35">
      <c r="B22" s="81"/>
      <c r="C22" s="79"/>
      <c r="D22" s="80">
        <f>$C$18*C22</f>
        <v>0</v>
      </c>
    </row>
    <row r="23" spans="2:4" ht="35.15" customHeight="1" x14ac:dyDescent="0.35">
      <c r="B23" s="82"/>
      <c r="C23" s="79"/>
      <c r="D23" s="80">
        <f>$C$18*C23</f>
        <v>0</v>
      </c>
    </row>
    <row r="24" spans="2:4" ht="35.15" customHeight="1" x14ac:dyDescent="0.35">
      <c r="B24" s="82"/>
      <c r="C24" s="79"/>
      <c r="D24" s="80">
        <f>$C$18*C24</f>
        <v>0</v>
      </c>
    </row>
    <row r="25" spans="2:4" ht="35.15" customHeight="1" thickBot="1" x14ac:dyDescent="0.4">
      <c r="B25" s="83"/>
      <c r="C25" s="79"/>
      <c r="D25" s="80">
        <f>$C$18*C25</f>
        <v>0</v>
      </c>
    </row>
    <row r="26" spans="2:4" ht="15" thickBot="1" x14ac:dyDescent="0.4"/>
    <row r="27" spans="2:4" x14ac:dyDescent="0.35">
      <c r="B27" s="374" t="s">
        <v>361</v>
      </c>
      <c r="C27" s="375"/>
      <c r="D27" s="376"/>
    </row>
    <row r="28" spans="2:4" ht="15" thickBot="1" x14ac:dyDescent="0.4">
      <c r="B28" s="377"/>
      <c r="C28" s="378"/>
      <c r="D28" s="379"/>
    </row>
    <row r="29" spans="2:4" x14ac:dyDescent="0.35">
      <c r="B29" s="74" t="s">
        <v>16</v>
      </c>
      <c r="C29" s="372">
        <f>SUM('1) Tableau budgétaire 1'!G107:I107,'1) Tableau budgétaire 1'!G122:I122,'1) Tableau budgétaire 1'!G132:I132,'1) Tableau budgétaire 1'!G142:I142)</f>
        <v>1440603</v>
      </c>
      <c r="D29" s="373"/>
    </row>
    <row r="30" spans="2:4" x14ac:dyDescent="0.35">
      <c r="B30" s="74" t="s">
        <v>363</v>
      </c>
      <c r="C30" s="370">
        <f>SUM(D32:D36)</f>
        <v>0</v>
      </c>
      <c r="D30" s="371"/>
    </row>
    <row r="31" spans="2:4" x14ac:dyDescent="0.35">
      <c r="B31" s="75" t="s">
        <v>357</v>
      </c>
      <c r="C31" s="76" t="s">
        <v>358</v>
      </c>
      <c r="D31" s="77" t="s">
        <v>359</v>
      </c>
    </row>
    <row r="32" spans="2:4" ht="35.15" customHeight="1" x14ac:dyDescent="0.35">
      <c r="B32" s="78"/>
      <c r="C32" s="79"/>
      <c r="D32" s="80">
        <f>$C$29*C32</f>
        <v>0</v>
      </c>
    </row>
    <row r="33" spans="2:4" ht="35.15" customHeight="1" x14ac:dyDescent="0.35">
      <c r="B33" s="81"/>
      <c r="C33" s="79"/>
      <c r="D33" s="80">
        <f>$C$29*C33</f>
        <v>0</v>
      </c>
    </row>
    <row r="34" spans="2:4" ht="35.15" customHeight="1" x14ac:dyDescent="0.35">
      <c r="B34" s="82"/>
      <c r="C34" s="79"/>
      <c r="D34" s="80">
        <f>$C$29*C34</f>
        <v>0</v>
      </c>
    </row>
    <row r="35" spans="2:4" ht="35.15" customHeight="1" x14ac:dyDescent="0.35">
      <c r="B35" s="82"/>
      <c r="C35" s="79"/>
      <c r="D35" s="80">
        <f>$C$29*C35</f>
        <v>0</v>
      </c>
    </row>
    <row r="36" spans="2:4" ht="35.15" customHeight="1" thickBot="1" x14ac:dyDescent="0.4">
      <c r="B36" s="83"/>
      <c r="C36" s="79"/>
      <c r="D36" s="80">
        <f>$C$29*C36</f>
        <v>0</v>
      </c>
    </row>
    <row r="37" spans="2:4" ht="15" thickBot="1" x14ac:dyDescent="0.4"/>
    <row r="38" spans="2:4" x14ac:dyDescent="0.35">
      <c r="B38" s="374" t="s">
        <v>362</v>
      </c>
      <c r="C38" s="375"/>
      <c r="D38" s="376"/>
    </row>
    <row r="39" spans="2:4" ht="15" thickBot="1" x14ac:dyDescent="0.4">
      <c r="B39" s="377"/>
      <c r="C39" s="378"/>
      <c r="D39" s="379"/>
    </row>
    <row r="40" spans="2:4" x14ac:dyDescent="0.35">
      <c r="B40" s="74" t="s">
        <v>16</v>
      </c>
      <c r="C40" s="372">
        <f>SUM('1) Tableau budgétaire 1'!G154:I154,'1) Tableau budgétaire 1'!G164:I164,'1) Tableau budgétaire 1'!G174:I174,'1) Tableau budgétaire 1'!G184:I184)</f>
        <v>0</v>
      </c>
      <c r="D40" s="373"/>
    </row>
    <row r="41" spans="2:4" x14ac:dyDescent="0.35">
      <c r="B41" s="74" t="s">
        <v>363</v>
      </c>
      <c r="C41" s="370">
        <f>SUM(D43:D47)</f>
        <v>0</v>
      </c>
      <c r="D41" s="371"/>
    </row>
    <row r="42" spans="2:4" x14ac:dyDescent="0.35">
      <c r="B42" s="75" t="s">
        <v>357</v>
      </c>
      <c r="C42" s="76" t="s">
        <v>358</v>
      </c>
      <c r="D42" s="77" t="s">
        <v>359</v>
      </c>
    </row>
    <row r="43" spans="2:4" ht="35.15" customHeight="1" x14ac:dyDescent="0.35">
      <c r="B43" s="78"/>
      <c r="C43" s="79"/>
      <c r="D43" s="80">
        <f>$C$40*C43</f>
        <v>0</v>
      </c>
    </row>
    <row r="44" spans="2:4" ht="35.15" customHeight="1" x14ac:dyDescent="0.35">
      <c r="B44" s="81"/>
      <c r="C44" s="79"/>
      <c r="D44" s="80">
        <f>$C$40*C44</f>
        <v>0</v>
      </c>
    </row>
    <row r="45" spans="2:4" ht="35.15" customHeight="1" x14ac:dyDescent="0.35">
      <c r="B45" s="82"/>
      <c r="C45" s="79"/>
      <c r="D45" s="80">
        <f>$C$40*C45</f>
        <v>0</v>
      </c>
    </row>
    <row r="46" spans="2:4" ht="35.15" customHeight="1" x14ac:dyDescent="0.35">
      <c r="B46" s="82"/>
      <c r="C46" s="79"/>
      <c r="D46" s="80">
        <f>$C$40*C46</f>
        <v>0</v>
      </c>
    </row>
    <row r="47" spans="2:4" ht="35.15" customHeight="1" thickBot="1" x14ac:dyDescent="0.4">
      <c r="B47" s="83"/>
      <c r="C47" s="79"/>
      <c r="D47" s="84">
        <f>$C$40*C47</f>
        <v>0</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customProperties>
    <customPr name="layoutContexts"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C32" sqref="C32"/>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68" customFormat="1" ht="15.5" x14ac:dyDescent="0.35">
      <c r="B2" s="390" t="s">
        <v>12</v>
      </c>
      <c r="C2" s="391"/>
      <c r="D2" s="391"/>
      <c r="E2" s="391"/>
      <c r="F2" s="392"/>
    </row>
    <row r="3" spans="2:6" s="68" customFormat="1" ht="16" thickBot="1" x14ac:dyDescent="0.4">
      <c r="B3" s="393"/>
      <c r="C3" s="394"/>
      <c r="D3" s="394"/>
      <c r="E3" s="394"/>
      <c r="F3" s="395"/>
    </row>
    <row r="4" spans="2:6" s="68" customFormat="1" ht="16" thickBot="1" x14ac:dyDescent="0.4"/>
    <row r="5" spans="2:6" s="68" customFormat="1" ht="16" thickBot="1" x14ac:dyDescent="0.4">
      <c r="B5" s="367" t="s">
        <v>6</v>
      </c>
      <c r="C5" s="368"/>
      <c r="D5" s="368"/>
      <c r="E5" s="368"/>
      <c r="F5" s="389"/>
    </row>
    <row r="6" spans="2:6" s="68" customFormat="1" ht="52.5" customHeight="1" x14ac:dyDescent="0.35">
      <c r="B6" s="66"/>
      <c r="C6" s="58" t="str">
        <f>'1) Tableau budgétaire 1'!G5</f>
        <v>Organisation recipiendiaire 1 (UNHCR)</v>
      </c>
      <c r="D6" s="58" t="str">
        <f>'1) Tableau budgétaire 1'!H5</f>
        <v>Organisation recipiendiaire 2 (FAO)</v>
      </c>
      <c r="E6" s="58" t="str">
        <f>'1) Tableau budgétaire 1'!I5</f>
        <v>Organisation recipiendiaire 3 (OIM)</v>
      </c>
      <c r="F6" s="27" t="s">
        <v>6</v>
      </c>
    </row>
    <row r="7" spans="2:6" s="68" customFormat="1" ht="31" x14ac:dyDescent="0.35">
      <c r="B7" s="21" t="s">
        <v>0</v>
      </c>
      <c r="C7" s="67">
        <f>'2) Tableau budgétaire 2'!D198</f>
        <v>444689.75699999998</v>
      </c>
      <c r="D7" s="67">
        <f>'2) Tableau budgétaire 2'!E198</f>
        <v>221419</v>
      </c>
      <c r="E7" s="67">
        <f>'2) Tableau budgétaire 2'!F198</f>
        <v>249416.24</v>
      </c>
      <c r="F7" s="64">
        <f t="shared" ref="F7:F14" si="0">SUM(C7:E7)</f>
        <v>915524.99699999997</v>
      </c>
    </row>
    <row r="8" spans="2:6" s="68" customFormat="1" ht="46.5" x14ac:dyDescent="0.35">
      <c r="B8" s="21" t="s">
        <v>1</v>
      </c>
      <c r="C8" s="67">
        <f>'2) Tableau budgétaire 2'!D199</f>
        <v>90520.000778504414</v>
      </c>
      <c r="D8" s="67">
        <f>'2) Tableau budgétaire 2'!E199</f>
        <v>166240</v>
      </c>
      <c r="E8" s="67">
        <f>'2) Tableau budgétaire 2'!F199</f>
        <v>471193.97588785109</v>
      </c>
      <c r="F8" s="65">
        <f t="shared" si="0"/>
        <v>727953.97666635551</v>
      </c>
    </row>
    <row r="9" spans="2:6" s="68" customFormat="1" ht="62" x14ac:dyDescent="0.35">
      <c r="B9" s="21" t="s">
        <v>2</v>
      </c>
      <c r="C9" s="67">
        <f>'2) Tableau budgétaire 2'!D200</f>
        <v>225500</v>
      </c>
      <c r="D9" s="67">
        <f>'2) Tableau budgétaire 2'!E200</f>
        <v>15044</v>
      </c>
      <c r="E9" s="67">
        <f>'2) Tableau budgétaire 2'!F200</f>
        <v>0</v>
      </c>
      <c r="F9" s="65">
        <f t="shared" si="0"/>
        <v>240544</v>
      </c>
    </row>
    <row r="10" spans="2:6" s="68" customFormat="1" ht="31" x14ac:dyDescent="0.35">
      <c r="B10" s="32" t="s">
        <v>3</v>
      </c>
      <c r="C10" s="67">
        <f>'2) Tableau budgétaire 2'!D201</f>
        <v>857471.99922149547</v>
      </c>
      <c r="D10" s="67">
        <f>'2) Tableau budgétaire 2'!E201</f>
        <v>204848.00077850447</v>
      </c>
      <c r="E10" s="67">
        <f>'2) Tableau budgétaire 2'!F201</f>
        <v>35000</v>
      </c>
      <c r="F10" s="65">
        <f t="shared" si="0"/>
        <v>1097320</v>
      </c>
    </row>
    <row r="11" spans="2:6" s="68" customFormat="1" ht="15.5" x14ac:dyDescent="0.35">
      <c r="B11" s="21" t="s">
        <v>5</v>
      </c>
      <c r="C11" s="67">
        <f>'2) Tableau budgétaire 2'!D202</f>
        <v>177068</v>
      </c>
      <c r="D11" s="67">
        <f>'2) Tableau budgétaire 2'!E202</f>
        <v>298366</v>
      </c>
      <c r="E11" s="67">
        <f>'2) Tableau budgétaire 2'!F202</f>
        <v>280480</v>
      </c>
      <c r="F11" s="65">
        <f t="shared" si="0"/>
        <v>755914</v>
      </c>
    </row>
    <row r="12" spans="2:6" s="68" customFormat="1" ht="46.5" x14ac:dyDescent="0.35">
      <c r="B12" s="21" t="s">
        <v>4</v>
      </c>
      <c r="C12" s="67">
        <f>'2) Tableau budgétaire 2'!D203</f>
        <v>86900</v>
      </c>
      <c r="D12" s="67">
        <f>'2) Tableau budgétaire 2'!E203</f>
        <v>177374</v>
      </c>
      <c r="E12" s="67">
        <f>'2) Tableau budgétaire 2'!F203</f>
        <v>202589</v>
      </c>
      <c r="F12" s="65">
        <f t="shared" si="0"/>
        <v>466863</v>
      </c>
    </row>
    <row r="13" spans="2:6" s="68" customFormat="1" ht="31.5" thickBot="1" x14ac:dyDescent="0.4">
      <c r="B13" s="129" t="s">
        <v>13</v>
      </c>
      <c r="C13" s="130">
        <f>'2) Tableau budgétaire 2'!D204</f>
        <v>135325</v>
      </c>
      <c r="D13" s="130">
        <f>'2) Tableau budgétaire 2'!E204</f>
        <v>244420.21810000011</v>
      </c>
      <c r="E13" s="130">
        <f>'2) Tableau budgétaire 2'!F204</f>
        <v>89032</v>
      </c>
      <c r="F13" s="131">
        <f t="shared" si="0"/>
        <v>468777.21810000011</v>
      </c>
    </row>
    <row r="14" spans="2:6" s="68" customFormat="1" ht="30" customHeight="1" x14ac:dyDescent="0.35">
      <c r="B14" s="134" t="s">
        <v>574</v>
      </c>
      <c r="C14" s="135">
        <f>SUM(C7:C13)</f>
        <v>2017474.7569999998</v>
      </c>
      <c r="D14" s="135">
        <f>SUM(D7:D13)</f>
        <v>1327711.2188785046</v>
      </c>
      <c r="E14" s="135">
        <f>SUM(E7:E13)</f>
        <v>1327711.2158878511</v>
      </c>
      <c r="F14" s="136">
        <f t="shared" si="0"/>
        <v>4672897.1917663552</v>
      </c>
    </row>
    <row r="15" spans="2:6" s="68" customFormat="1" ht="22.5" customHeight="1" x14ac:dyDescent="0.35">
      <c r="B15" s="125" t="s">
        <v>573</v>
      </c>
      <c r="C15" s="126">
        <f>C14*0.07</f>
        <v>141223.23298999999</v>
      </c>
      <c r="D15" s="126">
        <f t="shared" ref="D15:F15" si="1">D14*0.07</f>
        <v>92939.785321495336</v>
      </c>
      <c r="E15" s="126">
        <f t="shared" si="1"/>
        <v>92939.785112149591</v>
      </c>
      <c r="F15" s="132">
        <f t="shared" si="1"/>
        <v>327102.80342364492</v>
      </c>
    </row>
    <row r="16" spans="2:6" s="68" customFormat="1" ht="30" customHeight="1" thickBot="1" x14ac:dyDescent="0.4">
      <c r="B16" s="127" t="s">
        <v>11</v>
      </c>
      <c r="C16" s="128">
        <f>C14+C15</f>
        <v>2158697.9899899997</v>
      </c>
      <c r="D16" s="128">
        <f t="shared" ref="D16:F16" si="2">D14+D15</f>
        <v>1420651.0041999999</v>
      </c>
      <c r="E16" s="128">
        <f t="shared" si="2"/>
        <v>1420651.0010000006</v>
      </c>
      <c r="F16" s="133">
        <f t="shared" si="2"/>
        <v>4999999.9951900002</v>
      </c>
    </row>
    <row r="17" spans="2:7" s="68" customFormat="1" ht="16" thickBot="1" x14ac:dyDescent="0.4"/>
    <row r="18" spans="2:7" s="68" customFormat="1" ht="15.5" x14ac:dyDescent="0.35">
      <c r="B18" s="345" t="s">
        <v>7</v>
      </c>
      <c r="C18" s="347"/>
      <c r="D18" s="347"/>
      <c r="E18" s="347"/>
      <c r="F18" s="349"/>
    </row>
    <row r="19" spans="2:7" ht="48" customHeight="1" x14ac:dyDescent="0.35">
      <c r="B19" s="29"/>
      <c r="C19" s="27" t="str">
        <f>'1) Tableau budgétaire 1'!G5</f>
        <v>Organisation recipiendiaire 1 (UNHCR)</v>
      </c>
      <c r="D19" s="27" t="str">
        <f>'1) Tableau budgétaire 1'!H5</f>
        <v>Organisation recipiendiaire 2 (FAO)</v>
      </c>
      <c r="E19" s="27" t="str">
        <f>'1) Tableau budgétaire 1'!I5</f>
        <v>Organisation recipiendiaire 3 (OIM)</v>
      </c>
      <c r="F19" s="30" t="s">
        <v>364</v>
      </c>
      <c r="G19" s="155" t="s">
        <v>9</v>
      </c>
    </row>
    <row r="20" spans="2:7" ht="23.25" customHeight="1" x14ac:dyDescent="0.35">
      <c r="B20" s="28" t="s">
        <v>8</v>
      </c>
      <c r="C20" s="26">
        <f>'1) Tableau budgétaire 1'!G208</f>
        <v>647609.39699699997</v>
      </c>
      <c r="D20" s="26">
        <f>'1) Tableau budgétaire 1'!H208</f>
        <v>426195.30125999992</v>
      </c>
      <c r="E20" s="26">
        <f>'1) Tableau budgétaire 1'!I208</f>
        <v>426195.30030000018</v>
      </c>
      <c r="F20" s="154">
        <f>'1) Tableau budgétaire 1'!J208</f>
        <v>1499999.9985570002</v>
      </c>
      <c r="G20" s="156">
        <f>'1) Tableau budgétaire 1'!K208</f>
        <v>0.3</v>
      </c>
    </row>
    <row r="21" spans="2:7" ht="24.75" customHeight="1" x14ac:dyDescent="0.35">
      <c r="B21" s="28" t="s">
        <v>10</v>
      </c>
      <c r="C21" s="26">
        <f>'1) Tableau budgétaire 1'!G209</f>
        <v>1511088.5929930001</v>
      </c>
      <c r="D21" s="26">
        <f>'1) Tableau budgétaire 1'!H209</f>
        <v>994455.70293999987</v>
      </c>
      <c r="E21" s="26">
        <f>'1) Tableau budgétaire 1'!I209</f>
        <v>994455.70070000039</v>
      </c>
      <c r="F21" s="154">
        <f>'1) Tableau budgétaire 1'!J209</f>
        <v>3499999.9966330002</v>
      </c>
      <c r="G21" s="156">
        <f>'1) Tableau budgétaire 1'!K209</f>
        <v>0.7</v>
      </c>
    </row>
    <row r="22" spans="2:7" ht="24.75" customHeight="1" thickBot="1" x14ac:dyDescent="0.4">
      <c r="B22" s="28" t="s">
        <v>581</v>
      </c>
      <c r="C22" s="26">
        <f>'1) Tableau budgétaire 1'!G210</f>
        <v>0</v>
      </c>
      <c r="D22" s="26">
        <f>'1) Tableau budgétaire 1'!H210</f>
        <v>0</v>
      </c>
      <c r="E22" s="26">
        <f>'1) Tableau budgétaire 1'!I210</f>
        <v>0</v>
      </c>
      <c r="F22" s="154">
        <f>'1) Tableau budgétaire 1'!J210</f>
        <v>0</v>
      </c>
      <c r="G22" s="157">
        <f>'1) Tableau budgétaire 1'!K210</f>
        <v>0</v>
      </c>
    </row>
    <row r="23" spans="2:7" ht="16" thickBot="1" x14ac:dyDescent="0.4">
      <c r="B23" s="8" t="s">
        <v>364</v>
      </c>
      <c r="C23" s="158">
        <f>'1) Tableau budgétaire 1'!G211</f>
        <v>2158697.9899900001</v>
      </c>
      <c r="D23" s="158">
        <f>'1) Tableau budgétaire 1'!H211</f>
        <v>1420651.0041999999</v>
      </c>
      <c r="E23" s="158">
        <f>'1) Tableau budgétaire 1'!I211</f>
        <v>1420651.0010000006</v>
      </c>
      <c r="F23" s="158">
        <f>'1) Tableau budgétaire 1'!J211</f>
        <v>4999999.9951900002</v>
      </c>
    </row>
  </sheetData>
  <sheetProtection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customProperties>
    <customPr name="layoutContexts" r:id="rId2"/>
  </customProperties>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1'!$J$203</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1640625" defaultRowHeight="14.5" x14ac:dyDescent="0.35"/>
  <sheetData>
    <row r="1" spans="1:1" x14ac:dyDescent="0.35">
      <c r="A1" s="114">
        <v>0</v>
      </c>
    </row>
    <row r="2" spans="1:1" x14ac:dyDescent="0.35">
      <c r="A2" s="114">
        <v>0.2</v>
      </c>
    </row>
    <row r="3" spans="1:1" x14ac:dyDescent="0.35">
      <c r="A3" s="114">
        <v>0.4</v>
      </c>
    </row>
    <row r="4" spans="1:1" x14ac:dyDescent="0.35">
      <c r="A4" s="114">
        <v>0.6</v>
      </c>
    </row>
    <row r="5" spans="1:1" x14ac:dyDescent="0.35">
      <c r="A5" s="114">
        <v>0.8</v>
      </c>
    </row>
    <row r="6" spans="1:1" x14ac:dyDescent="0.35">
      <c r="A6" s="114">
        <v>1</v>
      </c>
    </row>
  </sheetData>
  <pageMargins left="0.7" right="0.7" top="0.75" bottom="0.75" header="0.3" footer="0.3"/>
  <customProperties>
    <customPr name="layoutContexts"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69" t="s">
        <v>17</v>
      </c>
      <c r="B1" s="70" t="s">
        <v>18</v>
      </c>
    </row>
    <row r="2" spans="1:2" x14ac:dyDescent="0.35">
      <c r="A2" s="71" t="s">
        <v>19</v>
      </c>
      <c r="B2" s="72" t="s">
        <v>20</v>
      </c>
    </row>
    <row r="3" spans="1:2" x14ac:dyDescent="0.35">
      <c r="A3" s="71" t="s">
        <v>21</v>
      </c>
      <c r="B3" s="72" t="s">
        <v>22</v>
      </c>
    </row>
    <row r="4" spans="1:2" x14ac:dyDescent="0.35">
      <c r="A4" s="71" t="s">
        <v>23</v>
      </c>
      <c r="B4" s="72" t="s">
        <v>24</v>
      </c>
    </row>
    <row r="5" spans="1:2" x14ac:dyDescent="0.35">
      <c r="A5" s="71" t="s">
        <v>25</v>
      </c>
      <c r="B5" s="72" t="s">
        <v>26</v>
      </c>
    </row>
    <row r="6" spans="1:2" x14ac:dyDescent="0.35">
      <c r="A6" s="71" t="s">
        <v>27</v>
      </c>
      <c r="B6" s="72" t="s">
        <v>28</v>
      </c>
    </row>
    <row r="7" spans="1:2" x14ac:dyDescent="0.35">
      <c r="A7" s="71" t="s">
        <v>29</v>
      </c>
      <c r="B7" s="72" t="s">
        <v>30</v>
      </c>
    </row>
    <row r="8" spans="1:2" x14ac:dyDescent="0.35">
      <c r="A8" s="71" t="s">
        <v>31</v>
      </c>
      <c r="B8" s="72" t="s">
        <v>32</v>
      </c>
    </row>
    <row r="9" spans="1:2" x14ac:dyDescent="0.35">
      <c r="A9" s="71" t="s">
        <v>33</v>
      </c>
      <c r="B9" s="72" t="s">
        <v>34</v>
      </c>
    </row>
    <row r="10" spans="1:2" x14ac:dyDescent="0.35">
      <c r="A10" s="71" t="s">
        <v>35</v>
      </c>
      <c r="B10" s="72" t="s">
        <v>36</v>
      </c>
    </row>
    <row r="11" spans="1:2" x14ac:dyDescent="0.35">
      <c r="A11" s="71" t="s">
        <v>37</v>
      </c>
      <c r="B11" s="72" t="s">
        <v>38</v>
      </c>
    </row>
    <row r="12" spans="1:2" x14ac:dyDescent="0.35">
      <c r="A12" s="71" t="s">
        <v>39</v>
      </c>
      <c r="B12" s="72" t="s">
        <v>40</v>
      </c>
    </row>
    <row r="13" spans="1:2" x14ac:dyDescent="0.35">
      <c r="A13" s="71" t="s">
        <v>41</v>
      </c>
      <c r="B13" s="72" t="s">
        <v>42</v>
      </c>
    </row>
    <row r="14" spans="1:2" x14ac:dyDescent="0.35">
      <c r="A14" s="71" t="s">
        <v>43</v>
      </c>
      <c r="B14" s="72" t="s">
        <v>44</v>
      </c>
    </row>
    <row r="15" spans="1:2" x14ac:dyDescent="0.35">
      <c r="A15" s="71" t="s">
        <v>45</v>
      </c>
      <c r="B15" s="72" t="s">
        <v>46</v>
      </c>
    </row>
    <row r="16" spans="1:2" x14ac:dyDescent="0.35">
      <c r="A16" s="71" t="s">
        <v>47</v>
      </c>
      <c r="B16" s="72" t="s">
        <v>48</v>
      </c>
    </row>
    <row r="17" spans="1:2" x14ac:dyDescent="0.35">
      <c r="A17" s="71" t="s">
        <v>49</v>
      </c>
      <c r="B17" s="72" t="s">
        <v>50</v>
      </c>
    </row>
    <row r="18" spans="1:2" x14ac:dyDescent="0.35">
      <c r="A18" s="71" t="s">
        <v>51</v>
      </c>
      <c r="B18" s="72" t="s">
        <v>52</v>
      </c>
    </row>
    <row r="19" spans="1:2" x14ac:dyDescent="0.35">
      <c r="A19" s="71" t="s">
        <v>53</v>
      </c>
      <c r="B19" s="72" t="s">
        <v>54</v>
      </c>
    </row>
    <row r="20" spans="1:2" x14ac:dyDescent="0.35">
      <c r="A20" s="71" t="s">
        <v>55</v>
      </c>
      <c r="B20" s="72" t="s">
        <v>56</v>
      </c>
    </row>
    <row r="21" spans="1:2" x14ac:dyDescent="0.35">
      <c r="A21" s="71" t="s">
        <v>57</v>
      </c>
      <c r="B21" s="72" t="s">
        <v>58</v>
      </c>
    </row>
    <row r="22" spans="1:2" x14ac:dyDescent="0.35">
      <c r="A22" s="71" t="s">
        <v>59</v>
      </c>
      <c r="B22" s="72" t="s">
        <v>60</v>
      </c>
    </row>
    <row r="23" spans="1:2" x14ac:dyDescent="0.35">
      <c r="A23" s="71" t="s">
        <v>61</v>
      </c>
      <c r="B23" s="72" t="s">
        <v>62</v>
      </c>
    </row>
    <row r="24" spans="1:2" x14ac:dyDescent="0.35">
      <c r="A24" s="71" t="s">
        <v>63</v>
      </c>
      <c r="B24" s="72" t="s">
        <v>64</v>
      </c>
    </row>
    <row r="25" spans="1:2" x14ac:dyDescent="0.35">
      <c r="A25" s="71" t="s">
        <v>65</v>
      </c>
      <c r="B25" s="72" t="s">
        <v>66</v>
      </c>
    </row>
    <row r="26" spans="1:2" x14ac:dyDescent="0.35">
      <c r="A26" s="71" t="s">
        <v>67</v>
      </c>
      <c r="B26" s="72" t="s">
        <v>68</v>
      </c>
    </row>
    <row r="27" spans="1:2" x14ac:dyDescent="0.35">
      <c r="A27" s="71" t="s">
        <v>69</v>
      </c>
      <c r="B27" s="72" t="s">
        <v>70</v>
      </c>
    </row>
    <row r="28" spans="1:2" x14ac:dyDescent="0.35">
      <c r="A28" s="71" t="s">
        <v>71</v>
      </c>
      <c r="B28" s="72" t="s">
        <v>72</v>
      </c>
    </row>
    <row r="29" spans="1:2" x14ac:dyDescent="0.35">
      <c r="A29" s="71" t="s">
        <v>73</v>
      </c>
      <c r="B29" s="72" t="s">
        <v>74</v>
      </c>
    </row>
    <row r="30" spans="1:2" x14ac:dyDescent="0.35">
      <c r="A30" s="71" t="s">
        <v>75</v>
      </c>
      <c r="B30" s="72" t="s">
        <v>76</v>
      </c>
    </row>
    <row r="31" spans="1:2" x14ac:dyDescent="0.35">
      <c r="A31" s="71" t="s">
        <v>77</v>
      </c>
      <c r="B31" s="72" t="s">
        <v>78</v>
      </c>
    </row>
    <row r="32" spans="1:2" x14ac:dyDescent="0.35">
      <c r="A32" s="71" t="s">
        <v>79</v>
      </c>
      <c r="B32" s="72" t="s">
        <v>80</v>
      </c>
    </row>
    <row r="33" spans="1:2" x14ac:dyDescent="0.35">
      <c r="A33" s="71" t="s">
        <v>81</v>
      </c>
      <c r="B33" s="72" t="s">
        <v>82</v>
      </c>
    </row>
    <row r="34" spans="1:2" x14ac:dyDescent="0.35">
      <c r="A34" s="71" t="s">
        <v>83</v>
      </c>
      <c r="B34" s="72" t="s">
        <v>84</v>
      </c>
    </row>
    <row r="35" spans="1:2" x14ac:dyDescent="0.35">
      <c r="A35" s="71" t="s">
        <v>85</v>
      </c>
      <c r="B35" s="72" t="s">
        <v>86</v>
      </c>
    </row>
    <row r="36" spans="1:2" x14ac:dyDescent="0.35">
      <c r="A36" s="71" t="s">
        <v>87</v>
      </c>
      <c r="B36" s="72" t="s">
        <v>88</v>
      </c>
    </row>
    <row r="37" spans="1:2" x14ac:dyDescent="0.35">
      <c r="A37" s="71" t="s">
        <v>89</v>
      </c>
      <c r="B37" s="72" t="s">
        <v>90</v>
      </c>
    </row>
    <row r="38" spans="1:2" x14ac:dyDescent="0.35">
      <c r="A38" s="71" t="s">
        <v>91</v>
      </c>
      <c r="B38" s="72" t="s">
        <v>92</v>
      </c>
    </row>
    <row r="39" spans="1:2" x14ac:dyDescent="0.35">
      <c r="A39" s="71" t="s">
        <v>93</v>
      </c>
      <c r="B39" s="72" t="s">
        <v>94</v>
      </c>
    </row>
    <row r="40" spans="1:2" x14ac:dyDescent="0.35">
      <c r="A40" s="71" t="s">
        <v>95</v>
      </c>
      <c r="B40" s="72" t="s">
        <v>96</v>
      </c>
    </row>
    <row r="41" spans="1:2" x14ac:dyDescent="0.35">
      <c r="A41" s="71" t="s">
        <v>97</v>
      </c>
      <c r="B41" s="72" t="s">
        <v>98</v>
      </c>
    </row>
    <row r="42" spans="1:2" x14ac:dyDescent="0.35">
      <c r="A42" s="71" t="s">
        <v>99</v>
      </c>
      <c r="B42" s="72" t="s">
        <v>100</v>
      </c>
    </row>
    <row r="43" spans="1:2" x14ac:dyDescent="0.35">
      <c r="A43" s="71" t="s">
        <v>101</v>
      </c>
      <c r="B43" s="72" t="s">
        <v>102</v>
      </c>
    </row>
    <row r="44" spans="1:2" x14ac:dyDescent="0.35">
      <c r="A44" s="71" t="s">
        <v>103</v>
      </c>
      <c r="B44" s="72" t="s">
        <v>104</v>
      </c>
    </row>
    <row r="45" spans="1:2" x14ac:dyDescent="0.35">
      <c r="A45" s="71" t="s">
        <v>105</v>
      </c>
      <c r="B45" s="72" t="s">
        <v>106</v>
      </c>
    </row>
    <row r="46" spans="1:2" x14ac:dyDescent="0.35">
      <c r="A46" s="71" t="s">
        <v>107</v>
      </c>
      <c r="B46" s="72" t="s">
        <v>108</v>
      </c>
    </row>
    <row r="47" spans="1:2" x14ac:dyDescent="0.35">
      <c r="A47" s="71" t="s">
        <v>109</v>
      </c>
      <c r="B47" s="72" t="s">
        <v>110</v>
      </c>
    </row>
    <row r="48" spans="1:2" x14ac:dyDescent="0.35">
      <c r="A48" s="71" t="s">
        <v>111</v>
      </c>
      <c r="B48" s="72" t="s">
        <v>112</v>
      </c>
    </row>
    <row r="49" spans="1:2" x14ac:dyDescent="0.35">
      <c r="A49" s="71" t="s">
        <v>113</v>
      </c>
      <c r="B49" s="72" t="s">
        <v>114</v>
      </c>
    </row>
    <row r="50" spans="1:2" x14ac:dyDescent="0.35">
      <c r="A50" s="71" t="s">
        <v>115</v>
      </c>
      <c r="B50" s="72" t="s">
        <v>116</v>
      </c>
    </row>
    <row r="51" spans="1:2" x14ac:dyDescent="0.35">
      <c r="A51" s="71" t="s">
        <v>117</v>
      </c>
      <c r="B51" s="72" t="s">
        <v>118</v>
      </c>
    </row>
    <row r="52" spans="1:2" x14ac:dyDescent="0.35">
      <c r="A52" s="71" t="s">
        <v>119</v>
      </c>
      <c r="B52" s="72" t="s">
        <v>120</v>
      </c>
    </row>
    <row r="53" spans="1:2" x14ac:dyDescent="0.35">
      <c r="A53" s="71" t="s">
        <v>121</v>
      </c>
      <c r="B53" s="72" t="s">
        <v>122</v>
      </c>
    </row>
    <row r="54" spans="1:2" x14ac:dyDescent="0.35">
      <c r="A54" s="71" t="s">
        <v>123</v>
      </c>
      <c r="B54" s="72" t="s">
        <v>124</v>
      </c>
    </row>
    <row r="55" spans="1:2" x14ac:dyDescent="0.35">
      <c r="A55" s="71" t="s">
        <v>125</v>
      </c>
      <c r="B55" s="72" t="s">
        <v>126</v>
      </c>
    </row>
    <row r="56" spans="1:2" x14ac:dyDescent="0.35">
      <c r="A56" s="71" t="s">
        <v>127</v>
      </c>
      <c r="B56" s="72" t="s">
        <v>128</v>
      </c>
    </row>
    <row r="57" spans="1:2" x14ac:dyDescent="0.35">
      <c r="A57" s="71" t="s">
        <v>129</v>
      </c>
      <c r="B57" s="72" t="s">
        <v>130</v>
      </c>
    </row>
    <row r="58" spans="1:2" x14ac:dyDescent="0.35">
      <c r="A58" s="71" t="s">
        <v>131</v>
      </c>
      <c r="B58" s="72" t="s">
        <v>132</v>
      </c>
    </row>
    <row r="59" spans="1:2" x14ac:dyDescent="0.35">
      <c r="A59" s="71" t="s">
        <v>133</v>
      </c>
      <c r="B59" s="72" t="s">
        <v>134</v>
      </c>
    </row>
    <row r="60" spans="1:2" x14ac:dyDescent="0.35">
      <c r="A60" s="71" t="s">
        <v>135</v>
      </c>
      <c r="B60" s="72" t="s">
        <v>136</v>
      </c>
    </row>
    <row r="61" spans="1:2" x14ac:dyDescent="0.35">
      <c r="A61" s="71" t="s">
        <v>137</v>
      </c>
      <c r="B61" s="72" t="s">
        <v>138</v>
      </c>
    </row>
    <row r="62" spans="1:2" x14ac:dyDescent="0.35">
      <c r="A62" s="71" t="s">
        <v>139</v>
      </c>
      <c r="B62" s="72" t="s">
        <v>140</v>
      </c>
    </row>
    <row r="63" spans="1:2" x14ac:dyDescent="0.35">
      <c r="A63" s="71" t="s">
        <v>141</v>
      </c>
      <c r="B63" s="72" t="s">
        <v>142</v>
      </c>
    </row>
    <row r="64" spans="1:2" x14ac:dyDescent="0.35">
      <c r="A64" s="71" t="s">
        <v>143</v>
      </c>
      <c r="B64" s="72" t="s">
        <v>144</v>
      </c>
    </row>
    <row r="65" spans="1:2" x14ac:dyDescent="0.35">
      <c r="A65" s="71" t="s">
        <v>145</v>
      </c>
      <c r="B65" s="72" t="s">
        <v>146</v>
      </c>
    </row>
    <row r="66" spans="1:2" x14ac:dyDescent="0.35">
      <c r="A66" s="71" t="s">
        <v>147</v>
      </c>
      <c r="B66" s="72" t="s">
        <v>148</v>
      </c>
    </row>
    <row r="67" spans="1:2" x14ac:dyDescent="0.35">
      <c r="A67" s="71" t="s">
        <v>149</v>
      </c>
      <c r="B67" s="72" t="s">
        <v>150</v>
      </c>
    </row>
    <row r="68" spans="1:2" x14ac:dyDescent="0.35">
      <c r="A68" s="71" t="s">
        <v>151</v>
      </c>
      <c r="B68" s="72" t="s">
        <v>152</v>
      </c>
    </row>
    <row r="69" spans="1:2" x14ac:dyDescent="0.35">
      <c r="A69" s="71" t="s">
        <v>153</v>
      </c>
      <c r="B69" s="72" t="s">
        <v>154</v>
      </c>
    </row>
    <row r="70" spans="1:2" x14ac:dyDescent="0.35">
      <c r="A70" s="71" t="s">
        <v>155</v>
      </c>
      <c r="B70" s="72" t="s">
        <v>156</v>
      </c>
    </row>
    <row r="71" spans="1:2" x14ac:dyDescent="0.35">
      <c r="A71" s="71" t="s">
        <v>157</v>
      </c>
      <c r="B71" s="72" t="s">
        <v>158</v>
      </c>
    </row>
    <row r="72" spans="1:2" x14ac:dyDescent="0.35">
      <c r="A72" s="71" t="s">
        <v>159</v>
      </c>
      <c r="B72" s="72" t="s">
        <v>160</v>
      </c>
    </row>
    <row r="73" spans="1:2" x14ac:dyDescent="0.35">
      <c r="A73" s="71" t="s">
        <v>161</v>
      </c>
      <c r="B73" s="72" t="s">
        <v>162</v>
      </c>
    </row>
    <row r="74" spans="1:2" x14ac:dyDescent="0.35">
      <c r="A74" s="71" t="s">
        <v>163</v>
      </c>
      <c r="B74" s="72" t="s">
        <v>164</v>
      </c>
    </row>
    <row r="75" spans="1:2" x14ac:dyDescent="0.35">
      <c r="A75" s="71" t="s">
        <v>165</v>
      </c>
      <c r="B75" s="73" t="s">
        <v>166</v>
      </c>
    </row>
    <row r="76" spans="1:2" x14ac:dyDescent="0.35">
      <c r="A76" s="71" t="s">
        <v>167</v>
      </c>
      <c r="B76" s="73" t="s">
        <v>168</v>
      </c>
    </row>
    <row r="77" spans="1:2" x14ac:dyDescent="0.35">
      <c r="A77" s="71" t="s">
        <v>169</v>
      </c>
      <c r="B77" s="73" t="s">
        <v>170</v>
      </c>
    </row>
    <row r="78" spans="1:2" x14ac:dyDescent="0.35">
      <c r="A78" s="71" t="s">
        <v>171</v>
      </c>
      <c r="B78" s="73" t="s">
        <v>172</v>
      </c>
    </row>
    <row r="79" spans="1:2" x14ac:dyDescent="0.35">
      <c r="A79" s="71" t="s">
        <v>173</v>
      </c>
      <c r="B79" s="73" t="s">
        <v>174</v>
      </c>
    </row>
    <row r="80" spans="1:2" x14ac:dyDescent="0.35">
      <c r="A80" s="71" t="s">
        <v>175</v>
      </c>
      <c r="B80" s="73" t="s">
        <v>176</v>
      </c>
    </row>
    <row r="81" spans="1:2" x14ac:dyDescent="0.35">
      <c r="A81" s="71" t="s">
        <v>177</v>
      </c>
      <c r="B81" s="73" t="s">
        <v>178</v>
      </c>
    </row>
    <row r="82" spans="1:2" x14ac:dyDescent="0.35">
      <c r="A82" s="71" t="s">
        <v>179</v>
      </c>
      <c r="B82" s="73" t="s">
        <v>180</v>
      </c>
    </row>
    <row r="83" spans="1:2" x14ac:dyDescent="0.35">
      <c r="A83" s="71" t="s">
        <v>181</v>
      </c>
      <c r="B83" s="73" t="s">
        <v>182</v>
      </c>
    </row>
    <row r="84" spans="1:2" x14ac:dyDescent="0.35">
      <c r="A84" s="71" t="s">
        <v>183</v>
      </c>
      <c r="B84" s="73" t="s">
        <v>184</v>
      </c>
    </row>
    <row r="85" spans="1:2" x14ac:dyDescent="0.35">
      <c r="A85" s="71" t="s">
        <v>185</v>
      </c>
      <c r="B85" s="73" t="s">
        <v>186</v>
      </c>
    </row>
    <row r="86" spans="1:2" x14ac:dyDescent="0.35">
      <c r="A86" s="71" t="s">
        <v>187</v>
      </c>
      <c r="B86" s="73" t="s">
        <v>188</v>
      </c>
    </row>
    <row r="87" spans="1:2" x14ac:dyDescent="0.35">
      <c r="A87" s="71" t="s">
        <v>189</v>
      </c>
      <c r="B87" s="73" t="s">
        <v>190</v>
      </c>
    </row>
    <row r="88" spans="1:2" x14ac:dyDescent="0.35">
      <c r="A88" s="71" t="s">
        <v>191</v>
      </c>
      <c r="B88" s="73" t="s">
        <v>192</v>
      </c>
    </row>
    <row r="89" spans="1:2" x14ac:dyDescent="0.35">
      <c r="A89" s="71" t="s">
        <v>193</v>
      </c>
      <c r="B89" s="73" t="s">
        <v>194</v>
      </c>
    </row>
    <row r="90" spans="1:2" x14ac:dyDescent="0.35">
      <c r="A90" s="71" t="s">
        <v>195</v>
      </c>
      <c r="B90" s="73" t="s">
        <v>196</v>
      </c>
    </row>
    <row r="91" spans="1:2" x14ac:dyDescent="0.35">
      <c r="A91" s="71" t="s">
        <v>197</v>
      </c>
      <c r="B91" s="73" t="s">
        <v>198</v>
      </c>
    </row>
    <row r="92" spans="1:2" x14ac:dyDescent="0.35">
      <c r="A92" s="71" t="s">
        <v>199</v>
      </c>
      <c r="B92" s="73" t="s">
        <v>200</v>
      </c>
    </row>
    <row r="93" spans="1:2" x14ac:dyDescent="0.35">
      <c r="A93" s="71" t="s">
        <v>201</v>
      </c>
      <c r="B93" s="73" t="s">
        <v>202</v>
      </c>
    </row>
    <row r="94" spans="1:2" x14ac:dyDescent="0.35">
      <c r="A94" s="71" t="s">
        <v>203</v>
      </c>
      <c r="B94" s="73" t="s">
        <v>204</v>
      </c>
    </row>
    <row r="95" spans="1:2" x14ac:dyDescent="0.35">
      <c r="A95" s="71" t="s">
        <v>205</v>
      </c>
      <c r="B95" s="73" t="s">
        <v>206</v>
      </c>
    </row>
    <row r="96" spans="1:2" x14ac:dyDescent="0.35">
      <c r="A96" s="71" t="s">
        <v>207</v>
      </c>
      <c r="B96" s="73" t="s">
        <v>208</v>
      </c>
    </row>
    <row r="97" spans="1:2" x14ac:dyDescent="0.35">
      <c r="A97" s="71" t="s">
        <v>209</v>
      </c>
      <c r="B97" s="73" t="s">
        <v>210</v>
      </c>
    </row>
    <row r="98" spans="1:2" x14ac:dyDescent="0.35">
      <c r="A98" s="71" t="s">
        <v>211</v>
      </c>
      <c r="B98" s="73" t="s">
        <v>212</v>
      </c>
    </row>
    <row r="99" spans="1:2" x14ac:dyDescent="0.35">
      <c r="A99" s="71" t="s">
        <v>213</v>
      </c>
      <c r="B99" s="73" t="s">
        <v>214</v>
      </c>
    </row>
    <row r="100" spans="1:2" x14ac:dyDescent="0.35">
      <c r="A100" s="71" t="s">
        <v>215</v>
      </c>
      <c r="B100" s="73" t="s">
        <v>216</v>
      </c>
    </row>
    <row r="101" spans="1:2" x14ac:dyDescent="0.35">
      <c r="A101" s="71" t="s">
        <v>217</v>
      </c>
      <c r="B101" s="73" t="s">
        <v>218</v>
      </c>
    </row>
    <row r="102" spans="1:2" x14ac:dyDescent="0.35">
      <c r="A102" s="71" t="s">
        <v>219</v>
      </c>
      <c r="B102" s="73" t="s">
        <v>220</v>
      </c>
    </row>
    <row r="103" spans="1:2" x14ac:dyDescent="0.35">
      <c r="A103" s="71" t="s">
        <v>221</v>
      </c>
      <c r="B103" s="73" t="s">
        <v>222</v>
      </c>
    </row>
    <row r="104" spans="1:2" x14ac:dyDescent="0.35">
      <c r="A104" s="71" t="s">
        <v>223</v>
      </c>
      <c r="B104" s="73" t="s">
        <v>224</v>
      </c>
    </row>
    <row r="105" spans="1:2" x14ac:dyDescent="0.35">
      <c r="A105" s="71" t="s">
        <v>225</v>
      </c>
      <c r="B105" s="73" t="s">
        <v>226</v>
      </c>
    </row>
    <row r="106" spans="1:2" x14ac:dyDescent="0.35">
      <c r="A106" s="71" t="s">
        <v>227</v>
      </c>
      <c r="B106" s="73" t="s">
        <v>228</v>
      </c>
    </row>
    <row r="107" spans="1:2" x14ac:dyDescent="0.35">
      <c r="A107" s="71" t="s">
        <v>229</v>
      </c>
      <c r="B107" s="73" t="s">
        <v>230</v>
      </c>
    </row>
    <row r="108" spans="1:2" x14ac:dyDescent="0.35">
      <c r="A108" s="71" t="s">
        <v>231</v>
      </c>
      <c r="B108" s="73" t="s">
        <v>232</v>
      </c>
    </row>
    <row r="109" spans="1:2" x14ac:dyDescent="0.35">
      <c r="A109" s="71" t="s">
        <v>233</v>
      </c>
      <c r="B109" s="73" t="s">
        <v>234</v>
      </c>
    </row>
    <row r="110" spans="1:2" x14ac:dyDescent="0.35">
      <c r="A110" s="71" t="s">
        <v>235</v>
      </c>
      <c r="B110" s="73" t="s">
        <v>236</v>
      </c>
    </row>
    <row r="111" spans="1:2" x14ac:dyDescent="0.35">
      <c r="A111" s="71" t="s">
        <v>237</v>
      </c>
      <c r="B111" s="73" t="s">
        <v>238</v>
      </c>
    </row>
    <row r="112" spans="1:2" x14ac:dyDescent="0.35">
      <c r="A112" s="71" t="s">
        <v>239</v>
      </c>
      <c r="B112" s="73" t="s">
        <v>240</v>
      </c>
    </row>
    <row r="113" spans="1:2" x14ac:dyDescent="0.35">
      <c r="A113" s="71" t="s">
        <v>241</v>
      </c>
      <c r="B113" s="73" t="s">
        <v>242</v>
      </c>
    </row>
    <row r="114" spans="1:2" x14ac:dyDescent="0.35">
      <c r="A114" s="71" t="s">
        <v>243</v>
      </c>
      <c r="B114" s="73" t="s">
        <v>244</v>
      </c>
    </row>
    <row r="115" spans="1:2" x14ac:dyDescent="0.35">
      <c r="A115" s="71" t="s">
        <v>245</v>
      </c>
      <c r="B115" s="73" t="s">
        <v>246</v>
      </c>
    </row>
    <row r="116" spans="1:2" x14ac:dyDescent="0.35">
      <c r="A116" s="71" t="s">
        <v>247</v>
      </c>
      <c r="B116" s="73" t="s">
        <v>248</v>
      </c>
    </row>
    <row r="117" spans="1:2" x14ac:dyDescent="0.35">
      <c r="A117" s="71" t="s">
        <v>249</v>
      </c>
      <c r="B117" s="73" t="s">
        <v>250</v>
      </c>
    </row>
    <row r="118" spans="1:2" x14ac:dyDescent="0.35">
      <c r="A118" s="71" t="s">
        <v>251</v>
      </c>
      <c r="B118" s="73" t="s">
        <v>252</v>
      </c>
    </row>
    <row r="119" spans="1:2" x14ac:dyDescent="0.35">
      <c r="A119" s="71" t="s">
        <v>253</v>
      </c>
      <c r="B119" s="73" t="s">
        <v>254</v>
      </c>
    </row>
    <row r="120" spans="1:2" x14ac:dyDescent="0.35">
      <c r="A120" s="71" t="s">
        <v>255</v>
      </c>
      <c r="B120" s="73" t="s">
        <v>256</v>
      </c>
    </row>
    <row r="121" spans="1:2" x14ac:dyDescent="0.35">
      <c r="A121" s="71" t="s">
        <v>257</v>
      </c>
      <c r="B121" s="73" t="s">
        <v>258</v>
      </c>
    </row>
    <row r="122" spans="1:2" x14ac:dyDescent="0.35">
      <c r="A122" s="71" t="s">
        <v>259</v>
      </c>
      <c r="B122" s="73" t="s">
        <v>260</v>
      </c>
    </row>
    <row r="123" spans="1:2" x14ac:dyDescent="0.35">
      <c r="A123" s="71" t="s">
        <v>261</v>
      </c>
      <c r="B123" s="73" t="s">
        <v>262</v>
      </c>
    </row>
    <row r="124" spans="1:2" x14ac:dyDescent="0.35">
      <c r="A124" s="71" t="s">
        <v>263</v>
      </c>
      <c r="B124" s="73" t="s">
        <v>264</v>
      </c>
    </row>
    <row r="125" spans="1:2" x14ac:dyDescent="0.35">
      <c r="A125" s="71" t="s">
        <v>265</v>
      </c>
      <c r="B125" s="73" t="s">
        <v>266</v>
      </c>
    </row>
    <row r="126" spans="1:2" x14ac:dyDescent="0.35">
      <c r="A126" s="71" t="s">
        <v>267</v>
      </c>
      <c r="B126" s="73" t="s">
        <v>268</v>
      </c>
    </row>
    <row r="127" spans="1:2" x14ac:dyDescent="0.35">
      <c r="A127" s="71" t="s">
        <v>269</v>
      </c>
      <c r="B127" s="73" t="s">
        <v>270</v>
      </c>
    </row>
    <row r="128" spans="1:2" x14ac:dyDescent="0.35">
      <c r="A128" s="71" t="s">
        <v>271</v>
      </c>
      <c r="B128" s="73" t="s">
        <v>272</v>
      </c>
    </row>
    <row r="129" spans="1:2" x14ac:dyDescent="0.35">
      <c r="A129" s="71" t="s">
        <v>273</v>
      </c>
      <c r="B129" s="73" t="s">
        <v>274</v>
      </c>
    </row>
    <row r="130" spans="1:2" x14ac:dyDescent="0.35">
      <c r="A130" s="71" t="s">
        <v>275</v>
      </c>
      <c r="B130" s="73" t="s">
        <v>276</v>
      </c>
    </row>
    <row r="131" spans="1:2" x14ac:dyDescent="0.35">
      <c r="A131" s="71" t="s">
        <v>277</v>
      </c>
      <c r="B131" s="73" t="s">
        <v>278</v>
      </c>
    </row>
    <row r="132" spans="1:2" x14ac:dyDescent="0.35">
      <c r="A132" s="71" t="s">
        <v>279</v>
      </c>
      <c r="B132" s="73" t="s">
        <v>280</v>
      </c>
    </row>
    <row r="133" spans="1:2" x14ac:dyDescent="0.35">
      <c r="A133" s="71" t="s">
        <v>281</v>
      </c>
      <c r="B133" s="73" t="s">
        <v>282</v>
      </c>
    </row>
    <row r="134" spans="1:2" x14ac:dyDescent="0.35">
      <c r="A134" s="71" t="s">
        <v>283</v>
      </c>
      <c r="B134" s="73" t="s">
        <v>284</v>
      </c>
    </row>
    <row r="135" spans="1:2" x14ac:dyDescent="0.35">
      <c r="A135" s="71" t="s">
        <v>285</v>
      </c>
      <c r="B135" s="73" t="s">
        <v>286</v>
      </c>
    </row>
    <row r="136" spans="1:2" x14ac:dyDescent="0.35">
      <c r="A136" s="71" t="s">
        <v>287</v>
      </c>
      <c r="B136" s="73" t="s">
        <v>288</v>
      </c>
    </row>
    <row r="137" spans="1:2" x14ac:dyDescent="0.35">
      <c r="A137" s="71" t="s">
        <v>289</v>
      </c>
      <c r="B137" s="73" t="s">
        <v>290</v>
      </c>
    </row>
    <row r="138" spans="1:2" x14ac:dyDescent="0.35">
      <c r="A138" s="71" t="s">
        <v>291</v>
      </c>
      <c r="B138" s="73" t="s">
        <v>292</v>
      </c>
    </row>
    <row r="139" spans="1:2" x14ac:dyDescent="0.35">
      <c r="A139" s="71" t="s">
        <v>293</v>
      </c>
      <c r="B139" s="73" t="s">
        <v>294</v>
      </c>
    </row>
    <row r="140" spans="1:2" x14ac:dyDescent="0.35">
      <c r="A140" s="71" t="s">
        <v>295</v>
      </c>
      <c r="B140" s="73" t="s">
        <v>296</v>
      </c>
    </row>
    <row r="141" spans="1:2" x14ac:dyDescent="0.35">
      <c r="A141" s="71" t="s">
        <v>297</v>
      </c>
      <c r="B141" s="73" t="s">
        <v>298</v>
      </c>
    </row>
    <row r="142" spans="1:2" x14ac:dyDescent="0.35">
      <c r="A142" s="71" t="s">
        <v>299</v>
      </c>
      <c r="B142" s="73" t="s">
        <v>300</v>
      </c>
    </row>
    <row r="143" spans="1:2" x14ac:dyDescent="0.35">
      <c r="A143" s="71" t="s">
        <v>301</v>
      </c>
      <c r="B143" s="73" t="s">
        <v>302</v>
      </c>
    </row>
    <row r="144" spans="1:2" x14ac:dyDescent="0.35">
      <c r="A144" s="71" t="s">
        <v>303</v>
      </c>
      <c r="B144" s="73" t="s">
        <v>304</v>
      </c>
    </row>
    <row r="145" spans="1:2" x14ac:dyDescent="0.35">
      <c r="A145" s="71" t="s">
        <v>305</v>
      </c>
      <c r="B145" s="73" t="s">
        <v>306</v>
      </c>
    </row>
    <row r="146" spans="1:2" x14ac:dyDescent="0.35">
      <c r="A146" s="71" t="s">
        <v>307</v>
      </c>
      <c r="B146" s="73" t="s">
        <v>308</v>
      </c>
    </row>
    <row r="147" spans="1:2" x14ac:dyDescent="0.35">
      <c r="A147" s="71" t="s">
        <v>309</v>
      </c>
      <c r="B147" s="73" t="s">
        <v>310</v>
      </c>
    </row>
    <row r="148" spans="1:2" x14ac:dyDescent="0.35">
      <c r="A148" s="71" t="s">
        <v>311</v>
      </c>
      <c r="B148" s="73" t="s">
        <v>312</v>
      </c>
    </row>
    <row r="149" spans="1:2" x14ac:dyDescent="0.35">
      <c r="A149" s="71" t="s">
        <v>313</v>
      </c>
      <c r="B149" s="73" t="s">
        <v>314</v>
      </c>
    </row>
    <row r="150" spans="1:2" x14ac:dyDescent="0.35">
      <c r="A150" s="71" t="s">
        <v>315</v>
      </c>
      <c r="B150" s="73" t="s">
        <v>316</v>
      </c>
    </row>
    <row r="151" spans="1:2" x14ac:dyDescent="0.35">
      <c r="A151" s="71" t="s">
        <v>317</v>
      </c>
      <c r="B151" s="73" t="s">
        <v>318</v>
      </c>
    </row>
    <row r="152" spans="1:2" x14ac:dyDescent="0.35">
      <c r="A152" s="71" t="s">
        <v>319</v>
      </c>
      <c r="B152" s="73" t="s">
        <v>320</v>
      </c>
    </row>
    <row r="153" spans="1:2" x14ac:dyDescent="0.35">
      <c r="A153" s="71" t="s">
        <v>321</v>
      </c>
      <c r="B153" s="73" t="s">
        <v>322</v>
      </c>
    </row>
    <row r="154" spans="1:2" x14ac:dyDescent="0.35">
      <c r="A154" s="71" t="s">
        <v>323</v>
      </c>
      <c r="B154" s="73" t="s">
        <v>324</v>
      </c>
    </row>
    <row r="155" spans="1:2" x14ac:dyDescent="0.35">
      <c r="A155" s="71" t="s">
        <v>325</v>
      </c>
      <c r="B155" s="73" t="s">
        <v>326</v>
      </c>
    </row>
    <row r="156" spans="1:2" x14ac:dyDescent="0.35">
      <c r="A156" s="71" t="s">
        <v>327</v>
      </c>
      <c r="B156" s="73" t="s">
        <v>328</v>
      </c>
    </row>
    <row r="157" spans="1:2" x14ac:dyDescent="0.35">
      <c r="A157" s="71" t="s">
        <v>329</v>
      </c>
      <c r="B157" s="73" t="s">
        <v>330</v>
      </c>
    </row>
    <row r="158" spans="1:2" x14ac:dyDescent="0.35">
      <c r="A158" s="71" t="s">
        <v>331</v>
      </c>
      <c r="B158" s="73" t="s">
        <v>332</v>
      </c>
    </row>
    <row r="159" spans="1:2" x14ac:dyDescent="0.35">
      <c r="A159" s="71" t="s">
        <v>333</v>
      </c>
      <c r="B159" s="73" t="s">
        <v>334</v>
      </c>
    </row>
    <row r="160" spans="1:2" x14ac:dyDescent="0.35">
      <c r="A160" s="71" t="s">
        <v>335</v>
      </c>
      <c r="B160" s="73" t="s">
        <v>336</v>
      </c>
    </row>
    <row r="161" spans="1:2" x14ac:dyDescent="0.35">
      <c r="A161" s="71" t="s">
        <v>337</v>
      </c>
      <c r="B161" s="73" t="s">
        <v>338</v>
      </c>
    </row>
    <row r="162" spans="1:2" x14ac:dyDescent="0.35">
      <c r="A162" s="71" t="s">
        <v>339</v>
      </c>
      <c r="B162" s="73" t="s">
        <v>340</v>
      </c>
    </row>
    <row r="163" spans="1:2" x14ac:dyDescent="0.35">
      <c r="A163" s="71" t="s">
        <v>341</v>
      </c>
      <c r="B163" s="73" t="s">
        <v>342</v>
      </c>
    </row>
    <row r="164" spans="1:2" x14ac:dyDescent="0.35">
      <c r="A164" s="71" t="s">
        <v>343</v>
      </c>
      <c r="B164" s="73" t="s">
        <v>344</v>
      </c>
    </row>
    <row r="165" spans="1:2" x14ac:dyDescent="0.35">
      <c r="A165" s="71" t="s">
        <v>345</v>
      </c>
      <c r="B165" s="73" t="s">
        <v>346</v>
      </c>
    </row>
    <row r="166" spans="1:2" x14ac:dyDescent="0.35">
      <c r="A166" s="71" t="s">
        <v>347</v>
      </c>
      <c r="B166" s="73" t="s">
        <v>348</v>
      </c>
    </row>
    <row r="167" spans="1:2" x14ac:dyDescent="0.35">
      <c r="A167" s="71" t="s">
        <v>349</v>
      </c>
      <c r="B167" s="73" t="s">
        <v>350</v>
      </c>
    </row>
    <row r="168" spans="1:2" x14ac:dyDescent="0.35">
      <c r="A168" s="71" t="s">
        <v>351</v>
      </c>
      <c r="B168" s="73" t="s">
        <v>352</v>
      </c>
    </row>
    <row r="169" spans="1:2" x14ac:dyDescent="0.35">
      <c r="A169" s="71" t="s">
        <v>353</v>
      </c>
      <c r="B169" s="73" t="s">
        <v>354</v>
      </c>
    </row>
    <row r="170" spans="1:2" x14ac:dyDescent="0.35">
      <c r="A170" s="71" t="s">
        <v>355</v>
      </c>
      <c r="B170" s="73" t="s">
        <v>356</v>
      </c>
    </row>
  </sheetData>
  <pageMargins left="0.7" right="0.7" top="0.75" bottom="0.75" header="0.3" footer="0.3"/>
  <customProperties>
    <customPr name="layoutContexts"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MPTF_00006_01105</ProjectId>
    <FundCode xmlns="f9695bc1-6109-4dcd-a27a-f8a0370b00e2">MPTF_00006</FundCode>
    <Comments xmlns="f9695bc1-6109-4dcd-a27a-f8a0370b00e2">Rapport financier au 15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1A11286-2EFE-4FA7-A8D8-11B10EFB4600}"/>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www.w3.org/XML/1998/namespace"/>
    <ds:schemaRef ds:uri="3352a50b-fe51-4c0c-a9ac-ac90f8281031"/>
    <ds:schemaRef ds:uri="http://purl.org/dc/terms/"/>
    <ds:schemaRef ds:uri="http://purl.org/dc/dcmitype/"/>
    <ds:schemaRef ds:uri="http://schemas.microsoft.com/office/infopath/2007/PartnerControls"/>
    <ds:schemaRef ds:uri="http://schemas.openxmlformats.org/package/2006/metadata/core-properties"/>
    <ds:schemaRef ds:uri="9dc44b34-9e2b-42ea-86f7-9ee7f71036f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PROJET Nexus HDP_budget VF.xlsx</dc:title>
  <dc:creator>Jelena Zelenovic</dc:creator>
  <cp:lastModifiedBy>Abdoulaye Fadiga</cp:lastModifiedBy>
  <cp:lastPrinted>2017-12-11T22:51:21Z</cp:lastPrinted>
  <dcterms:created xsi:type="dcterms:W3CDTF">2017-11-15T21:17:43Z</dcterms:created>
  <dcterms:modified xsi:type="dcterms:W3CDTF">2025-06-19T07:00:02Z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checksum">
    <vt:filetime>2023-11-09T10:17:37Z</vt:filetime>
  </property>
  <property fmtid="{D5CDD505-2E9C-101B-9397-08002B2CF9AE}" pid="5" name="MSIP_Label_2059aa38-f392-4105-be92-628035578272_Enabled">
    <vt:lpwstr>true</vt:lpwstr>
  </property>
  <property fmtid="{D5CDD505-2E9C-101B-9397-08002B2CF9AE}" pid="6" name="MSIP_Label_2059aa38-f392-4105-be92-628035578272_SetDate">
    <vt:lpwstr>2024-01-29T14:07:45Z</vt:lpwstr>
  </property>
  <property fmtid="{D5CDD505-2E9C-101B-9397-08002B2CF9AE}" pid="7" name="MSIP_Label_2059aa38-f392-4105-be92-628035578272_Method">
    <vt:lpwstr>Standard</vt:lpwstr>
  </property>
  <property fmtid="{D5CDD505-2E9C-101B-9397-08002B2CF9AE}" pid="8" name="MSIP_Label_2059aa38-f392-4105-be92-628035578272_Name">
    <vt:lpwstr>IOMLb0020IN123173</vt:lpwstr>
  </property>
  <property fmtid="{D5CDD505-2E9C-101B-9397-08002B2CF9AE}" pid="9" name="MSIP_Label_2059aa38-f392-4105-be92-628035578272_SiteId">
    <vt:lpwstr>1588262d-23fb-43b4-bd6e-bce49c8e6186</vt:lpwstr>
  </property>
  <property fmtid="{D5CDD505-2E9C-101B-9397-08002B2CF9AE}" pid="10" name="MSIP_Label_2059aa38-f392-4105-be92-628035578272_ActionId">
    <vt:lpwstr>8c4bdd42-8a15-4d18-be16-32ed775505cb</vt:lpwstr>
  </property>
  <property fmtid="{D5CDD505-2E9C-101B-9397-08002B2CF9AE}" pid="11" name="MSIP_Label_2059aa38-f392-4105-be92-628035578272_ContentBits">
    <vt:lpwstr>0</vt:lpwstr>
  </property>
</Properties>
</file>