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fadiga_unfpa\Desktop\Nouveau dossier (2)\FAD 2024\PBF BF\Projets PBF 2025\Rapport d'activités\Semestre 1\Version Kobotoolbox\"/>
    </mc:Choice>
  </mc:AlternateContent>
  <xr:revisionPtr revIDLastSave="0" documentId="8_{36C0EDD5-0A1D-4243-A214-B78D2040B782}" xr6:coauthVersionLast="36" xr6:coauthVersionMax="36" xr10:uidLastSave="{00000000-0000-0000-0000-000000000000}"/>
  <bookViews>
    <workbookView xWindow="0" yWindow="0" windowWidth="19200" windowHeight="6230" activeTab="1" xr2:uid="{F1B97A5F-842E-4AB1-BAC9-607231964366}"/>
  </bookViews>
  <sheets>
    <sheet name="Instruction" sheetId="1" r:id="rId1"/>
    <sheet name="1)Tableau budgétaire 1" sheetId="2" r:id="rId2"/>
    <sheet name="2)Tableau Budgétaire 2" sheetId="4" r:id="rId3"/>
    <sheet name="3)Note d'explication" sheetId="5" state="hidden" r:id="rId4"/>
    <sheet name="4)Pour utilisation par PBSO" sheetId="6" state="hidden" r:id="rId5"/>
    <sheet name="5)Pour utilisation par MPTFO" sheetId="7" r:id="rId6"/>
    <sheet name="2)Tableau Budgétaire 2 (2)" sheetId="9" state="hidden" r:id="rId7"/>
  </sheets>
  <externalReferences>
    <externalReference r:id="rId8"/>
    <externalReference r:id="rId9"/>
    <externalReference r:id="rId10"/>
    <externalReference r:id="rId11"/>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3" i="2" l="1"/>
  <c r="U187" i="2"/>
  <c r="V184" i="2"/>
  <c r="V183" i="2"/>
  <c r="V166" i="2"/>
  <c r="V167" i="2"/>
  <c r="V168" i="2"/>
  <c r="V169" i="2"/>
  <c r="V170" i="2"/>
  <c r="V171" i="2"/>
  <c r="V172" i="2"/>
  <c r="V173" i="2"/>
  <c r="V174" i="2"/>
  <c r="V175" i="2"/>
  <c r="V176" i="2"/>
  <c r="V177" i="2"/>
  <c r="V178" i="2"/>
  <c r="V179" i="2"/>
  <c r="V180" i="2"/>
  <c r="V181" i="2"/>
  <c r="V182" i="2"/>
  <c r="V185" i="2"/>
  <c r="V186" i="2"/>
  <c r="V165" i="2"/>
  <c r="V144" i="2"/>
  <c r="V145" i="2"/>
  <c r="V146" i="2"/>
  <c r="V147" i="2"/>
  <c r="V148" i="2"/>
  <c r="V149" i="2"/>
  <c r="V150" i="2"/>
  <c r="V151" i="2"/>
  <c r="V152" i="2"/>
  <c r="V153" i="2"/>
  <c r="V154" i="2"/>
  <c r="V155" i="2"/>
  <c r="V156" i="2"/>
  <c r="V157" i="2"/>
  <c r="V158" i="2"/>
  <c r="V159" i="2"/>
  <c r="V160" i="2"/>
  <c r="V161" i="2"/>
  <c r="V162" i="2"/>
  <c r="V143" i="2"/>
  <c r="V127" i="2"/>
  <c r="V128" i="2"/>
  <c r="V129" i="2"/>
  <c r="V130" i="2"/>
  <c r="V131" i="2"/>
  <c r="V132" i="2"/>
  <c r="V133" i="2"/>
  <c r="V134" i="2"/>
  <c r="V135" i="2"/>
  <c r="V136" i="2"/>
  <c r="V137" i="2"/>
  <c r="V138" i="2"/>
  <c r="V139" i="2"/>
  <c r="V140" i="2"/>
  <c r="V126"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71" i="2"/>
  <c r="V47" i="2"/>
  <c r="V48" i="2"/>
  <c r="V49" i="2"/>
  <c r="V50" i="2"/>
  <c r="V51" i="2"/>
  <c r="V52" i="2"/>
  <c r="V53" i="2"/>
  <c r="V54" i="2"/>
  <c r="V55" i="2"/>
  <c r="V56" i="2"/>
  <c r="V57" i="2"/>
  <c r="V58" i="2"/>
  <c r="V59" i="2"/>
  <c r="V60" i="2"/>
  <c r="V61" i="2"/>
  <c r="V62" i="2"/>
  <c r="V63" i="2"/>
  <c r="V64" i="2"/>
  <c r="V65" i="2"/>
  <c r="V66" i="2"/>
  <c r="V67" i="2"/>
  <c r="V68" i="2"/>
  <c r="V46" i="2"/>
  <c r="V32" i="2"/>
  <c r="V33" i="2"/>
  <c r="V34" i="2"/>
  <c r="V35" i="2"/>
  <c r="V36" i="2"/>
  <c r="V37" i="2"/>
  <c r="V38" i="2"/>
  <c r="V39" i="2"/>
  <c r="V40" i="2"/>
  <c r="V41" i="2"/>
  <c r="V42" i="2"/>
  <c r="V43" i="2"/>
  <c r="V28" i="2"/>
  <c r="V29" i="2"/>
  <c r="V30" i="2"/>
  <c r="V31" i="2"/>
  <c r="V27" i="2"/>
  <c r="V25" i="2"/>
  <c r="V13" i="2"/>
  <c r="V14" i="2"/>
  <c r="V15" i="2"/>
  <c r="V16" i="2"/>
  <c r="V17" i="2"/>
  <c r="V18" i="2"/>
  <c r="V19" i="2"/>
  <c r="V20" i="2"/>
  <c r="V21" i="2"/>
  <c r="V22" i="2"/>
  <c r="V23" i="2"/>
  <c r="V24" i="2"/>
  <c r="V11" i="2"/>
  <c r="V12" i="2"/>
  <c r="V9" i="2"/>
  <c r="V10" i="2"/>
  <c r="V8" i="2"/>
  <c r="X57" i="2"/>
  <c r="X61" i="2"/>
  <c r="X62" i="2"/>
  <c r="X63" i="2"/>
  <c r="X64" i="2"/>
  <c r="X68" i="2"/>
  <c r="X69" i="2"/>
  <c r="H189" i="4"/>
  <c r="H190" i="4"/>
  <c r="H192" i="4"/>
  <c r="H191" i="4"/>
  <c r="H194" i="4"/>
  <c r="H188" i="4"/>
  <c r="H80" i="4"/>
  <c r="H79" i="4"/>
  <c r="H68" i="4"/>
  <c r="H58" i="4"/>
  <c r="H57" i="4"/>
  <c r="H46" i="4"/>
  <c r="H45" i="4"/>
  <c r="H35" i="4"/>
  <c r="H34" i="4"/>
  <c r="H23" i="4"/>
  <c r="H13" i="4"/>
  <c r="H12" i="4"/>
  <c r="C199" i="4"/>
  <c r="M23" i="7"/>
  <c r="N23" i="7"/>
  <c r="D23" i="7"/>
  <c r="E23" i="7"/>
  <c r="E20" i="7"/>
  <c r="E21" i="7"/>
  <c r="Q12" i="7"/>
  <c r="I16" i="7"/>
  <c r="I15" i="7"/>
  <c r="I14" i="7"/>
  <c r="I8" i="7"/>
  <c r="I9" i="7"/>
  <c r="I10" i="7"/>
  <c r="I11" i="7"/>
  <c r="I12" i="7"/>
  <c r="I13" i="7"/>
  <c r="I7" i="7"/>
  <c r="H12" i="7"/>
  <c r="M8" i="7"/>
  <c r="M9" i="7"/>
  <c r="M10" i="7"/>
  <c r="M11" i="7"/>
  <c r="M12" i="7"/>
  <c r="M13" i="7"/>
  <c r="M7" i="7"/>
  <c r="L12" i="7"/>
  <c r="D13" i="7"/>
  <c r="D12" i="7"/>
  <c r="D11" i="7"/>
  <c r="D10" i="7"/>
  <c r="D9" i="7"/>
  <c r="D8" i="7"/>
  <c r="D7" i="7"/>
  <c r="C13" i="7"/>
  <c r="C12" i="7"/>
  <c r="C11" i="7"/>
  <c r="C9" i="7"/>
  <c r="C8" i="7"/>
  <c r="V44" i="2" l="1"/>
  <c r="V187" i="2"/>
  <c r="V141" i="2"/>
  <c r="V69" i="2"/>
  <c r="V163" i="2"/>
  <c r="V122" i="2"/>
  <c r="J42" i="4"/>
  <c r="J43" i="4"/>
  <c r="J44" i="4"/>
  <c r="J45" i="4"/>
  <c r="J46" i="4"/>
  <c r="J47" i="4"/>
  <c r="J48" i="4"/>
  <c r="J41" i="4"/>
  <c r="C7" i="7"/>
  <c r="AA184" i="2" l="1"/>
  <c r="I205" i="9"/>
  <c r="H205" i="9"/>
  <c r="J205" i="9" s="1"/>
  <c r="D205" i="9"/>
  <c r="C205" i="9"/>
  <c r="E205" i="9" s="1"/>
  <c r="I204" i="9"/>
  <c r="H204" i="9"/>
  <c r="J204" i="9" s="1"/>
  <c r="D204" i="9"/>
  <c r="E204" i="9" s="1"/>
  <c r="C204" i="9"/>
  <c r="J203" i="9"/>
  <c r="I203" i="9"/>
  <c r="H203" i="9"/>
  <c r="D203" i="9"/>
  <c r="C203" i="9"/>
  <c r="E203" i="9" s="1"/>
  <c r="I202" i="9"/>
  <c r="H202" i="9"/>
  <c r="H206" i="9" s="1"/>
  <c r="D202" i="9"/>
  <c r="C202" i="9"/>
  <c r="E202" i="9" s="1"/>
  <c r="I201" i="9"/>
  <c r="H201" i="9"/>
  <c r="J201" i="9" s="1"/>
  <c r="D201" i="9"/>
  <c r="C201" i="9"/>
  <c r="E201" i="9" s="1"/>
  <c r="I200" i="9"/>
  <c r="H200" i="9"/>
  <c r="J200" i="9" s="1"/>
  <c r="D200" i="9"/>
  <c r="C200" i="9"/>
  <c r="E200" i="9" s="1"/>
  <c r="J199" i="9"/>
  <c r="I199" i="9"/>
  <c r="I206" i="9" s="1"/>
  <c r="H199" i="9"/>
  <c r="D199" i="9"/>
  <c r="D206" i="9" s="1"/>
  <c r="C199" i="9"/>
  <c r="C206" i="9" s="1"/>
  <c r="I198" i="9"/>
  <c r="D198" i="9"/>
  <c r="I195" i="9"/>
  <c r="H195" i="9"/>
  <c r="J195" i="9" s="1"/>
  <c r="D195" i="9"/>
  <c r="C195" i="9"/>
  <c r="J194" i="9"/>
  <c r="E194" i="9"/>
  <c r="J193" i="9"/>
  <c r="E193" i="9"/>
  <c r="J192" i="9"/>
  <c r="E192" i="9"/>
  <c r="J191" i="9"/>
  <c r="E191" i="9"/>
  <c r="J190" i="9"/>
  <c r="E190" i="9"/>
  <c r="J189" i="9"/>
  <c r="E189" i="9"/>
  <c r="J188" i="9"/>
  <c r="E188" i="9"/>
  <c r="E195" i="9" s="1"/>
  <c r="J187" i="9"/>
  <c r="I187" i="9"/>
  <c r="E187" i="9"/>
  <c r="D187" i="9"/>
  <c r="I184" i="9"/>
  <c r="H184" i="9"/>
  <c r="J184" i="9" s="1"/>
  <c r="D184" i="9"/>
  <c r="C184" i="9"/>
  <c r="E184" i="9" s="1"/>
  <c r="J183" i="9"/>
  <c r="E183" i="9"/>
  <c r="J182" i="9"/>
  <c r="E182" i="9"/>
  <c r="J181" i="9"/>
  <c r="E181" i="9"/>
  <c r="J180" i="9"/>
  <c r="E180" i="9"/>
  <c r="J179" i="9"/>
  <c r="E179" i="9"/>
  <c r="J178" i="9"/>
  <c r="E178" i="9"/>
  <c r="J177" i="9"/>
  <c r="E177" i="9"/>
  <c r="I176" i="9"/>
  <c r="H176" i="9"/>
  <c r="J176" i="9" s="1"/>
  <c r="E176" i="9"/>
  <c r="D176" i="9"/>
  <c r="C176" i="9"/>
  <c r="I173" i="9"/>
  <c r="H173" i="9"/>
  <c r="J173" i="9" s="1"/>
  <c r="D173" i="9"/>
  <c r="E173" i="9" s="1"/>
  <c r="C173" i="9"/>
  <c r="J172" i="9"/>
  <c r="E172" i="9"/>
  <c r="J171" i="9"/>
  <c r="E171" i="9"/>
  <c r="J170" i="9"/>
  <c r="E170" i="9"/>
  <c r="J169" i="9"/>
  <c r="E169" i="9"/>
  <c r="J168" i="9"/>
  <c r="E168" i="9"/>
  <c r="J167" i="9"/>
  <c r="E167" i="9"/>
  <c r="J166" i="9"/>
  <c r="E166" i="9"/>
  <c r="J165" i="9"/>
  <c r="I165" i="9"/>
  <c r="H165" i="9"/>
  <c r="D165" i="9"/>
  <c r="E165" i="9" s="1"/>
  <c r="C165" i="9"/>
  <c r="I162" i="9"/>
  <c r="H162" i="9"/>
  <c r="J162" i="9" s="1"/>
  <c r="D162" i="9"/>
  <c r="E162" i="9" s="1"/>
  <c r="C162" i="9"/>
  <c r="J161" i="9"/>
  <c r="E161" i="9"/>
  <c r="J160" i="9"/>
  <c r="E160" i="9"/>
  <c r="J159" i="9"/>
  <c r="E159" i="9"/>
  <c r="J158" i="9"/>
  <c r="E158" i="9"/>
  <c r="J157" i="9"/>
  <c r="E157" i="9"/>
  <c r="J156" i="9"/>
  <c r="E156" i="9"/>
  <c r="J155" i="9"/>
  <c r="E155" i="9"/>
  <c r="J154" i="9"/>
  <c r="I154" i="9"/>
  <c r="H154" i="9"/>
  <c r="D154" i="9"/>
  <c r="C154" i="9"/>
  <c r="E154" i="9" s="1"/>
  <c r="J151" i="9"/>
  <c r="I151" i="9"/>
  <c r="H151" i="9"/>
  <c r="D151" i="9"/>
  <c r="E151" i="9" s="1"/>
  <c r="C151" i="9"/>
  <c r="J150" i="9"/>
  <c r="E150" i="9"/>
  <c r="J149" i="9"/>
  <c r="E149" i="9"/>
  <c r="J148" i="9"/>
  <c r="E148" i="9"/>
  <c r="J147" i="9"/>
  <c r="E147" i="9"/>
  <c r="J146" i="9"/>
  <c r="E146" i="9"/>
  <c r="J145" i="9"/>
  <c r="E145" i="9"/>
  <c r="J144" i="9"/>
  <c r="E144" i="9"/>
  <c r="I143" i="9"/>
  <c r="H143" i="9"/>
  <c r="J143" i="9" s="1"/>
  <c r="D143" i="9"/>
  <c r="C143" i="9"/>
  <c r="E143" i="9" s="1"/>
  <c r="J139" i="9"/>
  <c r="I139" i="9"/>
  <c r="H139" i="9"/>
  <c r="D139" i="9"/>
  <c r="C139" i="9"/>
  <c r="E139" i="9" s="1"/>
  <c r="J138" i="9"/>
  <c r="E138" i="9"/>
  <c r="J137" i="9"/>
  <c r="E137" i="9"/>
  <c r="J136" i="9"/>
  <c r="E136" i="9"/>
  <c r="J135" i="9"/>
  <c r="E135" i="9"/>
  <c r="J134" i="9"/>
  <c r="E134" i="9"/>
  <c r="J133" i="9"/>
  <c r="E133" i="9"/>
  <c r="J132" i="9"/>
  <c r="E132" i="9"/>
  <c r="I131" i="9"/>
  <c r="H131" i="9"/>
  <c r="J131" i="9" s="1"/>
  <c r="D131" i="9"/>
  <c r="E131" i="9" s="1"/>
  <c r="C131" i="9"/>
  <c r="I128" i="9"/>
  <c r="H128" i="9"/>
  <c r="J128" i="9" s="1"/>
  <c r="D128" i="9"/>
  <c r="E128" i="9" s="1"/>
  <c r="C128" i="9"/>
  <c r="J127" i="9"/>
  <c r="E127" i="9"/>
  <c r="J126" i="9"/>
  <c r="E126" i="9"/>
  <c r="J125" i="9"/>
  <c r="E125" i="9"/>
  <c r="J124" i="9"/>
  <c r="E124" i="9"/>
  <c r="J123" i="9"/>
  <c r="E123" i="9"/>
  <c r="J122" i="9"/>
  <c r="E122" i="9"/>
  <c r="J121" i="9"/>
  <c r="E121" i="9"/>
  <c r="J120" i="9"/>
  <c r="I120" i="9"/>
  <c r="H120" i="9"/>
  <c r="D120" i="9"/>
  <c r="E120" i="9" s="1"/>
  <c r="C120" i="9"/>
  <c r="I117" i="9"/>
  <c r="H117" i="9"/>
  <c r="J117" i="9" s="1"/>
  <c r="D117" i="9"/>
  <c r="E117" i="9" s="1"/>
  <c r="C117" i="9"/>
  <c r="J116" i="9"/>
  <c r="E116" i="9"/>
  <c r="J115" i="9"/>
  <c r="E115" i="9"/>
  <c r="J114" i="9"/>
  <c r="E114" i="9"/>
  <c r="J113" i="9"/>
  <c r="E113" i="9"/>
  <c r="J112" i="9"/>
  <c r="E112" i="9"/>
  <c r="J111" i="9"/>
  <c r="E111" i="9"/>
  <c r="J110" i="9"/>
  <c r="E110" i="9"/>
  <c r="J109" i="9"/>
  <c r="I109" i="9"/>
  <c r="H109" i="9"/>
  <c r="D109" i="9"/>
  <c r="C109" i="9"/>
  <c r="E109" i="9" s="1"/>
  <c r="J106" i="9"/>
  <c r="I106" i="9"/>
  <c r="H106" i="9"/>
  <c r="D106" i="9"/>
  <c r="C106" i="9"/>
  <c r="E106" i="9" s="1"/>
  <c r="J105" i="9"/>
  <c r="E105" i="9"/>
  <c r="J104" i="9"/>
  <c r="E104" i="9"/>
  <c r="J103" i="9"/>
  <c r="E103" i="9"/>
  <c r="J102" i="9"/>
  <c r="E102" i="9"/>
  <c r="J101" i="9"/>
  <c r="E101" i="9"/>
  <c r="J100" i="9"/>
  <c r="E100" i="9"/>
  <c r="J99" i="9"/>
  <c r="E99" i="9"/>
  <c r="I98" i="9"/>
  <c r="H98" i="9"/>
  <c r="J98" i="9" s="1"/>
  <c r="D98" i="9"/>
  <c r="E98" i="9" s="1"/>
  <c r="C98" i="9"/>
  <c r="J94" i="9"/>
  <c r="I94" i="9"/>
  <c r="H94" i="9"/>
  <c r="D94" i="9"/>
  <c r="C94" i="9"/>
  <c r="E94" i="9" s="1"/>
  <c r="J93" i="9"/>
  <c r="E93" i="9"/>
  <c r="J92" i="9"/>
  <c r="E92" i="9"/>
  <c r="J91" i="9"/>
  <c r="E91" i="9"/>
  <c r="J90" i="9"/>
  <c r="E90" i="9"/>
  <c r="J89" i="9"/>
  <c r="E89" i="9"/>
  <c r="J88" i="9"/>
  <c r="E88" i="9"/>
  <c r="J87" i="9"/>
  <c r="E87" i="9"/>
  <c r="I86" i="9"/>
  <c r="H86" i="9"/>
  <c r="J86" i="9" s="1"/>
  <c r="D86" i="9"/>
  <c r="E86" i="9" s="1"/>
  <c r="C86" i="9"/>
  <c r="I83" i="9"/>
  <c r="H83" i="9"/>
  <c r="J83" i="9" s="1"/>
  <c r="C83" i="9"/>
  <c r="E83" i="9" s="1"/>
  <c r="J82" i="9"/>
  <c r="E82" i="9"/>
  <c r="J81" i="9"/>
  <c r="E81" i="9"/>
  <c r="J80" i="9"/>
  <c r="E80" i="9"/>
  <c r="J79" i="9"/>
  <c r="E79" i="9"/>
  <c r="J78" i="9"/>
  <c r="E78" i="9"/>
  <c r="J77" i="9"/>
  <c r="E77" i="9"/>
  <c r="J76" i="9"/>
  <c r="E76" i="9"/>
  <c r="I75" i="9"/>
  <c r="J75" i="9" s="1"/>
  <c r="E75" i="9"/>
  <c r="J72" i="9"/>
  <c r="I72" i="9"/>
  <c r="H72" i="9"/>
  <c r="D72" i="9"/>
  <c r="C72" i="9"/>
  <c r="J71" i="9"/>
  <c r="E71" i="9"/>
  <c r="J70" i="9"/>
  <c r="E70" i="9"/>
  <c r="J69" i="9"/>
  <c r="E69" i="9"/>
  <c r="J68" i="9"/>
  <c r="E68" i="9"/>
  <c r="J67" i="9"/>
  <c r="E67" i="9"/>
  <c r="J66" i="9"/>
  <c r="E66" i="9"/>
  <c r="J65" i="9"/>
  <c r="E65" i="9"/>
  <c r="E72" i="9" s="1"/>
  <c r="I64" i="9"/>
  <c r="H64" i="9"/>
  <c r="J64" i="9" s="1"/>
  <c r="D64" i="9"/>
  <c r="E64" i="9" s="1"/>
  <c r="I61" i="9"/>
  <c r="J61" i="9" s="1"/>
  <c r="H61" i="9"/>
  <c r="D61" i="9"/>
  <c r="C61" i="9"/>
  <c r="J60" i="9"/>
  <c r="E60" i="9"/>
  <c r="J59" i="9"/>
  <c r="E59" i="9"/>
  <c r="J58" i="9"/>
  <c r="E58" i="9"/>
  <c r="J57" i="9"/>
  <c r="E57" i="9"/>
  <c r="J56" i="9"/>
  <c r="E56" i="9"/>
  <c r="J55" i="9"/>
  <c r="E55" i="9"/>
  <c r="J54" i="9"/>
  <c r="E54" i="9"/>
  <c r="E61" i="9" s="1"/>
  <c r="I53" i="9"/>
  <c r="H53" i="9"/>
  <c r="J53" i="9" s="1"/>
  <c r="E53" i="9"/>
  <c r="D53" i="9"/>
  <c r="I49" i="9"/>
  <c r="H49" i="9"/>
  <c r="J49" i="9" s="1"/>
  <c r="D49" i="9"/>
  <c r="C49" i="9"/>
  <c r="E48" i="9"/>
  <c r="E47" i="9"/>
  <c r="E46" i="9"/>
  <c r="E45" i="9"/>
  <c r="E44" i="9"/>
  <c r="E43" i="9"/>
  <c r="E42" i="9"/>
  <c r="E49" i="9" s="1"/>
  <c r="E41" i="9"/>
  <c r="D41" i="9"/>
  <c r="I38" i="9"/>
  <c r="J38" i="9" s="1"/>
  <c r="H38" i="9"/>
  <c r="D38" i="9"/>
  <c r="C38" i="9"/>
  <c r="J37" i="9"/>
  <c r="E37" i="9"/>
  <c r="J36" i="9"/>
  <c r="E36" i="9"/>
  <c r="J35" i="9"/>
  <c r="E35" i="9"/>
  <c r="J34" i="9"/>
  <c r="E34" i="9"/>
  <c r="J33" i="9"/>
  <c r="E33" i="9"/>
  <c r="J32" i="9"/>
  <c r="E32" i="9"/>
  <c r="J31" i="9"/>
  <c r="E31" i="9"/>
  <c r="E38" i="9" s="1"/>
  <c r="I30" i="9"/>
  <c r="H30" i="9"/>
  <c r="J30" i="9" s="1"/>
  <c r="E30" i="9"/>
  <c r="D30" i="9"/>
  <c r="I27" i="9"/>
  <c r="H27" i="9"/>
  <c r="J27" i="9" s="1"/>
  <c r="D27" i="9"/>
  <c r="C27" i="9"/>
  <c r="J26" i="9"/>
  <c r="E26" i="9"/>
  <c r="J25" i="9"/>
  <c r="E25" i="9"/>
  <c r="J24" i="9"/>
  <c r="E24" i="9"/>
  <c r="J23" i="9"/>
  <c r="E23" i="9"/>
  <c r="J22" i="9"/>
  <c r="E22" i="9"/>
  <c r="J21" i="9"/>
  <c r="E21" i="9"/>
  <c r="J20" i="9"/>
  <c r="E20" i="9"/>
  <c r="E27" i="9" s="1"/>
  <c r="J19" i="9"/>
  <c r="E19" i="9"/>
  <c r="J16" i="9"/>
  <c r="I16" i="9"/>
  <c r="H16" i="9"/>
  <c r="D16" i="9"/>
  <c r="C16" i="9"/>
  <c r="J15" i="9"/>
  <c r="E15" i="9"/>
  <c r="J14" i="9"/>
  <c r="E14" i="9"/>
  <c r="J13" i="9"/>
  <c r="E13" i="9"/>
  <c r="J12" i="9"/>
  <c r="E12" i="9"/>
  <c r="J11" i="9"/>
  <c r="E11" i="9"/>
  <c r="J10" i="9"/>
  <c r="E10" i="9"/>
  <c r="J9" i="9"/>
  <c r="E9" i="9"/>
  <c r="E16" i="9" s="1"/>
  <c r="J8" i="9"/>
  <c r="H8" i="9"/>
  <c r="E8" i="9"/>
  <c r="H5" i="9"/>
  <c r="H198" i="9" s="1"/>
  <c r="D5" i="9"/>
  <c r="C5" i="9"/>
  <c r="C198" i="9" s="1"/>
  <c r="C207" i="9" l="1"/>
  <c r="C208" i="9" s="1"/>
  <c r="E206" i="9"/>
  <c r="D207" i="9"/>
  <c r="D208" i="9"/>
  <c r="H207" i="9"/>
  <c r="H208" i="9"/>
  <c r="J206" i="9"/>
  <c r="I207" i="9"/>
  <c r="I208" i="9" s="1"/>
  <c r="J202" i="9"/>
  <c r="E199" i="9"/>
  <c r="E207" i="9" l="1"/>
  <c r="E208" i="9" s="1"/>
  <c r="J207" i="9"/>
  <c r="J208" i="9" s="1"/>
  <c r="O163" i="2" l="1"/>
  <c r="O141" i="2"/>
  <c r="O44" i="2"/>
  <c r="T163" i="2" l="1"/>
  <c r="O326" i="2"/>
  <c r="D326" i="2"/>
  <c r="O301" i="2"/>
  <c r="R112" i="2"/>
  <c r="S112" i="2" s="1"/>
  <c r="R113" i="2"/>
  <c r="S113" i="2" s="1"/>
  <c r="R79" i="2"/>
  <c r="S79" i="2" s="1"/>
  <c r="R80" i="2"/>
  <c r="S80" i="2" s="1"/>
  <c r="U163" i="2"/>
  <c r="U301" i="2"/>
  <c r="X80" i="2" l="1"/>
  <c r="U141" i="2" l="1"/>
  <c r="U44" i="2"/>
  <c r="O122" i="2" l="1"/>
  <c r="S185" i="2"/>
  <c r="S65" i="2"/>
  <c r="S66" i="2"/>
  <c r="S67" i="2"/>
  <c r="R183" i="2" l="1"/>
  <c r="S183" i="2" s="1"/>
  <c r="R181" i="2"/>
  <c r="S181" i="2" s="1"/>
  <c r="R179" i="2"/>
  <c r="S179" i="2" s="1"/>
  <c r="R177" i="2"/>
  <c r="S177" i="2" s="1"/>
  <c r="R175" i="2"/>
  <c r="S175" i="2" s="1"/>
  <c r="R182" i="2"/>
  <c r="S182" i="2" s="1"/>
  <c r="R184" i="2"/>
  <c r="S184" i="2" l="1"/>
  <c r="R117" i="2"/>
  <c r="S117" i="2" s="1"/>
  <c r="R115" i="2"/>
  <c r="S115" i="2" s="1"/>
  <c r="R114" i="2"/>
  <c r="S114" i="2" s="1"/>
  <c r="R110" i="2"/>
  <c r="S110" i="2" s="1"/>
  <c r="R108" i="2"/>
  <c r="S108" i="2" s="1"/>
  <c r="R107" i="2"/>
  <c r="S107" i="2" s="1"/>
  <c r="R105" i="2"/>
  <c r="S105" i="2" s="1"/>
  <c r="R104" i="2"/>
  <c r="R100" i="2"/>
  <c r="S100" i="2" s="1"/>
  <c r="R95" i="2"/>
  <c r="S95" i="2" s="1"/>
  <c r="R90" i="2"/>
  <c r="S90" i="2" s="1"/>
  <c r="R88" i="2"/>
  <c r="S88" i="2" s="1"/>
  <c r="R87" i="2"/>
  <c r="S87" i="2" s="1"/>
  <c r="R89" i="2"/>
  <c r="S89" i="2" s="1"/>
  <c r="R91" i="2"/>
  <c r="S91" i="2" s="1"/>
  <c r="R92" i="2"/>
  <c r="S92" i="2" s="1"/>
  <c r="R93" i="2"/>
  <c r="S93" i="2" s="1"/>
  <c r="R94" i="2"/>
  <c r="S94" i="2" s="1"/>
  <c r="R96" i="2"/>
  <c r="S96" i="2" s="1"/>
  <c r="R97" i="2"/>
  <c r="S97" i="2" s="1"/>
  <c r="R98" i="2"/>
  <c r="S98" i="2" s="1"/>
  <c r="R99" i="2"/>
  <c r="S99" i="2" s="1"/>
  <c r="R101" i="2"/>
  <c r="S101" i="2" s="1"/>
  <c r="R102" i="2"/>
  <c r="S102" i="2" s="1"/>
  <c r="R103" i="2"/>
  <c r="S103" i="2" s="1"/>
  <c r="R106" i="2"/>
  <c r="S106" i="2" s="1"/>
  <c r="R109" i="2"/>
  <c r="S109" i="2" s="1"/>
  <c r="R111" i="2"/>
  <c r="S111" i="2" s="1"/>
  <c r="R116" i="2"/>
  <c r="S116" i="2" s="1"/>
  <c r="R118" i="2"/>
  <c r="S118" i="2" s="1"/>
  <c r="R119" i="2"/>
  <c r="R120" i="2"/>
  <c r="S120" i="2" s="1"/>
  <c r="R86" i="2"/>
  <c r="S86" i="2" s="1"/>
  <c r="R83" i="2"/>
  <c r="S83" i="2" s="1"/>
  <c r="R84" i="2"/>
  <c r="S84" i="2" s="1"/>
  <c r="R85" i="2"/>
  <c r="S85" i="2" s="1"/>
  <c r="R81" i="2"/>
  <c r="S81" i="2" s="1"/>
  <c r="R77" i="2"/>
  <c r="S77" i="2" s="1"/>
  <c r="R73" i="2"/>
  <c r="S73" i="2" s="1"/>
  <c r="R74" i="2"/>
  <c r="S74" i="2" s="1"/>
  <c r="R72" i="2"/>
  <c r="R40" i="2"/>
  <c r="S40" i="2" s="1"/>
  <c r="R38" i="2"/>
  <c r="S104" i="2" l="1"/>
  <c r="T122" i="2"/>
  <c r="S38" i="2"/>
  <c r="S119" i="2"/>
  <c r="R19" i="2"/>
  <c r="S19" i="2" s="1"/>
  <c r="R292" i="2" l="1"/>
  <c r="R293" i="2"/>
  <c r="R294" i="2"/>
  <c r="R295" i="2"/>
  <c r="R296" i="2"/>
  <c r="R297" i="2"/>
  <c r="R298" i="2"/>
  <c r="R299" i="2"/>
  <c r="R300" i="2"/>
  <c r="R291" i="2"/>
  <c r="R283" i="2"/>
  <c r="R284" i="2"/>
  <c r="R285" i="2"/>
  <c r="R286" i="2"/>
  <c r="R287" i="2"/>
  <c r="R288" i="2"/>
  <c r="R282" i="2"/>
  <c r="O187" i="2"/>
  <c r="R169" i="2"/>
  <c r="R170" i="2"/>
  <c r="R171" i="2"/>
  <c r="R165" i="2"/>
  <c r="R166" i="2"/>
  <c r="R167" i="2"/>
  <c r="R144" i="2"/>
  <c r="R145" i="2"/>
  <c r="R146" i="2"/>
  <c r="R147" i="2"/>
  <c r="S147" i="2" s="1"/>
  <c r="R148" i="2"/>
  <c r="R149" i="2"/>
  <c r="R150" i="2"/>
  <c r="S150" i="2" s="1"/>
  <c r="R151" i="2"/>
  <c r="S151" i="2" s="1"/>
  <c r="R152" i="2"/>
  <c r="S152" i="2" s="1"/>
  <c r="R153" i="2"/>
  <c r="R154" i="2"/>
  <c r="R155" i="2"/>
  <c r="R156" i="2"/>
  <c r="S156" i="2" s="1"/>
  <c r="R157" i="2"/>
  <c r="S157" i="2" s="1"/>
  <c r="R158" i="2"/>
  <c r="S158" i="2" s="1"/>
  <c r="R159" i="2"/>
  <c r="S159" i="2" s="1"/>
  <c r="R160" i="2"/>
  <c r="S160" i="2" s="1"/>
  <c r="R161" i="2"/>
  <c r="S161" i="2" s="1"/>
  <c r="R143" i="2"/>
  <c r="R127" i="2"/>
  <c r="R128" i="2"/>
  <c r="R129" i="2"/>
  <c r="R130" i="2"/>
  <c r="R131" i="2"/>
  <c r="R132" i="2"/>
  <c r="R133" i="2"/>
  <c r="R134" i="2"/>
  <c r="R135" i="2"/>
  <c r="R136" i="2"/>
  <c r="R137" i="2"/>
  <c r="R138" i="2"/>
  <c r="R139" i="2"/>
  <c r="R140" i="2"/>
  <c r="R126" i="2"/>
  <c r="O69" i="2"/>
  <c r="R47" i="2"/>
  <c r="R48" i="2"/>
  <c r="R49" i="2"/>
  <c r="R50" i="2"/>
  <c r="R51" i="2"/>
  <c r="R52" i="2"/>
  <c r="R53" i="2"/>
  <c r="R54" i="2"/>
  <c r="R55" i="2"/>
  <c r="R56" i="2"/>
  <c r="R57" i="2"/>
  <c r="R58" i="2"/>
  <c r="R59" i="2"/>
  <c r="R60" i="2"/>
  <c r="R61" i="2"/>
  <c r="R62" i="2"/>
  <c r="S62" i="2" s="1"/>
  <c r="R63" i="2"/>
  <c r="S63" i="2" s="1"/>
  <c r="R46" i="2"/>
  <c r="R43" i="2"/>
  <c r="R28" i="2"/>
  <c r="R29" i="2"/>
  <c r="R30" i="2"/>
  <c r="R31" i="2"/>
  <c r="R32" i="2"/>
  <c r="R33" i="2"/>
  <c r="R34" i="2"/>
  <c r="R35" i="2"/>
  <c r="R36" i="2"/>
  <c r="R37" i="2"/>
  <c r="R39" i="2"/>
  <c r="R41" i="2"/>
  <c r="R42" i="2"/>
  <c r="R27" i="2"/>
  <c r="P44" i="2"/>
  <c r="R15" i="2"/>
  <c r="R16" i="2"/>
  <c r="R17" i="2"/>
  <c r="R11" i="2"/>
  <c r="R12" i="2"/>
  <c r="R9" i="2"/>
  <c r="R10" i="2"/>
  <c r="D69" i="2"/>
  <c r="E69" i="2"/>
  <c r="F69" i="2"/>
  <c r="E44" i="2"/>
  <c r="T141" i="2" l="1"/>
  <c r="R141" i="2"/>
  <c r="D301" i="2"/>
  <c r="G296" i="2"/>
  <c r="S296" i="2" s="1"/>
  <c r="G297" i="2"/>
  <c r="S297" i="2" s="1"/>
  <c r="G298" i="2"/>
  <c r="S298" i="2" s="1"/>
  <c r="G299" i="2"/>
  <c r="S299" i="2" s="1"/>
  <c r="G300" i="2"/>
  <c r="S300" i="2" s="1"/>
  <c r="G291" i="2"/>
  <c r="S291" i="2" s="1"/>
  <c r="G292" i="2"/>
  <c r="S292" i="2" s="1"/>
  <c r="G293" i="2"/>
  <c r="S293" i="2" s="1"/>
  <c r="G294" i="2"/>
  <c r="S294" i="2" s="1"/>
  <c r="G282" i="2"/>
  <c r="S282" i="2" s="1"/>
  <c r="G283" i="2"/>
  <c r="S283" i="2" s="1"/>
  <c r="G284" i="2"/>
  <c r="S284" i="2" s="1"/>
  <c r="G285" i="2"/>
  <c r="S285" i="2" s="1"/>
  <c r="G286" i="2"/>
  <c r="S286" i="2" s="1"/>
  <c r="G287" i="2"/>
  <c r="S287" i="2" s="1"/>
  <c r="G288" i="2"/>
  <c r="S288" i="2" s="1"/>
  <c r="G289" i="2"/>
  <c r="S289" i="2" s="1"/>
  <c r="D187" i="2"/>
  <c r="G169" i="2"/>
  <c r="S169" i="2" s="1"/>
  <c r="G170" i="2"/>
  <c r="S170" i="2" s="1"/>
  <c r="G171" i="2"/>
  <c r="S171" i="2" s="1"/>
  <c r="G162" i="2"/>
  <c r="G144" i="2"/>
  <c r="S144" i="2" s="1"/>
  <c r="G145" i="2"/>
  <c r="S145" i="2" s="1"/>
  <c r="G146" i="2"/>
  <c r="S146" i="2" s="1"/>
  <c r="G148" i="2"/>
  <c r="S148" i="2" s="1"/>
  <c r="G149" i="2"/>
  <c r="S149" i="2" s="1"/>
  <c r="G153" i="2"/>
  <c r="S153" i="2" s="1"/>
  <c r="G154" i="2"/>
  <c r="S154" i="2" s="1"/>
  <c r="G155" i="2"/>
  <c r="S155" i="2" s="1"/>
  <c r="G143" i="2"/>
  <c r="S143" i="2" s="1"/>
  <c r="D141" i="2"/>
  <c r="G130" i="2"/>
  <c r="S130" i="2" s="1"/>
  <c r="G131" i="2"/>
  <c r="S131" i="2" s="1"/>
  <c r="G132" i="2"/>
  <c r="S132" i="2" s="1"/>
  <c r="G133" i="2"/>
  <c r="S133" i="2" s="1"/>
  <c r="G126" i="2"/>
  <c r="S126" i="2" s="1"/>
  <c r="G127" i="2"/>
  <c r="S127" i="2" s="1"/>
  <c r="G128" i="2"/>
  <c r="G165" i="2"/>
  <c r="S165" i="2" s="1"/>
  <c r="G166" i="2"/>
  <c r="S166" i="2" s="1"/>
  <c r="G167" i="2"/>
  <c r="S167" i="2" s="1"/>
  <c r="G129" i="2"/>
  <c r="S129" i="2" s="1"/>
  <c r="G134" i="2"/>
  <c r="S134" i="2" s="1"/>
  <c r="G135" i="2"/>
  <c r="S135" i="2" s="1"/>
  <c r="G136" i="2"/>
  <c r="S136" i="2" s="1"/>
  <c r="G137" i="2"/>
  <c r="S137" i="2" s="1"/>
  <c r="H141" i="2" l="1"/>
  <c r="H163" i="2"/>
  <c r="G163" i="2"/>
  <c r="D163" i="2"/>
  <c r="G58" i="2" l="1"/>
  <c r="S58" i="2" s="1"/>
  <c r="G59" i="2"/>
  <c r="S59" i="2" s="1"/>
  <c r="G60" i="2"/>
  <c r="S60" i="2" s="1"/>
  <c r="G54" i="2"/>
  <c r="S54" i="2" s="1"/>
  <c r="G55" i="2"/>
  <c r="S55" i="2" s="1"/>
  <c r="G56" i="2"/>
  <c r="S56" i="2" s="1"/>
  <c r="G50" i="2"/>
  <c r="S50" i="2" s="1"/>
  <c r="G51" i="2"/>
  <c r="S51" i="2" s="1"/>
  <c r="G52" i="2"/>
  <c r="S52" i="2" s="1"/>
  <c r="G46" i="2"/>
  <c r="S46" i="2" s="1"/>
  <c r="G47" i="2"/>
  <c r="S47" i="2" s="1"/>
  <c r="G48" i="2"/>
  <c r="S48" i="2" s="1"/>
  <c r="G34" i="2"/>
  <c r="S34" i="2" s="1"/>
  <c r="G35" i="2"/>
  <c r="S35" i="2" s="1"/>
  <c r="G31" i="2"/>
  <c r="S31" i="2" s="1"/>
  <c r="G32" i="2"/>
  <c r="S32" i="2" s="1"/>
  <c r="G27" i="2"/>
  <c r="S27" i="2" s="1"/>
  <c r="G28" i="2"/>
  <c r="S28" i="2" s="1"/>
  <c r="G29" i="2"/>
  <c r="S29" i="2" s="1"/>
  <c r="G13" i="2" l="1"/>
  <c r="S13" i="2" s="1"/>
  <c r="G14" i="2"/>
  <c r="S14" i="2" s="1"/>
  <c r="G15" i="2"/>
  <c r="S15" i="2" s="1"/>
  <c r="G16" i="2"/>
  <c r="G17" i="2"/>
  <c r="G12" i="2"/>
  <c r="S12" i="2" s="1"/>
  <c r="G11" i="2"/>
  <c r="S11" i="2" s="1"/>
  <c r="G18" i="2"/>
  <c r="G20" i="2"/>
  <c r="G21" i="2"/>
  <c r="G22" i="2"/>
  <c r="G23" i="2"/>
  <c r="G24" i="2"/>
  <c r="G9" i="2"/>
  <c r="S9" i="2" s="1"/>
  <c r="G10" i="2"/>
  <c r="S10" i="2" s="1"/>
  <c r="G8" i="2"/>
  <c r="F25" i="2"/>
  <c r="F44" i="2"/>
  <c r="F122" i="2"/>
  <c r="F141" i="2"/>
  <c r="F163" i="2"/>
  <c r="F187" i="2"/>
  <c r="F197" i="2"/>
  <c r="F209" i="2"/>
  <c r="F219" i="2"/>
  <c r="F229" i="2"/>
  <c r="F239" i="2"/>
  <c r="F251" i="2"/>
  <c r="F261" i="2"/>
  <c r="F271" i="2"/>
  <c r="F281" i="2"/>
  <c r="F301" i="2"/>
  <c r="F310" i="2"/>
  <c r="F317" i="2"/>
  <c r="H25" i="2" l="1"/>
  <c r="F311" i="2"/>
  <c r="F312" i="2" s="1"/>
  <c r="F313" i="2" s="1"/>
  <c r="F319" i="2" l="1"/>
  <c r="F320" i="2"/>
  <c r="F318" i="2"/>
  <c r="F321" i="2" l="1"/>
  <c r="C5" i="4" l="1"/>
  <c r="C198" i="4" s="1"/>
  <c r="H5" i="4"/>
  <c r="H198" i="4" s="1"/>
  <c r="R8" i="2" l="1"/>
  <c r="R18" i="2"/>
  <c r="S18" i="2" s="1"/>
  <c r="R20" i="2"/>
  <c r="S20" i="2" s="1"/>
  <c r="R21" i="2"/>
  <c r="S21" i="2" s="1"/>
  <c r="R22" i="2"/>
  <c r="S22" i="2" s="1"/>
  <c r="R23" i="2"/>
  <c r="S23" i="2" s="1"/>
  <c r="R24" i="2"/>
  <c r="S24" i="2" s="1"/>
  <c r="O25" i="2"/>
  <c r="O311" i="2" s="1"/>
  <c r="P25" i="2"/>
  <c r="Q25" i="2"/>
  <c r="U25" i="2"/>
  <c r="Q44" i="2"/>
  <c r="R64" i="2"/>
  <c r="R68" i="2"/>
  <c r="S68" i="2" s="1"/>
  <c r="P69" i="2"/>
  <c r="Q69" i="2"/>
  <c r="U69" i="2"/>
  <c r="R71" i="2"/>
  <c r="S72" i="2"/>
  <c r="R75" i="2"/>
  <c r="S75" i="2" s="1"/>
  <c r="R76" i="2"/>
  <c r="R78" i="2"/>
  <c r="S78" i="2" s="1"/>
  <c r="R82" i="2"/>
  <c r="S82" i="2" s="1"/>
  <c r="R121" i="2"/>
  <c r="S121" i="2" s="1"/>
  <c r="P122" i="2"/>
  <c r="Q122" i="2"/>
  <c r="U122" i="2"/>
  <c r="P141" i="2"/>
  <c r="Q141" i="2"/>
  <c r="R162" i="2"/>
  <c r="P163" i="2"/>
  <c r="Q163" i="2"/>
  <c r="R168" i="2"/>
  <c r="R172" i="2"/>
  <c r="R173" i="2"/>
  <c r="R174" i="2"/>
  <c r="R176" i="2"/>
  <c r="R178" i="2"/>
  <c r="R180" i="2"/>
  <c r="R186" i="2"/>
  <c r="P187" i="2"/>
  <c r="Q187" i="2"/>
  <c r="R189" i="2"/>
  <c r="R190" i="2"/>
  <c r="R191" i="2"/>
  <c r="R192" i="2"/>
  <c r="R193" i="2"/>
  <c r="R194" i="2"/>
  <c r="R195" i="2"/>
  <c r="R196" i="2"/>
  <c r="O197" i="2"/>
  <c r="P197" i="2"/>
  <c r="Q197" i="2"/>
  <c r="U197" i="2"/>
  <c r="R201" i="2"/>
  <c r="R202" i="2"/>
  <c r="R203" i="2"/>
  <c r="R204" i="2"/>
  <c r="R205" i="2"/>
  <c r="R206" i="2"/>
  <c r="R207" i="2"/>
  <c r="R208" i="2"/>
  <c r="O209" i="2"/>
  <c r="P209" i="2"/>
  <c r="Q209" i="2"/>
  <c r="U209" i="2"/>
  <c r="R211" i="2"/>
  <c r="R212" i="2"/>
  <c r="R213" i="2"/>
  <c r="R214" i="2"/>
  <c r="R215" i="2"/>
  <c r="R216" i="2"/>
  <c r="R217" i="2"/>
  <c r="R218" i="2"/>
  <c r="O219" i="2"/>
  <c r="P219" i="2"/>
  <c r="Q219" i="2"/>
  <c r="U219" i="2"/>
  <c r="R221" i="2"/>
  <c r="R222" i="2"/>
  <c r="R223" i="2"/>
  <c r="R224" i="2"/>
  <c r="R225" i="2"/>
  <c r="R226" i="2"/>
  <c r="R227" i="2"/>
  <c r="R228" i="2"/>
  <c r="O229" i="2"/>
  <c r="P229" i="2"/>
  <c r="Q229" i="2"/>
  <c r="U229" i="2"/>
  <c r="R231" i="2"/>
  <c r="R232" i="2"/>
  <c r="R233" i="2"/>
  <c r="R234" i="2"/>
  <c r="R235" i="2"/>
  <c r="R236" i="2"/>
  <c r="R237" i="2"/>
  <c r="R238" i="2"/>
  <c r="O239" i="2"/>
  <c r="P239" i="2"/>
  <c r="Q239" i="2"/>
  <c r="U239" i="2"/>
  <c r="R243" i="2"/>
  <c r="R244" i="2"/>
  <c r="R245" i="2"/>
  <c r="R246" i="2"/>
  <c r="R247" i="2"/>
  <c r="R248" i="2"/>
  <c r="R249" i="2"/>
  <c r="R250" i="2"/>
  <c r="O251" i="2"/>
  <c r="P251" i="2"/>
  <c r="Q251" i="2"/>
  <c r="U251" i="2"/>
  <c r="R253" i="2"/>
  <c r="R254" i="2"/>
  <c r="R255" i="2"/>
  <c r="R256" i="2"/>
  <c r="R257" i="2"/>
  <c r="R258" i="2"/>
  <c r="R259" i="2"/>
  <c r="R260" i="2"/>
  <c r="O261" i="2"/>
  <c r="P261" i="2"/>
  <c r="Q261" i="2"/>
  <c r="U261" i="2"/>
  <c r="R263" i="2"/>
  <c r="R264" i="2"/>
  <c r="R265" i="2"/>
  <c r="R266" i="2"/>
  <c r="R267" i="2"/>
  <c r="R268" i="2"/>
  <c r="R269" i="2"/>
  <c r="R270" i="2"/>
  <c r="O271" i="2"/>
  <c r="P271" i="2"/>
  <c r="Q271" i="2"/>
  <c r="U271" i="2"/>
  <c r="R273" i="2"/>
  <c r="R274" i="2"/>
  <c r="R275" i="2"/>
  <c r="R276" i="2"/>
  <c r="R277" i="2"/>
  <c r="R278" i="2"/>
  <c r="R279" i="2"/>
  <c r="R280" i="2"/>
  <c r="O281" i="2"/>
  <c r="P281" i="2"/>
  <c r="Q281" i="2"/>
  <c r="U281" i="2"/>
  <c r="R290" i="2"/>
  <c r="P301" i="2"/>
  <c r="Q301" i="2"/>
  <c r="S302" i="2"/>
  <c r="S303" i="2"/>
  <c r="S304" i="2"/>
  <c r="S305" i="2"/>
  <c r="O310" i="2"/>
  <c r="C6" i="7" s="1"/>
  <c r="P310" i="2"/>
  <c r="Q310" i="2"/>
  <c r="O317" i="2"/>
  <c r="P317" i="2"/>
  <c r="Q317" i="2"/>
  <c r="G53" i="2"/>
  <c r="S53" i="2" s="1"/>
  <c r="G57" i="2"/>
  <c r="S57" i="2" s="1"/>
  <c r="G61" i="2"/>
  <c r="S61" i="2" s="1"/>
  <c r="G49" i="2"/>
  <c r="S49" i="2" s="1"/>
  <c r="I39" i="2"/>
  <c r="I44" i="2" s="1"/>
  <c r="I163" i="2"/>
  <c r="I301" i="2"/>
  <c r="U323" i="2" l="1"/>
  <c r="U324" i="2" s="1"/>
  <c r="S64" i="2"/>
  <c r="R301" i="2"/>
  <c r="S76" i="2"/>
  <c r="R69" i="2"/>
  <c r="S162" i="2"/>
  <c r="R163" i="2"/>
  <c r="H64" i="4" s="1"/>
  <c r="R187" i="2"/>
  <c r="G69" i="2"/>
  <c r="R44" i="2"/>
  <c r="H69" i="2"/>
  <c r="C19" i="7"/>
  <c r="L19" i="7" s="1"/>
  <c r="L6" i="7"/>
  <c r="R251" i="2"/>
  <c r="P311" i="2"/>
  <c r="P312" i="2" s="1"/>
  <c r="P313" i="2" s="1"/>
  <c r="T209" i="2"/>
  <c r="T271" i="2"/>
  <c r="R271" i="2"/>
  <c r="Q311" i="2"/>
  <c r="Q312" i="2" s="1"/>
  <c r="Q313" i="2" s="1"/>
  <c r="R239" i="2"/>
  <c r="T251" i="2"/>
  <c r="R122" i="2"/>
  <c r="R197" i="2"/>
  <c r="R229" i="2"/>
  <c r="R281" i="2"/>
  <c r="T261" i="2"/>
  <c r="T281" i="2"/>
  <c r="R261" i="2"/>
  <c r="T197" i="2"/>
  <c r="S71" i="2"/>
  <c r="T229" i="2"/>
  <c r="R209" i="2"/>
  <c r="R25" i="2"/>
  <c r="T239" i="2"/>
  <c r="R219" i="2"/>
  <c r="T219" i="2"/>
  <c r="G168" i="2"/>
  <c r="S168" i="2" s="1"/>
  <c r="G172" i="2"/>
  <c r="S172" i="2" s="1"/>
  <c r="G173" i="2"/>
  <c r="S173" i="2" s="1"/>
  <c r="G174" i="2"/>
  <c r="S174" i="2" s="1"/>
  <c r="G176" i="2"/>
  <c r="S176" i="2" s="1"/>
  <c r="G178" i="2"/>
  <c r="S178" i="2" s="1"/>
  <c r="G180" i="2"/>
  <c r="S180" i="2" s="1"/>
  <c r="G186" i="2"/>
  <c r="S186" i="2" s="1"/>
  <c r="G189" i="2"/>
  <c r="S189" i="2" s="1"/>
  <c r="G190" i="2"/>
  <c r="S190" i="2" s="1"/>
  <c r="G191" i="2"/>
  <c r="S191" i="2" s="1"/>
  <c r="G192" i="2"/>
  <c r="S192" i="2" s="1"/>
  <c r="G193" i="2"/>
  <c r="S193" i="2" s="1"/>
  <c r="G194" i="2"/>
  <c r="S194" i="2" s="1"/>
  <c r="G195" i="2"/>
  <c r="S195" i="2" s="1"/>
  <c r="G196" i="2"/>
  <c r="S196" i="2" s="1"/>
  <c r="G30" i="2"/>
  <c r="S30" i="2" s="1"/>
  <c r="G33" i="2"/>
  <c r="S33" i="2" s="1"/>
  <c r="G36" i="2"/>
  <c r="S36" i="2" s="1"/>
  <c r="G37" i="2"/>
  <c r="S37" i="2" s="1"/>
  <c r="G39" i="2"/>
  <c r="S39" i="2" s="1"/>
  <c r="G41" i="2"/>
  <c r="S41" i="2" s="1"/>
  <c r="G42" i="2"/>
  <c r="S42" i="2" s="1"/>
  <c r="G43" i="2"/>
  <c r="S43" i="2" s="1"/>
  <c r="D44" i="2"/>
  <c r="X158" i="2"/>
  <c r="X8" i="2"/>
  <c r="H30" i="4" l="1"/>
  <c r="S69" i="2"/>
  <c r="H187" i="2"/>
  <c r="H44" i="2"/>
  <c r="G44" i="2"/>
  <c r="S44" i="2" s="1"/>
  <c r="G187" i="2"/>
  <c r="S187" i="2" s="1"/>
  <c r="G7" i="6"/>
  <c r="H53" i="4"/>
  <c r="G18" i="6"/>
  <c r="O312" i="2"/>
  <c r="O313" i="2" s="1"/>
  <c r="O319" i="2" s="1"/>
  <c r="L21" i="7" s="1"/>
  <c r="R311" i="2"/>
  <c r="S8" i="2"/>
  <c r="X11" i="2"/>
  <c r="X33" i="2"/>
  <c r="X36" i="2"/>
  <c r="X30" i="2"/>
  <c r="R312" i="2" l="1"/>
  <c r="R313" i="2" s="1"/>
  <c r="O324" i="2" s="1"/>
  <c r="O327" i="2" l="1"/>
  <c r="D195" i="4" l="1"/>
  <c r="C195" i="4"/>
  <c r="D72" i="4"/>
  <c r="C72" i="4"/>
  <c r="D61" i="4"/>
  <c r="C61" i="4"/>
  <c r="D49" i="4"/>
  <c r="C49" i="4"/>
  <c r="D38" i="4"/>
  <c r="C38" i="4"/>
  <c r="D27" i="4"/>
  <c r="C27" i="4"/>
  <c r="D16" i="4"/>
  <c r="H8" i="4"/>
  <c r="X188" i="2" l="1"/>
  <c r="X164" i="2"/>
  <c r="X123" i="2"/>
  <c r="X124" i="2"/>
  <c r="X125" i="2"/>
  <c r="E22" i="7" l="1"/>
  <c r="F22" i="7"/>
  <c r="E19" i="7"/>
  <c r="E13" i="7"/>
  <c r="E12" i="7"/>
  <c r="E11" i="7"/>
  <c r="E10" i="7"/>
  <c r="E9" i="7"/>
  <c r="E8" i="7"/>
  <c r="E7" i="7"/>
  <c r="N22" i="7"/>
  <c r="M22" i="7"/>
  <c r="N21" i="7"/>
  <c r="O21" i="7"/>
  <c r="N20" i="7"/>
  <c r="N19" i="7"/>
  <c r="N13" i="7"/>
  <c r="N12" i="7"/>
  <c r="N11" i="7"/>
  <c r="N10" i="7"/>
  <c r="N9" i="7"/>
  <c r="N8" i="7"/>
  <c r="N7" i="7"/>
  <c r="D205" i="4"/>
  <c r="D204" i="4"/>
  <c r="D203" i="4"/>
  <c r="D202" i="4"/>
  <c r="D201" i="4"/>
  <c r="D200" i="4"/>
  <c r="D199" i="4"/>
  <c r="E194" i="4"/>
  <c r="E193" i="4"/>
  <c r="E192" i="4"/>
  <c r="E191" i="4"/>
  <c r="E190" i="4"/>
  <c r="E189" i="4"/>
  <c r="E188" i="4"/>
  <c r="D187" i="4"/>
  <c r="D184" i="4"/>
  <c r="C184" i="4"/>
  <c r="E183" i="4"/>
  <c r="E182" i="4"/>
  <c r="E181" i="4"/>
  <c r="E180" i="4"/>
  <c r="E179" i="4"/>
  <c r="E178" i="4"/>
  <c r="E177" i="4"/>
  <c r="D176" i="4"/>
  <c r="C176" i="4"/>
  <c r="D173" i="4"/>
  <c r="C173" i="4"/>
  <c r="E172" i="4"/>
  <c r="E171" i="4"/>
  <c r="E170" i="4"/>
  <c r="E169" i="4"/>
  <c r="E168" i="4"/>
  <c r="E167" i="4"/>
  <c r="E166" i="4"/>
  <c r="D165" i="4"/>
  <c r="C165" i="4"/>
  <c r="D162" i="4"/>
  <c r="C162" i="4"/>
  <c r="E161" i="4"/>
  <c r="E160" i="4"/>
  <c r="E159" i="4"/>
  <c r="E158" i="4"/>
  <c r="E157" i="4"/>
  <c r="E156" i="4"/>
  <c r="E155" i="4"/>
  <c r="D154" i="4"/>
  <c r="C154" i="4"/>
  <c r="D151" i="4"/>
  <c r="C151" i="4"/>
  <c r="E150" i="4"/>
  <c r="E149" i="4"/>
  <c r="E148" i="4"/>
  <c r="E147" i="4"/>
  <c r="E146" i="4"/>
  <c r="E145" i="4"/>
  <c r="E144" i="4"/>
  <c r="D143" i="4"/>
  <c r="C143" i="4"/>
  <c r="D139" i="4"/>
  <c r="C139" i="4"/>
  <c r="E138" i="4"/>
  <c r="E137" i="4"/>
  <c r="E136" i="4"/>
  <c r="E135" i="4"/>
  <c r="E134" i="4"/>
  <c r="E133" i="4"/>
  <c r="E132" i="4"/>
  <c r="D131" i="4"/>
  <c r="C131" i="4"/>
  <c r="D128" i="4"/>
  <c r="C128" i="4"/>
  <c r="E127" i="4"/>
  <c r="E126" i="4"/>
  <c r="E125" i="4"/>
  <c r="E124" i="4"/>
  <c r="E123" i="4"/>
  <c r="E122" i="4"/>
  <c r="E121" i="4"/>
  <c r="D120" i="4"/>
  <c r="C120" i="4"/>
  <c r="D117" i="4"/>
  <c r="C117" i="4"/>
  <c r="E116" i="4"/>
  <c r="E115" i="4"/>
  <c r="E114" i="4"/>
  <c r="E113" i="4"/>
  <c r="E112" i="4"/>
  <c r="E111" i="4"/>
  <c r="E110" i="4"/>
  <c r="D109" i="4"/>
  <c r="C109" i="4"/>
  <c r="D106" i="4"/>
  <c r="C106" i="4"/>
  <c r="E105" i="4"/>
  <c r="E104" i="4"/>
  <c r="E103" i="4"/>
  <c r="E102" i="4"/>
  <c r="E101" i="4"/>
  <c r="E100" i="4"/>
  <c r="E99" i="4"/>
  <c r="D98" i="4"/>
  <c r="C98" i="4"/>
  <c r="D94" i="4"/>
  <c r="C94" i="4"/>
  <c r="E93" i="4"/>
  <c r="E92" i="4"/>
  <c r="E91" i="4"/>
  <c r="E90" i="4"/>
  <c r="E89" i="4"/>
  <c r="E88" i="4"/>
  <c r="E87" i="4"/>
  <c r="D86" i="4"/>
  <c r="C86" i="4"/>
  <c r="C83" i="4"/>
  <c r="E82" i="4"/>
  <c r="E81" i="4"/>
  <c r="E80" i="4"/>
  <c r="E79" i="4"/>
  <c r="E78" i="4"/>
  <c r="E77" i="4"/>
  <c r="E76" i="4"/>
  <c r="E71" i="4"/>
  <c r="E70" i="4"/>
  <c r="E69" i="4"/>
  <c r="E68" i="4"/>
  <c r="E67" i="4"/>
  <c r="E66" i="4"/>
  <c r="E65" i="4"/>
  <c r="D64" i="4"/>
  <c r="E60" i="4"/>
  <c r="E59" i="4"/>
  <c r="E58" i="4"/>
  <c r="E57" i="4"/>
  <c r="E56" i="4"/>
  <c r="E55" i="4"/>
  <c r="E54" i="4"/>
  <c r="D53" i="4"/>
  <c r="E48" i="4"/>
  <c r="E47" i="4"/>
  <c r="E46" i="4"/>
  <c r="E45" i="4"/>
  <c r="E44" i="4"/>
  <c r="E43" i="4"/>
  <c r="E42" i="4"/>
  <c r="D41" i="4"/>
  <c r="E37" i="4"/>
  <c r="E36" i="4"/>
  <c r="E35" i="4"/>
  <c r="E34" i="4"/>
  <c r="E33" i="4"/>
  <c r="E32" i="4"/>
  <c r="E31" i="4"/>
  <c r="D30" i="4"/>
  <c r="E26" i="4"/>
  <c r="E25" i="4"/>
  <c r="E24" i="4"/>
  <c r="E23" i="4"/>
  <c r="E22" i="4"/>
  <c r="E21" i="4"/>
  <c r="E20" i="4"/>
  <c r="E9" i="4"/>
  <c r="I205" i="4"/>
  <c r="H205" i="4"/>
  <c r="L13" i="7" s="1"/>
  <c r="H13" i="7" s="1"/>
  <c r="I204" i="4"/>
  <c r="H204" i="4"/>
  <c r="I203" i="4"/>
  <c r="H203" i="4"/>
  <c r="L11" i="7" s="1"/>
  <c r="H11" i="7" s="1"/>
  <c r="I202" i="4"/>
  <c r="H202" i="4"/>
  <c r="L10" i="7" s="1"/>
  <c r="I201" i="4"/>
  <c r="H201" i="4"/>
  <c r="L9" i="7" s="1"/>
  <c r="H9" i="7" s="1"/>
  <c r="I200" i="4"/>
  <c r="H200" i="4"/>
  <c r="L8" i="7" s="1"/>
  <c r="H8" i="7" s="1"/>
  <c r="I199" i="4"/>
  <c r="H199" i="4"/>
  <c r="L7" i="7" s="1"/>
  <c r="O7" i="7" s="1"/>
  <c r="I195" i="4"/>
  <c r="H195" i="4"/>
  <c r="J194" i="4"/>
  <c r="J193" i="4"/>
  <c r="J192" i="4"/>
  <c r="J191" i="4"/>
  <c r="J190" i="4"/>
  <c r="J189" i="4"/>
  <c r="J188" i="4"/>
  <c r="I187" i="4"/>
  <c r="I184" i="4"/>
  <c r="H184" i="4"/>
  <c r="J183" i="4"/>
  <c r="J182" i="4"/>
  <c r="J181" i="4"/>
  <c r="J180" i="4"/>
  <c r="J179" i="4"/>
  <c r="J178" i="4"/>
  <c r="J177" i="4"/>
  <c r="I176" i="4"/>
  <c r="H176" i="4"/>
  <c r="I173" i="4"/>
  <c r="H173" i="4"/>
  <c r="J172" i="4"/>
  <c r="J171" i="4"/>
  <c r="J170" i="4"/>
  <c r="J169" i="4"/>
  <c r="J168" i="4"/>
  <c r="J167" i="4"/>
  <c r="J166" i="4"/>
  <c r="I165" i="4"/>
  <c r="H165" i="4"/>
  <c r="I162" i="4"/>
  <c r="H162" i="4"/>
  <c r="J161" i="4"/>
  <c r="J160" i="4"/>
  <c r="J159" i="4"/>
  <c r="J158" i="4"/>
  <c r="J157" i="4"/>
  <c r="J156" i="4"/>
  <c r="J155" i="4"/>
  <c r="I154" i="4"/>
  <c r="H154" i="4"/>
  <c r="I151" i="4"/>
  <c r="H151" i="4"/>
  <c r="J150" i="4"/>
  <c r="J149" i="4"/>
  <c r="J148" i="4"/>
  <c r="J147" i="4"/>
  <c r="J146" i="4"/>
  <c r="J145" i="4"/>
  <c r="J144" i="4"/>
  <c r="I143" i="4"/>
  <c r="H143" i="4"/>
  <c r="I139" i="4"/>
  <c r="H139" i="4"/>
  <c r="J138" i="4"/>
  <c r="J137" i="4"/>
  <c r="J136" i="4"/>
  <c r="J135" i="4"/>
  <c r="J134" i="4"/>
  <c r="J133" i="4"/>
  <c r="J132" i="4"/>
  <c r="I131" i="4"/>
  <c r="H131" i="4"/>
  <c r="I128" i="4"/>
  <c r="H128" i="4"/>
  <c r="J127" i="4"/>
  <c r="J126" i="4"/>
  <c r="J125" i="4"/>
  <c r="J124" i="4"/>
  <c r="J123" i="4"/>
  <c r="J122" i="4"/>
  <c r="J121" i="4"/>
  <c r="I120" i="4"/>
  <c r="H120" i="4"/>
  <c r="I117" i="4"/>
  <c r="H117" i="4"/>
  <c r="J116" i="4"/>
  <c r="J115" i="4"/>
  <c r="J114" i="4"/>
  <c r="J113" i="4"/>
  <c r="J112" i="4"/>
  <c r="J111" i="4"/>
  <c r="J110" i="4"/>
  <c r="I109" i="4"/>
  <c r="H109" i="4"/>
  <c r="I106" i="4"/>
  <c r="H106" i="4"/>
  <c r="J105" i="4"/>
  <c r="J104" i="4"/>
  <c r="J103" i="4"/>
  <c r="J102" i="4"/>
  <c r="J101" i="4"/>
  <c r="J100" i="4"/>
  <c r="J99" i="4"/>
  <c r="I98" i="4"/>
  <c r="H98" i="4"/>
  <c r="I94" i="4"/>
  <c r="H94" i="4"/>
  <c r="J93" i="4"/>
  <c r="J92" i="4"/>
  <c r="J91" i="4"/>
  <c r="J90" i="4"/>
  <c r="J89" i="4"/>
  <c r="J88" i="4"/>
  <c r="J87" i="4"/>
  <c r="I86" i="4"/>
  <c r="H86" i="4"/>
  <c r="I83" i="4"/>
  <c r="H83" i="4"/>
  <c r="J82" i="4"/>
  <c r="J81" i="4"/>
  <c r="J80" i="4"/>
  <c r="J79" i="4"/>
  <c r="J78" i="4"/>
  <c r="J77" i="4"/>
  <c r="J76" i="4"/>
  <c r="I75" i="4"/>
  <c r="I72" i="4"/>
  <c r="H72" i="4"/>
  <c r="J71" i="4"/>
  <c r="J70" i="4"/>
  <c r="J69" i="4"/>
  <c r="J68" i="4"/>
  <c r="J67" i="4"/>
  <c r="J66" i="4"/>
  <c r="J65" i="4"/>
  <c r="I64" i="4"/>
  <c r="I61" i="4"/>
  <c r="H61" i="4"/>
  <c r="J60" i="4"/>
  <c r="J59" i="4"/>
  <c r="J58" i="4"/>
  <c r="J57" i="4"/>
  <c r="J56" i="4"/>
  <c r="J55" i="4"/>
  <c r="J54" i="4"/>
  <c r="I53" i="4"/>
  <c r="I49" i="4"/>
  <c r="H49" i="4"/>
  <c r="I38" i="4"/>
  <c r="H38" i="4"/>
  <c r="J37" i="4"/>
  <c r="J36" i="4"/>
  <c r="J35" i="4"/>
  <c r="J34" i="4"/>
  <c r="J33" i="4"/>
  <c r="J32" i="4"/>
  <c r="J31" i="4"/>
  <c r="I30" i="4"/>
  <c r="I27" i="4"/>
  <c r="H27" i="4"/>
  <c r="J26" i="4"/>
  <c r="J25" i="4"/>
  <c r="J24" i="4"/>
  <c r="J23" i="4"/>
  <c r="J22" i="4"/>
  <c r="J21" i="4"/>
  <c r="J20" i="4"/>
  <c r="I16" i="4"/>
  <c r="H16" i="4"/>
  <c r="J15" i="4"/>
  <c r="J14" i="4"/>
  <c r="J13" i="4"/>
  <c r="J12" i="4"/>
  <c r="J11" i="4"/>
  <c r="J10" i="4"/>
  <c r="J9" i="4"/>
  <c r="H7" i="7" l="1"/>
  <c r="L14" i="7"/>
  <c r="E61" i="4"/>
  <c r="E195" i="4"/>
  <c r="E72" i="4"/>
  <c r="E49" i="4"/>
  <c r="E27" i="4"/>
  <c r="E38" i="4"/>
  <c r="J151" i="4"/>
  <c r="E117" i="4"/>
  <c r="F7" i="7"/>
  <c r="Q7" i="7" s="1"/>
  <c r="E14" i="7"/>
  <c r="E15" i="7" s="1"/>
  <c r="D14" i="7"/>
  <c r="O10" i="7"/>
  <c r="O8" i="7"/>
  <c r="O12" i="7"/>
  <c r="O11" i="7"/>
  <c r="Q11" i="7" s="1"/>
  <c r="O13" i="7"/>
  <c r="Q13" i="7" s="1"/>
  <c r="O9" i="7"/>
  <c r="Q9" i="7" s="1"/>
  <c r="N14" i="7"/>
  <c r="N15" i="7" s="1"/>
  <c r="N16" i="7" s="1"/>
  <c r="M14" i="7"/>
  <c r="E109" i="4"/>
  <c r="J106" i="4"/>
  <c r="E98" i="4"/>
  <c r="E162" i="4"/>
  <c r="E86" i="4"/>
  <c r="E154" i="4"/>
  <c r="J38" i="4"/>
  <c r="J173" i="4"/>
  <c r="E41" i="4"/>
  <c r="E139" i="4"/>
  <c r="E151" i="4"/>
  <c r="E199" i="4"/>
  <c r="E30" i="4"/>
  <c r="E131" i="4"/>
  <c r="E83" i="4"/>
  <c r="E184" i="4"/>
  <c r="E94" i="4"/>
  <c r="E176" i="4"/>
  <c r="E19" i="4"/>
  <c r="E120" i="4"/>
  <c r="E143" i="4"/>
  <c r="D206" i="4"/>
  <c r="D207" i="4" s="1"/>
  <c r="D208" i="4" s="1"/>
  <c r="E173" i="4"/>
  <c r="E75" i="4"/>
  <c r="E106" i="4"/>
  <c r="E165" i="4"/>
  <c r="J199" i="4"/>
  <c r="J203" i="4"/>
  <c r="E128" i="4"/>
  <c r="J117" i="4"/>
  <c r="J49" i="4"/>
  <c r="J184" i="4"/>
  <c r="J72" i="4"/>
  <c r="J128" i="4"/>
  <c r="J139" i="4"/>
  <c r="I206" i="4"/>
  <c r="I207" i="4" s="1"/>
  <c r="I208" i="4" s="1"/>
  <c r="J16" i="4"/>
  <c r="J27" i="4"/>
  <c r="J200" i="4"/>
  <c r="J204" i="4"/>
  <c r="J162" i="4"/>
  <c r="J61" i="4"/>
  <c r="J195" i="4"/>
  <c r="J201" i="4"/>
  <c r="J205" i="4"/>
  <c r="J83" i="4"/>
  <c r="J94" i="4"/>
  <c r="J202" i="4"/>
  <c r="J187" i="4"/>
  <c r="J86" i="4"/>
  <c r="J109" i="4"/>
  <c r="J64" i="4"/>
  <c r="J154" i="4"/>
  <c r="J98" i="4"/>
  <c r="J19" i="4"/>
  <c r="J30" i="4"/>
  <c r="J143" i="4"/>
  <c r="J8" i="4"/>
  <c r="J120" i="4"/>
  <c r="J131" i="4"/>
  <c r="J53" i="4"/>
  <c r="J165" i="4"/>
  <c r="J176" i="4"/>
  <c r="J75" i="4"/>
  <c r="H206" i="4"/>
  <c r="H207" i="4" s="1"/>
  <c r="D15" i="7" l="1"/>
  <c r="M15" i="7"/>
  <c r="M16" i="7" s="1"/>
  <c r="O14" i="7"/>
  <c r="E16" i="7"/>
  <c r="L15" i="7"/>
  <c r="L16" i="7" s="1"/>
  <c r="H208" i="4"/>
  <c r="J206" i="4"/>
  <c r="D16" i="7" l="1"/>
  <c r="O15" i="7"/>
  <c r="O16" i="7" s="1"/>
  <c r="J207" i="4"/>
  <c r="J208" i="4" s="1"/>
  <c r="H321" i="2" l="1"/>
  <c r="E317" i="2"/>
  <c r="D317" i="2"/>
  <c r="E310" i="2"/>
  <c r="D310" i="2"/>
  <c r="E301" i="2"/>
  <c r="G295" i="2"/>
  <c r="S295" i="2" s="1"/>
  <c r="G290" i="2"/>
  <c r="S290" i="2" s="1"/>
  <c r="I281" i="2"/>
  <c r="E281" i="2"/>
  <c r="D281" i="2"/>
  <c r="G280" i="2"/>
  <c r="S280" i="2" s="1"/>
  <c r="G279" i="2"/>
  <c r="S279" i="2" s="1"/>
  <c r="G278" i="2"/>
  <c r="S278" i="2" s="1"/>
  <c r="G277" i="2"/>
  <c r="S277" i="2" s="1"/>
  <c r="G276" i="2"/>
  <c r="S276" i="2" s="1"/>
  <c r="G275" i="2"/>
  <c r="S275" i="2" s="1"/>
  <c r="G274" i="2"/>
  <c r="S274" i="2" s="1"/>
  <c r="G273" i="2"/>
  <c r="S273" i="2" s="1"/>
  <c r="I271" i="2"/>
  <c r="E271" i="2"/>
  <c r="D271" i="2"/>
  <c r="G270" i="2"/>
  <c r="S270" i="2" s="1"/>
  <c r="G269" i="2"/>
  <c r="S269" i="2" s="1"/>
  <c r="G268" i="2"/>
  <c r="S268" i="2" s="1"/>
  <c r="G267" i="2"/>
  <c r="S267" i="2" s="1"/>
  <c r="G266" i="2"/>
  <c r="S266" i="2" s="1"/>
  <c r="G265" i="2"/>
  <c r="S265" i="2" s="1"/>
  <c r="G264" i="2"/>
  <c r="S264" i="2" s="1"/>
  <c r="G263" i="2"/>
  <c r="S263" i="2" s="1"/>
  <c r="I261" i="2"/>
  <c r="E261" i="2"/>
  <c r="D261" i="2"/>
  <c r="G260" i="2"/>
  <c r="S260" i="2" s="1"/>
  <c r="G259" i="2"/>
  <c r="S259" i="2" s="1"/>
  <c r="G258" i="2"/>
  <c r="S258" i="2" s="1"/>
  <c r="G257" i="2"/>
  <c r="S257" i="2" s="1"/>
  <c r="G256" i="2"/>
  <c r="S256" i="2" s="1"/>
  <c r="G255" i="2"/>
  <c r="S255" i="2" s="1"/>
  <c r="G254" i="2"/>
  <c r="S254" i="2" s="1"/>
  <c r="G253" i="2"/>
  <c r="S253" i="2" s="1"/>
  <c r="I251" i="2"/>
  <c r="E251" i="2"/>
  <c r="D251" i="2"/>
  <c r="G250" i="2"/>
  <c r="S250" i="2" s="1"/>
  <c r="G249" i="2"/>
  <c r="S249" i="2" s="1"/>
  <c r="G248" i="2"/>
  <c r="S248" i="2" s="1"/>
  <c r="G247" i="2"/>
  <c r="S247" i="2" s="1"/>
  <c r="G246" i="2"/>
  <c r="S246" i="2" s="1"/>
  <c r="G245" i="2"/>
  <c r="S245" i="2" s="1"/>
  <c r="G244" i="2"/>
  <c r="S244" i="2" s="1"/>
  <c r="G243" i="2"/>
  <c r="S243" i="2" s="1"/>
  <c r="I239" i="2"/>
  <c r="E239" i="2"/>
  <c r="D239" i="2"/>
  <c r="G238" i="2"/>
  <c r="S238" i="2" s="1"/>
  <c r="G237" i="2"/>
  <c r="S237" i="2" s="1"/>
  <c r="G236" i="2"/>
  <c r="S236" i="2" s="1"/>
  <c r="G235" i="2"/>
  <c r="S235" i="2" s="1"/>
  <c r="G234" i="2"/>
  <c r="S234" i="2" s="1"/>
  <c r="G233" i="2"/>
  <c r="S233" i="2" s="1"/>
  <c r="G232" i="2"/>
  <c r="S232" i="2" s="1"/>
  <c r="G231" i="2"/>
  <c r="S231" i="2" s="1"/>
  <c r="I229" i="2"/>
  <c r="E229" i="2"/>
  <c r="D229" i="2"/>
  <c r="G228" i="2"/>
  <c r="S228" i="2" s="1"/>
  <c r="G227" i="2"/>
  <c r="S227" i="2" s="1"/>
  <c r="G226" i="2"/>
  <c r="S226" i="2" s="1"/>
  <c r="G225" i="2"/>
  <c r="S225" i="2" s="1"/>
  <c r="G224" i="2"/>
  <c r="S224" i="2" s="1"/>
  <c r="G223" i="2"/>
  <c r="S223" i="2" s="1"/>
  <c r="G222" i="2"/>
  <c r="S222" i="2" s="1"/>
  <c r="G221" i="2"/>
  <c r="S221" i="2" s="1"/>
  <c r="I219" i="2"/>
  <c r="E219" i="2"/>
  <c r="D219" i="2"/>
  <c r="G218" i="2"/>
  <c r="S218" i="2" s="1"/>
  <c r="G217" i="2"/>
  <c r="S217" i="2" s="1"/>
  <c r="G216" i="2"/>
  <c r="S216" i="2" s="1"/>
  <c r="G215" i="2"/>
  <c r="S215" i="2" s="1"/>
  <c r="G214" i="2"/>
  <c r="S214" i="2" s="1"/>
  <c r="G213" i="2"/>
  <c r="S213" i="2" s="1"/>
  <c r="G212" i="2"/>
  <c r="S212" i="2" s="1"/>
  <c r="G211" i="2"/>
  <c r="S211" i="2" s="1"/>
  <c r="I209" i="2"/>
  <c r="E209" i="2"/>
  <c r="D209" i="2"/>
  <c r="G208" i="2"/>
  <c r="S208" i="2" s="1"/>
  <c r="G207" i="2"/>
  <c r="S207" i="2" s="1"/>
  <c r="G206" i="2"/>
  <c r="S206" i="2" s="1"/>
  <c r="G205" i="2"/>
  <c r="S205" i="2" s="1"/>
  <c r="G204" i="2"/>
  <c r="S204" i="2" s="1"/>
  <c r="G203" i="2"/>
  <c r="S203" i="2" s="1"/>
  <c r="G202" i="2"/>
  <c r="S202" i="2" s="1"/>
  <c r="G201" i="2"/>
  <c r="S201" i="2" s="1"/>
  <c r="I197" i="2"/>
  <c r="E197" i="2"/>
  <c r="D197" i="2"/>
  <c r="I187" i="2"/>
  <c r="E187" i="2"/>
  <c r="E163" i="2"/>
  <c r="I141" i="2"/>
  <c r="E141" i="2"/>
  <c r="G140" i="2"/>
  <c r="S140" i="2" s="1"/>
  <c r="G139" i="2"/>
  <c r="S139" i="2" s="1"/>
  <c r="G138" i="2"/>
  <c r="S138" i="2" s="1"/>
  <c r="I122" i="2"/>
  <c r="E122" i="2"/>
  <c r="D122" i="2"/>
  <c r="I25" i="2"/>
  <c r="E25" i="2"/>
  <c r="D25" i="2"/>
  <c r="D311" i="2" l="1"/>
  <c r="D312" i="2" s="1"/>
  <c r="D313" i="2" s="1"/>
  <c r="H301" i="2"/>
  <c r="G301" i="2"/>
  <c r="S301" i="2" s="1"/>
  <c r="E311" i="2"/>
  <c r="E312" i="2" s="1"/>
  <c r="E313" i="2" s="1"/>
  <c r="G141" i="2"/>
  <c r="X173" i="2"/>
  <c r="X20" i="2"/>
  <c r="X43" i="2"/>
  <c r="X121" i="2"/>
  <c r="X162" i="2"/>
  <c r="X174" i="2"/>
  <c r="X21" i="2"/>
  <c r="H122" i="2"/>
  <c r="X71" i="2"/>
  <c r="X148" i="2"/>
  <c r="X176" i="2"/>
  <c r="H197" i="2"/>
  <c r="X189" i="2"/>
  <c r="H219" i="2"/>
  <c r="H261" i="2"/>
  <c r="H281" i="2"/>
  <c r="X18" i="2"/>
  <c r="X42" i="2"/>
  <c r="X161" i="2"/>
  <c r="X72" i="2"/>
  <c r="X178" i="2"/>
  <c r="X23" i="2"/>
  <c r="X75" i="2"/>
  <c r="X157" i="2"/>
  <c r="X180" i="2"/>
  <c r="X24" i="2"/>
  <c r="X37" i="2"/>
  <c r="X76" i="2"/>
  <c r="X186" i="2"/>
  <c r="X82" i="2"/>
  <c r="X22" i="2"/>
  <c r="X152" i="2"/>
  <c r="X39" i="2"/>
  <c r="X49" i="2"/>
  <c r="X78" i="2"/>
  <c r="X159" i="2"/>
  <c r="X168" i="2"/>
  <c r="H209" i="2"/>
  <c r="H229" i="2"/>
  <c r="H251" i="2"/>
  <c r="H271" i="2"/>
  <c r="X290" i="2"/>
  <c r="X41" i="2"/>
  <c r="X53" i="2"/>
  <c r="X160" i="2"/>
  <c r="X172" i="2"/>
  <c r="G261" i="2"/>
  <c r="S261" i="2" s="1"/>
  <c r="G122" i="2"/>
  <c r="S122" i="2" s="1"/>
  <c r="I323" i="2"/>
  <c r="G229" i="2"/>
  <c r="S229" i="2" s="1"/>
  <c r="G239" i="2"/>
  <c r="S239" i="2" s="1"/>
  <c r="G197" i="2"/>
  <c r="S197" i="2" s="1"/>
  <c r="H239" i="2"/>
  <c r="G25" i="2"/>
  <c r="G251" i="2"/>
  <c r="S251" i="2" s="1"/>
  <c r="G209" i="2"/>
  <c r="S209" i="2" s="1"/>
  <c r="G271" i="2"/>
  <c r="S271" i="2" s="1"/>
  <c r="G219" i="2"/>
  <c r="S219" i="2" s="1"/>
  <c r="G281" i="2"/>
  <c r="S281" i="2" s="1"/>
  <c r="D323" i="2" l="1"/>
  <c r="C18" i="6"/>
  <c r="S141" i="2"/>
  <c r="E8" i="4"/>
  <c r="C7" i="6"/>
  <c r="E187" i="4"/>
  <c r="E53" i="4"/>
  <c r="S163" i="2"/>
  <c r="E64" i="4"/>
  <c r="D318" i="2"/>
  <c r="Q319" i="2"/>
  <c r="S25" i="2"/>
  <c r="G311" i="2"/>
  <c r="X141" i="2"/>
  <c r="X44" i="2"/>
  <c r="X122" i="2"/>
  <c r="X163" i="2"/>
  <c r="X187" i="2"/>
  <c r="E320" i="2"/>
  <c r="D319" i="2"/>
  <c r="C21" i="7" s="1"/>
  <c r="F21" i="7" s="1"/>
  <c r="T318" i="2" l="1"/>
  <c r="Q318" i="2" s="1"/>
  <c r="C20" i="7"/>
  <c r="O318" i="2"/>
  <c r="R319" i="2"/>
  <c r="G312" i="2"/>
  <c r="S312" i="2" s="1"/>
  <c r="S311" i="2"/>
  <c r="I324" i="2"/>
  <c r="E321" i="2"/>
  <c r="G318" i="2"/>
  <c r="D321" i="2"/>
  <c r="G320" i="2"/>
  <c r="G319" i="2"/>
  <c r="L20" i="7" l="1"/>
  <c r="F20" i="7"/>
  <c r="C23" i="7"/>
  <c r="F23" i="7" s="1"/>
  <c r="R318" i="2"/>
  <c r="P321" i="2"/>
  <c r="Q321" i="2"/>
  <c r="T321" i="2"/>
  <c r="O321" i="2" s="1"/>
  <c r="G313" i="2"/>
  <c r="S313" i="2" s="1"/>
  <c r="G321" i="2"/>
  <c r="D324" i="2" s="1"/>
  <c r="O20" i="7" l="1"/>
  <c r="L22" i="7"/>
  <c r="S318" i="2"/>
  <c r="L23" i="7"/>
  <c r="O23" i="7" s="1"/>
  <c r="O22" i="7"/>
  <c r="D327" i="2"/>
  <c r="R321" i="2" l="1"/>
  <c r="E10" i="4" l="1"/>
  <c r="C200" i="4"/>
  <c r="F8" i="7" l="1"/>
  <c r="Q8" i="7" s="1"/>
  <c r="E200" i="4"/>
  <c r="E13" i="4"/>
  <c r="C203" i="4"/>
  <c r="E203" i="4" s="1"/>
  <c r="C204" i="4"/>
  <c r="E204" i="4" s="1"/>
  <c r="E14" i="4"/>
  <c r="E15" i="4" l="1"/>
  <c r="C205" i="4"/>
  <c r="E205" i="4" s="1"/>
  <c r="E11" i="4"/>
  <c r="C201" i="4"/>
  <c r="E201" i="4" s="1"/>
  <c r="F11" i="7" l="1"/>
  <c r="F12" i="7"/>
  <c r="E12" i="4"/>
  <c r="E16" i="4" s="1"/>
  <c r="C16" i="4"/>
  <c r="C202" i="4"/>
  <c r="C206" i="4" l="1"/>
  <c r="E206" i="4" s="1"/>
  <c r="C10" i="7"/>
  <c r="H10" i="7" s="1"/>
  <c r="H14" i="7" s="1"/>
  <c r="H15" i="7" s="1"/>
  <c r="H16" i="7" s="1"/>
  <c r="F9" i="7"/>
  <c r="F13" i="7"/>
  <c r="E202" i="4"/>
  <c r="C207" i="4" l="1"/>
  <c r="C208" i="4" s="1"/>
  <c r="E207" i="4"/>
  <c r="E208" i="4" s="1"/>
  <c r="F10" i="7"/>
  <c r="Q10" i="7" s="1"/>
  <c r="C14" i="7"/>
  <c r="C15" i="7" l="1"/>
  <c r="Q14" i="7"/>
  <c r="F14" i="7"/>
  <c r="Q15" i="7" l="1"/>
  <c r="C16" i="7"/>
  <c r="F15" i="7"/>
  <c r="F16" i="7" s="1"/>
  <c r="Q1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O324" authorId="0" shapeId="0" xr:uid="{95226E42-F5B7-4BBC-B1C5-663BE31ABF1C}">
      <text>
        <r>
          <rPr>
            <b/>
            <sz val="9"/>
            <color indexed="81"/>
            <rFont val="Tahoma"/>
            <charset val="1"/>
          </rPr>
          <t>HP:</t>
        </r>
        <r>
          <rPr>
            <sz val="9"/>
            <color indexed="81"/>
            <rFont val="Tahoma"/>
            <charset val="1"/>
          </rPr>
          <t xml:space="preserve">
Taux à harmoniser avec le rapport narratif</t>
        </r>
      </text>
    </comment>
  </commentList>
</comments>
</file>

<file path=xl/sharedStrings.xml><?xml version="1.0" encoding="utf-8"?>
<sst xmlns="http://schemas.openxmlformats.org/spreadsheetml/2006/main" count="1474" uniqueCount="400">
  <si>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</si>
  <si>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</si>
  <si>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Budget initial</t>
  </si>
  <si>
    <t>Nouveau budget</t>
  </si>
  <si>
    <t>Annexe D - Budget du projet PBF</t>
  </si>
  <si>
    <t>Tableau 1 - Budget du projet PBF par résultat, produit et activité</t>
  </si>
  <si>
    <t>Nombre de resultat/ produit</t>
  </si>
  <si>
    <t>Formulation du resultat/ produit/activite</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</si>
  <si>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</si>
  <si>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</si>
  <si>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</si>
  <si>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</si>
  <si>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</si>
  <si>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</si>
  <si>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rPr>
      <t xml:space="preserve"> (e.g sur types des entrants ou justification du budget)</t>
    </r>
  </si>
  <si>
    <t>Variation</t>
  </si>
  <si>
    <t>Variation en %</t>
  </si>
  <si>
    <t xml:space="preserve">RESULTAT 1: </t>
  </si>
  <si>
    <t>Produit 1.1:</t>
  </si>
  <si>
    <t>Activite 1.1.4</t>
  </si>
  <si>
    <t>Activite 1.1.5</t>
  </si>
  <si>
    <t>Activite 1.1.6</t>
  </si>
  <si>
    <t>Activite 1.1.7</t>
  </si>
  <si>
    <t>Activite 1.1.8</t>
  </si>
  <si>
    <t>Produit total</t>
  </si>
  <si>
    <t>Produit 1.2:</t>
  </si>
  <si>
    <t>Activite 1.2.5</t>
  </si>
  <si>
    <t>Activite 1.2.6</t>
  </si>
  <si>
    <t>Activite 1.2.7</t>
  </si>
  <si>
    <t>Activite 1.2.8</t>
  </si>
  <si>
    <t>Produit 1.3:</t>
  </si>
  <si>
    <t>Produit 1.4:</t>
  </si>
  <si>
    <t>Activite 1.4.1</t>
  </si>
  <si>
    <t>Activite 1.4.2</t>
  </si>
  <si>
    <t>Activite 1.4.3</t>
  </si>
  <si>
    <t>Activite 1.4.4</t>
  </si>
  <si>
    <t>Activite 1.4.5</t>
  </si>
  <si>
    <t>Activite 1.4.6</t>
  </si>
  <si>
    <t>Activite 1.4.7</t>
  </si>
  <si>
    <t>Activite 1.4.8</t>
  </si>
  <si>
    <t xml:space="preserve">RESULTAT 2: </t>
  </si>
  <si>
    <t>Produit 2.1</t>
  </si>
  <si>
    <t>Activite 2.1.3</t>
  </si>
  <si>
    <t>Activite 2.1.4</t>
  </si>
  <si>
    <t>Activite 2.1.5</t>
  </si>
  <si>
    <t>Activite 2.1.6</t>
  </si>
  <si>
    <t>Activite 2.1.7</t>
  </si>
  <si>
    <t>Activite 2.1.8</t>
  </si>
  <si>
    <t>Produit 2.2</t>
  </si>
  <si>
    <t>Activite 2.2.4</t>
  </si>
  <si>
    <t>Activite 2.2.5</t>
  </si>
  <si>
    <t>Activite 2.2.6</t>
  </si>
  <si>
    <t>Activite 2.2.7</t>
  </si>
  <si>
    <t>Activite 2.2.8</t>
  </si>
  <si>
    <t>Produit 2.3</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</si>
  <si>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</si>
  <si>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</si>
  <si>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</si>
  <si>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</si>
  <si>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</si>
  <si>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</si>
  <si>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</si>
  <si>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</si>
  <si>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</si>
  <si>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</si>
  <si>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</si>
  <si>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</si>
  <si>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</si>
  <si>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</si>
  <si>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</si>
  <si>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</si>
  <si>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</si>
  <si>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</si>
  <si>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</si>
  <si>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</si>
  <si>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</si>
  <si>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</si>
  <si>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</si>
  <si>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</si>
  <si>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</si>
  <si>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</si>
  <si>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</si>
  <si>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</si>
  <si>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</si>
  <si>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</si>
  <si>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</si>
  <si>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</si>
  <si>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</si>
  <si>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</si>
  <si>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</si>
  <si>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</si>
  <si>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</si>
  <si>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</si>
  <si>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</si>
  <si>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</si>
  <si>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</si>
  <si>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</si>
  <si>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</si>
  <si>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</si>
  <si>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</si>
  <si>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</si>
  <si>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</si>
  <si>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</si>
  <si>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</si>
  <si>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</si>
  <si>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</si>
  <si>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</si>
  <si>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</si>
  <si>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</si>
  <si>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</si>
  <si>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</si>
  <si>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</si>
  <si>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</si>
  <si>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</si>
  <si>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</si>
  <si>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</si>
  <si>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</si>
  <si>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</si>
  <si>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</si>
  <si>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</si>
  <si>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</si>
  <si>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</si>
  <si>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</si>
  <si>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</si>
  <si>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</si>
  <si>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</si>
  <si>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</si>
  <si>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</si>
  <si>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</si>
  <si>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</si>
  <si>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</si>
  <si>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</si>
  <si>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</si>
  <si>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</si>
  <si>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</si>
  <si>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</si>
  <si>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</si>
  <si>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</si>
  <si>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</si>
  <si>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</si>
  <si>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</si>
  <si>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</si>
  <si>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</si>
  <si>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</si>
  <si>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</si>
  <si>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</si>
  <si>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</si>
  <si>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</si>
  <si>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</si>
  <si>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</si>
  <si>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</si>
  <si>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</si>
  <si>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</si>
  <si>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</si>
  <si>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</si>
  <si>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rPr>
      <t>(inclut coûts indirects)</t>
    </r>
  </si>
  <si>
    <t>Total des dépenses</t>
  </si>
  <si>
    <t>% alloué à GEWE</t>
  </si>
  <si>
    <t>Taux d'exécution</t>
  </si>
  <si>
    <r>
      <t xml:space="preserve">$ alloué à S&amp;E </t>
    </r>
    <r>
      <rPr>
        <sz val="11"/>
        <color theme="1"/>
        <rFont val="Calibri"/>
        <family val="2"/>
      </rPr>
      <t>(inclut coûts indirects)</t>
    </r>
  </si>
  <si>
    <t>% alloué à S&amp;E</t>
  </si>
  <si>
    <r>
      <t xml:space="preserve">Note: Le PBF n'accepte pas les projets avec moins de 5% pour le S&amp;E et moins 15% pour le GEWE. Ces chiffres apparaîtront </t>
    </r>
    <r>
      <rPr>
        <sz val="11"/>
        <color rgb="FFFF0000"/>
        <rFont val="Calibri"/>
        <family val="2"/>
      </rPr>
      <t>en</t>
    </r>
    <r>
      <rPr>
        <sz val="11"/>
        <color theme="1"/>
        <rFont val="Calibri"/>
        <family val="2"/>
      </rPr>
      <t xml:space="preserve"> </t>
    </r>
    <r>
      <rPr>
        <sz val="11"/>
        <color rgb="FFFF0000"/>
        <rFont val="Calibri"/>
        <family val="2"/>
      </rPr>
      <t>rouge</t>
    </r>
    <r>
      <rPr>
        <sz val="11"/>
        <color theme="1"/>
        <rFont val="Calibri"/>
        <family val="2"/>
      </rPr>
      <t xml:space="preserve"> si ce seuil minimum n'est pas atteint.</t>
    </r>
  </si>
  <si>
    <t>-</t>
  </si>
  <si>
    <t>Nouveau Buget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</si>
  <si>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</si>
  <si>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</si>
  <si>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</si>
  <si>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</si>
  <si>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</si>
  <si>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</si>
  <si>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</si>
  <si>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</si>
  <si>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</si>
  <si>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</si>
  <si>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</si>
  <si>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</si>
  <si>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</si>
  <si>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</si>
  <si>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</si>
  <si>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</si>
  <si>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</si>
  <si>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</si>
  <si>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</si>
  <si>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</si>
  <si>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</si>
  <si>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</si>
  <si>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</si>
  <si>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</si>
  <si>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</si>
  <si>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</si>
  <si>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</si>
  <si>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</si>
  <si>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</si>
  <si>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</si>
  <si>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</si>
  <si>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</si>
  <si>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</si>
  <si>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</si>
  <si>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</si>
  <si>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</si>
  <si>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</si>
  <si>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</si>
  <si>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</si>
  <si>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</si>
  <si>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</si>
  <si>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</si>
  <si>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</si>
  <si>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</si>
  <si>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</si>
  <si>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Initial Budget</t>
  </si>
  <si>
    <t>New budget</t>
  </si>
  <si>
    <t>For PBSO Use</t>
  </si>
  <si>
    <t>Outcome 1</t>
  </si>
  <si>
    <t>Outcome Budget</t>
  </si>
  <si>
    <t>Total Outcome Budget Towards SDGs</t>
  </si>
  <si>
    <t>SDG</t>
  </si>
  <si>
    <t>SDG %</t>
  </si>
  <si>
    <t>Total Towards SDG</t>
  </si>
  <si>
    <t>Outcome 2</t>
  </si>
  <si>
    <t>Outcome 3</t>
  </si>
  <si>
    <t>Outcome 4</t>
  </si>
  <si>
    <t>Ancien</t>
  </si>
  <si>
    <t>Nouveau</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</si>
  <si>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</si>
  <si>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</si>
  <si>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</si>
  <si>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</si>
  <si>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</si>
  <si>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</si>
  <si>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</si>
  <si>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</si>
  <si>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</si>
  <si>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</si>
  <si>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</si>
  <si>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</si>
  <si>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</si>
  <si>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</si>
  <si>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</si>
  <si>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LE BURKINA FASO DISPOSE DES INSTRUMENTS STRATEGIQUES QUI RENFORCENT LA RÉCONCILIATION NATIONALE ET LE VIVRE-ENSEMBLE</t>
  </si>
  <si>
    <t>Une stratégie de réconciliation nationale assortie d’un plan d’actions est élaborée</t>
  </si>
  <si>
    <t>Activite 1.1.1: Mettre à la disposition du Ministère de la réconciliation nationale et  de la cohésion sociale (MRNCS) et des parties prenantes, l'expertise pour appuyer un processus inclusif et participatif d'élaboration de la stratégie de réconciliation nationale</t>
  </si>
  <si>
    <t>Frais d'experts  - HCDH</t>
  </si>
  <si>
    <t xml:space="preserve">Missions d'appui technique HCDH </t>
  </si>
  <si>
    <t xml:space="preserve">Expertise Cabinet Expertise pour Etudes/Collecte de donnees reguliers </t>
  </si>
  <si>
    <t>HCDH (budget en USD)</t>
  </si>
  <si>
    <t xml:space="preserve">Frais d'experts  - HCDH
 </t>
  </si>
  <si>
    <t>Activite 1.1.2:Organiser un atelier de revue technique de la stratégie de réconciliation nationale</t>
  </si>
  <si>
    <t>Tenue de l'atelier</t>
  </si>
  <si>
    <t xml:space="preserve"> DSA staff</t>
  </si>
  <si>
    <t>Activite 1.1.3:Organiser des ateliers de restitution de la stratégie de réconciliation nationale au niveau régional et prendre en compte les observations de tous les acteurs pour enrichir le document en vue de sa finalisation</t>
  </si>
  <si>
    <t>13 Ateliers de restitutions</t>
  </si>
  <si>
    <t>Ateliers d'intégration des observations</t>
  </si>
  <si>
    <t>DSA staff</t>
  </si>
  <si>
    <t>Le staff sur le poste est une femme</t>
  </si>
  <si>
    <t>l'echantillon de l'étude était constitué de 50% de femmes et 50% d'hommes</t>
  </si>
  <si>
    <t>les  ateliers de restitutions étaient constitués d'au moins 50% de participant femmes</t>
  </si>
  <si>
    <t>Un pacte du Vivre ensemble est élaboré avec l’implication de l’ensemble des acteurs.</t>
  </si>
  <si>
    <t>Activite 1.2.1: Mettre à la disposition du MRNCS et des parties prenantes, l'expertise pour appuyer un processus inclusif et participatif d'élaboration du Pacte de Vivre Ensemble</t>
  </si>
  <si>
    <t>Activite 1.2.2: Organiser un atelier de revue technique du Pacte de Vivre Ensemble</t>
  </si>
  <si>
    <t>Atelier de revue</t>
  </si>
  <si>
    <t>Activite 1.2.3: Organiser des ateliers de restitution du Pacte de Vivre Ensemble et prendre en compte les observations de tous les acteurs pour enrichir le document en vue de sa finalisation</t>
  </si>
  <si>
    <t>Atelier d'intégration des observations</t>
  </si>
  <si>
    <t>Activite 1.3.1: Assurer la participation de personnes ressources et partages d'expériences de processus de réconciliation dans la préparation/tenue du Forum national</t>
  </si>
  <si>
    <t>Rencontre de partages d'expériences</t>
  </si>
  <si>
    <t>DSA des participants de pays amis</t>
  </si>
  <si>
    <t>Prestation consultant</t>
  </si>
  <si>
    <t>Activite 1.3.2:Organiser les réunions/ateliers des instances chargées de la coordination et du pilotage du processus d'élaboration des documents (stratégies, pacte de vivre ensemble, etc.) et de préparation du Forum national</t>
  </si>
  <si>
    <t>Prises en charge des comités de coordination et d'élaboration</t>
  </si>
  <si>
    <t>Tenues des rencontres des comités</t>
  </si>
  <si>
    <t>Activite 1.3.3: Organiser un forum national regroupant les représentants de toutes les parties prenantes dans le cadre de la validation de la stratégie de réconciliation nationale et du Pacte de vivre ensemble</t>
  </si>
  <si>
    <t>Ateliers de préparation</t>
  </si>
  <si>
    <t>Forum</t>
  </si>
  <si>
    <t>Activite 1.3.4: Editer les stratégies de réconciliation nationale, de cohésion sociale et le pacte de vivre ensemble</t>
  </si>
  <si>
    <t>Prestataire</t>
  </si>
  <si>
    <t>Reproduction des documents</t>
  </si>
  <si>
    <t>UNE MOBILISATION SOCIALE INCLUSIVE CONTRIBUE AU RENFORCEMENT DE L’ENGAGEMENT DES POPULATIONS BURKINABE DANS LE PROCESSUS DE RECONCILIATION NATIONALE ET  DE RENFORCEMENT DE LA COHESION SOCIALE</t>
  </si>
  <si>
    <t>Prestation du consultant/Cabinet</t>
  </si>
  <si>
    <t>Rencontres de cadrage</t>
  </si>
  <si>
    <t>Prises en charge des comités de pilotage</t>
  </si>
  <si>
    <t>Activite 2.1.2: Organiser les ateliers de validation de la stratégie de communication intégrée assortie d'un plan de communication</t>
  </si>
  <si>
    <t xml:space="preserve">Reproduire la stratégie </t>
  </si>
  <si>
    <t>DSA Staff</t>
  </si>
  <si>
    <t>Activite 2.1.1: Activite 2.1.1: Recruter un consultant pour appuyer le MRNCS à l'élaboration de la stratégie et du plan de communication des stratégies de réconciliation nationale et de cohésion sociale</t>
  </si>
  <si>
    <t>Appui à la mise en œuvre du plan de communication des stratégies de réconciliation nationale de cohésion sociale</t>
  </si>
  <si>
    <t>Activite 2.2.1: Devélopper des outils de communication (Spots, émissions télé et radios, affichages, brochures,etc.)</t>
  </si>
  <si>
    <t>Spots radios et télévisuels</t>
  </si>
  <si>
    <t>Emissions radios et télé</t>
  </si>
  <si>
    <t>Confection d'affiches;  de brochures etc.</t>
  </si>
  <si>
    <t>Diffusion des spots et emissions</t>
  </si>
  <si>
    <t>Activite 2.2.2: Engager des personnalités pour la communication sur la cause de la réconciliation et de la cohésion sociale à travers des messages vidéos et radios</t>
  </si>
  <si>
    <t>Prise en charge du prestataire</t>
  </si>
  <si>
    <t>Diffusion des messages</t>
  </si>
  <si>
    <t>Activite 2.2.3: Organiser des actions de communication et de plaidoyers de haut niveau pour la cause de la réconciliation et de la cohésion sociale</t>
  </si>
  <si>
    <t>Actions de plaidoyers</t>
  </si>
  <si>
    <t>Activités en faveur de la prise en compte des droits humains</t>
  </si>
  <si>
    <t>Activités en faveur de la prise en compte  des femmes et des jeunes</t>
  </si>
  <si>
    <t>Activite 2.3.1:Organiser des sessions d'appropriation du processus de réconciliation nationale et de cohésion sociale au profit des membres des OSCs notamment les femmes et jeunes ainsi que les PDIs et représentants des victimes dans les 13 régions</t>
  </si>
  <si>
    <t>Organisation de 13 sessions d'appropriation au profit des OSCs</t>
  </si>
  <si>
    <t>Activite 2.3.2: Apporter un appui technique et financier aux OSCs pour la mobilisation des populations dans la réconciliation et la cohésion sociale</t>
  </si>
  <si>
    <t>Campagnes de sensibilisations</t>
  </si>
  <si>
    <t>Conseiller Technique Principal P5 -COSED 5%</t>
  </si>
  <si>
    <t>Spécialiste cohésion sociale P3 (20%)</t>
  </si>
  <si>
    <t>Project officer SB4 50%</t>
  </si>
  <si>
    <t>Communication officer SB4 - 100%</t>
  </si>
  <si>
    <t>Assistant (e ) administratif et financier (SB3) 50%</t>
  </si>
  <si>
    <t>Chauffeur 100%</t>
  </si>
  <si>
    <t xml:space="preserve">DPC chargé de programme, Team Leader </t>
  </si>
  <si>
    <t>Achat d'un véhicule anti mine (blindé)</t>
  </si>
  <si>
    <t>Mobiliers et matériels ( ordinateurs, imprimantes, radio VHF, téléphone etc.)</t>
  </si>
  <si>
    <t>Charges opérationnelles</t>
  </si>
  <si>
    <t>Expert suivi évaluation SB3 100%</t>
  </si>
  <si>
    <t>DSA missions de suivi</t>
  </si>
  <si>
    <t>la stratégie de réconciliation nationale et le Pacte du Vivre ensemble sont validés au cours d’un forum national réunissant toutes les sensibilités socio-politiques</t>
  </si>
  <si>
    <t>Une stratégie de communication est élaborée pour diffuser et motiver la participation et l’engagement des populations à la mise en œuvre de la stratégie de réconciliation nationale et du pacte du Vivre ensemble</t>
  </si>
  <si>
    <t>Activite 1.1.1:Mettre à la disposition du Ministère de la réconciliation nationale et  de la cohésion sociale (MRNCS) et des parties prenantes, l'expertise pour appuyer un processus inclusif et participatif d'élaboration de la stratégie de réconciliation nationale</t>
  </si>
  <si>
    <t>PNUD(budget en USD)</t>
  </si>
  <si>
    <t xml:space="preserve"> les OSCs notamment de femmes et jeunes ainsi que les PDIs et représentants des victimes sont engagés dans le processus réconciliation nationale et de cohésion sociale</t>
  </si>
  <si>
    <t>Activite 1.1.4: Actualiser le plan d’action intégré des stratégies nationales, le plan intégré de communication et le projet de feuille de route du processus de réconciliation nationale</t>
  </si>
  <si>
    <t>Activite 1.1.5 :  Organiser un Séminaire scientifique sur le thème : Processus de réconciliation nationale au Burkina Faso : quel schéma adapté pour renforcer la cohésion sociale et le vivre ensemble pour une paix durable.</t>
  </si>
  <si>
    <t>Organiser un atelier de revue des documents</t>
  </si>
  <si>
    <t>Tenir un atelier de validation des documents</t>
  </si>
  <si>
    <t>Tenir le séminaire</t>
  </si>
  <si>
    <t xml:space="preserve">Activite 1.2.4 :  Elaborer les outils de vulgarisation des valeurs endogènes et traditionnelles consacrées dans le Pacte du Vivre-ensemble
</t>
  </si>
  <si>
    <t>Sessions de dissémination</t>
  </si>
  <si>
    <t xml:space="preserve">Activité 1.2.5. : Vulgariser les valeurs endogènes et traditionnelles consacrées dans le Pacte du Vivre-ensemble auprès de toutes les couches sociales
</t>
  </si>
  <si>
    <t>Contractualisation avec prestataires</t>
  </si>
  <si>
    <t>Sessions de revue</t>
  </si>
  <si>
    <t>Activité.1.4.1 : Partager des expériences sur la conduite du processus de réparation des préjudices subis par les victimes avec le Rwanda et l'Afrique du Sud à travers l'organisation de 2 séances en ligne</t>
  </si>
  <si>
    <t xml:space="preserve">Activité.1.4.3 : Former 100 leaders PDI et des Communautés hôtes dont 30% de femmes à travers l'organisation de 2 séances des 06 régions prioritaires du PUS sur la technique de prévention et de médiation des conflits communautaires </t>
  </si>
  <si>
    <t>Activité.1.4.4 : Sensibiliser tous les 71 parlementaires sur le rôle du parlement dans la mise en œuvre des stratégie de réconciliation, de cohésion sociale et du pacte du vivre ensemble, à travers un séminaire.</t>
  </si>
  <si>
    <t>Activité.1.4.5 : Sensibiliser 1 000 membres dont 30% des OSCs spécialisées et associations de victimes dont 50% de femmes  sur les types de justice (classique, transitionnelle, traditionnelle)</t>
  </si>
  <si>
    <t>Activité.1.4.6 : Informer 30 000 victimes sur les types de justice à travers l'organisation de 13 séances de restitution de la sensibilisation sur les types de justice (classique, transitionnelle, traditionnelle)</t>
  </si>
  <si>
    <t>Activité.1.4.7 :  Former 50 professionnels dont 30% de femmes des médias et des radios communautaires sur la compréhension des 3 types de justice.</t>
  </si>
  <si>
    <t>Activité.1.4.9 : Faire fonctionner le numéro vert de l'ONAFAR</t>
  </si>
  <si>
    <t>Activité.1.4.10 : Produire un bulletin semestriel sur la tendance du discours religieux dans les lieux de cultes</t>
  </si>
  <si>
    <t xml:space="preserve">Activité.1.4.11 : Concevoir un spot de sensibilisation sur la tolérance religieuse et la coexistence pacifique </t>
  </si>
  <si>
    <t xml:space="preserve">Activité.1.4.12 : Traduire le spot de sensibilisation sur la tolérance religieuse et la coexistence pacifique </t>
  </si>
  <si>
    <t xml:space="preserve">Activité.1.4.13 : Sensibiliser 7 000 000 de personnes dont 30% de femmes via un spot radio en français et dans les 02 langues locales dominantes dans chaque région sur la tolérance religieuse et la coexistence pacifique </t>
  </si>
  <si>
    <t>Activité.1.4.14 : Former les animateurs/animatrices des médias confessionnelles sur le guide de gestion des contenus médiatiques à caractère confessionnel dans les médias non confessionnels et sur la Charte de bonne conduite des médias confessionnels</t>
  </si>
  <si>
    <t>Activité.1.4.15 : Editer la Charte de bonne conduite des médias confessionnels dans un contexte de crise sécuritaire, de tensions sociales et de transition politique</t>
  </si>
  <si>
    <t>Activité.1.4.16 : Effectuer 300 sorties de suivi du discours religieux dans des lieux de cultes</t>
  </si>
  <si>
    <t>Activité.1.4.17 : Restituer le rapport consolidé sur le discours religieux et la paix à 100 leaders confessionnels et traditionnels à travers l'organisions d'une conférence de presse</t>
  </si>
  <si>
    <t>Activité.1.4.18 : Installer et former 2010 membres de 134 démembrements des Observatoires sur la prévention et la gestion des conflits communautaires.</t>
  </si>
  <si>
    <t>Activité.1.4.20 :  Produire un support numérique de sensibilisation sur les conflits communautaires et la cohésion sociale</t>
  </si>
  <si>
    <t>Activité.1.4.21 : Sensibiliser 20% de la populations par la diffusion des supports sur les conflits communautaires</t>
  </si>
  <si>
    <t>Activité.1.4.22 : Former 50 responsables de radios sur le genre, la cohésion sociale et la prise en compte de ces thématiques dans la réalisation des émissions radiophoniques</t>
  </si>
  <si>
    <t>Activité.1.4.23 : Réaliser une capsule audio sur l’importance du genre pour la cohésion sociale</t>
  </si>
  <si>
    <t>Activité.1.4.24 : Sensibiliser 5 000 000 (25% population) sur l’importance du genre, la cohésion sociales à travers 250 diffusions de la capsule audio dans les médias (radio)</t>
  </si>
  <si>
    <t>Activité.1.4.25 : Identifier et documenter 10 bonnes pratiques en matière de genre et de cohésion sociale dans un contexte sécuritaire délétère à travers la collecte d'information auprès des Directeurs de radios au niveau national.</t>
  </si>
  <si>
    <t>Activité.1.4.27 : Sensibiliser 5 000 000 de jeunes sur la Prévention de la radicalisation et de l'extrémisme violent</t>
  </si>
  <si>
    <t xml:space="preserve">Activité.1.4.28 : Organiser des sessions de sensibilisation dans les régions pour l’implication des leaders communautaires dans la prévention et la gestion des conflits locaux </t>
  </si>
  <si>
    <t xml:space="preserve">Activité.1.4.29 : Commémorer la journée internationale du Vivre Ensemble en paix au Burkina Faso </t>
  </si>
  <si>
    <t xml:space="preserve">Activité.1.4.30 : Former des spécialistes en charge de la déradicalisation (gardes de sécurité pénitentiaire, psychologues, juristes, travailleurs sociaux, etc.) </t>
  </si>
  <si>
    <t>Activité.1.4.31 : Réintégrer des ex combattants des groupes armés terroristes et alliés dans leur communauté grâce à la mise en œuvre du Programme DDRR</t>
  </si>
  <si>
    <t>Activité.1.4.3.2 : Renforcer les capacités opérationnelles de ST/REVIE</t>
  </si>
  <si>
    <t>Formateur</t>
  </si>
  <si>
    <t>Prestataire restauration</t>
  </si>
  <si>
    <t>DSA</t>
  </si>
  <si>
    <t>Formateur/animateur</t>
  </si>
  <si>
    <t>Prestation radio</t>
  </si>
  <si>
    <t>Personnes ressources</t>
  </si>
  <si>
    <t>Prestation opérateur de téléphonie,redevances</t>
  </si>
  <si>
    <t>Frais d'impression</t>
  </si>
  <si>
    <t>Prestataire, frais de conception</t>
  </si>
  <si>
    <t>Prestataire, frais de traduction</t>
  </si>
  <si>
    <t>Frais de diffusion</t>
  </si>
  <si>
    <t>Personnes ressources, animateurs</t>
  </si>
  <si>
    <t>Frais de diffusion radio</t>
  </si>
  <si>
    <t>Prestataire, frais d'impression</t>
  </si>
  <si>
    <t>DSA, carburant</t>
  </si>
  <si>
    <t>Raffraichissement, frais de transport</t>
  </si>
  <si>
    <t>Formateurs</t>
  </si>
  <si>
    <t>Frais d'expertise</t>
  </si>
  <si>
    <t>Frais de transport</t>
  </si>
  <si>
    <t>Restauration</t>
  </si>
  <si>
    <t>Contractualisation, Frais de diffusion</t>
  </si>
  <si>
    <t>Personnes ressources, Communicateurs</t>
  </si>
  <si>
    <t>Couverture médiatique</t>
  </si>
  <si>
    <t>Raffraichissements</t>
  </si>
  <si>
    <t>Kits d'accompagnement/réinstallation</t>
  </si>
  <si>
    <t>Produit 1.4: Le plan d'action intégré des stratégies de réconciliation, de Cohésion sociale, de prévention de la radicalisation et de lutte contre l'extrémisme violent est mis en œuvre</t>
  </si>
  <si>
    <t>Activité.1.4.2 : Apporter un appui financier aux travaux de recherches scientifiques</t>
  </si>
  <si>
    <t>Prestations consultants</t>
  </si>
  <si>
    <t>Activité 2.3.3 : Former des leaders PDI et des communautés hôtes des régions à fort défis sécuritaire sur la technique de prévention et de médiation des conflits communautaires</t>
  </si>
  <si>
    <t>Activité 2.3.4 : Former des amazones de la cohésion sociale sur la cohésion sociale et les violences basées sur le genre (VBG)</t>
  </si>
  <si>
    <t xml:space="preserve">Activité 2.3.5 : Sensibiliser des acteurs de prévention et de gestion des conflits </t>
  </si>
  <si>
    <t xml:space="preserve">Activité 2.3.6 : Former des acteurs de prévention et de gestion des conflits </t>
  </si>
  <si>
    <t>Activité 2.3.7 : Réaliser des conférences régionales sur la responsabilisation des jeunes et des femmes dans la construction de la paix</t>
  </si>
  <si>
    <t>Prestation</t>
  </si>
  <si>
    <t>Conférenciers</t>
  </si>
  <si>
    <t xml:space="preserve">Activité.1.4.19 : Recruter un consultant pour concevoir une base de suivi du discours religieux et étendre la base de données existante sur les conflits communautaires dans 5 nouvelles régions </t>
  </si>
  <si>
    <t>Prestations du prestataires</t>
  </si>
  <si>
    <t>°</t>
  </si>
  <si>
    <t>AJUSTEMENTS</t>
  </si>
  <si>
    <t>PNUD</t>
  </si>
  <si>
    <t>HDCDH</t>
  </si>
  <si>
    <t>Prestataires</t>
  </si>
  <si>
    <t>Mobilier,matériel bureau, informatique</t>
  </si>
  <si>
    <t xml:space="preserve">Activité.1.4.26 : Etablir la situation de référence des indicateurs pour le suivi des stratégies de cohésion sociale, de réconciliation nationale et de Prévention de la radicalisation et de la lutte contre l'extrémisme violent/ Réaliser une étude de perceptions des populations sur le DRR.  </t>
  </si>
  <si>
    <t>Justification du montant à GEWE (par exemple, la formation comprend une session sur l'égalité des sexes, des efforts spécifiques déployés pour assurer une représentation égale des femmes et des hommes,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</si>
</sst>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 &quot;CFA&quot;_-;\-* #,##0.00\ &quot;CFA&quot;_-;_-* &quot;-&quot;??\ &quot;CFA&quot;_-;_-@_-"/>
    <numFmt numFmtId="165" formatCode="_(&quot;$&quot;* #,##0.00_);_(&quot;$&quot;* \(#,##0.00\);_(&quot;$&quot;* &quot;-&quot;??_);_(@_)"/>
    <numFmt numFmtId="166" formatCode="[$$-409]#,##0"/>
    <numFmt numFmtId="167" formatCode="_-[$$-409]* #,##0.00_ ;_-[$$-409]* \-#,##0.00\ ;_-[$$-409]* &quot;-&quot;??_ ;_-@_ "/>
    <numFmt numFmtId="168" formatCode="_-[$$-409]* #,##0_ ;_-[$$-409]* \-#,##0\ ;_-[$$-409]* &quot;-&quot;_ ;_-@_ "/>
    <numFmt numFmtId="169" formatCode="_(&quot;$&quot;* #,##0_);_(&quot;$&quot;* \(#,##0\);_(&quot;$&quot;* &quot;-&quot;??_);_(@_)"/>
    <numFmt numFmtId="170" formatCode="[$$-409]#,##0.00"/>
    <numFmt numFmtId="171" formatCode="_-* #,##0.00\ _C_F_A_-;\-* #,##0.00\ _C_F_A_-;_-* &quot;-&quot;??\ _C_F_A_-;_-@_-"/>
    <numFmt numFmtId="172" formatCode="_-* #,##0.00\ _€_-;\-* #,##0.00\ _€_-;_-* &quot;-&quot;??\ _€_-;_-@_-"/>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24"/>
      <color rgb="FF00B0F0"/>
      <name val="Calibri"/>
      <family val="2"/>
      <scheme val="minor"/>
    </font>
    <font>
      <b/>
      <sz val="28"/>
      <color theme="1"/>
      <name val="Calibri"/>
      <family val="2"/>
      <scheme val="minor"/>
    </font>
    <font>
      <b/>
      <u/>
      <sz val="18"/>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sz val="12"/>
      <color rgb="FFFF0000"/>
      <name val="Calibri"/>
      <family val="2"/>
      <scheme val="minor"/>
    </font>
    <font>
      <sz val="11"/>
      <color theme="1"/>
      <name val="Arial"/>
      <family val="2"/>
    </font>
    <font>
      <b/>
      <sz val="24"/>
      <color rgb="FF00B0F0"/>
      <name val="Arial"/>
      <family val="2"/>
    </font>
    <font>
      <b/>
      <sz val="36"/>
      <color theme="1"/>
      <name val="Arial"/>
      <family val="2"/>
    </font>
    <font>
      <sz val="36"/>
      <color theme="1"/>
      <name val="Arial"/>
      <family val="2"/>
    </font>
    <font>
      <b/>
      <u/>
      <sz val="14"/>
      <color theme="1"/>
      <name val="Arial"/>
      <family val="2"/>
    </font>
    <font>
      <b/>
      <sz val="20"/>
      <color theme="1"/>
      <name val="Arial"/>
      <family val="2"/>
    </font>
    <font>
      <b/>
      <sz val="12"/>
      <color theme="1"/>
      <name val="Arial"/>
      <family val="2"/>
    </font>
    <font>
      <sz val="12"/>
      <color theme="1"/>
      <name val="Calibri"/>
      <family val="2"/>
    </font>
    <font>
      <b/>
      <sz val="36"/>
      <color theme="1"/>
      <name val="Calibri"/>
      <family val="2"/>
      <scheme val="minor"/>
    </font>
    <font>
      <b/>
      <sz val="12"/>
      <color theme="1"/>
      <name val="Calibri"/>
      <family val="2"/>
    </font>
    <font>
      <sz val="12"/>
      <name val="Calibri"/>
      <family val="2"/>
      <scheme val="minor"/>
    </font>
    <font>
      <sz val="12"/>
      <color rgb="FFFF0000"/>
      <name val="Calibri"/>
      <family val="2"/>
      <scheme val="minor"/>
    </font>
    <font>
      <sz val="8"/>
      <name val="Calibri"/>
      <family val="2"/>
      <scheme val="minor"/>
    </font>
    <font>
      <sz val="11"/>
      <color theme="1"/>
      <name val="Calibri"/>
      <family val="2"/>
    </font>
    <font>
      <b/>
      <sz val="12"/>
      <color rgb="FFFF0000"/>
      <name val="Calibri"/>
      <family val="2"/>
    </font>
    <font>
      <sz val="12"/>
      <color rgb="FFFF0000"/>
      <name val="Calibri"/>
      <family val="2"/>
    </font>
    <font>
      <sz val="12"/>
      <name val="Calibri"/>
      <family val="2"/>
    </font>
    <font>
      <b/>
      <sz val="11"/>
      <color theme="1"/>
      <name val="Calibri"/>
      <family val="2"/>
    </font>
    <font>
      <sz val="11"/>
      <color rgb="FFFF0000"/>
      <name val="Calibri"/>
      <family val="2"/>
    </font>
    <font>
      <b/>
      <sz val="12"/>
      <name val="Calibri"/>
      <family val="2"/>
    </font>
    <font>
      <b/>
      <sz val="11"/>
      <color rgb="FFFF0000"/>
      <name val="Calibri"/>
      <family val="2"/>
      <scheme val="minor"/>
    </font>
    <font>
      <sz val="11"/>
      <color rgb="FFFF0000"/>
      <name val="Calibri"/>
      <family val="2"/>
      <scheme val="minor"/>
    </font>
    <font>
      <b/>
      <sz val="16"/>
      <color theme="1"/>
      <name val="Arial Black"/>
      <family val="2"/>
    </font>
    <font>
      <sz val="11"/>
      <name val="Arial"/>
      <family val="2"/>
    </font>
    <font>
      <sz val="11"/>
      <name val="Calibri"/>
      <family val="2"/>
    </font>
    <font>
      <sz val="11"/>
      <color rgb="FFFF0000"/>
      <name val="Arial"/>
      <family val="2"/>
    </font>
    <font>
      <b/>
      <sz val="11"/>
      <color rgb="FFFF0000"/>
      <name val="Calibri"/>
      <family val="2"/>
    </font>
    <font>
      <b/>
      <sz val="12"/>
      <color theme="1"/>
      <name val="Arial Black"/>
      <family val="2"/>
    </font>
    <font>
      <sz val="9"/>
      <color indexed="81"/>
      <name val="Tahoma"/>
      <charset val="1"/>
    </font>
    <font>
      <b/>
      <sz val="9"/>
      <color indexed="81"/>
      <name val="Tahoma"/>
      <charset val="1"/>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
      <patternFill patternType="solid">
        <fgColor theme="4" tint="0.79998168889431442"/>
        <bgColor indexed="64"/>
      </patternFill>
    </fill>
    <fill>
      <patternFill patternType="solid">
        <fgColor theme="9" tint="0.79998168889431442"/>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694">
    <xf numFmtId="0" fontId="0" fillId="0" borderId="0" xfId="0"/>
    <xf numFmtId="0" fontId="4" fillId="2" borderId="1" xfId="0" applyFont="1" applyFill="1" applyBorder="1" applyAlignment="1">
      <alignment vertical="top" wrapText="1"/>
    </xf>
    <xf numFmtId="0" fontId="12" fillId="0" borderId="0" xfId="0" applyFont="1" applyAlignment="1">
      <alignment wrapText="1"/>
    </xf>
    <xf numFmtId="0" fontId="15" fillId="0" borderId="0" xfId="0" applyFont="1" applyAlignment="1">
      <alignment wrapText="1"/>
    </xf>
    <xf numFmtId="164" fontId="15" fillId="0" borderId="0" xfId="1" applyFont="1" applyFill="1" applyBorder="1" applyAlignment="1">
      <alignment wrapText="1"/>
    </xf>
    <xf numFmtId="164" fontId="17" fillId="0" borderId="0" xfId="1" applyFont="1" applyFill="1" applyBorder="1" applyAlignment="1">
      <alignment horizontal="left" wrapText="1"/>
    </xf>
    <xf numFmtId="164" fontId="12" fillId="0" borderId="0" xfId="1" applyFont="1" applyFill="1" applyBorder="1" applyAlignment="1">
      <alignment wrapText="1"/>
    </xf>
    <xf numFmtId="0" fontId="12" fillId="3" borderId="0" xfId="0" applyFont="1" applyFill="1" applyAlignment="1">
      <alignment wrapText="1"/>
    </xf>
    <xf numFmtId="0" fontId="12" fillId="10" borderId="0" xfId="0" applyFont="1" applyFill="1" applyAlignment="1">
      <alignment wrapText="1"/>
    </xf>
    <xf numFmtId="166" fontId="14" fillId="0" borderId="0" xfId="0" applyNumberFormat="1" applyFont="1" applyAlignment="1">
      <alignment wrapText="1"/>
    </xf>
    <xf numFmtId="166" fontId="12" fillId="0" borderId="0" xfId="0" applyNumberFormat="1" applyFont="1" applyAlignment="1">
      <alignment horizontal="center" wrapText="1"/>
    </xf>
    <xf numFmtId="166" fontId="12" fillId="0" borderId="0" xfId="0" applyNumberFormat="1" applyFont="1" applyAlignment="1">
      <alignment wrapText="1"/>
    </xf>
    <xf numFmtId="166" fontId="15" fillId="0" borderId="0" xfId="1" applyNumberFormat="1" applyFont="1" applyBorder="1" applyAlignment="1">
      <alignment wrapText="1"/>
    </xf>
    <xf numFmtId="166" fontId="17" fillId="3" borderId="0" xfId="1" applyNumberFormat="1" applyFont="1" applyFill="1" applyBorder="1" applyAlignment="1">
      <alignment horizontal="left" wrapText="1"/>
    </xf>
    <xf numFmtId="166" fontId="12" fillId="0" borderId="0" xfId="1" applyNumberFormat="1" applyFont="1" applyFill="1" applyBorder="1" applyAlignment="1">
      <alignment wrapText="1"/>
    </xf>
    <xf numFmtId="166" fontId="12" fillId="0" borderId="0" xfId="1" applyNumberFormat="1" applyFont="1" applyBorder="1" applyAlignment="1">
      <alignment wrapText="1"/>
    </xf>
    <xf numFmtId="0" fontId="7" fillId="0" borderId="0" xfId="0" applyFont="1" applyAlignment="1">
      <alignment wrapText="1"/>
    </xf>
    <xf numFmtId="0" fontId="6" fillId="3" borderId="0" xfId="0" applyFont="1" applyFill="1" applyAlignment="1">
      <alignment horizontal="left" wrapText="1"/>
    </xf>
    <xf numFmtId="164" fontId="6" fillId="4" borderId="2" xfId="1" applyFont="1" applyFill="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6" fillId="4" borderId="15" xfId="0" applyFont="1" applyFill="1" applyBorder="1" applyAlignment="1">
      <alignment horizontal="left" wrapText="1"/>
    </xf>
    <xf numFmtId="165" fontId="6" fillId="4" borderId="15" xfId="0" applyNumberFormat="1" applyFont="1" applyFill="1" applyBorder="1" applyAlignment="1">
      <alignment horizontal="center" wrapText="1"/>
    </xf>
    <xf numFmtId="165" fontId="6" fillId="4" borderId="15" xfId="0" applyNumberFormat="1" applyFont="1" applyFill="1" applyBorder="1" applyAlignment="1">
      <alignment wrapText="1"/>
    </xf>
    <xf numFmtId="0" fontId="19" fillId="4" borderId="6" xfId="0" applyFont="1" applyFill="1" applyBorder="1" applyAlignment="1">
      <alignment vertical="center" wrapText="1"/>
    </xf>
    <xf numFmtId="164" fontId="7" fillId="3" borderId="6" xfId="1" applyFont="1" applyFill="1" applyBorder="1" applyAlignment="1" applyProtection="1">
      <alignment horizontal="center" vertical="center" wrapText="1"/>
      <protection locked="0"/>
    </xf>
    <xf numFmtId="165" fontId="6" fillId="4" borderId="6" xfId="0" applyNumberFormat="1" applyFont="1" applyFill="1" applyBorder="1" applyAlignment="1">
      <alignment wrapText="1"/>
    </xf>
    <xf numFmtId="0" fontId="19" fillId="4" borderId="2" xfId="0" applyFont="1" applyFill="1" applyBorder="1" applyAlignment="1">
      <alignment vertical="center" wrapText="1"/>
    </xf>
    <xf numFmtId="165" fontId="7" fillId="0" borderId="2" xfId="0" applyNumberFormat="1" applyFont="1" applyBorder="1" applyAlignment="1" applyProtection="1">
      <alignment wrapText="1"/>
      <protection locked="0"/>
    </xf>
    <xf numFmtId="164" fontId="7" fillId="3" borderId="2" xfId="1" applyFont="1" applyFill="1" applyBorder="1" applyAlignment="1" applyProtection="1">
      <alignment horizontal="center" vertical="center" wrapText="1"/>
      <protection locked="0"/>
    </xf>
    <xf numFmtId="165" fontId="6" fillId="4" borderId="2" xfId="0" applyNumberFormat="1" applyFont="1" applyFill="1" applyBorder="1" applyAlignment="1">
      <alignment wrapText="1"/>
    </xf>
    <xf numFmtId="0" fontId="19" fillId="4" borderId="2" xfId="0" applyFont="1" applyFill="1" applyBorder="1" applyAlignment="1" applyProtection="1">
      <alignment vertical="center" wrapText="1"/>
      <protection locked="0"/>
    </xf>
    <xf numFmtId="164" fontId="6" fillId="8" borderId="2" xfId="1" applyFont="1" applyFill="1" applyBorder="1" applyAlignment="1" applyProtection="1">
      <alignment wrapText="1"/>
    </xf>
    <xf numFmtId="0" fontId="20" fillId="0" borderId="0" xfId="0" applyFont="1" applyAlignment="1">
      <alignment wrapText="1"/>
    </xf>
    <xf numFmtId="0" fontId="19" fillId="0" borderId="0" xfId="0" applyFont="1" applyAlignment="1">
      <alignment vertical="center" wrapText="1"/>
    </xf>
    <xf numFmtId="0" fontId="7" fillId="3" borderId="0" xfId="0" applyFont="1" applyFill="1" applyAlignment="1">
      <alignment wrapText="1"/>
    </xf>
    <xf numFmtId="164" fontId="6" fillId="3" borderId="21" xfId="1" applyFont="1" applyFill="1" applyBorder="1" applyAlignment="1" applyProtection="1">
      <alignment wrapText="1"/>
    </xf>
    <xf numFmtId="164" fontId="6" fillId="3" borderId="4" xfId="1" applyFont="1" applyFill="1" applyBorder="1" applyAlignment="1">
      <alignment wrapText="1"/>
    </xf>
    <xf numFmtId="165" fontId="6" fillId="3" borderId="4" xfId="0" applyNumberFormat="1" applyFont="1" applyFill="1" applyBorder="1" applyAlignment="1">
      <alignment wrapText="1"/>
    </xf>
    <xf numFmtId="165" fontId="6" fillId="3" borderId="5" xfId="0" applyNumberFormat="1" applyFont="1" applyFill="1" applyBorder="1" applyAlignment="1">
      <alignment wrapText="1"/>
    </xf>
    <xf numFmtId="164" fontId="6" fillId="8" borderId="3" xfId="1" applyFont="1" applyFill="1" applyBorder="1" applyAlignment="1" applyProtection="1">
      <alignment wrapText="1"/>
    </xf>
    <xf numFmtId="0" fontId="7" fillId="0" borderId="21" xfId="0" applyFont="1" applyBorder="1" applyAlignment="1">
      <alignment wrapText="1"/>
    </xf>
    <xf numFmtId="0" fontId="7" fillId="3" borderId="4" xfId="0" applyFont="1" applyFill="1" applyBorder="1" applyAlignment="1">
      <alignment wrapText="1"/>
    </xf>
    <xf numFmtId="0" fontId="7" fillId="0" borderId="5" xfId="0" applyFont="1" applyBorder="1" applyAlignment="1">
      <alignment wrapText="1"/>
    </xf>
    <xf numFmtId="164" fontId="6" fillId="3" borderId="4" xfId="1" applyFont="1" applyFill="1" applyBorder="1" applyAlignment="1" applyProtection="1">
      <alignment wrapText="1"/>
    </xf>
    <xf numFmtId="0" fontId="6" fillId="4" borderId="31" xfId="0" applyFont="1" applyFill="1" applyBorder="1" applyAlignment="1">
      <alignment horizontal="center" wrapText="1"/>
    </xf>
    <xf numFmtId="0" fontId="6" fillId="4" borderId="32" xfId="0" applyFont="1" applyFill="1" applyBorder="1" applyAlignment="1">
      <alignment horizontal="center" vertical="center" wrapText="1"/>
    </xf>
    <xf numFmtId="0" fontId="21" fillId="4" borderId="33" xfId="0" applyFont="1" applyFill="1" applyBorder="1" applyAlignment="1">
      <alignment vertical="center" wrapText="1"/>
    </xf>
    <xf numFmtId="165" fontId="7" fillId="4" borderId="2" xfId="0" applyNumberFormat="1" applyFont="1" applyFill="1" applyBorder="1" applyAlignment="1">
      <alignment wrapText="1"/>
    </xf>
    <xf numFmtId="165" fontId="6" fillId="4" borderId="34" xfId="0" applyNumberFormat="1" applyFont="1" applyFill="1" applyBorder="1" applyAlignment="1">
      <alignment wrapText="1"/>
    </xf>
    <xf numFmtId="0" fontId="21" fillId="4" borderId="35" xfId="0" applyFont="1" applyFill="1" applyBorder="1" applyAlignment="1">
      <alignment vertical="center" wrapText="1"/>
    </xf>
    <xf numFmtId="165" fontId="7" fillId="4" borderId="6" xfId="0" applyNumberFormat="1" applyFont="1" applyFill="1" applyBorder="1" applyAlignment="1">
      <alignment wrapText="1"/>
    </xf>
    <xf numFmtId="165" fontId="6" fillId="4" borderId="13" xfId="0" applyNumberFormat="1" applyFont="1" applyFill="1" applyBorder="1" applyAlignment="1">
      <alignment wrapText="1"/>
    </xf>
    <xf numFmtId="0" fontId="21" fillId="4" borderId="35" xfId="0" applyFont="1" applyFill="1" applyBorder="1" applyAlignment="1" applyProtection="1">
      <alignment vertical="center" wrapText="1"/>
      <protection locked="0"/>
    </xf>
    <xf numFmtId="0" fontId="7" fillId="4" borderId="12" xfId="0" applyFont="1" applyFill="1" applyBorder="1" applyAlignment="1">
      <alignment vertical="center" wrapText="1"/>
    </xf>
    <xf numFmtId="165" fontId="7" fillId="4" borderId="13" xfId="0" applyNumberFormat="1" applyFont="1" applyFill="1" applyBorder="1" applyAlignment="1">
      <alignment wrapText="1"/>
    </xf>
    <xf numFmtId="165" fontId="7" fillId="4" borderId="15" xfId="0" applyNumberFormat="1" applyFont="1" applyFill="1" applyBorder="1" applyAlignment="1">
      <alignment wrapText="1"/>
    </xf>
    <xf numFmtId="165" fontId="7" fillId="4" borderId="16" xfId="0" applyNumberFormat="1" applyFont="1" applyFill="1" applyBorder="1" applyAlignment="1">
      <alignment wrapText="1"/>
    </xf>
    <xf numFmtId="0" fontId="6" fillId="4" borderId="36" xfId="0" applyFont="1" applyFill="1" applyBorder="1" applyAlignment="1">
      <alignment wrapText="1"/>
    </xf>
    <xf numFmtId="165" fontId="6" fillId="4" borderId="37" xfId="0" applyNumberFormat="1" applyFont="1" applyFill="1" applyBorder="1" applyAlignment="1">
      <alignment wrapText="1"/>
    </xf>
    <xf numFmtId="165" fontId="6" fillId="4" borderId="38" xfId="0" applyNumberFormat="1" applyFont="1" applyFill="1" applyBorder="1" applyAlignment="1">
      <alignment wrapText="1"/>
    </xf>
    <xf numFmtId="0" fontId="7" fillId="10" borderId="0" xfId="0" applyFont="1" applyFill="1" applyAlignment="1">
      <alignment wrapText="1"/>
    </xf>
    <xf numFmtId="167" fontId="7" fillId="4" borderId="2" xfId="1" applyNumberFormat="1" applyFont="1" applyFill="1" applyBorder="1" applyAlignment="1">
      <alignment wrapText="1"/>
    </xf>
    <xf numFmtId="0" fontId="2" fillId="4" borderId="39" xfId="0" applyFont="1" applyFill="1" applyBorder="1" applyAlignment="1">
      <alignment vertical="center" wrapText="1"/>
    </xf>
    <xf numFmtId="0" fontId="0" fillId="4" borderId="39" xfId="0" applyFill="1" applyBorder="1" applyAlignment="1">
      <alignment wrapText="1"/>
    </xf>
    <xf numFmtId="0" fontId="2" fillId="4" borderId="39" xfId="0" applyFont="1" applyFill="1" applyBorder="1" applyAlignment="1">
      <alignment wrapText="1"/>
    </xf>
    <xf numFmtId="0" fontId="2" fillId="4" borderId="40" xfId="0" applyFont="1" applyFill="1" applyBorder="1" applyAlignment="1">
      <alignment wrapText="1"/>
    </xf>
    <xf numFmtId="0" fontId="2" fillId="4" borderId="1" xfId="0" applyFont="1" applyFill="1" applyBorder="1" applyAlignment="1">
      <alignment horizontal="center" vertical="center" wrapText="1"/>
    </xf>
    <xf numFmtId="0" fontId="6" fillId="4" borderId="14" xfId="0" applyFont="1" applyFill="1" applyBorder="1" applyAlignment="1">
      <alignment vertical="center" wrapText="1"/>
    </xf>
    <xf numFmtId="0" fontId="21" fillId="4" borderId="12" xfId="0" applyFont="1" applyFill="1" applyBorder="1" applyAlignment="1">
      <alignment vertical="center" wrapText="1"/>
    </xf>
    <xf numFmtId="165" fontId="6" fillId="4" borderId="2" xfId="3" applyFont="1" applyFill="1" applyBorder="1" applyAlignment="1">
      <alignment vertical="center" wrapText="1"/>
    </xf>
    <xf numFmtId="0" fontId="6" fillId="4" borderId="2" xfId="0" applyFont="1" applyFill="1" applyBorder="1" applyAlignment="1">
      <alignment horizontal="center" vertical="center" wrapText="1"/>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1" fillId="4" borderId="12" xfId="0" applyFont="1" applyFill="1" applyBorder="1" applyAlignment="1" applyProtection="1">
      <alignment vertical="center" wrapText="1"/>
      <protection locked="0"/>
    </xf>
    <xf numFmtId="0" fontId="6" fillId="4" borderId="6" xfId="0" applyFont="1" applyFill="1" applyBorder="1" applyAlignment="1">
      <alignment horizontal="center" wrapText="1"/>
    </xf>
    <xf numFmtId="0" fontId="7" fillId="0" borderId="0" xfId="0" applyFont="1"/>
    <xf numFmtId="0" fontId="2" fillId="4" borderId="44" xfId="0" applyFont="1" applyFill="1" applyBorder="1"/>
    <xf numFmtId="0" fontId="2" fillId="4" borderId="12" xfId="0" applyFont="1" applyFill="1" applyBorder="1"/>
    <xf numFmtId="0" fontId="2" fillId="4" borderId="2" xfId="0" applyFont="1" applyFill="1" applyBorder="1"/>
    <xf numFmtId="0" fontId="2" fillId="4" borderId="13" xfId="0" applyFont="1" applyFill="1" applyBorder="1"/>
    <xf numFmtId="0" fontId="0" fillId="4" borderId="12" xfId="0" applyFill="1" applyBorder="1" applyAlignment="1">
      <alignment vertical="center" wrapText="1"/>
    </xf>
    <xf numFmtId="9" fontId="0" fillId="4" borderId="2" xfId="2" applyFont="1" applyFill="1" applyBorder="1" applyAlignment="1">
      <alignment vertical="center"/>
    </xf>
    <xf numFmtId="165" fontId="0" fillId="4" borderId="13" xfId="0" applyNumberFormat="1" applyFill="1" applyBorder="1" applyAlignment="1">
      <alignment vertical="center"/>
    </xf>
    <xf numFmtId="0" fontId="0" fillId="4" borderId="12" xfId="0" applyFill="1" applyBorder="1" applyAlignment="1">
      <alignment wrapText="1"/>
    </xf>
    <xf numFmtId="0" fontId="0" fillId="4" borderId="12" xfId="0" applyFill="1" applyBorder="1"/>
    <xf numFmtId="0" fontId="0" fillId="4" borderId="14" xfId="0" applyFill="1" applyBorder="1"/>
    <xf numFmtId="165" fontId="0" fillId="4" borderId="16" xfId="0" applyNumberFormat="1" applyFill="1" applyBorder="1" applyAlignment="1">
      <alignment vertical="center"/>
    </xf>
    <xf numFmtId="0" fontId="0" fillId="4" borderId="12" xfId="0" applyFill="1" applyBorder="1" applyAlignment="1">
      <alignment vertical="top" wrapText="1"/>
    </xf>
    <xf numFmtId="0" fontId="0" fillId="4" borderId="12" xfId="0" applyFill="1" applyBorder="1" applyAlignment="1">
      <alignment vertical="top"/>
    </xf>
    <xf numFmtId="0" fontId="0" fillId="4" borderId="14" xfId="0" applyFill="1" applyBorder="1" applyAlignment="1">
      <alignment vertical="top"/>
    </xf>
    <xf numFmtId="165" fontId="7" fillId="4" borderId="12" xfId="3" applyFont="1" applyFill="1" applyBorder="1" applyAlignment="1" applyProtection="1">
      <alignment wrapText="1"/>
    </xf>
    <xf numFmtId="165" fontId="6" fillId="4" borderId="14" xfId="3" applyFont="1" applyFill="1" applyBorder="1" applyAlignment="1" applyProtection="1">
      <alignment wrapText="1"/>
    </xf>
    <xf numFmtId="0" fontId="21" fillId="4" borderId="10" xfId="0" applyFont="1" applyFill="1" applyBorder="1" applyAlignment="1">
      <alignment vertical="center" wrapText="1"/>
    </xf>
    <xf numFmtId="165" fontId="7" fillId="4" borderId="3" xfId="0" applyNumberFormat="1" applyFont="1" applyFill="1" applyBorder="1" applyAlignment="1">
      <alignment wrapText="1"/>
    </xf>
    <xf numFmtId="165" fontId="7" fillId="4" borderId="17" xfId="3" applyFont="1" applyFill="1" applyBorder="1" applyAlignment="1" applyProtection="1">
      <alignment wrapText="1"/>
    </xf>
    <xf numFmtId="0" fontId="6" fillId="4" borderId="24" xfId="0" applyFont="1" applyFill="1" applyBorder="1" applyAlignment="1">
      <alignment horizontal="center" vertical="center" wrapText="1"/>
    </xf>
    <xf numFmtId="0" fontId="0" fillId="10" borderId="0" xfId="0" applyFill="1"/>
    <xf numFmtId="0" fontId="0" fillId="3" borderId="0" xfId="0" applyFill="1"/>
    <xf numFmtId="169" fontId="7" fillId="0" borderId="6" xfId="0" applyNumberFormat="1" applyFont="1" applyBorder="1" applyAlignment="1" applyProtection="1">
      <alignment wrapText="1"/>
      <protection locked="0"/>
    </xf>
    <xf numFmtId="169" fontId="7" fillId="0" borderId="2" xfId="0" applyNumberFormat="1" applyFont="1" applyBorder="1" applyAlignment="1" applyProtection="1">
      <alignment wrapText="1"/>
      <protection locked="0"/>
    </xf>
    <xf numFmtId="169" fontId="6" fillId="4" borderId="6" xfId="0" applyNumberFormat="1" applyFont="1" applyFill="1" applyBorder="1" applyAlignment="1">
      <alignment wrapText="1"/>
    </xf>
    <xf numFmtId="169" fontId="6" fillId="4" borderId="2" xfId="0" applyNumberFormat="1" applyFont="1" applyFill="1" applyBorder="1" applyAlignment="1">
      <alignment wrapText="1"/>
    </xf>
    <xf numFmtId="169" fontId="6" fillId="4" borderId="15" xfId="0" applyNumberFormat="1" applyFont="1" applyFill="1" applyBorder="1" applyAlignment="1">
      <alignment wrapText="1"/>
    </xf>
    <xf numFmtId="0" fontId="22" fillId="0" borderId="2" xfId="0" applyFont="1" applyBorder="1" applyAlignment="1" applyProtection="1">
      <alignment horizontal="left" vertical="top" wrapText="1"/>
      <protection locked="0"/>
    </xf>
    <xf numFmtId="9" fontId="7" fillId="0" borderId="2" xfId="2" applyFont="1" applyBorder="1" applyAlignment="1" applyProtection="1">
      <alignment horizontal="center" vertical="center" wrapText="1"/>
      <protection locked="0"/>
    </xf>
    <xf numFmtId="49" fontId="7" fillId="0" borderId="2" xfId="1" applyNumberFormat="1" applyFont="1" applyBorder="1" applyAlignment="1" applyProtection="1">
      <alignment horizontal="left" wrapText="1"/>
      <protection locked="0"/>
    </xf>
    <xf numFmtId="0" fontId="7" fillId="0" borderId="2" xfId="0" applyFont="1" applyBorder="1" applyAlignment="1" applyProtection="1">
      <alignment horizontal="left" vertical="top" wrapText="1"/>
      <protection locked="0"/>
    </xf>
    <xf numFmtId="0" fontId="23" fillId="0" borderId="2" xfId="0" applyFont="1" applyBorder="1" applyAlignment="1" applyProtection="1">
      <alignment horizontal="left" vertical="top" wrapText="1"/>
      <protection locked="0"/>
    </xf>
    <xf numFmtId="0" fontId="25" fillId="0" borderId="0" xfId="0" applyFont="1" applyAlignment="1">
      <alignment wrapText="1"/>
    </xf>
    <xf numFmtId="0" fontId="21" fillId="4" borderId="2" xfId="0" applyFont="1" applyFill="1" applyBorder="1" applyAlignment="1">
      <alignment horizontal="center" vertical="center" wrapText="1"/>
    </xf>
    <xf numFmtId="166" fontId="21" fillId="0" borderId="2" xfId="0" applyNumberFormat="1" applyFont="1" applyBorder="1" applyAlignment="1" applyProtection="1">
      <alignment horizontal="center" vertical="center" wrapText="1"/>
      <protection locked="0"/>
    </xf>
    <xf numFmtId="166" fontId="21" fillId="4" borderId="2" xfId="0"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0" fontId="26" fillId="10" borderId="0" xfId="0" applyFont="1" applyFill="1" applyAlignment="1">
      <alignment horizontal="center" vertical="center" wrapText="1"/>
    </xf>
    <xf numFmtId="0" fontId="21" fillId="0" borderId="2" xfId="0" applyFont="1" applyBorder="1" applyAlignment="1" applyProtection="1">
      <alignment horizontal="center" vertical="center" wrapText="1"/>
      <protection locked="0"/>
    </xf>
    <xf numFmtId="0" fontId="21" fillId="6" borderId="2" xfId="0" applyFont="1" applyFill="1" applyBorder="1" applyAlignment="1">
      <alignment vertical="center" wrapText="1"/>
    </xf>
    <xf numFmtId="164" fontId="27" fillId="10" borderId="0" xfId="1" applyFont="1" applyFill="1" applyBorder="1" applyAlignment="1" applyProtection="1">
      <alignment vertical="center" wrapText="1"/>
    </xf>
    <xf numFmtId="0" fontId="25" fillId="0" borderId="2" xfId="0" applyFont="1" applyBorder="1" applyAlignment="1">
      <alignment wrapText="1"/>
    </xf>
    <xf numFmtId="164" fontId="21" fillId="10" borderId="0" xfId="1" applyFont="1" applyFill="1" applyBorder="1" applyAlignment="1" applyProtection="1">
      <alignment vertical="center" wrapText="1"/>
    </xf>
    <xf numFmtId="0" fontId="19" fillId="6" borderId="2" xfId="0" applyFont="1" applyFill="1" applyBorder="1" applyAlignment="1">
      <alignment vertical="center" wrapText="1"/>
    </xf>
    <xf numFmtId="0" fontId="28" fillId="0" borderId="2" xfId="0" applyFont="1" applyBorder="1" applyAlignment="1" applyProtection="1">
      <alignment horizontal="left" vertical="top" wrapText="1"/>
      <protection locked="0"/>
    </xf>
    <xf numFmtId="165" fontId="19" fillId="0" borderId="2" xfId="1" applyNumberFormat="1" applyFont="1" applyBorder="1" applyAlignment="1" applyProtection="1">
      <alignment horizontal="center" vertical="center" wrapText="1"/>
      <protection locked="0"/>
    </xf>
    <xf numFmtId="9" fontId="19" fillId="0" borderId="2" xfId="2" applyFont="1" applyBorder="1" applyAlignment="1" applyProtection="1">
      <alignment horizontal="center" vertical="center" wrapText="1"/>
      <protection locked="0"/>
    </xf>
    <xf numFmtId="164" fontId="19" fillId="0" borderId="2" xfId="1" applyFont="1" applyFill="1" applyBorder="1" applyAlignment="1" applyProtection="1">
      <alignment horizontal="center" vertical="center" wrapText="1"/>
      <protection locked="0"/>
    </xf>
    <xf numFmtId="49" fontId="19" fillId="0" borderId="2" xfId="1" applyNumberFormat="1" applyFont="1" applyBorder="1" applyAlignment="1" applyProtection="1">
      <alignment horizontal="left" wrapText="1"/>
      <protection locked="0"/>
    </xf>
    <xf numFmtId="164" fontId="19" fillId="10" borderId="0" xfId="1" applyFont="1" applyFill="1" applyBorder="1" applyAlignment="1" applyProtection="1">
      <alignment horizontal="center" vertical="center" wrapText="1"/>
    </xf>
    <xf numFmtId="0" fontId="19" fillId="0" borderId="2" xfId="0" applyFont="1" applyBorder="1" applyAlignment="1" applyProtection="1">
      <alignment horizontal="left" vertical="top" wrapText="1"/>
      <protection locked="0"/>
    </xf>
    <xf numFmtId="164" fontId="19" fillId="0" borderId="2" xfId="1" applyFont="1" applyBorder="1" applyAlignment="1" applyProtection="1">
      <alignment horizontal="center" vertical="center" wrapText="1"/>
      <protection locked="0"/>
    </xf>
    <xf numFmtId="166" fontId="19" fillId="4" borderId="2" xfId="1" applyNumberFormat="1" applyFont="1" applyFill="1" applyBorder="1" applyAlignment="1" applyProtection="1">
      <alignment horizontal="center" vertical="center" wrapText="1"/>
    </xf>
    <xf numFmtId="9" fontId="25" fillId="0" borderId="2" xfId="0" applyNumberFormat="1" applyFont="1" applyBorder="1" applyAlignment="1">
      <alignment wrapText="1"/>
    </xf>
    <xf numFmtId="166" fontId="19" fillId="0" borderId="2" xfId="1" applyNumberFormat="1" applyFont="1" applyBorder="1" applyAlignment="1" applyProtection="1">
      <alignment horizontal="center" vertical="center" wrapText="1"/>
      <protection locked="0"/>
    </xf>
    <xf numFmtId="0" fontId="19" fillId="3" borderId="2" xfId="0" applyFont="1" applyFill="1" applyBorder="1" applyAlignment="1" applyProtection="1">
      <alignment horizontal="left" vertical="top" wrapText="1"/>
      <protection locked="0"/>
    </xf>
    <xf numFmtId="166" fontId="19" fillId="3" borderId="2" xfId="1" applyNumberFormat="1" applyFont="1" applyFill="1" applyBorder="1" applyAlignment="1" applyProtection="1">
      <alignment horizontal="center" vertical="center" wrapText="1"/>
      <protection locked="0"/>
    </xf>
    <xf numFmtId="9" fontId="19" fillId="3" borderId="2" xfId="2" applyFont="1" applyFill="1" applyBorder="1" applyAlignment="1" applyProtection="1">
      <alignment horizontal="center" vertical="center" wrapText="1"/>
      <protection locked="0"/>
    </xf>
    <xf numFmtId="49" fontId="19" fillId="3" borderId="2" xfId="1" applyNumberFormat="1" applyFont="1" applyFill="1" applyBorder="1" applyAlignment="1" applyProtection="1">
      <alignment horizontal="left" wrapText="1"/>
      <protection locked="0"/>
    </xf>
    <xf numFmtId="164" fontId="19" fillId="3" borderId="2" xfId="1" applyFont="1" applyFill="1" applyBorder="1" applyAlignment="1" applyProtection="1">
      <alignment horizontal="center" vertical="center" wrapText="1"/>
      <protection locked="0"/>
    </xf>
    <xf numFmtId="0" fontId="25" fillId="3" borderId="0" xfId="0" applyFont="1" applyFill="1" applyAlignment="1">
      <alignment wrapText="1"/>
    </xf>
    <xf numFmtId="0" fontId="25" fillId="10" borderId="0" xfId="0" applyFont="1" applyFill="1" applyAlignment="1">
      <alignment wrapText="1"/>
    </xf>
    <xf numFmtId="0" fontId="21" fillId="4" borderId="2" xfId="0" applyFont="1" applyFill="1" applyBorder="1" applyAlignment="1">
      <alignment vertical="center" wrapText="1"/>
    </xf>
    <xf numFmtId="166" fontId="21" fillId="4" borderId="2" xfId="1" applyNumberFormat="1" applyFont="1" applyFill="1" applyBorder="1" applyAlignment="1" applyProtection="1">
      <alignment horizontal="center" vertical="center" wrapText="1"/>
    </xf>
    <xf numFmtId="164" fontId="21" fillId="0" borderId="2" xfId="1" applyFont="1" applyFill="1" applyBorder="1" applyAlignment="1" applyProtection="1">
      <alignment horizontal="center" vertical="center" wrapText="1"/>
    </xf>
    <xf numFmtId="164" fontId="21" fillId="10" borderId="0" xfId="1" applyFont="1" applyFill="1" applyBorder="1" applyAlignment="1" applyProtection="1">
      <alignment horizontal="center" vertical="center" wrapText="1"/>
    </xf>
    <xf numFmtId="166" fontId="26" fillId="4" borderId="2" xfId="1" applyNumberFormat="1" applyFont="1" applyFill="1" applyBorder="1" applyAlignment="1" applyProtection="1">
      <alignment horizontal="center" vertical="center" wrapText="1"/>
    </xf>
    <xf numFmtId="165" fontId="27" fillId="0" borderId="2" xfId="1" applyNumberFormat="1" applyFont="1" applyBorder="1" applyAlignment="1" applyProtection="1">
      <alignment horizontal="center" vertical="center" wrapText="1"/>
      <protection locked="0"/>
    </xf>
    <xf numFmtId="166" fontId="21" fillId="4" borderId="3" xfId="1" applyNumberFormat="1" applyFont="1" applyFill="1" applyBorder="1" applyAlignment="1" applyProtection="1">
      <alignment horizontal="center" vertical="center" wrapText="1"/>
    </xf>
    <xf numFmtId="166" fontId="26" fillId="4" borderId="3" xfId="1" applyNumberFormat="1" applyFont="1" applyFill="1" applyBorder="1" applyAlignment="1" applyProtection="1">
      <alignment horizontal="center" vertical="center" wrapText="1"/>
    </xf>
    <xf numFmtId="0" fontId="27" fillId="0" borderId="2" xfId="0" applyFont="1" applyBorder="1" applyAlignment="1" applyProtection="1">
      <alignment horizontal="left" vertical="top" wrapText="1"/>
      <protection locked="0"/>
    </xf>
    <xf numFmtId="166" fontId="27" fillId="4" borderId="2" xfId="1" applyNumberFormat="1" applyFont="1" applyFill="1" applyBorder="1" applyAlignment="1" applyProtection="1">
      <alignment horizontal="center" vertical="center" wrapText="1"/>
    </xf>
    <xf numFmtId="0" fontId="27" fillId="3" borderId="2" xfId="0" applyFont="1" applyFill="1" applyBorder="1" applyAlignment="1" applyProtection="1">
      <alignment horizontal="left" vertical="top" wrapText="1"/>
      <protection locked="0"/>
    </xf>
    <xf numFmtId="166" fontId="28" fillId="4" borderId="2" xfId="1" applyNumberFormat="1" applyFont="1" applyFill="1" applyBorder="1" applyAlignment="1" applyProtection="1">
      <alignment horizontal="center" vertical="center" wrapText="1"/>
    </xf>
    <xf numFmtId="0" fontId="28" fillId="6" borderId="2" xfId="0" applyFont="1" applyFill="1" applyBorder="1" applyAlignment="1">
      <alignment vertical="center" wrapText="1"/>
    </xf>
    <xf numFmtId="9" fontId="27" fillId="3" borderId="2" xfId="2" applyFont="1" applyFill="1" applyBorder="1" applyAlignment="1" applyProtection="1">
      <alignment horizontal="center" vertical="center" wrapText="1"/>
      <protection locked="0"/>
    </xf>
    <xf numFmtId="49" fontId="27" fillId="3" borderId="2" xfId="1" applyNumberFormat="1" applyFont="1" applyFill="1" applyBorder="1" applyAlignment="1" applyProtection="1">
      <alignment horizontal="left" wrapText="1"/>
      <protection locked="0"/>
    </xf>
    <xf numFmtId="164" fontId="27" fillId="3" borderId="2" xfId="1" applyFont="1" applyFill="1" applyBorder="1" applyAlignment="1" applyProtection="1">
      <alignment horizontal="center" vertical="center" wrapText="1"/>
      <protection locked="0"/>
    </xf>
    <xf numFmtId="0" fontId="19" fillId="3" borderId="0" xfId="0" applyFont="1" applyFill="1" applyAlignment="1" applyProtection="1">
      <alignment vertical="center" wrapText="1"/>
      <protection locked="0"/>
    </xf>
    <xf numFmtId="0" fontId="19" fillId="3" borderId="0" xfId="0" applyFont="1" applyFill="1" applyAlignment="1" applyProtection="1">
      <alignment horizontal="left" vertical="top" wrapText="1"/>
      <protection locked="0"/>
    </xf>
    <xf numFmtId="166" fontId="19" fillId="3" borderId="0" xfId="1" applyNumberFormat="1" applyFont="1" applyFill="1" applyBorder="1" applyAlignment="1" applyProtection="1">
      <alignment horizontal="center" vertical="center" wrapText="1"/>
      <protection locked="0"/>
    </xf>
    <xf numFmtId="164" fontId="19" fillId="3" borderId="0" xfId="1" applyFont="1" applyFill="1" applyBorder="1" applyAlignment="1" applyProtection="1">
      <alignment horizontal="center" vertical="center" wrapText="1"/>
      <protection locked="0"/>
    </xf>
    <xf numFmtId="0" fontId="27" fillId="6" borderId="2" xfId="0" applyFont="1" applyFill="1" applyBorder="1" applyAlignment="1">
      <alignment vertical="center" wrapText="1"/>
    </xf>
    <xf numFmtId="164" fontId="27" fillId="0" borderId="2" xfId="1" applyFont="1" applyBorder="1" applyAlignment="1" applyProtection="1">
      <alignment horizontal="center" vertical="center" wrapText="1"/>
      <protection locked="0"/>
    </xf>
    <xf numFmtId="49" fontId="27" fillId="0" borderId="2" xfId="1" applyNumberFormat="1" applyFont="1" applyBorder="1" applyAlignment="1" applyProtection="1">
      <alignment horizontal="left" wrapText="1"/>
      <protection locked="0"/>
    </xf>
    <xf numFmtId="166" fontId="28" fillId="0" borderId="2" xfId="1" applyNumberFormat="1" applyFont="1" applyBorder="1" applyAlignment="1" applyProtection="1">
      <alignment horizontal="center" vertical="center" wrapText="1"/>
      <protection locked="0"/>
    </xf>
    <xf numFmtId="0" fontId="21" fillId="3" borderId="0" xfId="0" applyFont="1" applyFill="1" applyAlignment="1">
      <alignment vertical="center" wrapText="1"/>
    </xf>
    <xf numFmtId="166" fontId="19" fillId="3" borderId="0" xfId="1" applyNumberFormat="1" applyFont="1" applyFill="1" applyBorder="1" applyAlignment="1" applyProtection="1">
      <alignment vertical="center" wrapText="1"/>
      <protection locked="0"/>
    </xf>
    <xf numFmtId="164" fontId="19" fillId="3" borderId="0" xfId="1" applyFont="1" applyFill="1" applyBorder="1" applyAlignment="1" applyProtection="1">
      <alignment vertical="center" wrapText="1"/>
      <protection locked="0"/>
    </xf>
    <xf numFmtId="164" fontId="19" fillId="0" borderId="0" xfId="1" applyFont="1" applyFill="1" applyBorder="1" applyAlignment="1" applyProtection="1">
      <alignment vertical="center" wrapText="1"/>
      <protection locked="0"/>
    </xf>
    <xf numFmtId="0" fontId="21" fillId="10" borderId="0" xfId="0" applyFont="1" applyFill="1" applyAlignment="1" applyProtection="1">
      <alignment vertical="center" wrapText="1"/>
      <protection locked="0"/>
    </xf>
    <xf numFmtId="0" fontId="21" fillId="7" borderId="2" xfId="0" applyFont="1" applyFill="1" applyBorder="1" applyAlignment="1">
      <alignment vertical="center" wrapText="1"/>
    </xf>
    <xf numFmtId="0" fontId="19" fillId="3" borderId="4" xfId="0" applyFont="1" applyFill="1" applyBorder="1" applyAlignment="1" applyProtection="1">
      <alignment vertical="center" wrapText="1"/>
      <protection locked="0"/>
    </xf>
    <xf numFmtId="0" fontId="19" fillId="3" borderId="2" xfId="0" applyFont="1" applyFill="1" applyBorder="1" applyAlignment="1" applyProtection="1">
      <alignment vertical="center" wrapText="1"/>
      <protection locked="0"/>
    </xf>
    <xf numFmtId="166" fontId="19" fillId="0" borderId="2" xfId="1" applyNumberFormat="1" applyFont="1" applyBorder="1" applyAlignment="1" applyProtection="1">
      <alignment vertical="center" wrapText="1"/>
      <protection locked="0"/>
    </xf>
    <xf numFmtId="166" fontId="19" fillId="4" borderId="2" xfId="1" applyNumberFormat="1" applyFont="1" applyFill="1" applyBorder="1" applyAlignment="1" applyProtection="1">
      <alignment vertical="center" wrapText="1"/>
    </xf>
    <xf numFmtId="9" fontId="19" fillId="0" borderId="2" xfId="2" applyFont="1" applyBorder="1" applyAlignment="1" applyProtection="1">
      <alignment vertical="center" wrapText="1"/>
      <protection locked="0"/>
    </xf>
    <xf numFmtId="164" fontId="19" fillId="0" borderId="2" xfId="1" applyFont="1" applyFill="1" applyBorder="1" applyAlignment="1" applyProtection="1">
      <alignment vertical="center" wrapText="1"/>
      <protection locked="0"/>
    </xf>
    <xf numFmtId="49" fontId="19" fillId="0" borderId="2" xfId="0" applyNumberFormat="1" applyFont="1" applyBorder="1" applyAlignment="1" applyProtection="1">
      <alignment horizontal="left" wrapText="1"/>
      <protection locked="0"/>
    </xf>
    <xf numFmtId="164" fontId="19" fillId="0" borderId="2" xfId="1" applyFont="1" applyBorder="1" applyAlignment="1" applyProtection="1">
      <alignment vertical="center" wrapText="1"/>
      <protection locked="0"/>
    </xf>
    <xf numFmtId="170" fontId="19" fillId="0" borderId="2" xfId="1" applyNumberFormat="1" applyFont="1" applyBorder="1" applyAlignment="1" applyProtection="1">
      <alignment vertical="center" wrapText="1"/>
      <protection locked="0"/>
    </xf>
    <xf numFmtId="0" fontId="19" fillId="3" borderId="5" xfId="0" applyFont="1" applyFill="1" applyBorder="1" applyAlignment="1" applyProtection="1">
      <alignment vertical="center" wrapText="1"/>
      <protection locked="0"/>
    </xf>
    <xf numFmtId="165" fontId="19" fillId="0" borderId="2" xfId="1" applyNumberFormat="1" applyFont="1" applyBorder="1" applyAlignment="1" applyProtection="1">
      <alignment vertical="center" wrapText="1"/>
      <protection locked="0"/>
    </xf>
    <xf numFmtId="0" fontId="21" fillId="4" borderId="6" xfId="0" applyFont="1" applyFill="1" applyBorder="1" applyAlignment="1">
      <alignment vertical="center" wrapText="1"/>
    </xf>
    <xf numFmtId="0" fontId="21" fillId="8" borderId="2" xfId="0" applyFont="1" applyFill="1" applyBorder="1" applyAlignment="1" applyProtection="1">
      <alignment vertical="center" wrapText="1"/>
      <protection locked="0"/>
    </xf>
    <xf numFmtId="166" fontId="21" fillId="8" borderId="2" xfId="1" applyNumberFormat="1" applyFont="1" applyFill="1" applyBorder="1" applyAlignment="1" applyProtection="1">
      <alignment vertical="center" wrapText="1"/>
    </xf>
    <xf numFmtId="0" fontId="21" fillId="3" borderId="0" xfId="0" applyFont="1" applyFill="1" applyAlignment="1" applyProtection="1">
      <alignment vertical="center" wrapText="1"/>
      <protection locked="0"/>
    </xf>
    <xf numFmtId="166" fontId="21" fillId="3" borderId="0" xfId="1" applyNumberFormat="1" applyFont="1" applyFill="1" applyBorder="1" applyAlignment="1" applyProtection="1">
      <alignment vertical="center" wrapText="1"/>
      <protection locked="0"/>
    </xf>
    <xf numFmtId="164" fontId="21" fillId="0" borderId="0" xfId="1" applyFont="1" applyFill="1" applyBorder="1" applyAlignment="1" applyProtection="1">
      <alignment vertical="center" wrapText="1"/>
      <protection locked="0"/>
    </xf>
    <xf numFmtId="0" fontId="19" fillId="4" borderId="10" xfId="0" applyFont="1" applyFill="1" applyBorder="1" applyAlignment="1">
      <alignment horizontal="center" vertical="center" wrapText="1"/>
    </xf>
    <xf numFmtId="166" fontId="21" fillId="4" borderId="2" xfId="1" applyNumberFormat="1" applyFont="1" applyFill="1" applyBorder="1" applyAlignment="1" applyProtection="1">
      <alignment horizontal="center" vertical="center" wrapText="1"/>
      <protection locked="0"/>
    </xf>
    <xf numFmtId="166" fontId="21" fillId="4" borderId="11" xfId="1" applyNumberFormat="1" applyFont="1" applyFill="1" applyBorder="1" applyAlignment="1" applyProtection="1">
      <alignment horizontal="center" vertical="center" wrapText="1"/>
    </xf>
    <xf numFmtId="164" fontId="21" fillId="4" borderId="2" xfId="1" applyFont="1" applyFill="1" applyBorder="1" applyAlignment="1" applyProtection="1">
      <alignment horizontal="center" vertical="center" wrapText="1"/>
      <protection locked="0"/>
    </xf>
    <xf numFmtId="166" fontId="21" fillId="4" borderId="22" xfId="1" applyNumberFormat="1" applyFont="1" applyFill="1" applyBorder="1" applyAlignment="1" applyProtection="1">
      <alignment horizontal="center" vertical="center" wrapText="1"/>
    </xf>
    <xf numFmtId="0" fontId="19" fillId="3" borderId="0" xfId="0" applyFont="1" applyFill="1" applyAlignment="1">
      <alignment vertical="center" wrapText="1"/>
    </xf>
    <xf numFmtId="0" fontId="19" fillId="4" borderId="12" xfId="0" applyFont="1" applyFill="1" applyBorder="1" applyAlignment="1">
      <alignment vertical="center" wrapText="1"/>
    </xf>
    <xf numFmtId="166" fontId="19" fillId="4" borderId="2" xfId="0" applyNumberFormat="1" applyFont="1" applyFill="1" applyBorder="1" applyAlignment="1">
      <alignment vertical="center" wrapText="1"/>
    </xf>
    <xf numFmtId="166" fontId="19" fillId="4" borderId="13" xfId="0" applyNumberFormat="1" applyFont="1" applyFill="1" applyBorder="1" applyAlignment="1">
      <alignment vertical="center" wrapText="1"/>
    </xf>
    <xf numFmtId="165" fontId="19" fillId="4" borderId="2" xfId="0" applyNumberFormat="1" applyFont="1" applyFill="1" applyBorder="1" applyAlignment="1">
      <alignment vertical="center" wrapText="1"/>
    </xf>
    <xf numFmtId="166" fontId="19" fillId="4" borderId="21" xfId="0" applyNumberFormat="1" applyFont="1" applyFill="1" applyBorder="1" applyAlignment="1">
      <alignment vertical="center" wrapText="1"/>
    </xf>
    <xf numFmtId="0" fontId="19" fillId="0" borderId="0" xfId="0" applyFont="1" applyAlignment="1" applyProtection="1">
      <alignment vertical="center" wrapText="1"/>
      <protection locked="0"/>
    </xf>
    <xf numFmtId="166" fontId="19" fillId="0" borderId="0" xfId="1" applyNumberFormat="1" applyFont="1" applyFill="1" applyBorder="1" applyAlignment="1" applyProtection="1">
      <alignment vertical="center" wrapText="1"/>
      <protection locked="0"/>
    </xf>
    <xf numFmtId="0" fontId="21" fillId="4" borderId="14" xfId="0" applyFont="1" applyFill="1" applyBorder="1" applyAlignment="1">
      <alignment vertical="center" wrapText="1"/>
    </xf>
    <xf numFmtId="166" fontId="21" fillId="4" borderId="15" xfId="1" applyNumberFormat="1" applyFont="1" applyFill="1" applyBorder="1" applyAlignment="1" applyProtection="1">
      <alignment vertical="center" wrapText="1"/>
    </xf>
    <xf numFmtId="166" fontId="21" fillId="4" borderId="16" xfId="1" applyNumberFormat="1" applyFont="1" applyFill="1" applyBorder="1" applyAlignment="1" applyProtection="1">
      <alignment vertical="center" wrapText="1"/>
    </xf>
    <xf numFmtId="166" fontId="21" fillId="4" borderId="52" xfId="1" applyNumberFormat="1" applyFont="1" applyFill="1" applyBorder="1" applyAlignment="1" applyProtection="1">
      <alignment vertical="center" wrapText="1"/>
    </xf>
    <xf numFmtId="166" fontId="25" fillId="0" borderId="0" xfId="0" applyNumberFormat="1" applyFont="1" applyAlignment="1">
      <alignment wrapText="1"/>
    </xf>
    <xf numFmtId="166" fontId="25" fillId="0" borderId="0" xfId="1" applyNumberFormat="1" applyFont="1" applyBorder="1" applyAlignment="1">
      <alignment wrapText="1"/>
    </xf>
    <xf numFmtId="164" fontId="25" fillId="0" borderId="0" xfId="1" applyFont="1" applyFill="1" applyBorder="1" applyAlignment="1">
      <alignment wrapText="1"/>
    </xf>
    <xf numFmtId="0" fontId="21" fillId="0" borderId="0" xfId="0" applyFont="1" applyAlignment="1" applyProtection="1">
      <alignment vertical="center" wrapText="1"/>
      <protection locked="0"/>
    </xf>
    <xf numFmtId="0" fontId="19" fillId="10" borderId="0" xfId="0" applyFont="1" applyFill="1" applyAlignment="1">
      <alignment vertical="center" wrapText="1"/>
    </xf>
    <xf numFmtId="166" fontId="21" fillId="3" borderId="0" xfId="0" applyNumberFormat="1" applyFont="1" applyFill="1" applyAlignment="1">
      <alignment vertical="center" wrapText="1"/>
    </xf>
    <xf numFmtId="165" fontId="21" fillId="3" borderId="0" xfId="0" applyNumberFormat="1" applyFont="1" applyFill="1" applyAlignment="1">
      <alignment vertical="center" wrapText="1"/>
    </xf>
    <xf numFmtId="166" fontId="21" fillId="3" borderId="0" xfId="1" applyNumberFormat="1" applyFont="1" applyFill="1" applyBorder="1" applyAlignment="1">
      <alignment vertical="center" wrapText="1"/>
    </xf>
    <xf numFmtId="164" fontId="21" fillId="0" borderId="0" xfId="1" applyFont="1" applyFill="1" applyBorder="1" applyAlignment="1">
      <alignment vertical="center" wrapText="1"/>
    </xf>
    <xf numFmtId="0" fontId="25" fillId="3" borderId="2" xfId="0" applyFont="1" applyFill="1" applyBorder="1" applyAlignment="1">
      <alignment wrapText="1"/>
    </xf>
    <xf numFmtId="166" fontId="21" fillId="3" borderId="0" xfId="1" applyNumberFormat="1" applyFont="1" applyFill="1" applyBorder="1" applyAlignment="1" applyProtection="1">
      <alignment horizontal="center" vertical="center" wrapText="1"/>
    </xf>
    <xf numFmtId="164" fontId="21" fillId="0" borderId="0" xfId="1" applyFont="1" applyFill="1" applyBorder="1" applyAlignment="1" applyProtection="1">
      <alignment horizontal="center" vertical="center" wrapText="1"/>
    </xf>
    <xf numFmtId="0" fontId="21" fillId="4" borderId="12" xfId="0" applyFont="1" applyFill="1" applyBorder="1" applyAlignment="1">
      <alignment horizontal="center" vertical="center" wrapText="1"/>
    </xf>
    <xf numFmtId="166" fontId="21" fillId="4" borderId="3" xfId="0" applyNumberFormat="1" applyFont="1" applyFill="1" applyBorder="1" applyAlignment="1">
      <alignment horizontal="center" vertical="center" wrapText="1"/>
    </xf>
    <xf numFmtId="0" fontId="21" fillId="4" borderId="11" xfId="0" applyFont="1" applyFill="1" applyBorder="1" applyAlignment="1">
      <alignment horizontal="center" vertical="center" wrapText="1"/>
    </xf>
    <xf numFmtId="166" fontId="21" fillId="4" borderId="2" xfId="1" applyNumberFormat="1" applyFont="1" applyFill="1" applyBorder="1" applyAlignment="1" applyProtection="1">
      <alignment vertical="center" wrapText="1"/>
    </xf>
    <xf numFmtId="166" fontId="21" fillId="4" borderId="21" xfId="1" applyNumberFormat="1" applyFont="1" applyFill="1" applyBorder="1" applyAlignment="1" applyProtection="1">
      <alignment vertical="center" wrapText="1"/>
    </xf>
    <xf numFmtId="9" fontId="21" fillId="3" borderId="13" xfId="2" applyFont="1" applyFill="1" applyBorder="1" applyAlignment="1" applyProtection="1">
      <alignment vertical="center" wrapText="1"/>
      <protection locked="0"/>
    </xf>
    <xf numFmtId="166" fontId="21" fillId="4" borderId="22" xfId="1" applyNumberFormat="1" applyFont="1" applyFill="1" applyBorder="1" applyAlignment="1" applyProtection="1">
      <alignment vertical="center" wrapText="1"/>
    </xf>
    <xf numFmtId="9" fontId="21" fillId="3" borderId="11" xfId="2" applyFont="1" applyFill="1" applyBorder="1" applyAlignment="1" applyProtection="1">
      <alignment vertical="center" wrapText="1"/>
      <protection locked="0"/>
    </xf>
    <xf numFmtId="9" fontId="21" fillId="3" borderId="11" xfId="2" applyFont="1" applyFill="1" applyBorder="1" applyAlignment="1" applyProtection="1">
      <alignment horizontal="right" vertical="center" wrapText="1"/>
      <protection locked="0"/>
    </xf>
    <xf numFmtId="166" fontId="21" fillId="3" borderId="0" xfId="1" applyNumberFormat="1" applyFont="1" applyFill="1" applyBorder="1" applyAlignment="1" applyProtection="1">
      <alignment horizontal="right" vertical="center" wrapText="1"/>
      <protection locked="0"/>
    </xf>
    <xf numFmtId="164" fontId="21" fillId="0" borderId="0" xfId="1" applyFont="1" applyFill="1" applyBorder="1" applyAlignment="1" applyProtection="1">
      <alignment horizontal="right" vertical="center" wrapText="1"/>
      <protection locked="0"/>
    </xf>
    <xf numFmtId="9" fontId="21" fillId="4" borderId="16" xfId="2" applyFont="1" applyFill="1" applyBorder="1" applyAlignment="1" applyProtection="1">
      <alignment vertical="center" wrapText="1"/>
    </xf>
    <xf numFmtId="166" fontId="21" fillId="3" borderId="0" xfId="1" applyNumberFormat="1" applyFont="1" applyFill="1" applyBorder="1" applyAlignment="1" applyProtection="1">
      <alignment vertical="center" wrapText="1"/>
    </xf>
    <xf numFmtId="164" fontId="21" fillId="0" borderId="0" xfId="1" applyFont="1" applyFill="1" applyBorder="1" applyAlignment="1" applyProtection="1">
      <alignment vertical="center" wrapText="1"/>
    </xf>
    <xf numFmtId="0" fontId="21" fillId="0" borderId="0" xfId="0" applyFont="1" applyAlignment="1">
      <alignment vertical="center" wrapText="1"/>
    </xf>
    <xf numFmtId="166" fontId="21" fillId="0" borderId="0" xfId="0" applyNumberFormat="1" applyFont="1" applyAlignment="1">
      <alignment vertical="center" wrapText="1"/>
    </xf>
    <xf numFmtId="165" fontId="21" fillId="0" borderId="0" xfId="0" applyNumberFormat="1" applyFont="1" applyAlignment="1">
      <alignment vertical="center" wrapText="1"/>
    </xf>
    <xf numFmtId="166" fontId="21" fillId="0" borderId="0" xfId="1" applyNumberFormat="1" applyFont="1" applyFill="1" applyBorder="1" applyAlignment="1">
      <alignment vertical="center" wrapText="1"/>
    </xf>
    <xf numFmtId="0" fontId="29" fillId="4" borderId="17" xfId="0" applyFont="1" applyFill="1" applyBorder="1" applyAlignment="1">
      <alignment horizontal="left" vertical="center" wrapText="1"/>
    </xf>
    <xf numFmtId="166" fontId="21" fillId="4" borderId="20" xfId="0" applyNumberFormat="1" applyFont="1" applyFill="1" applyBorder="1" applyAlignment="1">
      <alignment vertical="center" wrapText="1"/>
    </xf>
    <xf numFmtId="165" fontId="21" fillId="4" borderId="17" xfId="0" applyNumberFormat="1" applyFont="1" applyFill="1" applyBorder="1" applyAlignment="1">
      <alignment vertical="center" wrapText="1"/>
    </xf>
    <xf numFmtId="170" fontId="25" fillId="4" borderId="20" xfId="1" applyNumberFormat="1" applyFont="1" applyFill="1" applyBorder="1" applyAlignment="1">
      <alignment vertical="center" wrapText="1"/>
    </xf>
    <xf numFmtId="164" fontId="25" fillId="0" borderId="0" xfId="1" applyFont="1" applyFill="1" applyBorder="1" applyAlignment="1">
      <alignment vertical="center" wrapText="1"/>
    </xf>
    <xf numFmtId="0" fontId="29" fillId="4" borderId="12" xfId="0" applyFont="1" applyFill="1" applyBorder="1" applyAlignment="1">
      <alignment horizontal="left" vertical="center" wrapText="1"/>
    </xf>
    <xf numFmtId="166" fontId="21" fillId="3" borderId="0" xfId="2" applyNumberFormat="1" applyFont="1" applyFill="1" applyBorder="1" applyAlignment="1">
      <alignment wrapText="1"/>
    </xf>
    <xf numFmtId="0" fontId="25" fillId="4" borderId="14" xfId="0" applyFont="1" applyFill="1" applyBorder="1" applyAlignment="1">
      <alignment wrapText="1"/>
    </xf>
    <xf numFmtId="9" fontId="25" fillId="4" borderId="16" xfId="2" applyFont="1" applyFill="1" applyBorder="1" applyAlignment="1">
      <alignment wrapText="1"/>
    </xf>
    <xf numFmtId="9" fontId="25" fillId="0" borderId="0" xfId="2" applyFont="1" applyFill="1" applyBorder="1" applyAlignment="1">
      <alignment wrapText="1"/>
    </xf>
    <xf numFmtId="9" fontId="21" fillId="3" borderId="0" xfId="2" applyFont="1" applyFill="1" applyBorder="1" applyAlignment="1">
      <alignment wrapText="1"/>
    </xf>
    <xf numFmtId="166" fontId="29" fillId="3" borderId="0" xfId="0" applyNumberFormat="1" applyFont="1" applyFill="1" applyAlignment="1">
      <alignment horizontal="center" vertical="center" wrapText="1"/>
    </xf>
    <xf numFmtId="0" fontId="29" fillId="3" borderId="0" xfId="0" applyFont="1" applyFill="1" applyAlignment="1">
      <alignment horizontal="center" vertical="center" wrapText="1"/>
    </xf>
    <xf numFmtId="166" fontId="21" fillId="4" borderId="13" xfId="2" applyNumberFormat="1" applyFont="1" applyFill="1" applyBorder="1" applyAlignment="1" applyProtection="1">
      <alignment wrapText="1"/>
    </xf>
    <xf numFmtId="165" fontId="21" fillId="3" borderId="0" xfId="2" applyNumberFormat="1" applyFont="1" applyFill="1" applyBorder="1" applyAlignment="1">
      <alignment wrapText="1"/>
    </xf>
    <xf numFmtId="166" fontId="25" fillId="3" borderId="0" xfId="0" applyNumberFormat="1" applyFont="1" applyFill="1" applyAlignment="1">
      <alignment horizontal="center" vertical="center" wrapText="1"/>
    </xf>
    <xf numFmtId="166" fontId="25" fillId="0" borderId="0" xfId="1" applyNumberFormat="1" applyFont="1" applyFill="1" applyBorder="1" applyAlignment="1">
      <alignment wrapText="1"/>
    </xf>
    <xf numFmtId="0" fontId="25" fillId="3" borderId="0" xfId="0" applyFont="1" applyFill="1" applyAlignment="1">
      <alignment horizontal="center" vertical="center" wrapText="1"/>
    </xf>
    <xf numFmtId="166" fontId="31" fillId="4" borderId="3" xfId="1" applyNumberFormat="1" applyFont="1" applyFill="1" applyBorder="1" applyAlignment="1" applyProtection="1">
      <alignment horizontal="center" vertical="center" wrapText="1"/>
    </xf>
    <xf numFmtId="10" fontId="21" fillId="4" borderId="13" xfId="2" applyNumberFormat="1" applyFont="1" applyFill="1" applyBorder="1" applyAlignment="1" applyProtection="1">
      <alignment wrapText="1"/>
    </xf>
    <xf numFmtId="9" fontId="28" fillId="0" borderId="2" xfId="2" applyFont="1" applyBorder="1" applyAlignment="1" applyProtection="1">
      <alignment horizontal="center" vertical="center" wrapText="1"/>
      <protection locked="0"/>
    </xf>
    <xf numFmtId="168" fontId="27" fillId="4" borderId="2" xfId="0" applyNumberFormat="1" applyFont="1" applyFill="1" applyBorder="1" applyAlignment="1">
      <alignment vertical="center" wrapText="1"/>
    </xf>
    <xf numFmtId="168" fontId="26" fillId="4" borderId="52" xfId="1" applyNumberFormat="1" applyFont="1" applyFill="1" applyBorder="1" applyAlignment="1" applyProtection="1">
      <alignment vertical="center" wrapText="1"/>
    </xf>
    <xf numFmtId="10" fontId="21" fillId="0" borderId="0" xfId="1" applyNumberFormat="1" applyFont="1" applyFill="1" applyBorder="1" applyAlignment="1" applyProtection="1">
      <alignment vertical="center" wrapText="1"/>
      <protection locked="0"/>
    </xf>
    <xf numFmtId="10" fontId="19" fillId="0" borderId="0" xfId="0" applyNumberFormat="1" applyFont="1" applyAlignment="1">
      <alignment vertical="center" wrapText="1"/>
    </xf>
    <xf numFmtId="10" fontId="25" fillId="0" borderId="0" xfId="0" applyNumberFormat="1" applyFont="1" applyAlignment="1">
      <alignment wrapText="1"/>
    </xf>
    <xf numFmtId="169" fontId="6" fillId="4" borderId="15" xfId="0" applyNumberFormat="1" applyFont="1" applyFill="1" applyBorder="1" applyAlignment="1">
      <alignment horizontal="center" wrapText="1"/>
    </xf>
    <xf numFmtId="169" fontId="6" fillId="4" borderId="21" xfId="0" applyNumberFormat="1" applyFont="1" applyFill="1" applyBorder="1" applyAlignment="1">
      <alignment wrapText="1"/>
    </xf>
    <xf numFmtId="169" fontId="6" fillId="4" borderId="15" xfId="0" applyNumberFormat="1" applyFont="1" applyFill="1" applyBorder="1" applyAlignment="1">
      <alignment horizontal="left" wrapText="1"/>
    </xf>
    <xf numFmtId="169" fontId="19" fillId="4" borderId="6" xfId="0" applyNumberFormat="1" applyFont="1" applyFill="1" applyBorder="1" applyAlignment="1">
      <alignment vertical="center" wrapText="1"/>
    </xf>
    <xf numFmtId="169" fontId="7" fillId="3" borderId="6" xfId="1" applyNumberFormat="1" applyFont="1" applyFill="1" applyBorder="1" applyAlignment="1" applyProtection="1">
      <alignment horizontal="center" vertical="center" wrapText="1"/>
      <protection locked="0"/>
    </xf>
    <xf numFmtId="169" fontId="19" fillId="4" borderId="2" xfId="0" applyNumberFormat="1" applyFont="1" applyFill="1" applyBorder="1" applyAlignment="1">
      <alignment vertical="center" wrapText="1"/>
    </xf>
    <xf numFmtId="169" fontId="7" fillId="3" borderId="2" xfId="1" applyNumberFormat="1" applyFont="1" applyFill="1" applyBorder="1" applyAlignment="1" applyProtection="1">
      <alignment horizontal="center" vertical="center" wrapText="1"/>
      <protection locked="0"/>
    </xf>
    <xf numFmtId="169" fontId="19" fillId="4" borderId="2" xfId="0" applyNumberFormat="1" applyFont="1" applyFill="1" applyBorder="1" applyAlignment="1" applyProtection="1">
      <alignment vertical="center" wrapText="1"/>
      <protection locked="0"/>
    </xf>
    <xf numFmtId="169" fontId="6" fillId="8" borderId="2" xfId="1" applyNumberFormat="1" applyFont="1" applyFill="1" applyBorder="1" applyAlignment="1" applyProtection="1">
      <alignment wrapText="1"/>
    </xf>
    <xf numFmtId="169" fontId="6" fillId="3" borderId="21" xfId="1" applyNumberFormat="1" applyFont="1" applyFill="1" applyBorder="1" applyAlignment="1" applyProtection="1">
      <alignment wrapText="1"/>
    </xf>
    <xf numFmtId="169" fontId="6" fillId="3" borderId="4" xfId="1" applyNumberFormat="1" applyFont="1" applyFill="1" applyBorder="1" applyAlignment="1">
      <alignment wrapText="1"/>
    </xf>
    <xf numFmtId="169" fontId="6" fillId="3" borderId="4" xfId="0" applyNumberFormat="1" applyFont="1" applyFill="1" applyBorder="1" applyAlignment="1">
      <alignment wrapText="1"/>
    </xf>
    <xf numFmtId="169" fontId="6" fillId="3" borderId="5" xfId="0" applyNumberFormat="1" applyFont="1" applyFill="1" applyBorder="1" applyAlignment="1">
      <alignment wrapText="1"/>
    </xf>
    <xf numFmtId="169" fontId="6" fillId="8" borderId="3" xfId="1" applyNumberFormat="1" applyFont="1" applyFill="1" applyBorder="1" applyAlignment="1" applyProtection="1">
      <alignment wrapText="1"/>
    </xf>
    <xf numFmtId="169" fontId="6" fillId="4" borderId="3" xfId="0" applyNumberFormat="1" applyFont="1" applyFill="1" applyBorder="1" applyAlignment="1">
      <alignment wrapText="1"/>
    </xf>
    <xf numFmtId="169" fontId="7" fillId="0" borderId="21" xfId="0" applyNumberFormat="1" applyFont="1" applyBorder="1" applyAlignment="1">
      <alignment wrapText="1"/>
    </xf>
    <xf numFmtId="169" fontId="7" fillId="3" borderId="4" xfId="0" applyNumberFormat="1" applyFont="1" applyFill="1" applyBorder="1" applyAlignment="1">
      <alignment wrapText="1"/>
    </xf>
    <xf numFmtId="169" fontId="7" fillId="0" borderId="5" xfId="0" applyNumberFormat="1" applyFont="1" applyBorder="1" applyAlignment="1">
      <alignment wrapText="1"/>
    </xf>
    <xf numFmtId="169" fontId="6" fillId="3" borderId="4" xfId="1" applyNumberFormat="1" applyFont="1" applyFill="1" applyBorder="1" applyAlignment="1" applyProtection="1">
      <alignment wrapText="1"/>
    </xf>
    <xf numFmtId="169" fontId="7" fillId="0" borderId="0" xfId="0" applyNumberFormat="1" applyFont="1" applyAlignment="1">
      <alignment wrapText="1"/>
    </xf>
    <xf numFmtId="169" fontId="7" fillId="3" borderId="0" xfId="0" applyNumberFormat="1" applyFont="1" applyFill="1" applyAlignment="1">
      <alignment wrapText="1"/>
    </xf>
    <xf numFmtId="169" fontId="6" fillId="4" borderId="2" xfId="1" applyNumberFormat="1" applyFont="1" applyFill="1" applyBorder="1" applyAlignment="1" applyProtection="1">
      <alignment horizontal="center" vertical="center" wrapText="1"/>
      <protection locked="0"/>
    </xf>
    <xf numFmtId="169" fontId="6" fillId="4" borderId="32" xfId="0" applyNumberFormat="1" applyFont="1" applyFill="1" applyBorder="1" applyAlignment="1">
      <alignment horizontal="center" vertical="center" wrapText="1"/>
    </xf>
    <xf numFmtId="169" fontId="21" fillId="4" borderId="33" xfId="0" applyNumberFormat="1" applyFont="1" applyFill="1" applyBorder="1" applyAlignment="1">
      <alignment vertical="center" wrapText="1"/>
    </xf>
    <xf numFmtId="169" fontId="7" fillId="4" borderId="2" xfId="0" applyNumberFormat="1" applyFont="1" applyFill="1" applyBorder="1" applyAlignment="1">
      <alignment wrapText="1"/>
    </xf>
    <xf numFmtId="169" fontId="6" fillId="4" borderId="34" xfId="0" applyNumberFormat="1" applyFont="1" applyFill="1" applyBorder="1" applyAlignment="1">
      <alignment wrapText="1"/>
    </xf>
    <xf numFmtId="169" fontId="21" fillId="4" borderId="35" xfId="0" applyNumberFormat="1" applyFont="1" applyFill="1" applyBorder="1" applyAlignment="1">
      <alignment vertical="center" wrapText="1"/>
    </xf>
    <xf numFmtId="169" fontId="7" fillId="4" borderId="6" xfId="0" applyNumberFormat="1" applyFont="1" applyFill="1" applyBorder="1" applyAlignment="1">
      <alignment wrapText="1"/>
    </xf>
    <xf numFmtId="169" fontId="6" fillId="4" borderId="13" xfId="0" applyNumberFormat="1" applyFont="1" applyFill="1" applyBorder="1" applyAlignment="1">
      <alignment wrapText="1"/>
    </xf>
    <xf numFmtId="169" fontId="21" fillId="4" borderId="35" xfId="0" applyNumberFormat="1" applyFont="1" applyFill="1" applyBorder="1" applyAlignment="1" applyProtection="1">
      <alignment vertical="center" wrapText="1"/>
      <protection locked="0"/>
    </xf>
    <xf numFmtId="169" fontId="7" fillId="4" borderId="12" xfId="0" applyNumberFormat="1" applyFont="1" applyFill="1" applyBorder="1" applyAlignment="1">
      <alignment vertical="center" wrapText="1"/>
    </xf>
    <xf numFmtId="169" fontId="7" fillId="4" borderId="2" xfId="1" applyNumberFormat="1" applyFont="1" applyFill="1" applyBorder="1" applyAlignment="1">
      <alignment wrapText="1"/>
    </xf>
    <xf numFmtId="169" fontId="7" fillId="4" borderId="13" xfId="0" applyNumberFormat="1" applyFont="1" applyFill="1" applyBorder="1" applyAlignment="1">
      <alignment wrapText="1"/>
    </xf>
    <xf numFmtId="169" fontId="7" fillId="4" borderId="15" xfId="0" applyNumberFormat="1" applyFont="1" applyFill="1" applyBorder="1" applyAlignment="1">
      <alignment wrapText="1"/>
    </xf>
    <xf numFmtId="169" fontId="7" fillId="4" borderId="16" xfId="0" applyNumberFormat="1" applyFont="1" applyFill="1" applyBorder="1" applyAlignment="1">
      <alignment wrapText="1"/>
    </xf>
    <xf numFmtId="169" fontId="6" fillId="4" borderId="36" xfId="0" applyNumberFormat="1" applyFont="1" applyFill="1" applyBorder="1" applyAlignment="1">
      <alignment wrapText="1"/>
    </xf>
    <xf numFmtId="169" fontId="6" fillId="4" borderId="37" xfId="0" applyNumberFormat="1" applyFont="1" applyFill="1" applyBorder="1" applyAlignment="1">
      <alignment wrapText="1"/>
    </xf>
    <xf numFmtId="169" fontId="6" fillId="4" borderId="38" xfId="0" applyNumberFormat="1" applyFont="1" applyFill="1" applyBorder="1" applyAlignment="1">
      <alignment wrapText="1"/>
    </xf>
    <xf numFmtId="169" fontId="6" fillId="4" borderId="2" xfId="0" applyNumberFormat="1" applyFont="1" applyFill="1" applyBorder="1" applyAlignment="1">
      <alignment horizontal="center" wrapText="1"/>
    </xf>
    <xf numFmtId="165" fontId="7" fillId="3" borderId="6" xfId="1" applyNumberFormat="1" applyFont="1" applyFill="1" applyBorder="1" applyAlignment="1" applyProtection="1">
      <alignment horizontal="center" vertical="center" wrapText="1"/>
      <protection locked="0"/>
    </xf>
    <xf numFmtId="165" fontId="7" fillId="3" borderId="2" xfId="1" applyNumberFormat="1" applyFont="1" applyFill="1" applyBorder="1" applyAlignment="1" applyProtection="1">
      <alignment horizontal="center" vertical="center" wrapText="1"/>
      <protection locked="0"/>
    </xf>
    <xf numFmtId="169" fontId="0" fillId="10" borderId="0" xfId="0" applyNumberFormat="1" applyFill="1"/>
    <xf numFmtId="169" fontId="2" fillId="4" borderId="44" xfId="0" applyNumberFormat="1" applyFont="1" applyFill="1" applyBorder="1"/>
    <xf numFmtId="169" fontId="6" fillId="4" borderId="2" xfId="3" applyNumberFormat="1" applyFont="1" applyFill="1" applyBorder="1" applyAlignment="1">
      <alignment vertical="center" wrapText="1"/>
    </xf>
    <xf numFmtId="169" fontId="0" fillId="0" borderId="0" xfId="0" applyNumberFormat="1"/>
    <xf numFmtId="169" fontId="2" fillId="4" borderId="15" xfId="0" applyNumberFormat="1" applyFont="1" applyFill="1" applyBorder="1"/>
    <xf numFmtId="169" fontId="6" fillId="4" borderId="13" xfId="2" applyNumberFormat="1" applyFont="1" applyFill="1" applyBorder="1" applyAlignment="1">
      <alignment vertical="center" wrapText="1"/>
    </xf>
    <xf numFmtId="169" fontId="7" fillId="4" borderId="18" xfId="3" applyNumberFormat="1" applyFont="1" applyFill="1" applyBorder="1" applyAlignment="1">
      <alignment wrapText="1"/>
    </xf>
    <xf numFmtId="169" fontId="6" fillId="4" borderId="2" xfId="3" applyNumberFormat="1" applyFont="1" applyFill="1" applyBorder="1" applyAlignment="1">
      <alignment wrapText="1"/>
    </xf>
    <xf numFmtId="169" fontId="6" fillId="4" borderId="15" xfId="3" applyNumberFormat="1" applyFont="1" applyFill="1" applyBorder="1" applyAlignment="1">
      <alignment wrapText="1"/>
    </xf>
    <xf numFmtId="0" fontId="0" fillId="11" borderId="0" xfId="0" applyFill="1"/>
    <xf numFmtId="0" fontId="6" fillId="4" borderId="2" xfId="0" applyFont="1" applyFill="1" applyBorder="1" applyAlignment="1">
      <alignment horizontal="center" wrapText="1"/>
    </xf>
    <xf numFmtId="0" fontId="11" fillId="4" borderId="31" xfId="0" applyFont="1" applyFill="1" applyBorder="1" applyAlignment="1">
      <alignment horizontal="center" wrapText="1"/>
    </xf>
    <xf numFmtId="0" fontId="11" fillId="4" borderId="6" xfId="0" applyFont="1" applyFill="1" applyBorder="1" applyAlignment="1">
      <alignment horizontal="center" wrapText="1"/>
    </xf>
    <xf numFmtId="0" fontId="11" fillId="4" borderId="2" xfId="0" applyFont="1" applyFill="1" applyBorder="1" applyAlignment="1">
      <alignment horizontal="center" vertical="center" wrapText="1"/>
    </xf>
    <xf numFmtId="0" fontId="26" fillId="4" borderId="12" xfId="0" applyFont="1" applyFill="1" applyBorder="1" applyAlignment="1">
      <alignment vertical="center" wrapText="1"/>
    </xf>
    <xf numFmtId="165" fontId="23" fillId="4" borderId="6" xfId="0" applyNumberFormat="1" applyFont="1" applyFill="1" applyBorder="1" applyAlignment="1">
      <alignment wrapText="1"/>
    </xf>
    <xf numFmtId="165" fontId="11" fillId="4" borderId="34" xfId="0" applyNumberFormat="1" applyFont="1" applyFill="1" applyBorder="1" applyAlignment="1">
      <alignment wrapText="1"/>
    </xf>
    <xf numFmtId="165" fontId="11" fillId="4" borderId="13" xfId="0" applyNumberFormat="1" applyFont="1" applyFill="1" applyBorder="1" applyAlignment="1">
      <alignment wrapText="1"/>
    </xf>
    <xf numFmtId="0" fontId="26" fillId="4" borderId="12" xfId="0" applyFont="1" applyFill="1" applyBorder="1" applyAlignment="1" applyProtection="1">
      <alignment vertical="center" wrapText="1"/>
      <protection locked="0"/>
    </xf>
    <xf numFmtId="0" fontId="26" fillId="4" borderId="10" xfId="0" applyFont="1" applyFill="1" applyBorder="1" applyAlignment="1">
      <alignment vertical="center" wrapText="1"/>
    </xf>
    <xf numFmtId="165" fontId="23" fillId="4" borderId="3" xfId="0" applyNumberFormat="1" applyFont="1" applyFill="1" applyBorder="1" applyAlignment="1">
      <alignment wrapText="1"/>
    </xf>
    <xf numFmtId="165" fontId="11" fillId="4" borderId="11" xfId="0" applyNumberFormat="1" applyFont="1" applyFill="1" applyBorder="1" applyAlignment="1">
      <alignment wrapText="1"/>
    </xf>
    <xf numFmtId="165" fontId="23" fillId="4" borderId="17" xfId="3" applyFont="1" applyFill="1" applyBorder="1" applyAlignment="1" applyProtection="1">
      <alignment wrapText="1"/>
    </xf>
    <xf numFmtId="169" fontId="23" fillId="4" borderId="18" xfId="3" applyNumberFormat="1" applyFont="1" applyFill="1" applyBorder="1" applyAlignment="1">
      <alignment wrapText="1"/>
    </xf>
    <xf numFmtId="169" fontId="23" fillId="4" borderId="20" xfId="0" applyNumberFormat="1" applyFont="1" applyFill="1" applyBorder="1" applyAlignment="1">
      <alignment wrapText="1"/>
    </xf>
    <xf numFmtId="165" fontId="23" fillId="4" borderId="12" xfId="3" applyFont="1" applyFill="1" applyBorder="1" applyAlignment="1" applyProtection="1">
      <alignment wrapText="1"/>
    </xf>
    <xf numFmtId="169" fontId="11" fillId="4" borderId="2" xfId="3" applyNumberFormat="1" applyFont="1" applyFill="1" applyBorder="1" applyAlignment="1">
      <alignment wrapText="1"/>
    </xf>
    <xf numFmtId="169" fontId="11" fillId="4" borderId="13" xfId="3" applyNumberFormat="1" applyFont="1" applyFill="1" applyBorder="1" applyAlignment="1">
      <alignment wrapText="1"/>
    </xf>
    <xf numFmtId="165" fontId="11" fillId="4" borderId="14" xfId="3" applyFont="1" applyFill="1" applyBorder="1" applyAlignment="1" applyProtection="1">
      <alignment wrapText="1"/>
    </xf>
    <xf numFmtId="169" fontId="11" fillId="4" borderId="15" xfId="3" applyNumberFormat="1" applyFont="1" applyFill="1" applyBorder="1" applyAlignment="1">
      <alignment wrapText="1"/>
    </xf>
    <xf numFmtId="169" fontId="11" fillId="4" borderId="16" xfId="3" applyNumberFormat="1" applyFont="1" applyFill="1" applyBorder="1" applyAlignment="1">
      <alignment wrapText="1"/>
    </xf>
    <xf numFmtId="169" fontId="11" fillId="4" borderId="2" xfId="3" applyNumberFormat="1" applyFont="1" applyFill="1" applyBorder="1" applyAlignment="1">
      <alignment vertical="center" wrapText="1"/>
    </xf>
    <xf numFmtId="165" fontId="11" fillId="4" borderId="2" xfId="3" applyFont="1" applyFill="1" applyBorder="1" applyAlignment="1">
      <alignment vertical="center" wrapText="1"/>
    </xf>
    <xf numFmtId="169" fontId="11" fillId="4" borderId="13" xfId="2" applyNumberFormat="1" applyFont="1" applyFill="1" applyBorder="1" applyAlignment="1">
      <alignment vertical="center" wrapText="1"/>
    </xf>
    <xf numFmtId="9" fontId="11" fillId="4" borderId="24" xfId="2" applyFont="1" applyFill="1" applyBorder="1" applyAlignment="1">
      <alignment vertical="center" wrapText="1"/>
    </xf>
    <xf numFmtId="9" fontId="11" fillId="4" borderId="50" xfId="2" applyFont="1" applyFill="1" applyBorder="1" applyAlignment="1">
      <alignment vertical="center" wrapText="1"/>
    </xf>
    <xf numFmtId="169" fontId="32" fillId="4" borderId="15" xfId="0" applyNumberFormat="1" applyFont="1" applyFill="1" applyBorder="1"/>
    <xf numFmtId="0" fontId="33" fillId="0" borderId="0" xfId="0" applyFont="1"/>
    <xf numFmtId="169" fontId="6" fillId="4" borderId="16" xfId="2" applyNumberFormat="1" applyFont="1" applyFill="1" applyBorder="1" applyAlignment="1">
      <alignment vertical="center" wrapText="1"/>
    </xf>
    <xf numFmtId="169" fontId="11" fillId="4" borderId="16" xfId="2" applyNumberFormat="1" applyFont="1" applyFill="1" applyBorder="1" applyAlignment="1">
      <alignment vertical="center" wrapText="1"/>
    </xf>
    <xf numFmtId="0" fontId="21" fillId="3" borderId="5" xfId="0" applyFont="1" applyFill="1" applyBorder="1" applyAlignment="1" applyProtection="1">
      <alignment horizontal="left" vertical="top" wrapText="1"/>
      <protection locked="0"/>
    </xf>
    <xf numFmtId="9" fontId="0" fillId="4" borderId="35" xfId="2" applyFont="1" applyFill="1" applyBorder="1" applyAlignment="1">
      <alignment horizontal="center"/>
    </xf>
    <xf numFmtId="9" fontId="0" fillId="4" borderId="56" xfId="2" applyFont="1" applyFill="1" applyBorder="1" applyAlignment="1">
      <alignment horizontal="center"/>
    </xf>
    <xf numFmtId="0" fontId="21" fillId="3" borderId="2" xfId="0" applyFont="1" applyFill="1" applyBorder="1" applyAlignment="1" applyProtection="1">
      <alignment horizontal="left" vertical="top" wrapText="1"/>
      <protection locked="0"/>
    </xf>
    <xf numFmtId="0" fontId="29" fillId="0" borderId="0" xfId="0" applyFont="1" applyAlignment="1">
      <alignment wrapText="1"/>
    </xf>
    <xf numFmtId="0" fontId="29" fillId="0" borderId="2" xfId="0" applyFont="1" applyBorder="1" applyAlignment="1">
      <alignment wrapText="1"/>
    </xf>
    <xf numFmtId="9" fontId="27" fillId="0" borderId="2" xfId="2" applyFont="1" applyBorder="1" applyAlignment="1" applyProtection="1">
      <alignment horizontal="center" vertical="center" wrapText="1"/>
      <protection locked="0"/>
    </xf>
    <xf numFmtId="0" fontId="26" fillId="4" borderId="2" xfId="0" applyFont="1" applyFill="1" applyBorder="1" applyAlignment="1">
      <alignment vertical="center" wrapText="1"/>
    </xf>
    <xf numFmtId="165" fontId="28" fillId="0" borderId="2" xfId="1" applyNumberFormat="1" applyFont="1" applyBorder="1" applyAlignment="1" applyProtection="1">
      <alignment horizontal="center" vertical="center" wrapText="1"/>
      <protection locked="0"/>
    </xf>
    <xf numFmtId="165" fontId="28" fillId="0" borderId="2" xfId="1" applyNumberFormat="1" applyFont="1" applyFill="1" applyBorder="1" applyAlignment="1" applyProtection="1">
      <alignment horizontal="center" vertical="center" wrapText="1"/>
      <protection locked="0"/>
    </xf>
    <xf numFmtId="165" fontId="28" fillId="4" borderId="2" xfId="1" applyNumberFormat="1" applyFont="1" applyFill="1" applyBorder="1" applyAlignment="1" applyProtection="1">
      <alignment horizontal="center" vertical="center" wrapText="1"/>
    </xf>
    <xf numFmtId="164" fontId="28" fillId="0" borderId="2" xfId="1" applyFont="1" applyFill="1" applyBorder="1" applyAlignment="1" applyProtection="1">
      <alignment horizontal="center" vertical="center" wrapText="1"/>
      <protection locked="0"/>
    </xf>
    <xf numFmtId="49" fontId="28" fillId="0" borderId="2" xfId="1" applyNumberFormat="1" applyFont="1" applyBorder="1" applyAlignment="1" applyProtection="1">
      <alignment horizontal="left" wrapText="1"/>
      <protection locked="0"/>
    </xf>
    <xf numFmtId="0" fontId="12" fillId="0" borderId="2" xfId="0" applyFont="1" applyBorder="1" applyAlignment="1">
      <alignment wrapText="1"/>
    </xf>
    <xf numFmtId="166" fontId="12" fillId="0" borderId="2" xfId="0" applyNumberFormat="1" applyFont="1" applyBorder="1" applyAlignment="1">
      <alignment wrapText="1"/>
    </xf>
    <xf numFmtId="0" fontId="28" fillId="6" borderId="3"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9" fillId="3" borderId="0" xfId="0" applyFont="1" applyFill="1" applyAlignment="1">
      <alignment wrapText="1"/>
    </xf>
    <xf numFmtId="166" fontId="35" fillId="0" borderId="2" xfId="0" applyNumberFormat="1" applyFont="1" applyBorder="1" applyAlignment="1">
      <alignment wrapText="1"/>
    </xf>
    <xf numFmtId="164" fontId="35" fillId="0" borderId="2" xfId="1" applyFont="1" applyFill="1" applyBorder="1" applyAlignment="1">
      <alignment wrapText="1"/>
    </xf>
    <xf numFmtId="0" fontId="35" fillId="0" borderId="2" xfId="0" applyFont="1" applyBorder="1" applyAlignment="1">
      <alignment wrapText="1"/>
    </xf>
    <xf numFmtId="166" fontId="35" fillId="0" borderId="2" xfId="1" applyNumberFormat="1" applyFont="1" applyBorder="1" applyAlignment="1">
      <alignment wrapText="1"/>
    </xf>
    <xf numFmtId="0" fontId="28" fillId="0" borderId="0" xfId="0" applyFont="1" applyAlignment="1" applyProtection="1">
      <alignment horizontal="left" vertical="top" wrapText="1"/>
      <protection locked="0"/>
    </xf>
    <xf numFmtId="0" fontId="28" fillId="3" borderId="2" xfId="0" applyFont="1" applyFill="1" applyBorder="1" applyAlignment="1" applyProtection="1">
      <alignment horizontal="left" vertical="top" wrapText="1"/>
      <protection locked="0"/>
    </xf>
    <xf numFmtId="166" fontId="28" fillId="3" borderId="2" xfId="1" applyNumberFormat="1" applyFont="1" applyFill="1" applyBorder="1" applyAlignment="1" applyProtection="1">
      <alignment horizontal="center" vertical="center" wrapText="1"/>
      <protection locked="0"/>
    </xf>
    <xf numFmtId="9" fontId="28" fillId="3" borderId="2" xfId="2" applyFont="1" applyFill="1" applyBorder="1" applyAlignment="1" applyProtection="1">
      <alignment horizontal="center" vertical="center" wrapText="1"/>
      <protection locked="0"/>
    </xf>
    <xf numFmtId="49" fontId="28" fillId="3" borderId="2" xfId="1" applyNumberFormat="1" applyFont="1" applyFill="1" applyBorder="1" applyAlignment="1" applyProtection="1">
      <alignment horizontal="left" wrapText="1"/>
      <protection locked="0"/>
    </xf>
    <xf numFmtId="0" fontId="36" fillId="0" borderId="0" xfId="0" applyFont="1" applyAlignment="1">
      <alignment wrapText="1"/>
    </xf>
    <xf numFmtId="0" fontId="31" fillId="4" borderId="2" xfId="0" applyFont="1" applyFill="1" applyBorder="1" applyAlignment="1">
      <alignment vertical="center" wrapText="1"/>
    </xf>
    <xf numFmtId="166" fontId="31" fillId="4" borderId="2" xfId="1" applyNumberFormat="1" applyFont="1" applyFill="1" applyBorder="1" applyAlignment="1" applyProtection="1">
      <alignment horizontal="center" vertical="center" wrapText="1"/>
    </xf>
    <xf numFmtId="164" fontId="31" fillId="0" borderId="2" xfId="1" applyFont="1" applyFill="1" applyBorder="1" applyAlignment="1" applyProtection="1">
      <alignment horizontal="center" vertical="center" wrapText="1"/>
    </xf>
    <xf numFmtId="0" fontId="31" fillId="6" borderId="2" xfId="0" applyFont="1" applyFill="1" applyBorder="1" applyAlignment="1">
      <alignment vertical="center" wrapText="1"/>
    </xf>
    <xf numFmtId="165" fontId="28" fillId="3" borderId="2" xfId="1" applyNumberFormat="1" applyFont="1" applyFill="1" applyBorder="1" applyAlignment="1" applyProtection="1">
      <alignment horizontal="center" vertical="center" wrapText="1"/>
      <protection locked="0"/>
    </xf>
    <xf numFmtId="164" fontId="28" fillId="3" borderId="2" xfId="1" applyFont="1" applyFill="1" applyBorder="1" applyAlignment="1" applyProtection="1">
      <alignment horizontal="left" vertical="top" wrapText="1"/>
      <protection locked="0"/>
    </xf>
    <xf numFmtId="164" fontId="28" fillId="0" borderId="2" xfId="1" applyFont="1" applyBorder="1" applyAlignment="1" applyProtection="1">
      <alignment horizontal="center" vertical="center" wrapText="1"/>
      <protection locked="0"/>
    </xf>
    <xf numFmtId="165" fontId="31" fillId="4" borderId="3" xfId="1" applyNumberFormat="1" applyFont="1" applyFill="1" applyBorder="1" applyAlignment="1" applyProtection="1">
      <alignment horizontal="center" vertical="center" wrapText="1"/>
    </xf>
    <xf numFmtId="165" fontId="31" fillId="4" borderId="2" xfId="1" applyNumberFormat="1" applyFont="1" applyFill="1" applyBorder="1" applyAlignment="1" applyProtection="1">
      <alignment horizontal="center" vertical="center" wrapText="1"/>
    </xf>
    <xf numFmtId="0" fontId="31" fillId="3" borderId="2" xfId="0" applyFont="1" applyFill="1" applyBorder="1" applyAlignment="1" applyProtection="1">
      <alignment horizontal="left" vertical="top" wrapText="1"/>
      <protection locked="0"/>
    </xf>
    <xf numFmtId="164" fontId="28" fillId="3" borderId="2" xfId="1" applyFont="1" applyFill="1" applyBorder="1" applyAlignment="1" applyProtection="1">
      <alignment horizontal="center" vertical="center" wrapText="1"/>
      <protection locked="0"/>
    </xf>
    <xf numFmtId="0" fontId="28" fillId="3" borderId="0" xfId="0" applyFont="1" applyFill="1" applyAlignment="1" applyProtection="1">
      <alignment vertical="center" wrapText="1"/>
      <protection locked="0"/>
    </xf>
    <xf numFmtId="0" fontId="28" fillId="3" borderId="0" xfId="0" applyFont="1" applyFill="1" applyAlignment="1" applyProtection="1">
      <alignment horizontal="left" vertical="top" wrapText="1"/>
      <protection locked="0"/>
    </xf>
    <xf numFmtId="166" fontId="28" fillId="3" borderId="0" xfId="1" applyNumberFormat="1" applyFont="1" applyFill="1" applyBorder="1" applyAlignment="1" applyProtection="1">
      <alignment horizontal="center" vertical="center" wrapText="1"/>
      <protection locked="0"/>
    </xf>
    <xf numFmtId="164" fontId="28" fillId="3" borderId="0" xfId="1" applyFont="1" applyFill="1" applyBorder="1" applyAlignment="1" applyProtection="1">
      <alignment horizontal="center" vertical="center" wrapText="1"/>
      <protection locked="0"/>
    </xf>
    <xf numFmtId="164" fontId="28" fillId="0" borderId="0" xfId="1" applyFont="1" applyFill="1" applyBorder="1" applyAlignment="1" applyProtection="1">
      <alignment horizontal="center" vertical="center" wrapText="1"/>
      <protection locked="0"/>
    </xf>
    <xf numFmtId="0" fontId="22" fillId="6" borderId="6" xfId="0" applyFont="1" applyFill="1" applyBorder="1" applyAlignment="1">
      <alignment horizontal="left" vertical="top" wrapText="1"/>
    </xf>
    <xf numFmtId="0" fontId="31" fillId="3" borderId="0" xfId="0" applyFont="1" applyFill="1" applyAlignment="1">
      <alignment vertical="center" wrapText="1"/>
    </xf>
    <xf numFmtId="166" fontId="28" fillId="3" borderId="0" xfId="1" applyNumberFormat="1" applyFont="1" applyFill="1" applyBorder="1" applyAlignment="1" applyProtection="1">
      <alignment vertical="center" wrapText="1"/>
      <protection locked="0"/>
    </xf>
    <xf numFmtId="164" fontId="28" fillId="3" borderId="0" xfId="1" applyFont="1" applyFill="1" applyBorder="1" applyAlignment="1" applyProtection="1">
      <alignment vertical="center" wrapText="1"/>
      <protection locked="0"/>
    </xf>
    <xf numFmtId="164" fontId="28" fillId="0" borderId="0" xfId="1" applyFont="1" applyFill="1" applyBorder="1" applyAlignment="1" applyProtection="1">
      <alignment vertical="center" wrapText="1"/>
      <protection locked="0"/>
    </xf>
    <xf numFmtId="0" fontId="31" fillId="7" borderId="2" xfId="0" applyFont="1" applyFill="1" applyBorder="1" applyAlignment="1">
      <alignment vertical="center" wrapText="1"/>
    </xf>
    <xf numFmtId="0" fontId="28" fillId="3" borderId="4" xfId="0" applyFont="1" applyFill="1" applyBorder="1" applyAlignment="1" applyProtection="1">
      <alignment vertical="center" wrapText="1"/>
      <protection locked="0"/>
    </xf>
    <xf numFmtId="0" fontId="21" fillId="4" borderId="3" xfId="0" applyFont="1" applyFill="1" applyBorder="1" applyAlignment="1">
      <alignment vertical="center" wrapText="1"/>
    </xf>
    <xf numFmtId="164" fontId="21" fillId="0" borderId="3" xfId="1" applyFont="1" applyFill="1" applyBorder="1" applyAlignment="1" applyProtection="1">
      <alignment horizontal="center" vertical="center" wrapText="1"/>
    </xf>
    <xf numFmtId="49" fontId="19" fillId="3" borderId="3" xfId="1" applyNumberFormat="1" applyFont="1" applyFill="1" applyBorder="1" applyAlignment="1" applyProtection="1">
      <alignment horizontal="left" wrapText="1"/>
      <protection locked="0"/>
    </xf>
    <xf numFmtId="0" fontId="21" fillId="3" borderId="2" xfId="0" applyFont="1" applyFill="1" applyBorder="1" applyAlignment="1">
      <alignment vertical="center" wrapText="1"/>
    </xf>
    <xf numFmtId="166" fontId="19" fillId="3" borderId="2" xfId="1" applyNumberFormat="1" applyFont="1" applyFill="1" applyBorder="1" applyAlignment="1" applyProtection="1">
      <alignment vertical="center" wrapText="1"/>
      <protection locked="0"/>
    </xf>
    <xf numFmtId="164" fontId="19" fillId="3" borderId="2" xfId="1" applyFont="1" applyFill="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22" fillId="0" borderId="2" xfId="0" applyFont="1" applyBorder="1" applyAlignment="1" applyProtection="1">
      <alignment vertical="center" wrapText="1"/>
      <protection locked="0"/>
    </xf>
    <xf numFmtId="0" fontId="0" fillId="0" borderId="2" xfId="0" applyBorder="1" applyAlignment="1">
      <alignment vertical="center" wrapText="1"/>
    </xf>
    <xf numFmtId="0" fontId="0" fillId="0" borderId="0" xfId="0" applyAlignment="1">
      <alignment wrapText="1"/>
    </xf>
    <xf numFmtId="165" fontId="7" fillId="0" borderId="2" xfId="3" applyFont="1" applyFill="1" applyBorder="1" applyAlignment="1" applyProtection="1">
      <alignment vertical="center" wrapText="1"/>
      <protection locked="0"/>
    </xf>
    <xf numFmtId="165" fontId="7" fillId="3" borderId="5" xfId="3" applyFont="1" applyFill="1" applyBorder="1" applyAlignment="1" applyProtection="1">
      <alignment vertical="center" wrapText="1"/>
      <protection locked="0"/>
    </xf>
    <xf numFmtId="165" fontId="7" fillId="0" borderId="5" xfId="3" applyFont="1" applyFill="1" applyBorder="1" applyAlignment="1" applyProtection="1">
      <alignment vertical="center" wrapText="1"/>
      <protection locked="0"/>
    </xf>
    <xf numFmtId="0" fontId="7" fillId="0" borderId="5" xfId="0" applyFont="1" applyBorder="1" applyAlignment="1" applyProtection="1">
      <alignment vertical="center" wrapText="1"/>
      <protection locked="0"/>
    </xf>
    <xf numFmtId="9" fontId="29" fillId="0" borderId="2" xfId="0" applyNumberFormat="1" applyFont="1" applyBorder="1" applyAlignment="1">
      <alignment wrapText="1"/>
    </xf>
    <xf numFmtId="0" fontId="19" fillId="6" borderId="21" xfId="0" applyFont="1" applyFill="1" applyBorder="1" applyAlignment="1">
      <alignment vertical="center" wrapText="1"/>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top" wrapText="1"/>
      <protection locked="0"/>
    </xf>
    <xf numFmtId="0" fontId="25" fillId="0" borderId="3" xfId="0" applyFont="1" applyBorder="1" applyAlignment="1">
      <alignment wrapText="1"/>
    </xf>
    <xf numFmtId="0" fontId="25" fillId="0" borderId="6" xfId="0" applyFont="1" applyBorder="1" applyAlignment="1">
      <alignment wrapText="1"/>
    </xf>
    <xf numFmtId="166" fontId="31" fillId="4" borderId="2" xfId="1" applyNumberFormat="1" applyFont="1" applyFill="1" applyBorder="1" applyAlignment="1" applyProtection="1">
      <alignment vertical="center" wrapText="1"/>
    </xf>
    <xf numFmtId="166" fontId="31" fillId="4" borderId="15" xfId="1" applyNumberFormat="1" applyFont="1" applyFill="1" applyBorder="1" applyAlignment="1" applyProtection="1">
      <alignment vertical="center" wrapText="1"/>
    </xf>
    <xf numFmtId="168" fontId="27" fillId="4" borderId="2" xfId="1" applyNumberFormat="1" applyFont="1" applyFill="1" applyBorder="1" applyAlignment="1" applyProtection="1">
      <alignment horizontal="center" vertical="center" wrapText="1"/>
    </xf>
    <xf numFmtId="9" fontId="30" fillId="0" borderId="2" xfId="0" applyNumberFormat="1" applyFont="1" applyBorder="1" applyAlignment="1">
      <alignment wrapText="1"/>
    </xf>
    <xf numFmtId="0" fontId="30" fillId="0" borderId="0" xfId="0" applyFont="1" applyAlignment="1">
      <alignment wrapText="1"/>
    </xf>
    <xf numFmtId="168" fontId="26" fillId="4" borderId="2" xfId="0" applyNumberFormat="1" applyFont="1" applyFill="1" applyBorder="1" applyAlignment="1">
      <alignment vertical="center" wrapText="1"/>
    </xf>
    <xf numFmtId="166" fontId="12" fillId="12" borderId="0" xfId="0" applyNumberFormat="1" applyFont="1" applyFill="1" applyAlignment="1">
      <alignment wrapText="1"/>
    </xf>
    <xf numFmtId="166" fontId="21" fillId="12" borderId="2" xfId="0" applyNumberFormat="1" applyFont="1" applyFill="1" applyBorder="1" applyAlignment="1" applyProtection="1">
      <alignment horizontal="center" vertical="center" wrapText="1"/>
      <protection locked="0"/>
    </xf>
    <xf numFmtId="166" fontId="28" fillId="12" borderId="2" xfId="1" applyNumberFormat="1" applyFont="1" applyFill="1" applyBorder="1" applyAlignment="1" applyProtection="1">
      <alignment horizontal="center" vertical="center" wrapText="1"/>
      <protection locked="0"/>
    </xf>
    <xf numFmtId="166" fontId="19" fillId="12" borderId="2" xfId="1" applyNumberFormat="1" applyFont="1" applyFill="1" applyBorder="1" applyAlignment="1" applyProtection="1">
      <alignment horizontal="center" vertical="center" wrapText="1"/>
      <protection locked="0"/>
    </xf>
    <xf numFmtId="166" fontId="12" fillId="12" borderId="2" xfId="0" applyNumberFormat="1" applyFont="1" applyFill="1" applyBorder="1" applyAlignment="1">
      <alignment wrapText="1"/>
    </xf>
    <xf numFmtId="165" fontId="28" fillId="12" borderId="2" xfId="1" applyNumberFormat="1" applyFont="1" applyFill="1" applyBorder="1" applyAlignment="1" applyProtection="1">
      <alignment horizontal="center" vertical="center" wrapText="1"/>
      <protection locked="0"/>
    </xf>
    <xf numFmtId="166" fontId="27" fillId="12" borderId="2" xfId="1" applyNumberFormat="1" applyFont="1" applyFill="1" applyBorder="1" applyAlignment="1" applyProtection="1">
      <alignment horizontal="center" vertical="center" wrapText="1"/>
      <protection locked="0"/>
    </xf>
    <xf numFmtId="165" fontId="27" fillId="12" borderId="2" xfId="1" applyNumberFormat="1" applyFont="1" applyFill="1" applyBorder="1" applyAlignment="1" applyProtection="1">
      <alignment horizontal="center" vertical="center" wrapText="1"/>
      <protection locked="0"/>
    </xf>
    <xf numFmtId="166" fontId="31" fillId="12" borderId="2" xfId="1" applyNumberFormat="1" applyFont="1" applyFill="1" applyBorder="1" applyAlignment="1" applyProtection="1">
      <alignment horizontal="center" vertical="center" wrapText="1"/>
    </xf>
    <xf numFmtId="0" fontId="28" fillId="12" borderId="2" xfId="0" applyFont="1" applyFill="1" applyBorder="1" applyAlignment="1" applyProtection="1">
      <alignment horizontal="left" vertical="top" wrapText="1"/>
      <protection locked="0"/>
    </xf>
    <xf numFmtId="0" fontId="21" fillId="12" borderId="2" xfId="0" applyFont="1" applyFill="1" applyBorder="1" applyAlignment="1" applyProtection="1">
      <alignment horizontal="left" vertical="top" wrapText="1"/>
      <protection locked="0"/>
    </xf>
    <xf numFmtId="166" fontId="31" fillId="12" borderId="3" xfId="1" applyNumberFormat="1" applyFont="1" applyFill="1" applyBorder="1" applyAlignment="1" applyProtection="1">
      <alignment horizontal="center" vertical="center" wrapText="1"/>
    </xf>
    <xf numFmtId="166" fontId="26" fillId="12" borderId="2" xfId="1" applyNumberFormat="1" applyFont="1" applyFill="1" applyBorder="1" applyAlignment="1" applyProtection="1">
      <alignment horizontal="center" vertical="center" wrapText="1"/>
    </xf>
    <xf numFmtId="166" fontId="19" fillId="12" borderId="0" xfId="1" applyNumberFormat="1" applyFont="1" applyFill="1" applyBorder="1" applyAlignment="1" applyProtection="1">
      <alignment horizontal="center" vertical="center" wrapText="1"/>
      <protection locked="0"/>
    </xf>
    <xf numFmtId="166" fontId="21" fillId="12" borderId="2" xfId="1" applyNumberFormat="1" applyFont="1" applyFill="1" applyBorder="1" applyAlignment="1" applyProtection="1">
      <alignment horizontal="center" vertical="center" wrapText="1"/>
    </xf>
    <xf numFmtId="166" fontId="19" fillId="12" borderId="0" xfId="1" applyNumberFormat="1" applyFont="1" applyFill="1" applyBorder="1" applyAlignment="1" applyProtection="1">
      <alignment vertical="center" wrapText="1"/>
      <protection locked="0"/>
    </xf>
    <xf numFmtId="166" fontId="21" fillId="12" borderId="3" xfId="1" applyNumberFormat="1" applyFont="1" applyFill="1" applyBorder="1" applyAlignment="1" applyProtection="1">
      <alignment horizontal="center" vertical="center" wrapText="1"/>
    </xf>
    <xf numFmtId="166" fontId="19" fillId="12" borderId="2" xfId="1" applyNumberFormat="1" applyFont="1" applyFill="1" applyBorder="1" applyAlignment="1" applyProtection="1">
      <alignment vertical="center" wrapText="1"/>
      <protection locked="0"/>
    </xf>
    <xf numFmtId="166" fontId="28" fillId="12" borderId="2" xfId="1" applyNumberFormat="1" applyFont="1" applyFill="1" applyBorder="1" applyAlignment="1" applyProtection="1">
      <alignment vertical="center" wrapText="1"/>
      <protection locked="0"/>
    </xf>
    <xf numFmtId="166" fontId="28" fillId="12" borderId="0" xfId="1" applyNumberFormat="1" applyFont="1" applyFill="1" applyBorder="1" applyAlignment="1" applyProtection="1">
      <alignment vertical="center" wrapText="1"/>
      <protection locked="0"/>
    </xf>
    <xf numFmtId="165" fontId="22" fillId="12" borderId="2" xfId="1" applyNumberFormat="1" applyFont="1" applyFill="1" applyBorder="1" applyAlignment="1" applyProtection="1">
      <alignment vertical="center" wrapText="1"/>
      <protection locked="0"/>
    </xf>
    <xf numFmtId="165" fontId="22" fillId="12" borderId="2" xfId="1" applyNumberFormat="1" applyFont="1" applyFill="1" applyBorder="1" applyAlignment="1" applyProtection="1">
      <alignment horizontal="center" vertical="center" wrapText="1"/>
      <protection locked="0"/>
    </xf>
    <xf numFmtId="166" fontId="31" fillId="12" borderId="2" xfId="1" applyNumberFormat="1" applyFont="1" applyFill="1" applyBorder="1" applyAlignment="1" applyProtection="1">
      <alignment vertical="center" wrapText="1"/>
    </xf>
    <xf numFmtId="166" fontId="21" fillId="12" borderId="2" xfId="1" applyNumberFormat="1" applyFont="1" applyFill="1" applyBorder="1" applyAlignment="1" applyProtection="1">
      <alignment horizontal="center" vertical="center" wrapText="1"/>
      <protection locked="0"/>
    </xf>
    <xf numFmtId="166" fontId="19" fillId="12" borderId="2" xfId="0" applyNumberFormat="1" applyFont="1" applyFill="1" applyBorder="1" applyAlignment="1">
      <alignment vertical="center" wrapText="1"/>
    </xf>
    <xf numFmtId="166" fontId="21" fillId="12" borderId="15" xfId="1" applyNumberFormat="1" applyFont="1" applyFill="1" applyBorder="1" applyAlignment="1" applyProtection="1">
      <alignment vertical="center" wrapText="1"/>
    </xf>
    <xf numFmtId="166" fontId="25" fillId="12" borderId="0" xfId="0" applyNumberFormat="1" applyFont="1" applyFill="1" applyAlignment="1">
      <alignment wrapText="1"/>
    </xf>
    <xf numFmtId="166" fontId="21" fillId="12" borderId="0" xfId="0" applyNumberFormat="1" applyFont="1" applyFill="1" applyAlignment="1">
      <alignment vertical="center" wrapText="1"/>
    </xf>
    <xf numFmtId="166" fontId="21" fillId="12" borderId="20" xfId="0" applyNumberFormat="1" applyFont="1" applyFill="1" applyBorder="1" applyAlignment="1">
      <alignment vertical="center" wrapText="1"/>
    </xf>
    <xf numFmtId="9" fontId="21" fillId="12" borderId="13" xfId="2" applyFont="1" applyFill="1" applyBorder="1" applyAlignment="1" applyProtection="1">
      <alignment wrapText="1"/>
    </xf>
    <xf numFmtId="166" fontId="21" fillId="12" borderId="13" xfId="2" applyNumberFormat="1" applyFont="1" applyFill="1" applyBorder="1" applyAlignment="1" applyProtection="1">
      <alignment wrapText="1"/>
    </xf>
    <xf numFmtId="166" fontId="27" fillId="12" borderId="2" xfId="1" applyNumberFormat="1" applyFont="1" applyFill="1" applyBorder="1" applyAlignment="1" applyProtection="1">
      <alignment vertical="center" wrapText="1"/>
      <protection locked="0"/>
    </xf>
    <xf numFmtId="168" fontId="37" fillId="0" borderId="0" xfId="0" applyNumberFormat="1" applyFont="1" applyAlignment="1">
      <alignment wrapText="1"/>
    </xf>
    <xf numFmtId="168" fontId="26" fillId="4" borderId="2" xfId="0" applyNumberFormat="1" applyFont="1" applyFill="1" applyBorder="1" applyAlignment="1">
      <alignment horizontal="center" vertical="center" wrapText="1"/>
    </xf>
    <xf numFmtId="168" fontId="27" fillId="3" borderId="0" xfId="1" applyNumberFormat="1" applyFont="1" applyFill="1" applyBorder="1" applyAlignment="1" applyProtection="1">
      <alignment horizontal="center" vertical="center" wrapText="1"/>
      <protection locked="0"/>
    </xf>
    <xf numFmtId="168" fontId="27" fillId="3" borderId="0" xfId="1" applyNumberFormat="1" applyFont="1" applyFill="1" applyBorder="1" applyAlignment="1" applyProtection="1">
      <alignment vertical="center" wrapText="1"/>
      <protection locked="0"/>
    </xf>
    <xf numFmtId="168" fontId="27" fillId="4" borderId="3" xfId="1" applyNumberFormat="1" applyFont="1" applyFill="1" applyBorder="1" applyAlignment="1" applyProtection="1">
      <alignment horizontal="center" vertical="center" wrapText="1"/>
    </xf>
    <xf numFmtId="168" fontId="27" fillId="3" borderId="2" xfId="1" applyNumberFormat="1" applyFont="1" applyFill="1" applyBorder="1" applyAlignment="1" applyProtection="1">
      <alignment vertical="center" wrapText="1"/>
      <protection locked="0"/>
    </xf>
    <xf numFmtId="168" fontId="26" fillId="8" borderId="2" xfId="0" applyNumberFormat="1" applyFont="1" applyFill="1" applyBorder="1" applyAlignment="1">
      <alignment horizontal="center" vertical="center" wrapText="1"/>
    </xf>
    <xf numFmtId="168" fontId="26" fillId="4" borderId="2" xfId="1" applyNumberFormat="1" applyFont="1" applyFill="1" applyBorder="1" applyAlignment="1" applyProtection="1">
      <alignment horizontal="center" vertical="center" wrapText="1"/>
    </xf>
    <xf numFmtId="168" fontId="30" fillId="0" borderId="0" xfId="0" applyNumberFormat="1" applyFont="1" applyAlignment="1">
      <alignment wrapText="1"/>
    </xf>
    <xf numFmtId="168" fontId="26" fillId="3" borderId="0" xfId="0" applyNumberFormat="1" applyFont="1" applyFill="1" applyAlignment="1">
      <alignment vertical="center" wrapText="1"/>
    </xf>
    <xf numFmtId="168" fontId="26" fillId="4" borderId="22" xfId="0" applyNumberFormat="1" applyFont="1" applyFill="1" applyBorder="1" applyAlignment="1">
      <alignment horizontal="center" vertical="center" wrapText="1"/>
    </xf>
    <xf numFmtId="168" fontId="26" fillId="0" borderId="0" xfId="0" applyNumberFormat="1" applyFont="1" applyAlignment="1">
      <alignment vertical="center" wrapText="1"/>
    </xf>
    <xf numFmtId="168" fontId="26" fillId="3" borderId="0" xfId="2" applyNumberFormat="1" applyFont="1" applyFill="1" applyBorder="1" applyAlignment="1">
      <alignment wrapText="1"/>
    </xf>
    <xf numFmtId="168" fontId="38" fillId="3" borderId="0" xfId="0" applyNumberFormat="1" applyFont="1" applyFill="1" applyAlignment="1">
      <alignment horizontal="center" vertical="center" wrapText="1"/>
    </xf>
    <xf numFmtId="168" fontId="30" fillId="3" borderId="0" xfId="0" applyNumberFormat="1" applyFont="1" applyFill="1" applyAlignment="1">
      <alignment horizontal="center" vertical="center" wrapText="1"/>
    </xf>
    <xf numFmtId="165" fontId="23" fillId="12" borderId="2" xfId="1" applyNumberFormat="1" applyFont="1" applyFill="1" applyBorder="1" applyAlignment="1" applyProtection="1">
      <alignment horizontal="center" vertical="center" wrapText="1"/>
      <protection locked="0"/>
    </xf>
    <xf numFmtId="165" fontId="23" fillId="12" borderId="2" xfId="1" applyNumberFormat="1" applyFont="1" applyFill="1" applyBorder="1" applyAlignment="1" applyProtection="1">
      <alignment vertical="center" wrapText="1"/>
      <protection locked="0"/>
    </xf>
    <xf numFmtId="166" fontId="26" fillId="8" borderId="2" xfId="1" applyNumberFormat="1" applyFont="1" applyFill="1" applyBorder="1" applyAlignment="1" applyProtection="1">
      <alignment vertical="center" wrapText="1"/>
    </xf>
    <xf numFmtId="169" fontId="23" fillId="0" borderId="2" xfId="0" applyNumberFormat="1" applyFont="1" applyBorder="1" applyAlignment="1" applyProtection="1">
      <alignment wrapText="1"/>
      <protection locked="0"/>
    </xf>
    <xf numFmtId="165" fontId="7" fillId="0" borderId="6" xfId="0" applyNumberFormat="1" applyFont="1" applyBorder="1" applyAlignment="1" applyProtection="1">
      <alignment wrapText="1"/>
      <protection locked="0"/>
    </xf>
    <xf numFmtId="169" fontId="23" fillId="0" borderId="6" xfId="0" applyNumberFormat="1" applyFont="1" applyBorder="1" applyAlignment="1" applyProtection="1">
      <alignment wrapText="1"/>
      <protection locked="0"/>
    </xf>
    <xf numFmtId="169" fontId="11" fillId="4" borderId="15" xfId="0" applyNumberFormat="1" applyFont="1" applyFill="1" applyBorder="1" applyAlignment="1">
      <alignment horizontal="center" wrapText="1"/>
    </xf>
    <xf numFmtId="169" fontId="23" fillId="4" borderId="2" xfId="0" applyNumberFormat="1" applyFont="1" applyFill="1" applyBorder="1" applyAlignment="1">
      <alignment wrapText="1"/>
    </xf>
    <xf numFmtId="169" fontId="23" fillId="4" borderId="6" xfId="0" applyNumberFormat="1" applyFont="1" applyFill="1" applyBorder="1" applyAlignment="1">
      <alignment wrapText="1"/>
    </xf>
    <xf numFmtId="0" fontId="0" fillId="10" borderId="0" xfId="0" applyFill="1" applyAlignment="1">
      <alignment horizontal="center"/>
    </xf>
    <xf numFmtId="0" fontId="6" fillId="2" borderId="0" xfId="0" applyFont="1" applyFill="1" applyAlignment="1">
      <alignment horizontal="center" vertical="center"/>
    </xf>
    <xf numFmtId="0" fontId="6" fillId="4" borderId="0" xfId="0" applyFont="1" applyFill="1" applyAlignment="1">
      <alignment horizontal="center" vertical="center" wrapText="1"/>
    </xf>
    <xf numFmtId="169" fontId="6" fillId="4" borderId="4" xfId="2" applyNumberFormat="1" applyFont="1" applyFill="1" applyBorder="1" applyAlignment="1">
      <alignment vertical="center" wrapText="1"/>
    </xf>
    <xf numFmtId="169" fontId="6" fillId="4" borderId="60" xfId="2" applyNumberFormat="1" applyFont="1" applyFill="1" applyBorder="1" applyAlignment="1">
      <alignment vertical="center" wrapText="1"/>
    </xf>
    <xf numFmtId="165" fontId="6" fillId="4" borderId="2" xfId="0" applyNumberFormat="1" applyFont="1" applyFill="1" applyBorder="1" applyAlignment="1">
      <alignment horizontal="center" vertical="center" wrapText="1"/>
    </xf>
    <xf numFmtId="165" fontId="6" fillId="4" borderId="26" xfId="0" applyNumberFormat="1" applyFont="1" applyFill="1" applyBorder="1" applyAlignment="1">
      <alignment wrapText="1"/>
    </xf>
    <xf numFmtId="165" fontId="6" fillId="4" borderId="21" xfId="0" applyNumberFormat="1" applyFont="1" applyFill="1" applyBorder="1" applyAlignment="1">
      <alignment wrapText="1"/>
    </xf>
    <xf numFmtId="165" fontId="6" fillId="4" borderId="22" xfId="0" applyNumberFormat="1" applyFont="1" applyFill="1" applyBorder="1" applyAlignment="1">
      <alignment wrapText="1"/>
    </xf>
    <xf numFmtId="169" fontId="6" fillId="4" borderId="21" xfId="3" applyNumberFormat="1" applyFont="1" applyFill="1" applyBorder="1" applyAlignment="1">
      <alignment wrapText="1"/>
    </xf>
    <xf numFmtId="165" fontId="6" fillId="0" borderId="2" xfId="3" applyFont="1" applyFill="1" applyBorder="1" applyAlignment="1">
      <alignment wrapText="1"/>
    </xf>
    <xf numFmtId="165" fontId="11" fillId="4" borderId="2" xfId="0" applyNumberFormat="1" applyFont="1" applyFill="1" applyBorder="1" applyAlignment="1">
      <alignment horizontal="center" vertical="center" wrapText="1"/>
    </xf>
    <xf numFmtId="171" fontId="0" fillId="0" borderId="0" xfId="0" applyNumberFormat="1"/>
    <xf numFmtId="0" fontId="6" fillId="4" borderId="21" xfId="0" applyFont="1" applyFill="1" applyBorder="1" applyAlignment="1">
      <alignment horizontal="center" vertical="center" wrapText="1"/>
    </xf>
    <xf numFmtId="169" fontId="7" fillId="4" borderId="19" xfId="0" applyNumberFormat="1" applyFont="1" applyFill="1" applyBorder="1" applyAlignment="1">
      <alignment wrapText="1"/>
    </xf>
    <xf numFmtId="169" fontId="6" fillId="4" borderId="52" xfId="3" applyNumberFormat="1" applyFont="1" applyFill="1" applyBorder="1" applyAlignment="1">
      <alignment wrapText="1"/>
    </xf>
    <xf numFmtId="171" fontId="7" fillId="0" borderId="0" xfId="0" applyNumberFormat="1" applyFont="1" applyAlignment="1">
      <alignment wrapText="1"/>
    </xf>
    <xf numFmtId="0" fontId="25" fillId="4" borderId="0" xfId="0" applyFont="1" applyFill="1" applyAlignment="1">
      <alignment wrapText="1"/>
    </xf>
    <xf numFmtId="0" fontId="28" fillId="4" borderId="2" xfId="0" applyFont="1" applyFill="1" applyBorder="1" applyAlignment="1">
      <alignment vertical="center" wrapText="1"/>
    </xf>
    <xf numFmtId="0" fontId="28" fillId="4" borderId="2" xfId="0" applyFont="1" applyFill="1" applyBorder="1" applyAlignment="1" applyProtection="1">
      <alignment horizontal="left" vertical="top" wrapText="1"/>
      <protection locked="0"/>
    </xf>
    <xf numFmtId="166" fontId="28" fillId="4" borderId="2" xfId="1" applyNumberFormat="1" applyFont="1" applyFill="1" applyBorder="1" applyAlignment="1" applyProtection="1">
      <alignment horizontal="center" vertical="center" wrapText="1"/>
      <protection locked="0"/>
    </xf>
    <xf numFmtId="9" fontId="28" fillId="4" borderId="2" xfId="2" applyFont="1" applyFill="1" applyBorder="1" applyAlignment="1" applyProtection="1">
      <alignment horizontal="center" vertical="center" wrapText="1"/>
      <protection locked="0"/>
    </xf>
    <xf numFmtId="164" fontId="28" fillId="4" borderId="2" xfId="1" applyFont="1" applyFill="1" applyBorder="1" applyAlignment="1" applyProtection="1">
      <alignment horizontal="center" vertical="center" wrapText="1"/>
      <protection locked="0"/>
    </xf>
    <xf numFmtId="49" fontId="28" fillId="4" borderId="2" xfId="1" applyNumberFormat="1" applyFont="1" applyFill="1" applyBorder="1" applyAlignment="1" applyProtection="1">
      <alignment horizontal="left" wrapText="1"/>
      <protection locked="0"/>
    </xf>
    <xf numFmtId="164" fontId="19" fillId="4" borderId="0" xfId="1" applyFont="1" applyFill="1" applyBorder="1" applyAlignment="1" applyProtection="1">
      <alignment horizontal="center" vertical="center" wrapText="1"/>
    </xf>
    <xf numFmtId="0" fontId="27" fillId="4" borderId="2" xfId="0" applyFont="1" applyFill="1" applyBorder="1" applyAlignment="1">
      <alignment vertical="center" wrapText="1"/>
    </xf>
    <xf numFmtId="9" fontId="30" fillId="3" borderId="2" xfId="0" applyNumberFormat="1" applyFont="1" applyFill="1" applyBorder="1" applyAlignment="1">
      <alignment wrapText="1"/>
    </xf>
    <xf numFmtId="0" fontId="12" fillId="13" borderId="0" xfId="0" applyFont="1" applyFill="1" applyAlignment="1">
      <alignment wrapText="1"/>
    </xf>
    <xf numFmtId="0" fontId="21" fillId="13" borderId="2" xfId="0" applyFont="1" applyFill="1" applyBorder="1" applyAlignment="1">
      <alignment horizontal="center" vertical="center" wrapText="1"/>
    </xf>
    <xf numFmtId="165" fontId="19" fillId="13" borderId="2" xfId="1" applyNumberFormat="1" applyFont="1" applyFill="1" applyBorder="1" applyAlignment="1" applyProtection="1">
      <alignment horizontal="center" vertical="center" wrapText="1"/>
      <protection locked="0"/>
    </xf>
    <xf numFmtId="0" fontId="12" fillId="13" borderId="2" xfId="0" applyFont="1" applyFill="1" applyBorder="1" applyAlignment="1">
      <alignment wrapText="1"/>
    </xf>
    <xf numFmtId="166" fontId="19" fillId="13" borderId="2" xfId="1" applyNumberFormat="1" applyFont="1" applyFill="1" applyBorder="1" applyAlignment="1" applyProtection="1">
      <alignment horizontal="center" vertical="center" wrapText="1"/>
      <protection locked="0"/>
    </xf>
    <xf numFmtId="166" fontId="27" fillId="13" borderId="2" xfId="1" applyNumberFormat="1" applyFont="1" applyFill="1" applyBorder="1" applyAlignment="1" applyProtection="1">
      <alignment horizontal="center" vertical="center" wrapText="1"/>
      <protection locked="0"/>
    </xf>
    <xf numFmtId="166" fontId="21" fillId="13" borderId="2" xfId="1" applyNumberFormat="1" applyFont="1" applyFill="1" applyBorder="1" applyAlignment="1" applyProtection="1">
      <alignment horizontal="center" vertical="center" wrapText="1"/>
    </xf>
    <xf numFmtId="165" fontId="28" fillId="13" borderId="2" xfId="1" applyNumberFormat="1" applyFont="1" applyFill="1" applyBorder="1" applyAlignment="1" applyProtection="1">
      <alignment horizontal="center" vertical="center" wrapText="1"/>
      <protection locked="0"/>
    </xf>
    <xf numFmtId="0" fontId="21" fillId="13" borderId="2" xfId="0" applyFont="1" applyFill="1" applyBorder="1" applyAlignment="1" applyProtection="1">
      <alignment horizontal="left" vertical="top" wrapText="1"/>
      <protection locked="0"/>
    </xf>
    <xf numFmtId="164" fontId="19" fillId="13" borderId="2" xfId="1" applyFont="1" applyFill="1" applyBorder="1" applyAlignment="1" applyProtection="1">
      <alignment horizontal="center" vertical="center" wrapText="1"/>
      <protection locked="0"/>
    </xf>
    <xf numFmtId="164" fontId="27" fillId="13" borderId="2" xfId="1" applyFont="1" applyFill="1" applyBorder="1" applyAlignment="1" applyProtection="1">
      <alignment horizontal="center" vertical="center" wrapText="1"/>
      <protection locked="0"/>
    </xf>
    <xf numFmtId="166" fontId="21" fillId="13" borderId="3" xfId="1" applyNumberFormat="1" applyFont="1" applyFill="1" applyBorder="1" applyAlignment="1" applyProtection="1">
      <alignment horizontal="center" vertical="center" wrapText="1"/>
    </xf>
    <xf numFmtId="164" fontId="19" fillId="13" borderId="0" xfId="1" applyFont="1" applyFill="1" applyBorder="1" applyAlignment="1" applyProtection="1">
      <alignment horizontal="center" vertical="center" wrapText="1"/>
      <protection locked="0"/>
    </xf>
    <xf numFmtId="166" fontId="28" fillId="13" borderId="2" xfId="1" applyNumberFormat="1" applyFont="1" applyFill="1" applyBorder="1" applyAlignment="1" applyProtection="1">
      <alignment horizontal="center" vertical="center" wrapText="1"/>
      <protection locked="0"/>
    </xf>
    <xf numFmtId="166" fontId="19" fillId="13" borderId="2" xfId="1" applyNumberFormat="1" applyFont="1" applyFill="1" applyBorder="1" applyAlignment="1" applyProtection="1">
      <alignment horizontal="center" vertical="center" wrapText="1"/>
    </xf>
    <xf numFmtId="166" fontId="31" fillId="13" borderId="3" xfId="1" applyNumberFormat="1" applyFont="1" applyFill="1" applyBorder="1" applyAlignment="1" applyProtection="1">
      <alignment horizontal="center" vertical="center" wrapText="1"/>
    </xf>
    <xf numFmtId="164" fontId="19" fillId="13" borderId="0" xfId="1" applyFont="1" applyFill="1" applyBorder="1" applyAlignment="1" applyProtection="1">
      <alignment vertical="center" wrapText="1"/>
      <protection locked="0"/>
    </xf>
    <xf numFmtId="166" fontId="21" fillId="13" borderId="2" xfId="1" applyNumberFormat="1" applyFont="1" applyFill="1" applyBorder="1" applyAlignment="1" applyProtection="1">
      <alignment vertical="center" wrapText="1"/>
    </xf>
    <xf numFmtId="164" fontId="21" fillId="13" borderId="0" xfId="1" applyFont="1" applyFill="1" applyBorder="1" applyAlignment="1" applyProtection="1">
      <alignment vertical="center" wrapText="1"/>
      <protection locked="0"/>
    </xf>
    <xf numFmtId="164" fontId="25" fillId="13" borderId="0" xfId="1" applyFont="1" applyFill="1" applyBorder="1" applyAlignment="1">
      <alignment wrapText="1"/>
    </xf>
    <xf numFmtId="164" fontId="21" fillId="13" borderId="0" xfId="1" applyFont="1" applyFill="1" applyBorder="1" applyAlignment="1">
      <alignment vertical="center" wrapText="1"/>
    </xf>
    <xf numFmtId="164" fontId="21" fillId="13" borderId="0" xfId="1" applyFont="1" applyFill="1" applyBorder="1" applyAlignment="1" applyProtection="1">
      <alignment horizontal="center" vertical="center" wrapText="1"/>
    </xf>
    <xf numFmtId="164" fontId="21" fillId="13" borderId="0" xfId="1" applyFont="1" applyFill="1" applyBorder="1" applyAlignment="1" applyProtection="1">
      <alignment horizontal="right" vertical="center" wrapText="1"/>
      <protection locked="0"/>
    </xf>
    <xf numFmtId="164" fontId="21" fillId="13" borderId="0" xfId="1" applyFont="1" applyFill="1" applyBorder="1" applyAlignment="1" applyProtection="1">
      <alignment vertical="center" wrapText="1"/>
    </xf>
    <xf numFmtId="9" fontId="25" fillId="13" borderId="16" xfId="2" applyFont="1" applyFill="1" applyBorder="1" applyAlignment="1">
      <alignment wrapText="1"/>
    </xf>
    <xf numFmtId="164" fontId="12" fillId="13" borderId="0" xfId="1" applyFont="1" applyFill="1" applyBorder="1" applyAlignment="1">
      <alignment wrapText="1"/>
    </xf>
    <xf numFmtId="165" fontId="27" fillId="13" borderId="2" xfId="1" applyNumberFormat="1" applyFont="1" applyFill="1" applyBorder="1" applyAlignment="1" applyProtection="1">
      <alignment horizontal="center" vertical="center" wrapText="1"/>
      <protection locked="0"/>
    </xf>
    <xf numFmtId="166" fontId="19" fillId="13" borderId="2" xfId="1" applyNumberFormat="1" applyFont="1" applyFill="1" applyBorder="1" applyAlignment="1" applyProtection="1">
      <alignment vertical="center" wrapText="1"/>
      <protection locked="0"/>
    </xf>
    <xf numFmtId="0" fontId="35" fillId="3" borderId="0" xfId="0" applyFont="1" applyFill="1" applyAlignment="1">
      <alignment wrapText="1"/>
    </xf>
    <xf numFmtId="164" fontId="28" fillId="3" borderId="2" xfId="1" applyFont="1" applyFill="1" applyBorder="1" applyAlignment="1" applyProtection="1">
      <alignment vertical="center" wrapText="1"/>
      <protection locked="0"/>
    </xf>
    <xf numFmtId="164" fontId="36" fillId="3" borderId="0" xfId="1" applyFont="1" applyFill="1" applyBorder="1" applyAlignment="1">
      <alignment wrapText="1"/>
    </xf>
    <xf numFmtId="164" fontId="36" fillId="3" borderId="0" xfId="1" applyFont="1" applyFill="1" applyBorder="1" applyAlignment="1">
      <alignment vertical="center" wrapText="1"/>
    </xf>
    <xf numFmtId="9" fontId="36" fillId="3" borderId="0" xfId="2" applyFont="1" applyFill="1" applyBorder="1" applyAlignment="1">
      <alignment wrapText="1"/>
    </xf>
    <xf numFmtId="164" fontId="35" fillId="3" borderId="0" xfId="1" applyFont="1" applyFill="1" applyBorder="1" applyAlignment="1">
      <alignment wrapText="1"/>
    </xf>
    <xf numFmtId="0" fontId="28" fillId="3" borderId="2" xfId="0" applyFont="1" applyFill="1" applyBorder="1" applyAlignment="1">
      <alignment horizontal="center" vertical="center" wrapText="1"/>
    </xf>
    <xf numFmtId="166" fontId="28" fillId="3" borderId="2" xfId="0" applyNumberFormat="1" applyFont="1" applyFill="1" applyBorder="1" applyAlignment="1">
      <alignment vertical="center" wrapText="1"/>
    </xf>
    <xf numFmtId="164" fontId="28" fillId="3" borderId="2" xfId="1" applyFont="1" applyFill="1" applyBorder="1" applyAlignment="1" applyProtection="1">
      <alignment horizontal="center" vertical="center" wrapText="1"/>
    </xf>
    <xf numFmtId="164" fontId="28" fillId="3" borderId="3" xfId="1" applyFont="1" applyFill="1" applyBorder="1" applyAlignment="1" applyProtection="1">
      <alignment horizontal="center" vertical="center" wrapText="1"/>
    </xf>
    <xf numFmtId="164" fontId="28" fillId="3" borderId="0" xfId="1" applyFont="1" applyFill="1" applyBorder="1" applyAlignment="1">
      <alignment vertical="center" wrapText="1"/>
    </xf>
    <xf numFmtId="164" fontId="28" fillId="3" borderId="0" xfId="1" applyFont="1" applyFill="1" applyBorder="1" applyAlignment="1" applyProtection="1">
      <alignment horizontal="center" vertical="center" wrapText="1"/>
    </xf>
    <xf numFmtId="164" fontId="28" fillId="3" borderId="0" xfId="1" applyFont="1" applyFill="1" applyBorder="1" applyAlignment="1" applyProtection="1">
      <alignment horizontal="right" vertical="center" wrapText="1"/>
      <protection locked="0"/>
    </xf>
    <xf numFmtId="164" fontId="28" fillId="3" borderId="0" xfId="1" applyFont="1" applyFill="1" applyBorder="1" applyAlignment="1" applyProtection="1">
      <alignment vertical="center" wrapText="1"/>
    </xf>
    <xf numFmtId="166" fontId="21" fillId="3" borderId="3" xfId="1" applyNumberFormat="1" applyFont="1" applyFill="1" applyBorder="1" applyAlignment="1" applyProtection="1">
      <alignment horizontal="center" vertical="center" wrapText="1"/>
    </xf>
    <xf numFmtId="172" fontId="28" fillId="3" borderId="2" xfId="0" applyNumberFormat="1" applyFont="1" applyFill="1" applyBorder="1" applyAlignment="1" applyProtection="1">
      <alignment horizontal="left" vertical="top" wrapText="1"/>
      <protection locked="0"/>
    </xf>
    <xf numFmtId="166" fontId="31" fillId="3" borderId="3" xfId="1" applyNumberFormat="1" applyFont="1" applyFill="1" applyBorder="1" applyAlignment="1" applyProtection="1">
      <alignment horizontal="center" vertical="center" wrapText="1"/>
    </xf>
    <xf numFmtId="170" fontId="25" fillId="0" borderId="0" xfId="0" applyNumberFormat="1" applyFont="1" applyAlignment="1">
      <alignment wrapText="1"/>
    </xf>
    <xf numFmtId="164" fontId="28" fillId="10" borderId="0" xfId="1" applyFont="1" applyFill="1" applyBorder="1" applyAlignment="1" applyProtection="1">
      <alignment horizontal="center" vertical="center" wrapText="1"/>
    </xf>
    <xf numFmtId="168" fontId="28" fillId="4" borderId="2" xfId="1" applyNumberFormat="1" applyFont="1" applyFill="1" applyBorder="1" applyAlignment="1" applyProtection="1">
      <alignment horizontal="center" vertical="center" wrapText="1"/>
    </xf>
    <xf numFmtId="0" fontId="3" fillId="0" borderId="0" xfId="0" applyFont="1" applyAlignment="1">
      <alignment horizontal="left" vertical="top" wrapText="1"/>
    </xf>
    <xf numFmtId="0" fontId="28" fillId="6" borderId="3"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31" fillId="3" borderId="21" xfId="0" applyFont="1" applyFill="1" applyBorder="1" applyAlignment="1" applyProtection="1">
      <alignment horizontal="left" vertical="top" wrapText="1"/>
      <protection locked="0"/>
    </xf>
    <xf numFmtId="0" fontId="31" fillId="3" borderId="4" xfId="0" applyFont="1" applyFill="1" applyBorder="1" applyAlignment="1" applyProtection="1">
      <alignment horizontal="left" vertical="top" wrapText="1"/>
      <protection locked="0"/>
    </xf>
    <xf numFmtId="0" fontId="31" fillId="3" borderId="5" xfId="0" applyFont="1" applyFill="1" applyBorder="1" applyAlignment="1" applyProtection="1">
      <alignment horizontal="left" vertical="top" wrapText="1"/>
      <protection locked="0"/>
    </xf>
    <xf numFmtId="0" fontId="21" fillId="3" borderId="21" xfId="0" applyFont="1" applyFill="1" applyBorder="1" applyAlignment="1" applyProtection="1">
      <alignment horizontal="left" vertical="top" wrapText="1"/>
      <protection locked="0"/>
    </xf>
    <xf numFmtId="0" fontId="21" fillId="3" borderId="4" xfId="0" applyFont="1" applyFill="1" applyBorder="1" applyAlignment="1" applyProtection="1">
      <alignment horizontal="left" vertical="top" wrapText="1"/>
      <protection locked="0"/>
    </xf>
    <xf numFmtId="0" fontId="21" fillId="3" borderId="5" xfId="0" applyFont="1" applyFill="1" applyBorder="1" applyAlignment="1" applyProtection="1">
      <alignment horizontal="left" vertical="top" wrapText="1"/>
      <protection locked="0"/>
    </xf>
    <xf numFmtId="0" fontId="31" fillId="3" borderId="2" xfId="0" applyFont="1" applyFill="1" applyBorder="1" applyAlignment="1" applyProtection="1">
      <alignment horizontal="left" vertical="top" wrapText="1"/>
      <protection locked="0"/>
    </xf>
    <xf numFmtId="164" fontId="31" fillId="3" borderId="2" xfId="1" applyFont="1" applyFill="1" applyBorder="1" applyAlignment="1" applyProtection="1">
      <alignment horizontal="left" vertical="top" wrapText="1"/>
      <protection locked="0"/>
    </xf>
    <xf numFmtId="0" fontId="19" fillId="6" borderId="3" xfId="0" applyFont="1" applyFill="1" applyBorder="1" applyAlignment="1">
      <alignment vertical="center" wrapText="1"/>
    </xf>
    <xf numFmtId="0" fontId="19" fillId="6" borderId="57" xfId="0" applyFont="1" applyFill="1" applyBorder="1" applyAlignment="1">
      <alignment vertical="center" wrapText="1"/>
    </xf>
    <xf numFmtId="0" fontId="19" fillId="6" borderId="6" xfId="0" applyFont="1" applyFill="1" applyBorder="1" applyAlignment="1">
      <alignment vertical="center" wrapText="1"/>
    </xf>
    <xf numFmtId="0" fontId="28" fillId="6" borderId="3" xfId="0" applyFont="1" applyFill="1" applyBorder="1" applyAlignment="1">
      <alignment vertical="center" wrapText="1"/>
    </xf>
    <xf numFmtId="0" fontId="28" fillId="6" borderId="57" xfId="0" applyFont="1" applyFill="1" applyBorder="1" applyAlignment="1">
      <alignment vertical="center" wrapText="1"/>
    </xf>
    <xf numFmtId="0" fontId="28" fillId="6" borderId="6" xfId="0" applyFont="1" applyFill="1" applyBorder="1" applyAlignment="1">
      <alignment vertical="center" wrapText="1"/>
    </xf>
    <xf numFmtId="0" fontId="19" fillId="6" borderId="3" xfId="0" applyFont="1" applyFill="1" applyBorder="1" applyAlignment="1">
      <alignment horizontal="center" vertical="center" wrapText="1"/>
    </xf>
    <xf numFmtId="0" fontId="19" fillId="6" borderId="57"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27" fillId="6" borderId="3" xfId="0" applyFont="1" applyFill="1" applyBorder="1" applyAlignment="1">
      <alignment vertical="center" wrapText="1"/>
    </xf>
    <xf numFmtId="0" fontId="27" fillId="6" borderId="57" xfId="0" applyFont="1" applyFill="1" applyBorder="1" applyAlignment="1">
      <alignment vertical="center" wrapText="1"/>
    </xf>
    <xf numFmtId="0" fontId="27" fillId="6" borderId="6" xfId="0" applyFont="1" applyFill="1" applyBorder="1" applyAlignment="1">
      <alignment vertical="center" wrapText="1"/>
    </xf>
    <xf numFmtId="0" fontId="19" fillId="3" borderId="21"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19" fillId="3" borderId="5" xfId="0" applyFont="1" applyFill="1" applyBorder="1" applyAlignment="1" applyProtection="1">
      <alignment horizontal="left" vertical="top" wrapText="1"/>
      <protection locked="0"/>
    </xf>
    <xf numFmtId="0" fontId="21" fillId="8" borderId="7"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8" borderId="53"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18" fillId="0" borderId="0" xfId="0" applyFont="1" applyAlignment="1">
      <alignment vertical="center" wrapText="1"/>
    </xf>
    <xf numFmtId="0" fontId="29" fillId="4" borderId="23"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5" fillId="9" borderId="43" xfId="0" applyFont="1" applyFill="1" applyBorder="1" applyAlignment="1">
      <alignment horizontal="center" vertical="center" wrapText="1"/>
    </xf>
    <xf numFmtId="0" fontId="25" fillId="9" borderId="50" xfId="0" applyFont="1" applyFill="1" applyBorder="1" applyAlignment="1">
      <alignment horizontal="center" vertical="center" wrapText="1"/>
    </xf>
    <xf numFmtId="0" fontId="21" fillId="4" borderId="3" xfId="0" applyFont="1" applyFill="1" applyBorder="1" applyAlignment="1">
      <alignment vertical="center" wrapText="1"/>
    </xf>
    <xf numFmtId="0" fontId="21" fillId="4" borderId="57" xfId="0" applyFont="1" applyFill="1" applyBorder="1" applyAlignment="1">
      <alignment vertical="center" wrapText="1"/>
    </xf>
    <xf numFmtId="0" fontId="21" fillId="4" borderId="6" xfId="0" applyFont="1" applyFill="1" applyBorder="1" applyAlignment="1">
      <alignment vertical="center" wrapText="1"/>
    </xf>
    <xf numFmtId="0" fontId="34" fillId="10" borderId="0" xfId="0" applyFont="1" applyFill="1" applyAlignment="1">
      <alignment horizontal="center" wrapText="1"/>
    </xf>
    <xf numFmtId="0" fontId="34" fillId="11" borderId="0" xfId="0" applyFont="1" applyFill="1" applyAlignment="1">
      <alignment horizontal="center" wrapText="1"/>
    </xf>
    <xf numFmtId="49" fontId="21" fillId="3" borderId="21" xfId="0" applyNumberFormat="1" applyFont="1" applyFill="1" applyBorder="1" applyAlignment="1" applyProtection="1">
      <alignment horizontal="left" vertical="top" wrapText="1"/>
      <protection locked="0"/>
    </xf>
    <xf numFmtId="49" fontId="21" fillId="3" borderId="4" xfId="0" applyNumberFormat="1" applyFont="1" applyFill="1" applyBorder="1" applyAlignment="1" applyProtection="1">
      <alignment horizontal="left" vertical="top" wrapText="1"/>
      <protection locked="0"/>
    </xf>
    <xf numFmtId="49" fontId="21" fillId="3" borderId="5" xfId="0" applyNumberFormat="1"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16" fillId="0" borderId="0" xfId="0" applyFont="1" applyAlignment="1">
      <alignment horizontal="left" wrapText="1"/>
    </xf>
    <xf numFmtId="49" fontId="21" fillId="3" borderId="2" xfId="0" applyNumberFormat="1" applyFont="1" applyFill="1" applyBorder="1" applyAlignment="1" applyProtection="1">
      <alignment horizontal="left" vertical="top" wrapText="1"/>
      <protection locked="0"/>
    </xf>
    <xf numFmtId="164" fontId="21" fillId="3" borderId="2" xfId="1" applyFont="1" applyFill="1" applyBorder="1" applyAlignment="1" applyProtection="1">
      <alignment horizontal="left" vertical="top" wrapText="1"/>
      <protection locked="0"/>
    </xf>
    <xf numFmtId="0" fontId="19" fillId="6" borderId="58" xfId="0" applyFont="1" applyFill="1" applyBorder="1" applyAlignment="1">
      <alignment vertical="center" wrapText="1"/>
    </xf>
    <xf numFmtId="0" fontId="19" fillId="6" borderId="59" xfId="0" applyFont="1" applyFill="1" applyBorder="1" applyAlignment="1">
      <alignment vertical="center" wrapText="1"/>
    </xf>
    <xf numFmtId="0" fontId="19" fillId="6" borderId="27" xfId="0" applyFont="1" applyFill="1" applyBorder="1" applyAlignment="1">
      <alignment vertical="center" wrapText="1"/>
    </xf>
    <xf numFmtId="0" fontId="18" fillId="0" borderId="0" xfId="0" applyFont="1" applyAlignment="1">
      <alignment horizontal="center" vertical="center" wrapText="1"/>
    </xf>
    <xf numFmtId="0" fontId="25" fillId="9" borderId="14"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28" fillId="3" borderId="2" xfId="0" applyFont="1" applyFill="1" applyBorder="1" applyAlignment="1" applyProtection="1">
      <alignment horizontal="left" vertical="top" wrapText="1"/>
      <protection locked="0"/>
    </xf>
    <xf numFmtId="164" fontId="28" fillId="3" borderId="2" xfId="1"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164" fontId="19" fillId="3" borderId="2" xfId="1" applyFont="1" applyFill="1" applyBorder="1" applyAlignment="1" applyProtection="1">
      <alignment horizontal="left" vertical="top" wrapText="1"/>
      <protection locked="0"/>
    </xf>
    <xf numFmtId="0" fontId="21" fillId="8" borderId="9"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57"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2" fillId="6" borderId="3" xfId="0" applyFont="1" applyFill="1" applyBorder="1" applyAlignment="1">
      <alignment horizontal="left" vertical="top" wrapText="1"/>
    </xf>
    <xf numFmtId="0" fontId="22" fillId="6" borderId="57" xfId="0" applyFont="1" applyFill="1" applyBorder="1" applyAlignment="1">
      <alignment horizontal="left" vertical="top" wrapText="1"/>
    </xf>
    <xf numFmtId="0" fontId="22" fillId="6" borderId="6" xfId="0" applyFont="1" applyFill="1" applyBorder="1" applyAlignment="1">
      <alignment horizontal="left" vertical="top" wrapText="1"/>
    </xf>
    <xf numFmtId="0" fontId="22" fillId="6" borderId="3" xfId="0" applyFont="1" applyFill="1" applyBorder="1" applyAlignment="1">
      <alignment horizontal="left" vertical="center" wrapText="1"/>
    </xf>
    <xf numFmtId="0" fontId="22" fillId="6" borderId="57" xfId="0" applyFont="1" applyFill="1" applyBorder="1" applyAlignment="1">
      <alignment horizontal="left" vertical="center" wrapText="1"/>
    </xf>
    <xf numFmtId="0" fontId="22" fillId="6" borderId="6" xfId="0" applyFont="1" applyFill="1" applyBorder="1" applyAlignment="1">
      <alignment horizontal="left" vertical="center" wrapText="1"/>
    </xf>
    <xf numFmtId="0" fontId="22" fillId="6" borderId="3" xfId="0" applyFont="1" applyFill="1" applyBorder="1" applyAlignment="1">
      <alignment vertical="center" wrapText="1"/>
    </xf>
    <xf numFmtId="0" fontId="22" fillId="6" borderId="57" xfId="0" applyFont="1" applyFill="1" applyBorder="1" applyAlignment="1">
      <alignment vertical="center" wrapText="1"/>
    </xf>
    <xf numFmtId="0" fontId="22" fillId="6" borderId="6" xfId="0" applyFont="1" applyFill="1" applyBorder="1" applyAlignment="1">
      <alignment vertical="center" wrapText="1"/>
    </xf>
    <xf numFmtId="0" fontId="22" fillId="6" borderId="3" xfId="0" applyFont="1" applyFill="1" applyBorder="1" applyAlignment="1">
      <alignment vertical="top" wrapText="1"/>
    </xf>
    <xf numFmtId="0" fontId="22" fillId="6" borderId="57" xfId="0" applyFont="1" applyFill="1" applyBorder="1" applyAlignment="1">
      <alignment vertical="top" wrapText="1"/>
    </xf>
    <xf numFmtId="0" fontId="22" fillId="6" borderId="6" xfId="0" applyFont="1" applyFill="1" applyBorder="1" applyAlignment="1">
      <alignment vertical="top" wrapText="1"/>
    </xf>
    <xf numFmtId="0" fontId="27" fillId="6" borderId="3"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6" fillId="6" borderId="21" xfId="0" applyFont="1" applyFill="1" applyBorder="1" applyAlignment="1">
      <alignment horizontal="left" vertical="top" wrapText="1"/>
    </xf>
    <xf numFmtId="0" fontId="26" fillId="6" borderId="4" xfId="0" applyFont="1" applyFill="1" applyBorder="1" applyAlignment="1">
      <alignment horizontal="left" vertical="top" wrapText="1"/>
    </xf>
    <xf numFmtId="0" fontId="26" fillId="6" borderId="5" xfId="0" applyFont="1" applyFill="1" applyBorder="1" applyAlignment="1">
      <alignment horizontal="left" vertical="top" wrapText="1"/>
    </xf>
    <xf numFmtId="0" fontId="6" fillId="10" borderId="0" xfId="0" applyFont="1" applyFill="1" applyAlignment="1">
      <alignment horizontal="center" wrapText="1"/>
    </xf>
    <xf numFmtId="0" fontId="6" fillId="11" borderId="0" xfId="0" applyFont="1" applyFill="1" applyAlignment="1">
      <alignment horizontal="center" wrapText="1"/>
    </xf>
    <xf numFmtId="0" fontId="6" fillId="4" borderId="21" xfId="0" applyFont="1" applyFill="1" applyBorder="1" applyAlignment="1">
      <alignment horizontal="left" wrapText="1"/>
    </xf>
    <xf numFmtId="0" fontId="6" fillId="4" borderId="4" xfId="0" applyFont="1" applyFill="1" applyBorder="1" applyAlignment="1">
      <alignment horizontal="left" wrapText="1"/>
    </xf>
    <xf numFmtId="0" fontId="6" fillId="4" borderId="5" xfId="0" applyFont="1" applyFill="1" applyBorder="1" applyAlignment="1">
      <alignment horizontal="left" wrapText="1"/>
    </xf>
    <xf numFmtId="0" fontId="6" fillId="4" borderId="26" xfId="0" applyFont="1" applyFill="1" applyBorder="1" applyAlignment="1">
      <alignment horizontal="left" wrapText="1"/>
    </xf>
    <xf numFmtId="0" fontId="6" fillId="4" borderId="25" xfId="0" applyFont="1" applyFill="1" applyBorder="1" applyAlignment="1">
      <alignment horizontal="left" wrapText="1"/>
    </xf>
    <xf numFmtId="0" fontId="6" fillId="4" borderId="27" xfId="0" applyFont="1" applyFill="1" applyBorder="1" applyAlignment="1">
      <alignment horizontal="left" wrapText="1"/>
    </xf>
    <xf numFmtId="0" fontId="10" fillId="0" borderId="25" xfId="0" applyFont="1" applyBorder="1" applyAlignment="1">
      <alignment horizontal="left" wrapText="1"/>
    </xf>
    <xf numFmtId="0" fontId="6" fillId="4" borderId="41" xfId="0" applyFont="1" applyFill="1" applyBorder="1" applyAlignment="1">
      <alignment horizontal="center" wrapText="1"/>
    </xf>
    <xf numFmtId="0" fontId="6" fillId="4" borderId="29" xfId="0" applyFont="1" applyFill="1" applyBorder="1" applyAlignment="1">
      <alignment horizontal="center" wrapText="1"/>
    </xf>
    <xf numFmtId="0" fontId="6" fillId="4" borderId="30" xfId="0" applyFont="1" applyFill="1" applyBorder="1" applyAlignment="1">
      <alignment horizontal="center" wrapText="1"/>
    </xf>
    <xf numFmtId="169" fontId="6" fillId="4" borderId="21" xfId="0" applyNumberFormat="1" applyFont="1" applyFill="1" applyBorder="1" applyAlignment="1">
      <alignment horizontal="left" wrapText="1"/>
    </xf>
    <xf numFmtId="169" fontId="6" fillId="4" borderId="4" xfId="0" applyNumberFormat="1" applyFont="1" applyFill="1" applyBorder="1" applyAlignment="1">
      <alignment horizontal="left" wrapText="1"/>
    </xf>
    <xf numFmtId="169" fontId="6" fillId="4" borderId="5" xfId="0" applyNumberFormat="1" applyFont="1" applyFill="1" applyBorder="1" applyAlignment="1">
      <alignment horizontal="left" wrapText="1"/>
    </xf>
    <xf numFmtId="169" fontId="6" fillId="4" borderId="26" xfId="0" applyNumberFormat="1" applyFont="1" applyFill="1" applyBorder="1" applyAlignment="1">
      <alignment horizontal="left" wrapText="1"/>
    </xf>
    <xf numFmtId="169" fontId="6" fillId="4" borderId="25" xfId="0" applyNumberFormat="1" applyFont="1" applyFill="1" applyBorder="1" applyAlignment="1">
      <alignment horizontal="left" wrapText="1"/>
    </xf>
    <xf numFmtId="169" fontId="6" fillId="4" borderId="27" xfId="0" applyNumberFormat="1" applyFont="1" applyFill="1" applyBorder="1" applyAlignment="1">
      <alignment horizontal="left" wrapText="1"/>
    </xf>
    <xf numFmtId="169" fontId="6" fillId="4" borderId="41" xfId="0" applyNumberFormat="1" applyFont="1" applyFill="1" applyBorder="1" applyAlignment="1">
      <alignment horizontal="center" wrapText="1"/>
    </xf>
    <xf numFmtId="169" fontId="6" fillId="4" borderId="29" xfId="0" applyNumberFormat="1" applyFont="1" applyFill="1" applyBorder="1" applyAlignment="1">
      <alignment horizontal="center" wrapText="1"/>
    </xf>
    <xf numFmtId="169" fontId="6" fillId="4" borderId="30" xfId="0" applyNumberFormat="1" applyFont="1" applyFill="1" applyBorder="1" applyAlignment="1">
      <alignment horizontal="center" wrapText="1"/>
    </xf>
    <xf numFmtId="165" fontId="2" fillId="4" borderId="21" xfId="0" applyNumberFormat="1" applyFont="1" applyFill="1" applyBorder="1" applyAlignment="1">
      <alignment horizontal="center"/>
    </xf>
    <xf numFmtId="165" fontId="2" fillId="4" borderId="24" xfId="0" applyNumberFormat="1" applyFont="1" applyFill="1" applyBorder="1" applyAlignment="1">
      <alignment horizontal="center"/>
    </xf>
    <xf numFmtId="165" fontId="2" fillId="4" borderId="26" xfId="0" applyNumberFormat="1" applyFont="1" applyFill="1" applyBorder="1" applyAlignment="1">
      <alignment horizontal="center"/>
    </xf>
    <xf numFmtId="165" fontId="2" fillId="4" borderId="51" xfId="0" applyNumberFormat="1" applyFont="1" applyFill="1" applyBorder="1" applyAlignment="1">
      <alignment horizontal="center"/>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49" fontId="0" fillId="4" borderId="43" xfId="0" applyNumberFormat="1" applyFill="1" applyBorder="1" applyAlignment="1">
      <alignment horizontal="center" wrapText="1"/>
    </xf>
    <xf numFmtId="49" fontId="0" fillId="4" borderId="47" xfId="0" applyNumberFormat="1" applyFill="1" applyBorder="1" applyAlignment="1">
      <alignment horizontal="center" wrapText="1"/>
    </xf>
    <xf numFmtId="49" fontId="0" fillId="4" borderId="50" xfId="0" applyNumberFormat="1" applyFill="1" applyBorder="1" applyAlignment="1">
      <alignment horizontal="center" wrapText="1"/>
    </xf>
    <xf numFmtId="0" fontId="2" fillId="2" borderId="4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9" xfId="0" applyFont="1" applyFill="1" applyBorder="1" applyAlignment="1">
      <alignment horizontal="center" vertical="center"/>
    </xf>
    <xf numFmtId="169" fontId="2" fillId="4" borderId="26" xfId="0" applyNumberFormat="1" applyFont="1" applyFill="1" applyBorder="1" applyAlignment="1">
      <alignment horizontal="center"/>
    </xf>
    <xf numFmtId="169" fontId="2" fillId="4" borderId="51" xfId="0" applyNumberFormat="1" applyFont="1" applyFill="1" applyBorder="1" applyAlignment="1">
      <alignment horizontal="center"/>
    </xf>
    <xf numFmtId="0" fontId="0" fillId="4" borderId="43" xfId="0" applyFill="1" applyBorder="1" applyAlignment="1">
      <alignment horizontal="center" wrapText="1"/>
    </xf>
    <xf numFmtId="0" fontId="0" fillId="4" borderId="47" xfId="0" applyFill="1" applyBorder="1" applyAlignment="1">
      <alignment horizontal="center" wrapText="1"/>
    </xf>
    <xf numFmtId="0" fontId="0" fillId="4" borderId="50" xfId="0" applyFill="1" applyBorder="1" applyAlignment="1">
      <alignment horizontal="center" wrapText="1"/>
    </xf>
    <xf numFmtId="0" fontId="2" fillId="4" borderId="54" xfId="0" applyFont="1" applyFill="1" applyBorder="1" applyAlignment="1">
      <alignment horizontal="center" vertical="center" wrapText="1"/>
    </xf>
    <xf numFmtId="0" fontId="2" fillId="4" borderId="55" xfId="0" applyFont="1" applyFill="1" applyBorder="1" applyAlignment="1">
      <alignment horizontal="center" vertical="center" wrapText="1"/>
    </xf>
    <xf numFmtId="0" fontId="0" fillId="10" borderId="46" xfId="0" applyFill="1" applyBorder="1" applyAlignment="1">
      <alignment horizontal="center"/>
    </xf>
    <xf numFmtId="0" fontId="0" fillId="11" borderId="46" xfId="0" applyFill="1" applyBorder="1" applyAlignment="1">
      <alignment horizontal="center"/>
    </xf>
    <xf numFmtId="0" fontId="6" fillId="2" borderId="4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9" xfId="0" applyFont="1" applyFill="1" applyBorder="1" applyAlignment="1">
      <alignment horizontal="center" vertical="center"/>
    </xf>
    <xf numFmtId="0" fontId="11" fillId="4" borderId="28" xfId="0" applyFont="1" applyFill="1" applyBorder="1" applyAlignment="1">
      <alignment horizontal="center" wrapText="1"/>
    </xf>
    <xf numFmtId="0" fontId="11" fillId="4" borderId="29" xfId="0" applyFont="1" applyFill="1" applyBorder="1" applyAlignment="1">
      <alignment horizontal="center" wrapText="1"/>
    </xf>
    <xf numFmtId="0" fontId="11" fillId="4" borderId="48" xfId="0" applyFont="1" applyFill="1" applyBorder="1" applyAlignment="1">
      <alignment horizont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8" xfId="0" applyFont="1" applyFill="1" applyBorder="1" applyAlignment="1">
      <alignment horizontal="center" wrapText="1"/>
    </xf>
    <xf numFmtId="0" fontId="6" fillId="4" borderId="45" xfId="0" applyFont="1" applyFill="1" applyBorder="1" applyAlignment="1">
      <alignment horizontal="center" wrapText="1"/>
    </xf>
    <xf numFmtId="0" fontId="39" fillId="4" borderId="2" xfId="0" applyFont="1" applyFill="1" applyBorder="1" applyAlignment="1">
      <alignment horizontal="center" vertical="center" wrapText="1"/>
    </xf>
  </cellXfs>
  <cellStyles count="4">
    <cellStyle name="Currency" xfId="1" builtinId="4"/>
    <cellStyle name="Monétaire 2" xfId="3" xr:uid="{00000000-0005-0000-0000-00002F000000}"/>
    <cellStyle name="Normal" xfId="0" builtinId="0"/>
    <cellStyle name="Percent" xfId="2" builtinId="5"/>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86B14070-8617-4624-80F4-B203956F042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20secretariat%20Niger%20Draft%20Cost%20extension%20jusque%20fin%20juin%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_Projet%20Secr&#233;tariat%20PBF_VF%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20secretariat%20Niger%20Draft%20Cost%20extension%20jusque%20fin%20juin%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_Projet%20Secr&#233;tariat%20PBF_VF%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efreshError="1"/>
      <sheetData sheetId="1" refreshError="1">
        <row r="5">
          <cell r="C5" t="str">
            <v>Formulation du resultat/ produit/activite</v>
          </cell>
          <cell r="E5" t="str">
            <v>Organisation recipiendiaire 2 (budget en USD)</v>
          </cell>
          <cell r="F5" t="str">
            <v>Organisation recipiendiaire 3 (budget en USD)</v>
          </cell>
        </row>
        <row r="36">
          <cell r="E36">
            <v>0</v>
          </cell>
        </row>
        <row r="46">
          <cell r="E46">
            <v>0</v>
          </cell>
        </row>
        <row r="58">
          <cell r="E58">
            <v>0</v>
          </cell>
        </row>
        <row r="68">
          <cell r="E68">
            <v>0</v>
          </cell>
        </row>
        <row r="88">
          <cell r="D88">
            <v>0</v>
          </cell>
          <cell r="E88">
            <v>0</v>
          </cell>
        </row>
        <row r="100">
          <cell r="D100">
            <v>0</v>
          </cell>
          <cell r="E100">
            <v>0</v>
          </cell>
        </row>
        <row r="110">
          <cell r="D110">
            <v>0</v>
          </cell>
          <cell r="E110">
            <v>0</v>
          </cell>
        </row>
        <row r="120">
          <cell r="D120">
            <v>0</v>
          </cell>
          <cell r="E120">
            <v>0</v>
          </cell>
        </row>
        <row r="130">
          <cell r="D130">
            <v>0</v>
          </cell>
          <cell r="E130">
            <v>0</v>
          </cell>
        </row>
        <row r="142">
          <cell r="D142">
            <v>0</v>
          </cell>
          <cell r="E142">
            <v>0</v>
          </cell>
        </row>
        <row r="152">
          <cell r="D152">
            <v>0</v>
          </cell>
          <cell r="E152">
            <v>0</v>
          </cell>
        </row>
        <row r="162">
          <cell r="D162">
            <v>0</v>
          </cell>
          <cell r="E162">
            <v>0</v>
          </cell>
        </row>
        <row r="172">
          <cell r="D172">
            <v>0</v>
          </cell>
          <cell r="E172">
            <v>0</v>
          </cell>
        </row>
        <row r="179">
          <cell r="E179">
            <v>0</v>
          </cell>
        </row>
        <row r="196">
          <cell r="F196">
            <v>0</v>
          </cell>
        </row>
        <row r="197">
          <cell r="F197">
            <v>0</v>
          </cell>
        </row>
        <row r="198">
          <cell r="F198">
            <v>0</v>
          </cell>
        </row>
      </sheetData>
      <sheetData sheetId="2" refreshError="1">
        <row r="198">
          <cell r="D198">
            <v>779952</v>
          </cell>
          <cell r="F198">
            <v>0</v>
          </cell>
        </row>
        <row r="199">
          <cell r="F199">
            <v>0</v>
          </cell>
        </row>
        <row r="200">
          <cell r="F200">
            <v>0</v>
          </cell>
        </row>
        <row r="201">
          <cell r="F201">
            <v>0</v>
          </cell>
        </row>
        <row r="202">
          <cell r="F202">
            <v>0</v>
          </cell>
        </row>
        <row r="203">
          <cell r="F203">
            <v>0</v>
          </cell>
        </row>
        <row r="204">
          <cell r="F204">
            <v>0</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efreshError="1"/>
      <sheetData sheetId="1" refreshError="1">
        <row r="5">
          <cell r="D5" t="str">
            <v>UNDP (budget en USD)</v>
          </cell>
          <cell r="E5" t="str">
            <v>Organisation recipiendiaire 2 (budget en USD)</v>
          </cell>
          <cell r="F5" t="str">
            <v>Organisation recipiendiaire 3 (budget en USD)</v>
          </cell>
        </row>
        <row r="36">
          <cell r="E36">
            <v>0</v>
          </cell>
        </row>
        <row r="58">
          <cell r="E58">
            <v>0</v>
          </cell>
        </row>
        <row r="68">
          <cell r="E68">
            <v>0</v>
          </cell>
        </row>
        <row r="78">
          <cell r="E78">
            <v>0</v>
          </cell>
        </row>
        <row r="88">
          <cell r="D88">
            <v>0</v>
          </cell>
          <cell r="E88">
            <v>0</v>
          </cell>
        </row>
        <row r="100">
          <cell r="D100">
            <v>0</v>
          </cell>
          <cell r="E100">
            <v>0</v>
          </cell>
        </row>
        <row r="110">
          <cell r="D110">
            <v>0</v>
          </cell>
          <cell r="E110">
            <v>0</v>
          </cell>
        </row>
        <row r="120">
          <cell r="D120">
            <v>0</v>
          </cell>
          <cell r="E120">
            <v>0</v>
          </cell>
        </row>
        <row r="130">
          <cell r="D130">
            <v>0</v>
          </cell>
          <cell r="E130">
            <v>0</v>
          </cell>
        </row>
        <row r="142">
          <cell r="D142">
            <v>0</v>
          </cell>
          <cell r="E142">
            <v>0</v>
          </cell>
        </row>
        <row r="152">
          <cell r="D152">
            <v>0</v>
          </cell>
          <cell r="E152">
            <v>0</v>
          </cell>
        </row>
        <row r="162">
          <cell r="D162">
            <v>0</v>
          </cell>
          <cell r="E162">
            <v>0</v>
          </cell>
        </row>
        <row r="172">
          <cell r="D172">
            <v>0</v>
          </cell>
          <cell r="E172">
            <v>0</v>
          </cell>
        </row>
        <row r="179">
          <cell r="E179">
            <v>0</v>
          </cell>
        </row>
        <row r="196">
          <cell r="F196">
            <v>0</v>
          </cell>
        </row>
        <row r="197">
          <cell r="F197">
            <v>0</v>
          </cell>
        </row>
        <row r="198">
          <cell r="E198">
            <v>0</v>
          </cell>
          <cell r="F198">
            <v>0</v>
          </cell>
        </row>
      </sheetData>
      <sheetData sheetId="2" refreshError="1">
        <row r="198">
          <cell r="D198">
            <v>1242298</v>
          </cell>
          <cell r="F198">
            <v>0</v>
          </cell>
        </row>
        <row r="199">
          <cell r="F199">
            <v>0</v>
          </cell>
        </row>
        <row r="200">
          <cell r="F200">
            <v>0</v>
          </cell>
        </row>
        <row r="201">
          <cell r="F201">
            <v>0</v>
          </cell>
        </row>
        <row r="202">
          <cell r="F202">
            <v>0</v>
          </cell>
        </row>
        <row r="203">
          <cell r="F203">
            <v>0</v>
          </cell>
        </row>
        <row r="204">
          <cell r="F204">
            <v>0</v>
          </cell>
        </row>
      </sheetData>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ableau budgétaire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ableau budgétair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55F3-D3D3-4B36-AA4C-DFDB46833820}">
  <dimension ref="C2:F3"/>
  <sheetViews>
    <sheetView zoomScale="54" workbookViewId="0">
      <selection activeCell="B3" sqref="B3"/>
    </sheetView>
  </sheetViews>
  <sheetFormatPr defaultColWidth="10.90625" defaultRowHeight="14.5" x14ac:dyDescent="0.35"/>
  <cols>
    <col min="3" max="3" width="121.54296875" customWidth="1"/>
  </cols>
  <sheetData>
    <row r="2" spans="3:6" ht="31.5" thickBot="1" x14ac:dyDescent="0.4">
      <c r="C2" s="548" t="s">
        <v>0</v>
      </c>
      <c r="D2" s="548"/>
      <c r="E2" s="548"/>
      <c r="F2" s="548"/>
    </row>
    <row r="3" spans="3:6" ht="409.5" customHeight="1" thickBot="1" x14ac:dyDescent="0.4">
      <c r="C3" s="1" t="s">
        <v>1</v>
      </c>
    </row>
  </sheetData>
  <mergeCells count="1">
    <mergeCell ref="C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E697-617D-4EFC-972F-E6D2BAF07560}">
  <dimension ref="A1:AJ393"/>
  <sheetViews>
    <sheetView tabSelected="1" topLeftCell="A313" zoomScale="60" zoomScaleNormal="60" workbookViewId="0">
      <selection activeCell="W324" sqref="W324"/>
    </sheetView>
  </sheetViews>
  <sheetFormatPr defaultColWidth="9.08984375" defaultRowHeight="14" x14ac:dyDescent="0.3"/>
  <cols>
    <col min="1" max="1" width="4.36328125" style="2" customWidth="1"/>
    <col min="2" max="2" width="34.1796875" style="2" hidden="1" customWidth="1"/>
    <col min="3" max="3" width="24.90625" style="2" hidden="1" customWidth="1"/>
    <col min="4" max="4" width="26.54296875" style="11" hidden="1" customWidth="1"/>
    <col min="5" max="5" width="15.36328125" style="11" hidden="1" customWidth="1"/>
    <col min="6" max="6" width="7.54296875" style="11" hidden="1" customWidth="1"/>
    <col min="7" max="7" width="19.90625" style="11" hidden="1" customWidth="1"/>
    <col min="8" max="8" width="21.90625" style="2" hidden="1" customWidth="1"/>
    <col min="9" max="9" width="13.54296875" style="15" hidden="1" customWidth="1"/>
    <col min="10" max="10" width="17.453125" style="6" hidden="1" customWidth="1"/>
    <col min="11" max="11" width="18.08984375" style="2" hidden="1" customWidth="1"/>
    <col min="12" max="12" width="9.453125" style="8" customWidth="1"/>
    <col min="13" max="13" width="43.26953125" style="2" customWidth="1"/>
    <col min="14" max="14" width="30" style="2" customWidth="1"/>
    <col min="15" max="15" width="16.90625" style="417" customWidth="1"/>
    <col min="16" max="16" width="15.26953125" style="2" customWidth="1"/>
    <col min="17" max="17" width="8.08984375" style="2" customWidth="1"/>
    <col min="18" max="18" width="24.90625" style="11" customWidth="1"/>
    <col min="19" max="19" width="19.7265625" style="449" customWidth="1"/>
    <col min="20" max="20" width="16" style="2" customWidth="1"/>
    <col min="21" max="21" width="19.54296875" style="500" customWidth="1"/>
    <col min="22" max="22" width="21.453125" style="528" customWidth="1"/>
    <col min="23" max="23" width="12.90625" style="2" customWidth="1"/>
    <col min="24" max="24" width="11.453125" style="2" customWidth="1"/>
    <col min="25" max="26" width="9.08984375" style="2"/>
    <col min="27" max="27" width="11.7265625" style="2" bestFit="1" customWidth="1"/>
    <col min="28" max="16384" width="9.08984375" style="2"/>
  </cols>
  <sheetData>
    <row r="1" spans="2:24" ht="24.5" x14ac:dyDescent="0.7">
      <c r="B1" s="589" t="s">
        <v>2</v>
      </c>
      <c r="C1" s="589"/>
      <c r="D1" s="589"/>
      <c r="E1" s="589"/>
      <c r="F1" s="589"/>
      <c r="G1" s="589"/>
      <c r="H1" s="589"/>
      <c r="I1" s="589"/>
      <c r="J1" s="589"/>
      <c r="K1" s="589"/>
      <c r="M1" s="590" t="s">
        <v>3</v>
      </c>
      <c r="N1" s="590"/>
      <c r="O1" s="590"/>
      <c r="P1" s="590"/>
      <c r="Q1" s="590"/>
      <c r="R1" s="590"/>
      <c r="S1" s="590"/>
      <c r="T1" s="590"/>
      <c r="U1" s="590"/>
      <c r="V1" s="590"/>
      <c r="W1" s="590"/>
    </row>
    <row r="2" spans="2:24" ht="45" x14ac:dyDescent="0.9">
      <c r="B2" s="594" t="s">
        <v>4</v>
      </c>
      <c r="C2" s="594"/>
      <c r="D2" s="594"/>
      <c r="E2" s="594"/>
      <c r="F2" s="9"/>
      <c r="G2" s="9"/>
      <c r="H2" s="3"/>
      <c r="I2" s="12"/>
      <c r="J2" s="4"/>
      <c r="K2" s="3"/>
    </row>
    <row r="3" spans="2:24" ht="25" x14ac:dyDescent="0.5">
      <c r="B3" s="595" t="s">
        <v>5</v>
      </c>
      <c r="C3" s="595"/>
      <c r="D3" s="595"/>
      <c r="E3" s="595"/>
      <c r="F3" s="595"/>
      <c r="G3" s="595"/>
      <c r="H3" s="595"/>
      <c r="I3" s="13"/>
      <c r="J3" s="5"/>
    </row>
    <row r="4" spans="2:24" x14ac:dyDescent="0.3">
      <c r="D4" s="10"/>
      <c r="E4" s="10"/>
      <c r="F4" s="10"/>
      <c r="G4" s="10"/>
      <c r="I4" s="14"/>
      <c r="K4" s="7"/>
    </row>
    <row r="5" spans="2:24" s="109" customFormat="1" ht="195.5" customHeight="1" x14ac:dyDescent="0.35">
      <c r="B5" s="110" t="s">
        <v>6</v>
      </c>
      <c r="C5" s="110" t="s">
        <v>7</v>
      </c>
      <c r="D5" s="111" t="s">
        <v>315</v>
      </c>
      <c r="E5" s="111" t="s">
        <v>244</v>
      </c>
      <c r="F5" s="111" t="s">
        <v>9</v>
      </c>
      <c r="G5" s="112" t="s">
        <v>10</v>
      </c>
      <c r="H5" s="110" t="s">
        <v>11</v>
      </c>
      <c r="I5" s="112" t="s">
        <v>12</v>
      </c>
      <c r="J5" s="113" t="s">
        <v>13</v>
      </c>
      <c r="K5" s="110" t="s">
        <v>14</v>
      </c>
      <c r="L5" s="114"/>
      <c r="M5" s="139" t="s">
        <v>6</v>
      </c>
      <c r="N5" s="110" t="s">
        <v>7</v>
      </c>
      <c r="O5" s="418" t="s">
        <v>315</v>
      </c>
      <c r="P5" s="115" t="s">
        <v>244</v>
      </c>
      <c r="Q5" s="115" t="s">
        <v>9</v>
      </c>
      <c r="R5" s="112" t="s">
        <v>10</v>
      </c>
      <c r="S5" s="450" t="s">
        <v>15</v>
      </c>
      <c r="T5" s="110" t="s">
        <v>11</v>
      </c>
      <c r="U5" s="501" t="s">
        <v>12</v>
      </c>
      <c r="V5" s="534" t="s">
        <v>399</v>
      </c>
      <c r="W5" s="110" t="s">
        <v>14</v>
      </c>
      <c r="X5" s="110" t="s">
        <v>16</v>
      </c>
    </row>
    <row r="6" spans="2:24" s="109" customFormat="1" ht="30" customHeight="1" x14ac:dyDescent="0.35">
      <c r="B6" s="116" t="s">
        <v>17</v>
      </c>
      <c r="C6" s="596" t="s">
        <v>238</v>
      </c>
      <c r="D6" s="596"/>
      <c r="E6" s="596"/>
      <c r="F6" s="596"/>
      <c r="G6" s="596"/>
      <c r="H6" s="596"/>
      <c r="I6" s="597"/>
      <c r="J6" s="597"/>
      <c r="K6" s="596"/>
      <c r="L6" s="117"/>
      <c r="M6" s="116" t="s">
        <v>17</v>
      </c>
      <c r="N6" s="591" t="s">
        <v>238</v>
      </c>
      <c r="O6" s="592"/>
      <c r="P6" s="592"/>
      <c r="Q6" s="592"/>
      <c r="R6" s="592"/>
      <c r="S6" s="592"/>
      <c r="T6" s="592"/>
      <c r="U6" s="592"/>
      <c r="V6" s="592"/>
      <c r="W6" s="593"/>
      <c r="X6" s="118"/>
    </row>
    <row r="7" spans="2:24" s="109" customFormat="1" ht="37.5" customHeight="1" x14ac:dyDescent="0.35">
      <c r="B7" s="116" t="s">
        <v>18</v>
      </c>
      <c r="C7" s="596" t="s">
        <v>239</v>
      </c>
      <c r="D7" s="596"/>
      <c r="E7" s="596"/>
      <c r="F7" s="596"/>
      <c r="G7" s="596"/>
      <c r="H7" s="596"/>
      <c r="I7" s="597"/>
      <c r="J7" s="597"/>
      <c r="K7" s="596"/>
      <c r="L7" s="119"/>
      <c r="M7" s="116" t="s">
        <v>18</v>
      </c>
      <c r="N7" s="591" t="s">
        <v>239</v>
      </c>
      <c r="O7" s="592"/>
      <c r="P7" s="592"/>
      <c r="Q7" s="592"/>
      <c r="R7" s="592"/>
      <c r="S7" s="592"/>
      <c r="T7" s="592"/>
      <c r="U7" s="592"/>
      <c r="V7" s="592"/>
      <c r="W7" s="593"/>
      <c r="X7" s="118"/>
    </row>
    <row r="8" spans="2:24" s="109" customFormat="1" ht="88" customHeight="1" x14ac:dyDescent="0.35">
      <c r="B8" s="549" t="s">
        <v>240</v>
      </c>
      <c r="C8" s="363" t="s">
        <v>245</v>
      </c>
      <c r="D8" s="349">
        <v>0</v>
      </c>
      <c r="E8" s="349">
        <v>75000</v>
      </c>
      <c r="F8" s="348"/>
      <c r="G8" s="350">
        <f>SUM(D8:F8)</f>
        <v>75000</v>
      </c>
      <c r="H8" s="253">
        <v>0.5</v>
      </c>
      <c r="I8" s="348"/>
      <c r="J8" s="351"/>
      <c r="K8" s="352"/>
      <c r="L8" s="126"/>
      <c r="M8" s="560" t="s">
        <v>314</v>
      </c>
      <c r="N8" s="121" t="s">
        <v>245</v>
      </c>
      <c r="O8" s="419"/>
      <c r="P8" s="162">
        <v>75000</v>
      </c>
      <c r="Q8" s="128"/>
      <c r="R8" s="129">
        <f>SUM(O8:Q8)</f>
        <v>75000</v>
      </c>
      <c r="S8" s="413">
        <f>+R8-G8</f>
        <v>0</v>
      </c>
      <c r="T8" s="253">
        <v>0.5</v>
      </c>
      <c r="U8" s="502">
        <v>75000</v>
      </c>
      <c r="V8" s="372">
        <f>U8*T8</f>
        <v>37500</v>
      </c>
      <c r="W8" s="351" t="s">
        <v>253</v>
      </c>
      <c r="X8" s="130">
        <f>IFERROR(R8/G8,"")</f>
        <v>1</v>
      </c>
    </row>
    <row r="9" spans="2:24" s="109" customFormat="1" ht="38" customHeight="1" x14ac:dyDescent="0.35">
      <c r="B9" s="550"/>
      <c r="C9" s="104" t="s">
        <v>242</v>
      </c>
      <c r="D9" s="348"/>
      <c r="E9" s="349">
        <v>36915.89</v>
      </c>
      <c r="F9" s="348"/>
      <c r="G9" s="350">
        <f t="shared" ref="G9:G24" si="0">SUM(D9:F9)</f>
        <v>36915.89</v>
      </c>
      <c r="H9" s="253">
        <v>0.5</v>
      </c>
      <c r="I9" s="348"/>
      <c r="J9" s="351"/>
      <c r="K9" s="352"/>
      <c r="L9" s="126"/>
      <c r="M9" s="561"/>
      <c r="N9" s="104" t="s">
        <v>242</v>
      </c>
      <c r="O9" s="419"/>
      <c r="P9" s="162">
        <v>36915.89</v>
      </c>
      <c r="Q9" s="128"/>
      <c r="R9" s="129">
        <f t="shared" ref="R9:R12" si="1">SUM(O9:Q9)</f>
        <v>36915.89</v>
      </c>
      <c r="S9" s="413">
        <f t="shared" ref="S9:S15" si="2">+R9-G9</f>
        <v>0</v>
      </c>
      <c r="T9" s="253">
        <v>0.5</v>
      </c>
      <c r="U9" s="502">
        <v>36916</v>
      </c>
      <c r="V9" s="372">
        <f t="shared" ref="V9:V24" si="3">U9*T9</f>
        <v>18458</v>
      </c>
      <c r="W9" s="351"/>
      <c r="X9" s="130"/>
    </row>
    <row r="10" spans="2:24" s="109" customFormat="1" ht="70.5" customHeight="1" x14ac:dyDescent="0.35">
      <c r="B10" s="551"/>
      <c r="C10" s="104" t="s">
        <v>243</v>
      </c>
      <c r="D10" s="349">
        <v>75000</v>
      </c>
      <c r="E10" s="349"/>
      <c r="F10" s="348"/>
      <c r="G10" s="350">
        <f t="shared" si="0"/>
        <v>75000</v>
      </c>
      <c r="H10" s="253">
        <v>0.5</v>
      </c>
      <c r="I10" s="348"/>
      <c r="J10" s="351"/>
      <c r="K10" s="352"/>
      <c r="L10" s="126"/>
      <c r="M10" s="562"/>
      <c r="N10" s="104" t="s">
        <v>243</v>
      </c>
      <c r="O10" s="419">
        <v>75000</v>
      </c>
      <c r="P10" s="128"/>
      <c r="Q10" s="128"/>
      <c r="R10" s="129">
        <f t="shared" si="1"/>
        <v>75000</v>
      </c>
      <c r="S10" s="413">
        <f t="shared" si="2"/>
        <v>0</v>
      </c>
      <c r="T10" s="253">
        <v>0.5</v>
      </c>
      <c r="U10" s="502">
        <v>75000</v>
      </c>
      <c r="V10" s="372">
        <f t="shared" si="3"/>
        <v>37500</v>
      </c>
      <c r="W10" s="351" t="s">
        <v>254</v>
      </c>
      <c r="X10" s="130"/>
    </row>
    <row r="11" spans="2:24" s="109" customFormat="1" ht="37.5" customHeight="1" x14ac:dyDescent="0.35">
      <c r="B11" s="549" t="s">
        <v>246</v>
      </c>
      <c r="C11" s="104" t="s">
        <v>247</v>
      </c>
      <c r="D11" s="348">
        <v>15000</v>
      </c>
      <c r="E11" s="349"/>
      <c r="F11" s="348"/>
      <c r="G11" s="350">
        <f t="shared" si="0"/>
        <v>15000</v>
      </c>
      <c r="H11" s="253">
        <v>0.5</v>
      </c>
      <c r="I11" s="348"/>
      <c r="J11" s="351"/>
      <c r="K11" s="352"/>
      <c r="L11" s="126"/>
      <c r="M11" s="598" t="s">
        <v>246</v>
      </c>
      <c r="N11" s="104" t="s">
        <v>247</v>
      </c>
      <c r="O11" s="420">
        <v>15000</v>
      </c>
      <c r="P11" s="128"/>
      <c r="Q11" s="128"/>
      <c r="R11" s="129">
        <f t="shared" si="1"/>
        <v>15000</v>
      </c>
      <c r="S11" s="413">
        <f t="shared" si="2"/>
        <v>0</v>
      </c>
      <c r="T11" s="253">
        <v>0.5</v>
      </c>
      <c r="U11" s="502">
        <v>15000</v>
      </c>
      <c r="V11" s="372">
        <f t="shared" si="3"/>
        <v>7500</v>
      </c>
      <c r="W11" s="351"/>
      <c r="X11" s="130">
        <f>IFERROR(R11/G11,"")</f>
        <v>1</v>
      </c>
    </row>
    <row r="12" spans="2:24" ht="30.5" customHeight="1" x14ac:dyDescent="0.3">
      <c r="B12" s="550"/>
      <c r="C12" s="104" t="s">
        <v>248</v>
      </c>
      <c r="D12" s="348">
        <v>5000</v>
      </c>
      <c r="E12" s="358"/>
      <c r="F12" s="358"/>
      <c r="G12" s="350">
        <f t="shared" si="0"/>
        <v>5000</v>
      </c>
      <c r="H12" s="253">
        <v>0.3</v>
      </c>
      <c r="I12" s="348"/>
      <c r="J12" s="359"/>
      <c r="K12" s="360"/>
      <c r="M12" s="599"/>
      <c r="N12" s="104" t="s">
        <v>248</v>
      </c>
      <c r="O12" s="421">
        <v>5000</v>
      </c>
      <c r="P12" s="353"/>
      <c r="Q12" s="353"/>
      <c r="R12" s="129">
        <f t="shared" si="1"/>
        <v>5000</v>
      </c>
      <c r="S12" s="413">
        <f t="shared" si="2"/>
        <v>0</v>
      </c>
      <c r="T12" s="253">
        <v>0.3</v>
      </c>
      <c r="U12" s="502">
        <v>5000</v>
      </c>
      <c r="V12" s="372">
        <f t="shared" si="3"/>
        <v>1500</v>
      </c>
      <c r="W12" s="359"/>
      <c r="X12" s="353"/>
    </row>
    <row r="13" spans="2:24" ht="15.5" x14ac:dyDescent="0.3">
      <c r="B13" s="551"/>
      <c r="C13" s="360"/>
      <c r="D13" s="358"/>
      <c r="E13" s="358"/>
      <c r="F13" s="358"/>
      <c r="G13" s="350">
        <f t="shared" si="0"/>
        <v>0</v>
      </c>
      <c r="H13" s="360"/>
      <c r="I13" s="361"/>
      <c r="J13" s="359"/>
      <c r="K13" s="360"/>
      <c r="M13" s="600"/>
      <c r="N13" s="353"/>
      <c r="O13" s="421"/>
      <c r="P13" s="353"/>
      <c r="Q13" s="353"/>
      <c r="R13" s="354"/>
      <c r="S13" s="413">
        <f t="shared" si="2"/>
        <v>0</v>
      </c>
      <c r="T13" s="353"/>
      <c r="U13" s="503"/>
      <c r="V13" s="372">
        <f t="shared" si="3"/>
        <v>0</v>
      </c>
      <c r="W13" s="359"/>
      <c r="X13" s="353"/>
    </row>
    <row r="14" spans="2:24" s="109" customFormat="1" ht="39.9" customHeight="1" x14ac:dyDescent="0.35">
      <c r="B14" s="151"/>
      <c r="C14" s="362"/>
      <c r="D14" s="348"/>
      <c r="E14" s="349"/>
      <c r="F14" s="348"/>
      <c r="G14" s="350">
        <f t="shared" si="0"/>
        <v>0</v>
      </c>
      <c r="H14" s="253"/>
      <c r="I14" s="348"/>
      <c r="J14" s="351"/>
      <c r="K14" s="352"/>
      <c r="L14" s="126"/>
      <c r="M14" s="406"/>
      <c r="N14" s="107"/>
      <c r="O14" s="420"/>
      <c r="P14" s="128"/>
      <c r="Q14" s="128"/>
      <c r="R14" s="129"/>
      <c r="S14" s="413">
        <f t="shared" si="2"/>
        <v>0</v>
      </c>
      <c r="T14" s="253"/>
      <c r="U14" s="502"/>
      <c r="V14" s="372">
        <f t="shared" si="3"/>
        <v>0</v>
      </c>
      <c r="W14" s="351"/>
      <c r="X14" s="130"/>
    </row>
    <row r="15" spans="2:24" s="109" customFormat="1" ht="39.9" customHeight="1" x14ac:dyDescent="0.35">
      <c r="B15" s="549" t="s">
        <v>249</v>
      </c>
      <c r="C15" s="104" t="s">
        <v>250</v>
      </c>
      <c r="D15" s="348">
        <v>100000</v>
      </c>
      <c r="E15" s="349"/>
      <c r="F15" s="348"/>
      <c r="G15" s="350">
        <f t="shared" si="0"/>
        <v>100000</v>
      </c>
      <c r="H15" s="253">
        <v>0.5</v>
      </c>
      <c r="I15" s="348"/>
      <c r="J15" s="351"/>
      <c r="K15" s="352"/>
      <c r="L15" s="126"/>
      <c r="M15" s="560" t="s">
        <v>249</v>
      </c>
      <c r="N15" s="104" t="s">
        <v>250</v>
      </c>
      <c r="O15" s="422">
        <v>75000</v>
      </c>
      <c r="P15" s="128"/>
      <c r="Q15" s="128"/>
      <c r="R15" s="129">
        <f t="shared" ref="R15:R24" si="4">SUM(O15:Q15)</f>
        <v>75000</v>
      </c>
      <c r="S15" s="413">
        <f t="shared" si="2"/>
        <v>-25000</v>
      </c>
      <c r="T15" s="253">
        <v>0.5</v>
      </c>
      <c r="U15" s="502">
        <v>75000</v>
      </c>
      <c r="V15" s="372">
        <f t="shared" si="3"/>
        <v>37500</v>
      </c>
      <c r="W15" s="351" t="s">
        <v>255</v>
      </c>
      <c r="X15" s="130"/>
    </row>
    <row r="16" spans="2:24" s="109" customFormat="1" ht="39.9" customHeight="1" x14ac:dyDescent="0.35">
      <c r="B16" s="550"/>
      <c r="C16" s="104" t="s">
        <v>251</v>
      </c>
      <c r="D16" s="348">
        <v>10000</v>
      </c>
      <c r="E16" s="349"/>
      <c r="F16" s="348"/>
      <c r="G16" s="350">
        <f t="shared" si="0"/>
        <v>10000</v>
      </c>
      <c r="H16" s="253">
        <v>0.5</v>
      </c>
      <c r="I16" s="348"/>
      <c r="J16" s="351"/>
      <c r="K16" s="352"/>
      <c r="L16" s="126"/>
      <c r="M16" s="561"/>
      <c r="N16" s="104" t="s">
        <v>251</v>
      </c>
      <c r="O16" s="422">
        <v>10000</v>
      </c>
      <c r="P16" s="128"/>
      <c r="Q16" s="128"/>
      <c r="R16" s="129">
        <f t="shared" si="4"/>
        <v>10000</v>
      </c>
      <c r="S16" s="413"/>
      <c r="T16" s="253">
        <v>0.5</v>
      </c>
      <c r="U16" s="502">
        <v>10000</v>
      </c>
      <c r="V16" s="372">
        <f t="shared" si="3"/>
        <v>5000</v>
      </c>
      <c r="W16" s="125"/>
      <c r="X16" s="130"/>
    </row>
    <row r="17" spans="1:24" s="109" customFormat="1" ht="39.9" customHeight="1" x14ac:dyDescent="0.35">
      <c r="B17" s="550"/>
      <c r="C17" s="104" t="s">
        <v>252</v>
      </c>
      <c r="D17" s="348">
        <v>5000</v>
      </c>
      <c r="E17" s="349"/>
      <c r="F17" s="348"/>
      <c r="G17" s="350">
        <f t="shared" si="0"/>
        <v>5000</v>
      </c>
      <c r="H17" s="253">
        <v>0.3</v>
      </c>
      <c r="I17" s="348"/>
      <c r="J17" s="351"/>
      <c r="K17" s="352"/>
      <c r="L17" s="126"/>
      <c r="M17" s="561"/>
      <c r="N17" s="104" t="s">
        <v>252</v>
      </c>
      <c r="O17" s="422">
        <v>5000</v>
      </c>
      <c r="P17" s="128"/>
      <c r="Q17" s="128"/>
      <c r="R17" s="129">
        <f t="shared" si="4"/>
        <v>5000</v>
      </c>
      <c r="S17" s="413"/>
      <c r="T17" s="253">
        <v>0.3</v>
      </c>
      <c r="U17" s="502">
        <v>5000</v>
      </c>
      <c r="V17" s="372">
        <f t="shared" si="3"/>
        <v>1500</v>
      </c>
      <c r="W17" s="125"/>
      <c r="X17" s="130"/>
    </row>
    <row r="18" spans="1:24" s="109" customFormat="1" ht="60" customHeight="1" x14ac:dyDescent="0.35">
      <c r="B18" s="551"/>
      <c r="C18" s="121"/>
      <c r="D18" s="162"/>
      <c r="E18" s="162"/>
      <c r="F18" s="162"/>
      <c r="G18" s="350">
        <f t="shared" si="0"/>
        <v>0</v>
      </c>
      <c r="H18" s="253"/>
      <c r="I18" s="162"/>
      <c r="J18" s="351"/>
      <c r="K18" s="352"/>
      <c r="L18" s="126"/>
      <c r="M18" s="562"/>
      <c r="N18" s="127"/>
      <c r="O18" s="423"/>
      <c r="P18" s="128"/>
      <c r="Q18" s="128"/>
      <c r="R18" s="129">
        <f t="shared" si="4"/>
        <v>0</v>
      </c>
      <c r="S18" s="413">
        <f t="shared" ref="S18:S25" si="5">+R18-G18</f>
        <v>0</v>
      </c>
      <c r="T18" s="123"/>
      <c r="U18" s="504"/>
      <c r="V18" s="372">
        <f t="shared" si="3"/>
        <v>0</v>
      </c>
      <c r="W18" s="125"/>
      <c r="X18" s="130" t="str">
        <f t="shared" ref="X18:X24" si="6">IFERROR(R18/G18,"")</f>
        <v/>
      </c>
    </row>
    <row r="19" spans="1:24" s="109" customFormat="1" ht="41" customHeight="1" x14ac:dyDescent="0.35">
      <c r="B19" s="356"/>
      <c r="C19" s="121"/>
      <c r="D19" s="162"/>
      <c r="E19" s="162"/>
      <c r="F19" s="162"/>
      <c r="G19" s="350"/>
      <c r="H19" s="253"/>
      <c r="I19" s="162"/>
      <c r="J19" s="351"/>
      <c r="K19" s="352"/>
      <c r="L19" s="546"/>
      <c r="M19" s="563" t="s">
        <v>317</v>
      </c>
      <c r="N19" s="121" t="s">
        <v>319</v>
      </c>
      <c r="O19" s="419">
        <v>8000</v>
      </c>
      <c r="P19" s="374"/>
      <c r="Q19" s="374"/>
      <c r="R19" s="150">
        <f t="shared" si="4"/>
        <v>8000</v>
      </c>
      <c r="S19" s="547">
        <f t="shared" si="5"/>
        <v>8000</v>
      </c>
      <c r="T19" s="253">
        <v>0.3</v>
      </c>
      <c r="U19" s="513">
        <v>8000</v>
      </c>
      <c r="V19" s="372">
        <f t="shared" si="3"/>
        <v>2400</v>
      </c>
      <c r="W19" s="125"/>
      <c r="X19" s="130"/>
    </row>
    <row r="20" spans="1:24" s="109" customFormat="1" ht="43.5" customHeight="1" x14ac:dyDescent="0.35">
      <c r="B20" s="151" t="s">
        <v>19</v>
      </c>
      <c r="C20" s="121"/>
      <c r="D20" s="162"/>
      <c r="E20" s="162"/>
      <c r="F20" s="162"/>
      <c r="G20" s="350">
        <f t="shared" si="0"/>
        <v>0</v>
      </c>
      <c r="H20" s="253"/>
      <c r="I20" s="162"/>
      <c r="J20" s="351"/>
      <c r="K20" s="352"/>
      <c r="L20" s="546"/>
      <c r="M20" s="565"/>
      <c r="N20" s="121" t="s">
        <v>320</v>
      </c>
      <c r="O20" s="422">
        <v>10000</v>
      </c>
      <c r="P20" s="374"/>
      <c r="Q20" s="374"/>
      <c r="R20" s="150">
        <f t="shared" si="4"/>
        <v>10000</v>
      </c>
      <c r="S20" s="547">
        <f t="shared" si="5"/>
        <v>10000</v>
      </c>
      <c r="T20" s="253">
        <v>0.3</v>
      </c>
      <c r="U20" s="513">
        <v>10000</v>
      </c>
      <c r="V20" s="372">
        <f t="shared" si="3"/>
        <v>3000</v>
      </c>
      <c r="W20" s="161"/>
      <c r="X20" s="414" t="str">
        <f t="shared" si="6"/>
        <v/>
      </c>
    </row>
    <row r="21" spans="1:24" s="109" customFormat="1" ht="91.5" customHeight="1" x14ac:dyDescent="0.35">
      <c r="B21" s="151" t="s">
        <v>20</v>
      </c>
      <c r="C21" s="121"/>
      <c r="D21" s="162"/>
      <c r="E21" s="162"/>
      <c r="F21" s="162"/>
      <c r="G21" s="350">
        <f t="shared" si="0"/>
        <v>0</v>
      </c>
      <c r="H21" s="253"/>
      <c r="I21" s="162"/>
      <c r="J21" s="351"/>
      <c r="K21" s="352"/>
      <c r="L21" s="546"/>
      <c r="M21" s="151" t="s">
        <v>318</v>
      </c>
      <c r="N21" s="121" t="s">
        <v>321</v>
      </c>
      <c r="O21" s="422">
        <v>20345</v>
      </c>
      <c r="P21" s="374"/>
      <c r="Q21" s="374"/>
      <c r="R21" s="150">
        <f t="shared" si="4"/>
        <v>20345</v>
      </c>
      <c r="S21" s="547">
        <f t="shared" si="5"/>
        <v>20345</v>
      </c>
      <c r="T21" s="253">
        <v>0.3</v>
      </c>
      <c r="U21" s="513">
        <v>20345</v>
      </c>
      <c r="V21" s="372">
        <f t="shared" si="3"/>
        <v>6103.5</v>
      </c>
      <c r="W21" s="161"/>
      <c r="X21" s="414" t="str">
        <f t="shared" si="6"/>
        <v/>
      </c>
    </row>
    <row r="22" spans="1:24" s="109" customFormat="1" ht="30" customHeight="1" x14ac:dyDescent="0.35">
      <c r="B22" s="151" t="s">
        <v>21</v>
      </c>
      <c r="C22" s="121"/>
      <c r="D22" s="162"/>
      <c r="E22" s="162"/>
      <c r="F22" s="162"/>
      <c r="G22" s="350">
        <f t="shared" si="0"/>
        <v>0</v>
      </c>
      <c r="H22" s="253"/>
      <c r="I22" s="162"/>
      <c r="J22" s="351"/>
      <c r="K22" s="352"/>
      <c r="L22" s="126"/>
      <c r="M22" s="120" t="s">
        <v>21</v>
      </c>
      <c r="N22" s="127"/>
      <c r="O22" s="420"/>
      <c r="P22" s="128"/>
      <c r="Q22" s="128"/>
      <c r="R22" s="129">
        <f t="shared" si="4"/>
        <v>0</v>
      </c>
      <c r="S22" s="413">
        <f t="shared" si="5"/>
        <v>0</v>
      </c>
      <c r="T22" s="123"/>
      <c r="U22" s="504"/>
      <c r="V22" s="372">
        <f t="shared" si="3"/>
        <v>0</v>
      </c>
      <c r="W22" s="125"/>
      <c r="X22" s="130" t="str">
        <f t="shared" si="6"/>
        <v/>
      </c>
    </row>
    <row r="23" spans="1:24" s="109" customFormat="1" ht="30" customHeight="1" x14ac:dyDescent="0.35">
      <c r="B23" s="151" t="s">
        <v>22</v>
      </c>
      <c r="C23" s="363"/>
      <c r="D23" s="364"/>
      <c r="E23" s="364"/>
      <c r="F23" s="364"/>
      <c r="G23" s="350">
        <f t="shared" si="0"/>
        <v>0</v>
      </c>
      <c r="H23" s="365"/>
      <c r="I23" s="364"/>
      <c r="J23" s="351"/>
      <c r="K23" s="366"/>
      <c r="L23" s="126"/>
      <c r="M23" s="120" t="s">
        <v>22</v>
      </c>
      <c r="N23" s="132"/>
      <c r="O23" s="420"/>
      <c r="P23" s="136"/>
      <c r="Q23" s="136"/>
      <c r="R23" s="129">
        <f t="shared" si="4"/>
        <v>0</v>
      </c>
      <c r="S23" s="413">
        <f t="shared" si="5"/>
        <v>0</v>
      </c>
      <c r="T23" s="134"/>
      <c r="U23" s="504"/>
      <c r="V23" s="372">
        <f t="shared" si="3"/>
        <v>0</v>
      </c>
      <c r="W23" s="135"/>
      <c r="X23" s="130" t="str">
        <f t="shared" si="6"/>
        <v/>
      </c>
    </row>
    <row r="24" spans="1:24" s="109" customFormat="1" ht="30" customHeight="1" x14ac:dyDescent="0.35">
      <c r="A24" s="137"/>
      <c r="B24" s="151" t="s">
        <v>23</v>
      </c>
      <c r="C24" s="363"/>
      <c r="D24" s="364"/>
      <c r="E24" s="364"/>
      <c r="F24" s="364"/>
      <c r="G24" s="350">
        <f t="shared" si="0"/>
        <v>0</v>
      </c>
      <c r="H24" s="365"/>
      <c r="I24" s="364"/>
      <c r="J24" s="351"/>
      <c r="K24" s="366"/>
      <c r="L24" s="138"/>
      <c r="M24" s="120" t="s">
        <v>23</v>
      </c>
      <c r="N24" s="132"/>
      <c r="O24" s="420"/>
      <c r="P24" s="136"/>
      <c r="Q24" s="136"/>
      <c r="R24" s="129">
        <f t="shared" si="4"/>
        <v>0</v>
      </c>
      <c r="S24" s="413">
        <f t="shared" si="5"/>
        <v>0</v>
      </c>
      <c r="T24" s="134"/>
      <c r="U24" s="504"/>
      <c r="V24" s="372">
        <f t="shared" si="3"/>
        <v>0</v>
      </c>
      <c r="W24" s="135"/>
      <c r="X24" s="130" t="str">
        <f t="shared" si="6"/>
        <v/>
      </c>
    </row>
    <row r="25" spans="1:24" s="109" customFormat="1" ht="65" customHeight="1" x14ac:dyDescent="0.35">
      <c r="A25" s="137"/>
      <c r="B25" s="367"/>
      <c r="C25" s="368" t="s">
        <v>24</v>
      </c>
      <c r="D25" s="369">
        <f>SUM(D8:D24)</f>
        <v>210000</v>
      </c>
      <c r="E25" s="369">
        <f>SUM(E8:E24)</f>
        <v>111915.89</v>
      </c>
      <c r="F25" s="369">
        <f>SUM(F8:F24)</f>
        <v>0</v>
      </c>
      <c r="G25" s="369">
        <f>SUM(G8:G24)</f>
        <v>321915.89</v>
      </c>
      <c r="H25" s="369">
        <f>(H8*G8)+(H9*G9)+(H10*G10)+(H11*G11)+(H12*G12)+(H13*G13)+(H14*G14)+(H15*G15)+(H16*G16)+(H17*G17)+(H18*G18)+(H20*G20)+(H21*G21)+(H22*G22)+(H23*G23)+(H24*G24)</f>
        <v>158957.94500000001</v>
      </c>
      <c r="I25" s="369">
        <f>SUM(I8:I24)</f>
        <v>0</v>
      </c>
      <c r="J25" s="370"/>
      <c r="K25" s="366"/>
      <c r="L25" s="142"/>
      <c r="N25" s="139" t="s">
        <v>24</v>
      </c>
      <c r="O25" s="425">
        <f>SUM(O8:O24)</f>
        <v>223345</v>
      </c>
      <c r="P25" s="140">
        <f>SUM(P8:P24)</f>
        <v>111915.89</v>
      </c>
      <c r="Q25" s="140">
        <f>SUM(Q8:Q24)</f>
        <v>0</v>
      </c>
      <c r="R25" s="140">
        <f>SUM(R8:R24)</f>
        <v>335260.89</v>
      </c>
      <c r="S25" s="413">
        <f t="shared" si="5"/>
        <v>13345</v>
      </c>
      <c r="T25" s="140">
        <v>157961.5</v>
      </c>
      <c r="U25" s="506">
        <f>SUM(U8:U24)</f>
        <v>335261</v>
      </c>
      <c r="V25" s="372">
        <f>SUM(V8:V24)</f>
        <v>157961.5</v>
      </c>
      <c r="W25" s="135"/>
      <c r="X25" s="130"/>
    </row>
    <row r="26" spans="1:24" s="344" customFormat="1" ht="64" customHeight="1" x14ac:dyDescent="0.35">
      <c r="A26" s="357"/>
      <c r="B26" s="371" t="s">
        <v>25</v>
      </c>
      <c r="C26" s="552" t="s">
        <v>256</v>
      </c>
      <c r="D26" s="553"/>
      <c r="E26" s="553"/>
      <c r="F26" s="553"/>
      <c r="G26" s="553"/>
      <c r="H26" s="553"/>
      <c r="I26" s="553"/>
      <c r="J26" s="553"/>
      <c r="K26" s="554"/>
      <c r="L26" s="119"/>
      <c r="M26" s="116" t="s">
        <v>25</v>
      </c>
      <c r="N26" s="555" t="s">
        <v>256</v>
      </c>
      <c r="O26" s="556"/>
      <c r="P26" s="556"/>
      <c r="Q26" s="556"/>
      <c r="R26" s="556"/>
      <c r="S26" s="556"/>
      <c r="T26" s="556"/>
      <c r="U26" s="556"/>
      <c r="V26" s="556"/>
      <c r="W26" s="557"/>
      <c r="X26" s="345"/>
    </row>
    <row r="27" spans="1:24" s="109" customFormat="1" ht="30" customHeight="1" x14ac:dyDescent="0.35">
      <c r="A27" s="137"/>
      <c r="B27" s="549" t="s">
        <v>257</v>
      </c>
      <c r="C27" s="104" t="s">
        <v>241</v>
      </c>
      <c r="D27" s="363"/>
      <c r="E27" s="348">
        <v>75000</v>
      </c>
      <c r="F27" s="363"/>
      <c r="G27" s="350">
        <f t="shared" ref="G27:G29" si="7">SUM(D27:F27)</f>
        <v>75000</v>
      </c>
      <c r="H27" s="253">
        <v>0</v>
      </c>
      <c r="I27" s="348">
        <v>0</v>
      </c>
      <c r="J27" s="363"/>
      <c r="K27" s="363"/>
      <c r="L27" s="119"/>
      <c r="M27" s="560" t="s">
        <v>257</v>
      </c>
      <c r="N27" s="407" t="s">
        <v>241</v>
      </c>
      <c r="O27" s="426"/>
      <c r="P27" s="348">
        <v>75000</v>
      </c>
      <c r="Q27" s="363"/>
      <c r="R27" s="145">
        <f>O27+P27+Q27</f>
        <v>75000</v>
      </c>
      <c r="S27" s="413">
        <f>R27-G27</f>
        <v>0</v>
      </c>
      <c r="T27" s="348"/>
      <c r="U27" s="507">
        <v>75000</v>
      </c>
      <c r="V27" s="372">
        <f>U27*T27</f>
        <v>0</v>
      </c>
      <c r="W27" s="104"/>
      <c r="X27" s="118"/>
    </row>
    <row r="28" spans="1:24" s="109" customFormat="1" ht="30" customHeight="1" x14ac:dyDescent="0.35">
      <c r="A28" s="137"/>
      <c r="B28" s="550"/>
      <c r="C28" s="363"/>
      <c r="D28" s="363"/>
      <c r="E28" s="363"/>
      <c r="F28" s="363"/>
      <c r="G28" s="350">
        <f t="shared" si="7"/>
        <v>0</v>
      </c>
      <c r="H28" s="363"/>
      <c r="I28" s="348">
        <v>0</v>
      </c>
      <c r="J28" s="363"/>
      <c r="K28" s="363"/>
      <c r="L28" s="119"/>
      <c r="M28" s="561"/>
      <c r="N28" s="343"/>
      <c r="O28" s="427"/>
      <c r="P28" s="343"/>
      <c r="Q28" s="343"/>
      <c r="R28" s="145">
        <f t="shared" ref="R28:R44" si="8">O28+P28+Q28</f>
        <v>0</v>
      </c>
      <c r="S28" s="413">
        <f t="shared" ref="S28:S44" si="9">R28-G28</f>
        <v>0</v>
      </c>
      <c r="T28" s="343"/>
      <c r="U28" s="508"/>
      <c r="V28" s="372">
        <f t="shared" ref="V28:V43" si="10">U28*T28</f>
        <v>0</v>
      </c>
      <c r="W28" s="343"/>
      <c r="X28" s="118"/>
    </row>
    <row r="29" spans="1:24" s="109" customFormat="1" ht="30" customHeight="1" x14ac:dyDescent="0.35">
      <c r="A29" s="137"/>
      <c r="B29" s="550"/>
      <c r="C29" s="363"/>
      <c r="D29" s="363"/>
      <c r="E29" s="363"/>
      <c r="F29" s="363"/>
      <c r="G29" s="350">
        <f t="shared" si="7"/>
        <v>0</v>
      </c>
      <c r="H29" s="363"/>
      <c r="I29" s="348">
        <v>0</v>
      </c>
      <c r="J29" s="363"/>
      <c r="K29" s="363"/>
      <c r="L29" s="119"/>
      <c r="M29" s="561"/>
      <c r="N29" s="343"/>
      <c r="O29" s="427"/>
      <c r="P29" s="343"/>
      <c r="Q29" s="343"/>
      <c r="R29" s="145">
        <f t="shared" si="8"/>
        <v>0</v>
      </c>
      <c r="S29" s="413">
        <f t="shared" si="9"/>
        <v>0</v>
      </c>
      <c r="T29" s="343"/>
      <c r="U29" s="508"/>
      <c r="V29" s="372">
        <f t="shared" si="10"/>
        <v>0</v>
      </c>
      <c r="W29" s="343"/>
      <c r="X29" s="118"/>
    </row>
    <row r="30" spans="1:24" s="109" customFormat="1" ht="27" customHeight="1" x14ac:dyDescent="0.35">
      <c r="A30" s="137"/>
      <c r="B30" s="551"/>
      <c r="C30" s="121"/>
      <c r="D30" s="348"/>
      <c r="E30" s="348"/>
      <c r="F30" s="348"/>
      <c r="G30" s="350">
        <f>SUM(D30:F30)</f>
        <v>0</v>
      </c>
      <c r="H30" s="253"/>
      <c r="I30" s="348">
        <v>0</v>
      </c>
      <c r="J30" s="351"/>
      <c r="K30" s="352"/>
      <c r="L30" s="126"/>
      <c r="M30" s="562"/>
      <c r="N30" s="104"/>
      <c r="O30" s="423"/>
      <c r="P30" s="128"/>
      <c r="Q30" s="128"/>
      <c r="R30" s="145">
        <f t="shared" si="8"/>
        <v>0</v>
      </c>
      <c r="S30" s="413">
        <f t="shared" si="9"/>
        <v>0</v>
      </c>
      <c r="T30" s="105"/>
      <c r="U30" s="509"/>
      <c r="V30" s="372">
        <f t="shared" si="10"/>
        <v>0</v>
      </c>
      <c r="W30" s="125"/>
      <c r="X30" s="130" t="str">
        <f>IFERROR(R30/G30,"")</f>
        <v/>
      </c>
    </row>
    <row r="31" spans="1:24" s="109" customFormat="1" ht="62.5" customHeight="1" x14ac:dyDescent="0.35">
      <c r="A31" s="137"/>
      <c r="B31" s="549" t="s">
        <v>258</v>
      </c>
      <c r="C31" s="104" t="s">
        <v>259</v>
      </c>
      <c r="D31" s="348">
        <v>15000</v>
      </c>
      <c r="E31" s="348"/>
      <c r="F31" s="348"/>
      <c r="G31" s="350">
        <f t="shared" ref="G31:G32" si="11">SUM(D31:F31)</f>
        <v>15000</v>
      </c>
      <c r="H31" s="253">
        <v>0.5</v>
      </c>
      <c r="I31" s="348">
        <v>0</v>
      </c>
      <c r="J31" s="351"/>
      <c r="K31" s="352"/>
      <c r="L31" s="126"/>
      <c r="M31" s="563" t="s">
        <v>258</v>
      </c>
      <c r="N31" s="104" t="s">
        <v>259</v>
      </c>
      <c r="O31" s="419">
        <v>15000</v>
      </c>
      <c r="P31" s="128"/>
      <c r="Q31" s="128"/>
      <c r="R31" s="145">
        <f t="shared" si="8"/>
        <v>15000</v>
      </c>
      <c r="S31" s="413">
        <f t="shared" si="9"/>
        <v>0</v>
      </c>
      <c r="T31" s="105">
        <v>0.5</v>
      </c>
      <c r="U31" s="507">
        <v>15000</v>
      </c>
      <c r="V31" s="372">
        <f t="shared" si="10"/>
        <v>7500</v>
      </c>
      <c r="W31" s="125"/>
      <c r="X31" s="130"/>
    </row>
    <row r="32" spans="1:24" s="109" customFormat="1" ht="24" customHeight="1" x14ac:dyDescent="0.35">
      <c r="A32" s="137"/>
      <c r="B32" s="550"/>
      <c r="C32" s="121"/>
      <c r="D32" s="348"/>
      <c r="E32" s="348"/>
      <c r="F32" s="348"/>
      <c r="G32" s="350">
        <f t="shared" si="11"/>
        <v>0</v>
      </c>
      <c r="H32" s="253"/>
      <c r="I32" s="348">
        <v>0</v>
      </c>
      <c r="J32" s="351"/>
      <c r="K32" s="352"/>
      <c r="L32" s="126"/>
      <c r="M32" s="564"/>
      <c r="N32" s="121"/>
      <c r="O32" s="419"/>
      <c r="P32" s="128"/>
      <c r="Q32" s="128"/>
      <c r="R32" s="145">
        <f t="shared" si="8"/>
        <v>0</v>
      </c>
      <c r="S32" s="413">
        <f t="shared" si="9"/>
        <v>0</v>
      </c>
      <c r="T32" s="105"/>
      <c r="U32" s="509"/>
      <c r="V32" s="372">
        <f t="shared" si="10"/>
        <v>0</v>
      </c>
      <c r="W32" s="125"/>
      <c r="X32" s="130"/>
    </row>
    <row r="33" spans="1:24" s="109" customFormat="1" ht="41.5" customHeight="1" x14ac:dyDescent="0.35">
      <c r="A33" s="137"/>
      <c r="B33" s="551"/>
      <c r="C33" s="367"/>
      <c r="D33" s="348"/>
      <c r="E33" s="348"/>
      <c r="F33" s="348"/>
      <c r="G33" s="350">
        <f>SUM(D33:F33)</f>
        <v>0</v>
      </c>
      <c r="H33" s="253"/>
      <c r="I33" s="348">
        <v>0</v>
      </c>
      <c r="J33" s="351"/>
      <c r="K33" s="352"/>
      <c r="L33" s="126"/>
      <c r="M33" s="565"/>
      <c r="N33" s="367"/>
      <c r="O33" s="419"/>
      <c r="P33" s="128"/>
      <c r="Q33" s="128"/>
      <c r="R33" s="145">
        <f t="shared" si="8"/>
        <v>0</v>
      </c>
      <c r="S33" s="413">
        <f t="shared" si="9"/>
        <v>0</v>
      </c>
      <c r="T33" s="105"/>
      <c r="U33" s="509"/>
      <c r="V33" s="372">
        <f t="shared" si="10"/>
        <v>0</v>
      </c>
      <c r="W33" s="125"/>
      <c r="X33" s="130" t="str">
        <f>IFERROR(R33/G33,"")</f>
        <v/>
      </c>
    </row>
    <row r="34" spans="1:24" s="109" customFormat="1" ht="31" customHeight="1" x14ac:dyDescent="0.35">
      <c r="A34" s="137"/>
      <c r="B34" s="549" t="s">
        <v>260</v>
      </c>
      <c r="C34" s="104" t="s">
        <v>250</v>
      </c>
      <c r="D34" s="348">
        <v>0</v>
      </c>
      <c r="E34" s="348"/>
      <c r="F34" s="348"/>
      <c r="G34" s="350">
        <f t="shared" ref="G34:G35" si="12">SUM(D34:F34)</f>
        <v>0</v>
      </c>
      <c r="H34" s="253"/>
      <c r="I34" s="348">
        <v>0</v>
      </c>
      <c r="J34" s="351"/>
      <c r="K34" s="352"/>
      <c r="L34" s="126"/>
      <c r="M34" s="560" t="s">
        <v>260</v>
      </c>
      <c r="N34" s="104" t="s">
        <v>250</v>
      </c>
      <c r="O34" s="419"/>
      <c r="P34" s="128"/>
      <c r="Q34" s="128"/>
      <c r="R34" s="145">
        <f t="shared" si="8"/>
        <v>0</v>
      </c>
      <c r="S34" s="413">
        <f t="shared" si="9"/>
        <v>0</v>
      </c>
      <c r="T34" s="105"/>
      <c r="U34" s="509"/>
      <c r="V34" s="372">
        <f t="shared" si="10"/>
        <v>0</v>
      </c>
      <c r="W34" s="125"/>
      <c r="X34" s="130"/>
    </row>
    <row r="35" spans="1:24" s="109" customFormat="1" ht="30" customHeight="1" x14ac:dyDescent="0.35">
      <c r="A35" s="137"/>
      <c r="B35" s="550"/>
      <c r="C35" s="104" t="s">
        <v>261</v>
      </c>
      <c r="D35" s="348">
        <v>0</v>
      </c>
      <c r="E35" s="348"/>
      <c r="F35" s="348"/>
      <c r="G35" s="350">
        <f t="shared" si="12"/>
        <v>0</v>
      </c>
      <c r="H35" s="253"/>
      <c r="I35" s="348">
        <v>0</v>
      </c>
      <c r="J35" s="351"/>
      <c r="K35" s="352"/>
      <c r="L35" s="126"/>
      <c r="M35" s="561"/>
      <c r="N35" s="104" t="s">
        <v>261</v>
      </c>
      <c r="O35" s="419"/>
      <c r="P35" s="128"/>
      <c r="Q35" s="128"/>
      <c r="R35" s="145">
        <f t="shared" si="8"/>
        <v>0</v>
      </c>
      <c r="S35" s="413">
        <f t="shared" si="9"/>
        <v>0</v>
      </c>
      <c r="T35" s="105"/>
      <c r="U35" s="509"/>
      <c r="V35" s="372">
        <f t="shared" si="10"/>
        <v>0</v>
      </c>
      <c r="W35" s="125"/>
      <c r="X35" s="130"/>
    </row>
    <row r="36" spans="1:24" s="109" customFormat="1" ht="63.5" customHeight="1" x14ac:dyDescent="0.35">
      <c r="A36" s="137"/>
      <c r="B36" s="551"/>
      <c r="C36" s="104"/>
      <c r="D36" s="348"/>
      <c r="E36" s="348"/>
      <c r="F36" s="348"/>
      <c r="G36" s="350">
        <f t="shared" ref="G36:G43" si="13">SUM(D36:F36)</f>
        <v>0</v>
      </c>
      <c r="H36" s="253"/>
      <c r="I36" s="348">
        <v>0</v>
      </c>
      <c r="J36" s="351"/>
      <c r="K36" s="352"/>
      <c r="L36" s="126"/>
      <c r="M36" s="562"/>
      <c r="N36" s="408"/>
      <c r="O36" s="419"/>
      <c r="P36" s="128"/>
      <c r="Q36" s="128"/>
      <c r="R36" s="145">
        <f t="shared" si="8"/>
        <v>0</v>
      </c>
      <c r="S36" s="413">
        <f t="shared" si="9"/>
        <v>0</v>
      </c>
      <c r="T36" s="123"/>
      <c r="U36" s="509"/>
      <c r="V36" s="372">
        <f t="shared" si="10"/>
        <v>0</v>
      </c>
      <c r="W36" s="125"/>
      <c r="X36" s="130" t="str">
        <f>IFERROR(R36/G36,"")</f>
        <v/>
      </c>
    </row>
    <row r="37" spans="1:24" s="109" customFormat="1" ht="24.5" customHeight="1" x14ac:dyDescent="0.35">
      <c r="A37" s="137"/>
      <c r="B37" s="355"/>
      <c r="C37" s="104"/>
      <c r="D37" s="348"/>
      <c r="E37" s="348"/>
      <c r="F37" s="348"/>
      <c r="G37" s="350">
        <f t="shared" si="13"/>
        <v>0</v>
      </c>
      <c r="H37" s="253"/>
      <c r="I37" s="348">
        <v>0</v>
      </c>
      <c r="J37" s="351"/>
      <c r="K37" s="352"/>
      <c r="L37" s="126"/>
      <c r="M37" s="569" t="s">
        <v>322</v>
      </c>
      <c r="N37" s="107"/>
      <c r="O37" s="419"/>
      <c r="P37" s="128"/>
      <c r="Q37" s="128"/>
      <c r="R37" s="145">
        <f t="shared" si="8"/>
        <v>0</v>
      </c>
      <c r="S37" s="413">
        <f t="shared" si="9"/>
        <v>0</v>
      </c>
      <c r="T37" s="123"/>
      <c r="U37" s="509"/>
      <c r="V37" s="372">
        <f t="shared" si="10"/>
        <v>0</v>
      </c>
      <c r="W37" s="125"/>
      <c r="X37" s="130" t="str">
        <f t="shared" ref="X37:X44" si="14">IFERROR(R37/G37,"")</f>
        <v/>
      </c>
    </row>
    <row r="38" spans="1:24" s="109" customFormat="1" ht="51" customHeight="1" x14ac:dyDescent="0.35">
      <c r="A38" s="137"/>
      <c r="B38" s="355"/>
      <c r="C38" s="104"/>
      <c r="D38" s="348"/>
      <c r="E38" s="348"/>
      <c r="F38" s="348"/>
      <c r="G38" s="350"/>
      <c r="H38" s="253"/>
      <c r="I38" s="348"/>
      <c r="J38" s="351"/>
      <c r="K38" s="352"/>
      <c r="L38" s="126"/>
      <c r="M38" s="570"/>
      <c r="N38" s="147" t="s">
        <v>391</v>
      </c>
      <c r="O38" s="423">
        <v>27546</v>
      </c>
      <c r="P38" s="160"/>
      <c r="Q38" s="160"/>
      <c r="R38" s="146">
        <f t="shared" si="8"/>
        <v>27546</v>
      </c>
      <c r="S38" s="413">
        <f t="shared" si="9"/>
        <v>27546</v>
      </c>
      <c r="T38" s="346">
        <v>0.5</v>
      </c>
      <c r="U38" s="509">
        <v>27546</v>
      </c>
      <c r="V38" s="372">
        <f t="shared" si="10"/>
        <v>13773</v>
      </c>
      <c r="W38" s="125"/>
      <c r="X38" s="130"/>
    </row>
    <row r="39" spans="1:24" s="109" customFormat="1" ht="54.5" customHeight="1" x14ac:dyDescent="0.35">
      <c r="A39" s="137"/>
      <c r="B39" s="151" t="s">
        <v>26</v>
      </c>
      <c r="C39" s="121"/>
      <c r="D39" s="348"/>
      <c r="E39" s="348"/>
      <c r="F39" s="348"/>
      <c r="G39" s="350">
        <f t="shared" si="13"/>
        <v>0</v>
      </c>
      <c r="H39" s="253"/>
      <c r="I39" s="348">
        <f t="shared" ref="I39" si="15">SUM(H39)</f>
        <v>0</v>
      </c>
      <c r="J39" s="351"/>
      <c r="K39" s="352"/>
      <c r="L39" s="126"/>
      <c r="M39" s="571"/>
      <c r="N39" s="147" t="s">
        <v>326</v>
      </c>
      <c r="O39" s="423">
        <v>10000</v>
      </c>
      <c r="P39" s="160"/>
      <c r="Q39" s="160"/>
      <c r="R39" s="146">
        <f t="shared" si="8"/>
        <v>10000</v>
      </c>
      <c r="S39" s="413">
        <f t="shared" si="9"/>
        <v>10000</v>
      </c>
      <c r="T39" s="346">
        <v>0.3</v>
      </c>
      <c r="U39" s="510">
        <v>10000</v>
      </c>
      <c r="V39" s="372">
        <f t="shared" si="10"/>
        <v>3000</v>
      </c>
      <c r="W39" s="125"/>
      <c r="X39" s="130" t="str">
        <f t="shared" si="14"/>
        <v/>
      </c>
    </row>
    <row r="40" spans="1:24" s="109" customFormat="1" ht="39.5" customHeight="1" x14ac:dyDescent="0.35">
      <c r="A40" s="137"/>
      <c r="B40" s="151"/>
      <c r="C40" s="121"/>
      <c r="D40" s="348"/>
      <c r="E40" s="348"/>
      <c r="F40" s="348"/>
      <c r="G40" s="350"/>
      <c r="H40" s="253"/>
      <c r="I40" s="348"/>
      <c r="J40" s="351"/>
      <c r="K40" s="352"/>
      <c r="L40" s="126"/>
      <c r="M40" s="569" t="s">
        <v>324</v>
      </c>
      <c r="N40" s="147" t="s">
        <v>325</v>
      </c>
      <c r="O40" s="423">
        <v>15000</v>
      </c>
      <c r="P40" s="160"/>
      <c r="Q40" s="160"/>
      <c r="R40" s="146">
        <f t="shared" si="8"/>
        <v>15000</v>
      </c>
      <c r="S40" s="413">
        <f t="shared" si="9"/>
        <v>15000</v>
      </c>
      <c r="T40" s="346">
        <v>0.5</v>
      </c>
      <c r="U40" s="510">
        <v>15000</v>
      </c>
      <c r="V40" s="372">
        <f t="shared" si="10"/>
        <v>7500</v>
      </c>
      <c r="W40" s="125"/>
      <c r="X40" s="130"/>
    </row>
    <row r="41" spans="1:24" s="109" customFormat="1" ht="53" customHeight="1" x14ac:dyDescent="0.35">
      <c r="A41" s="137"/>
      <c r="B41" s="151" t="s">
        <v>27</v>
      </c>
      <c r="C41" s="121"/>
      <c r="D41" s="348"/>
      <c r="E41" s="348"/>
      <c r="F41" s="348"/>
      <c r="G41" s="350">
        <f t="shared" si="13"/>
        <v>0</v>
      </c>
      <c r="H41" s="253"/>
      <c r="I41" s="348">
        <v>0</v>
      </c>
      <c r="J41" s="351"/>
      <c r="K41" s="352"/>
      <c r="L41" s="126"/>
      <c r="M41" s="571"/>
      <c r="N41" s="147" t="s">
        <v>323</v>
      </c>
      <c r="O41" s="423">
        <v>23053</v>
      </c>
      <c r="P41" s="160"/>
      <c r="Q41" s="160"/>
      <c r="R41" s="146">
        <f t="shared" si="8"/>
        <v>23053</v>
      </c>
      <c r="S41" s="413">
        <f t="shared" si="9"/>
        <v>23053</v>
      </c>
      <c r="T41" s="346">
        <v>0.3</v>
      </c>
      <c r="U41" s="510">
        <v>23053</v>
      </c>
      <c r="V41" s="372">
        <f t="shared" si="10"/>
        <v>6915.9</v>
      </c>
      <c r="W41" s="125"/>
      <c r="X41" s="130" t="str">
        <f t="shared" si="14"/>
        <v/>
      </c>
    </row>
    <row r="42" spans="1:24" s="109" customFormat="1" ht="20.149999999999999" customHeight="1" x14ac:dyDescent="0.35">
      <c r="A42" s="137"/>
      <c r="B42" s="151" t="s">
        <v>28</v>
      </c>
      <c r="C42" s="363"/>
      <c r="D42" s="372"/>
      <c r="E42" s="372"/>
      <c r="F42" s="372"/>
      <c r="G42" s="350">
        <f t="shared" si="13"/>
        <v>0</v>
      </c>
      <c r="H42" s="365"/>
      <c r="I42" s="372">
        <v>0</v>
      </c>
      <c r="J42" s="351"/>
      <c r="K42" s="366"/>
      <c r="L42" s="126"/>
      <c r="M42" s="120" t="s">
        <v>28</v>
      </c>
      <c r="N42" s="127"/>
      <c r="O42" s="419"/>
      <c r="P42" s="136"/>
      <c r="Q42" s="136"/>
      <c r="R42" s="145">
        <f t="shared" si="8"/>
        <v>0</v>
      </c>
      <c r="S42" s="413">
        <f t="shared" si="9"/>
        <v>0</v>
      </c>
      <c r="T42" s="134"/>
      <c r="U42" s="509"/>
      <c r="V42" s="372">
        <f t="shared" si="10"/>
        <v>0</v>
      </c>
      <c r="W42" s="135"/>
      <c r="X42" s="130" t="str">
        <f t="shared" si="14"/>
        <v/>
      </c>
    </row>
    <row r="43" spans="1:24" s="109" customFormat="1" ht="30" customHeight="1" x14ac:dyDescent="0.35">
      <c r="A43" s="137"/>
      <c r="B43" s="151" t="s">
        <v>29</v>
      </c>
      <c r="C43" s="363"/>
      <c r="D43" s="372"/>
      <c r="E43" s="372"/>
      <c r="F43" s="372"/>
      <c r="G43" s="350">
        <f t="shared" si="13"/>
        <v>0</v>
      </c>
      <c r="H43" s="365"/>
      <c r="I43" s="372">
        <v>0</v>
      </c>
      <c r="J43" s="351"/>
      <c r="K43" s="366"/>
      <c r="L43" s="126"/>
      <c r="M43" s="120" t="s">
        <v>29</v>
      </c>
      <c r="N43" s="132"/>
      <c r="O43" s="419"/>
      <c r="P43" s="136"/>
      <c r="Q43" s="136"/>
      <c r="R43" s="145">
        <f t="shared" si="8"/>
        <v>0</v>
      </c>
      <c r="S43" s="413">
        <f t="shared" si="9"/>
        <v>0</v>
      </c>
      <c r="T43" s="134"/>
      <c r="U43" s="509"/>
      <c r="V43" s="372">
        <f t="shared" si="10"/>
        <v>0</v>
      </c>
      <c r="W43" s="135"/>
      <c r="X43" s="130" t="str">
        <f t="shared" si="14"/>
        <v/>
      </c>
    </row>
    <row r="44" spans="1:24" s="109" customFormat="1" ht="30" customHeight="1" x14ac:dyDescent="0.35">
      <c r="A44" s="137"/>
      <c r="B44" s="367"/>
      <c r="C44" s="368" t="s">
        <v>24</v>
      </c>
      <c r="D44" s="251">
        <f>SUM(D30:D43)</f>
        <v>15000</v>
      </c>
      <c r="E44" s="251">
        <f>SUM(E27:E43)</f>
        <v>75000</v>
      </c>
      <c r="F44" s="251">
        <f>SUM(F30:F43)</f>
        <v>0</v>
      </c>
      <c r="G44" s="251">
        <f>SUM(G27:G43)</f>
        <v>90000</v>
      </c>
      <c r="H44" s="369">
        <f>(H30*G30)+(H31*G31)+(H33*G33)+(H36*G36)+(H37*G37)+(H39*G39)+(H41*G41)+(H42*G42)+(H43*G43)</f>
        <v>7500</v>
      </c>
      <c r="I44" s="369">
        <f>SUM(I30:I43)</f>
        <v>0</v>
      </c>
      <c r="J44" s="370"/>
      <c r="K44" s="366"/>
      <c r="L44" s="142"/>
      <c r="N44" s="139" t="s">
        <v>24</v>
      </c>
      <c r="O44" s="419">
        <f>SUM(O27:O43)</f>
        <v>90599</v>
      </c>
      <c r="P44" s="145">
        <f>SUM(P27:P43)</f>
        <v>75000</v>
      </c>
      <c r="Q44" s="145">
        <f>SUM(Q30:Q43)</f>
        <v>0</v>
      </c>
      <c r="R44" s="145">
        <f t="shared" si="8"/>
        <v>165599</v>
      </c>
      <c r="S44" s="413">
        <f t="shared" si="9"/>
        <v>75599</v>
      </c>
      <c r="T44" s="145">
        <v>38688.9</v>
      </c>
      <c r="U44" s="511">
        <f>SUM(U27:U43)</f>
        <v>165599</v>
      </c>
      <c r="V44" s="372">
        <f>SUM(V27:V43)</f>
        <v>38688.9</v>
      </c>
      <c r="W44" s="135"/>
      <c r="X44" s="130">
        <f t="shared" si="14"/>
        <v>1.8399888888888889</v>
      </c>
    </row>
    <row r="45" spans="1:24" s="344" customFormat="1" ht="32" customHeight="1" x14ac:dyDescent="0.35">
      <c r="A45" s="357"/>
      <c r="B45" s="371" t="s">
        <v>30</v>
      </c>
      <c r="C45" s="558" t="s">
        <v>312</v>
      </c>
      <c r="D45" s="558"/>
      <c r="E45" s="558"/>
      <c r="F45" s="558"/>
      <c r="G45" s="558"/>
      <c r="H45" s="558"/>
      <c r="I45" s="559"/>
      <c r="J45" s="559"/>
      <c r="K45" s="558"/>
      <c r="L45" s="119"/>
      <c r="M45" s="116" t="s">
        <v>30</v>
      </c>
      <c r="N45" s="555" t="s">
        <v>312</v>
      </c>
      <c r="O45" s="556"/>
      <c r="P45" s="556"/>
      <c r="Q45" s="556"/>
      <c r="R45" s="556"/>
      <c r="S45" s="556"/>
      <c r="T45" s="556"/>
      <c r="U45" s="556"/>
      <c r="V45" s="556"/>
      <c r="W45" s="557"/>
      <c r="X45" s="345"/>
    </row>
    <row r="46" spans="1:24" s="109" customFormat="1" ht="37.5" customHeight="1" x14ac:dyDescent="0.35">
      <c r="A46" s="137"/>
      <c r="B46" s="566" t="s">
        <v>262</v>
      </c>
      <c r="C46" s="104" t="s">
        <v>263</v>
      </c>
      <c r="D46" s="348">
        <v>30000</v>
      </c>
      <c r="E46" s="363"/>
      <c r="F46" s="363"/>
      <c r="G46" s="350">
        <f t="shared" ref="G46:G52" si="16">SUM(D46:F46)</f>
        <v>30000</v>
      </c>
      <c r="H46" s="253">
        <v>0.3</v>
      </c>
      <c r="I46" s="373"/>
      <c r="J46" s="373"/>
      <c r="K46" s="363"/>
      <c r="L46" s="119"/>
      <c r="M46" s="560" t="s">
        <v>262</v>
      </c>
      <c r="N46" s="104" t="s">
        <v>263</v>
      </c>
      <c r="O46" s="423">
        <v>0</v>
      </c>
      <c r="P46" s="343"/>
      <c r="Q46" s="343"/>
      <c r="R46" s="145">
        <f>+O46+P46+Q46</f>
        <v>0</v>
      </c>
      <c r="S46" s="413">
        <f>R46-G46</f>
        <v>-30000</v>
      </c>
      <c r="T46" s="105">
        <v>0.3</v>
      </c>
      <c r="U46" s="509">
        <v>30000</v>
      </c>
      <c r="V46" s="372">
        <f>U46*T46</f>
        <v>9000</v>
      </c>
      <c r="W46" s="340"/>
      <c r="X46" s="118"/>
    </row>
    <row r="47" spans="1:24" s="109" customFormat="1" ht="21.5" customHeight="1" x14ac:dyDescent="0.35">
      <c r="A47" s="137"/>
      <c r="B47" s="567"/>
      <c r="C47" s="104" t="s">
        <v>264</v>
      </c>
      <c r="D47" s="348">
        <v>20000</v>
      </c>
      <c r="E47" s="363"/>
      <c r="F47" s="363"/>
      <c r="G47" s="350">
        <f t="shared" si="16"/>
        <v>20000</v>
      </c>
      <c r="H47" s="253">
        <v>0.3</v>
      </c>
      <c r="I47" s="373"/>
      <c r="J47" s="373"/>
      <c r="K47" s="363"/>
      <c r="L47" s="119"/>
      <c r="M47" s="561"/>
      <c r="N47" s="104" t="s">
        <v>264</v>
      </c>
      <c r="O47" s="423">
        <v>0</v>
      </c>
      <c r="P47" s="343"/>
      <c r="Q47" s="343"/>
      <c r="R47" s="145">
        <f t="shared" ref="R47:R63" si="17">+O47+P47+Q47</f>
        <v>0</v>
      </c>
      <c r="S47" s="413">
        <f t="shared" ref="S47:S69" si="18">R47-G47</f>
        <v>-20000</v>
      </c>
      <c r="T47" s="105">
        <v>0.3</v>
      </c>
      <c r="U47" s="509">
        <v>20000</v>
      </c>
      <c r="V47" s="372">
        <f t="shared" ref="V47:V68" si="19">U47*T47</f>
        <v>6000</v>
      </c>
      <c r="W47" s="340"/>
      <c r="X47" s="118"/>
    </row>
    <row r="48" spans="1:24" s="109" customFormat="1" ht="24.5" customHeight="1" x14ac:dyDescent="0.35">
      <c r="A48" s="137"/>
      <c r="B48" s="567"/>
      <c r="C48" s="104" t="s">
        <v>265</v>
      </c>
      <c r="D48" s="348">
        <v>10000</v>
      </c>
      <c r="E48" s="363"/>
      <c r="F48" s="363"/>
      <c r="G48" s="350">
        <f t="shared" si="16"/>
        <v>10000</v>
      </c>
      <c r="H48" s="253">
        <v>0.5</v>
      </c>
      <c r="I48" s="373"/>
      <c r="J48" s="373"/>
      <c r="K48" s="363"/>
      <c r="L48" s="119"/>
      <c r="M48" s="561"/>
      <c r="N48" s="104" t="s">
        <v>265</v>
      </c>
      <c r="O48" s="423">
        <v>0</v>
      </c>
      <c r="P48" s="343"/>
      <c r="Q48" s="343"/>
      <c r="R48" s="145">
        <f t="shared" si="17"/>
        <v>0</v>
      </c>
      <c r="S48" s="413">
        <f t="shared" si="18"/>
        <v>-10000</v>
      </c>
      <c r="T48" s="105">
        <v>0.5</v>
      </c>
      <c r="U48" s="509">
        <v>10000</v>
      </c>
      <c r="V48" s="372">
        <f t="shared" si="19"/>
        <v>5000</v>
      </c>
      <c r="W48" s="340"/>
      <c r="X48" s="118"/>
    </row>
    <row r="49" spans="1:24" s="109" customFormat="1" ht="33" customHeight="1" x14ac:dyDescent="0.35">
      <c r="A49" s="137"/>
      <c r="B49" s="567"/>
      <c r="C49" s="104"/>
      <c r="D49" s="348">
        <v>0</v>
      </c>
      <c r="E49" s="348"/>
      <c r="F49" s="348"/>
      <c r="G49" s="350">
        <f>SUM(D49:F49)</f>
        <v>0</v>
      </c>
      <c r="H49" s="253"/>
      <c r="I49" s="374"/>
      <c r="J49" s="351"/>
      <c r="K49" s="352"/>
      <c r="L49" s="126"/>
      <c r="M49" s="561"/>
      <c r="N49" s="104"/>
      <c r="O49" s="423"/>
      <c r="P49" s="128"/>
      <c r="Q49" s="128"/>
      <c r="R49" s="145">
        <f t="shared" si="17"/>
        <v>0</v>
      </c>
      <c r="S49" s="413">
        <f t="shared" si="18"/>
        <v>0</v>
      </c>
      <c r="T49" s="105"/>
      <c r="U49" s="509"/>
      <c r="V49" s="372">
        <f t="shared" si="19"/>
        <v>0</v>
      </c>
      <c r="W49" s="125"/>
      <c r="X49" s="130" t="str">
        <f>IFERROR(R49/G49,"")</f>
        <v/>
      </c>
    </row>
    <row r="50" spans="1:24" s="109" customFormat="1" ht="51" customHeight="1" x14ac:dyDescent="0.35">
      <c r="A50" s="137"/>
      <c r="B50" s="568"/>
      <c r="C50" s="104"/>
      <c r="D50" s="348">
        <v>0</v>
      </c>
      <c r="E50" s="348"/>
      <c r="F50" s="348"/>
      <c r="G50" s="350">
        <f t="shared" si="16"/>
        <v>0</v>
      </c>
      <c r="H50" s="253"/>
      <c r="I50" s="374"/>
      <c r="J50" s="351"/>
      <c r="K50" s="352"/>
      <c r="L50" s="126"/>
      <c r="M50" s="562"/>
      <c r="N50" s="104"/>
      <c r="O50" s="423"/>
      <c r="P50" s="128"/>
      <c r="Q50" s="128"/>
      <c r="R50" s="145">
        <f t="shared" si="17"/>
        <v>0</v>
      </c>
      <c r="S50" s="413">
        <f t="shared" si="18"/>
        <v>0</v>
      </c>
      <c r="T50" s="105"/>
      <c r="U50" s="509"/>
      <c r="V50" s="372">
        <f t="shared" si="19"/>
        <v>0</v>
      </c>
      <c r="W50" s="125"/>
      <c r="X50" s="130"/>
    </row>
    <row r="51" spans="1:24" s="109" customFormat="1" ht="34.5" customHeight="1" x14ac:dyDescent="0.35">
      <c r="A51" s="137"/>
      <c r="B51" s="566" t="s">
        <v>266</v>
      </c>
      <c r="C51" s="104" t="s">
        <v>267</v>
      </c>
      <c r="D51" s="348">
        <v>25000</v>
      </c>
      <c r="E51" s="348"/>
      <c r="F51" s="348"/>
      <c r="G51" s="350">
        <f t="shared" si="16"/>
        <v>25000</v>
      </c>
      <c r="H51" s="253">
        <v>0.5</v>
      </c>
      <c r="I51" s="374"/>
      <c r="J51" s="351"/>
      <c r="K51" s="352"/>
      <c r="L51" s="126"/>
      <c r="M51" s="560" t="s">
        <v>266</v>
      </c>
      <c r="N51" s="104" t="s">
        <v>267</v>
      </c>
      <c r="O51" s="423">
        <v>0</v>
      </c>
      <c r="P51" s="128"/>
      <c r="Q51" s="128"/>
      <c r="R51" s="145">
        <f t="shared" si="17"/>
        <v>0</v>
      </c>
      <c r="S51" s="413">
        <f t="shared" si="18"/>
        <v>-25000</v>
      </c>
      <c r="T51" s="105">
        <v>0.5</v>
      </c>
      <c r="U51" s="509">
        <v>25000</v>
      </c>
      <c r="V51" s="372">
        <f t="shared" si="19"/>
        <v>12500</v>
      </c>
      <c r="W51" s="125"/>
      <c r="X51" s="130"/>
    </row>
    <row r="52" spans="1:24" s="109" customFormat="1" ht="55" customHeight="1" x14ac:dyDescent="0.35">
      <c r="A52" s="137"/>
      <c r="B52" s="567"/>
      <c r="C52" s="104" t="s">
        <v>268</v>
      </c>
      <c r="D52" s="348">
        <v>10000</v>
      </c>
      <c r="E52" s="348"/>
      <c r="F52" s="348"/>
      <c r="G52" s="350">
        <f t="shared" si="16"/>
        <v>10000</v>
      </c>
      <c r="H52" s="253">
        <v>0.5</v>
      </c>
      <c r="I52" s="374"/>
      <c r="J52" s="351"/>
      <c r="K52" s="352"/>
      <c r="L52" s="126"/>
      <c r="M52" s="561"/>
      <c r="N52" s="104" t="s">
        <v>268</v>
      </c>
      <c r="O52" s="423">
        <v>0</v>
      </c>
      <c r="P52" s="128"/>
      <c r="Q52" s="128"/>
      <c r="R52" s="145">
        <f t="shared" si="17"/>
        <v>0</v>
      </c>
      <c r="S52" s="413">
        <f t="shared" si="18"/>
        <v>-10000</v>
      </c>
      <c r="T52" s="105">
        <v>0.5</v>
      </c>
      <c r="U52" s="509">
        <v>10000</v>
      </c>
      <c r="V52" s="372">
        <f t="shared" si="19"/>
        <v>5000</v>
      </c>
      <c r="W52" s="125"/>
      <c r="X52" s="130"/>
    </row>
    <row r="53" spans="1:24" s="109" customFormat="1" ht="19" customHeight="1" x14ac:dyDescent="0.35">
      <c r="A53" s="137"/>
      <c r="B53" s="567"/>
      <c r="C53" s="104"/>
      <c r="D53" s="348">
        <v>0</v>
      </c>
      <c r="E53" s="348"/>
      <c r="F53" s="348"/>
      <c r="G53" s="350">
        <f>SUM(D53:F53)</f>
        <v>0</v>
      </c>
      <c r="H53" s="253"/>
      <c r="I53" s="374"/>
      <c r="J53" s="351"/>
      <c r="K53" s="352"/>
      <c r="L53" s="126"/>
      <c r="M53" s="561"/>
      <c r="N53" s="104"/>
      <c r="O53" s="423"/>
      <c r="P53" s="128"/>
      <c r="Q53" s="128"/>
      <c r="R53" s="145">
        <f t="shared" si="17"/>
        <v>0</v>
      </c>
      <c r="S53" s="413">
        <f t="shared" si="18"/>
        <v>0</v>
      </c>
      <c r="T53" s="105"/>
      <c r="U53" s="509"/>
      <c r="V53" s="372">
        <f t="shared" si="19"/>
        <v>0</v>
      </c>
      <c r="W53" s="125"/>
      <c r="X53" s="130" t="str">
        <f t="shared" ref="X53:X69" si="20">IFERROR(R53/G53,"")</f>
        <v/>
      </c>
    </row>
    <row r="54" spans="1:24" s="109" customFormat="1" ht="19" customHeight="1" x14ac:dyDescent="0.35">
      <c r="A54" s="137"/>
      <c r="B54" s="567"/>
      <c r="C54" s="104"/>
      <c r="D54" s="348">
        <v>0</v>
      </c>
      <c r="E54" s="348"/>
      <c r="F54" s="348"/>
      <c r="G54" s="350">
        <f t="shared" ref="G54:G56" si="21">SUM(D54:F54)</f>
        <v>0</v>
      </c>
      <c r="H54" s="253"/>
      <c r="I54" s="374"/>
      <c r="J54" s="351"/>
      <c r="K54" s="352"/>
      <c r="L54" s="126"/>
      <c r="M54" s="561"/>
      <c r="N54" s="104"/>
      <c r="O54" s="423"/>
      <c r="P54" s="128"/>
      <c r="Q54" s="128"/>
      <c r="R54" s="145">
        <f t="shared" si="17"/>
        <v>0</v>
      </c>
      <c r="S54" s="413">
        <f t="shared" si="18"/>
        <v>0</v>
      </c>
      <c r="T54" s="105"/>
      <c r="U54" s="509"/>
      <c r="V54" s="372">
        <f t="shared" si="19"/>
        <v>0</v>
      </c>
      <c r="W54" s="125"/>
      <c r="X54" s="130"/>
    </row>
    <row r="55" spans="1:24" s="109" customFormat="1" ht="59" customHeight="1" x14ac:dyDescent="0.35">
      <c r="A55" s="137"/>
      <c r="B55" s="568"/>
      <c r="C55" s="104"/>
      <c r="D55" s="348">
        <v>0</v>
      </c>
      <c r="E55" s="348"/>
      <c r="F55" s="348"/>
      <c r="G55" s="350">
        <f t="shared" si="21"/>
        <v>0</v>
      </c>
      <c r="H55" s="253"/>
      <c r="I55" s="374"/>
      <c r="J55" s="351"/>
      <c r="K55" s="352"/>
      <c r="L55" s="126"/>
      <c r="M55" s="562"/>
      <c r="N55" s="104"/>
      <c r="O55" s="423"/>
      <c r="P55" s="128"/>
      <c r="Q55" s="128"/>
      <c r="R55" s="145">
        <f t="shared" si="17"/>
        <v>0</v>
      </c>
      <c r="S55" s="413">
        <f t="shared" si="18"/>
        <v>0</v>
      </c>
      <c r="T55" s="105"/>
      <c r="U55" s="509"/>
      <c r="V55" s="372">
        <f t="shared" si="19"/>
        <v>0</v>
      </c>
      <c r="W55" s="125"/>
      <c r="X55" s="130"/>
    </row>
    <row r="56" spans="1:24" s="109" customFormat="1" ht="18" customHeight="1" x14ac:dyDescent="0.35">
      <c r="A56" s="137"/>
      <c r="B56" s="566" t="s">
        <v>269</v>
      </c>
      <c r="C56" s="104" t="s">
        <v>270</v>
      </c>
      <c r="D56" s="348">
        <v>15000</v>
      </c>
      <c r="E56" s="348"/>
      <c r="F56" s="348"/>
      <c r="G56" s="350">
        <f t="shared" si="21"/>
        <v>15000</v>
      </c>
      <c r="H56" s="253">
        <v>0.5</v>
      </c>
      <c r="I56" s="374"/>
      <c r="J56" s="351"/>
      <c r="K56" s="352"/>
      <c r="L56" s="126"/>
      <c r="M56" s="560" t="s">
        <v>269</v>
      </c>
      <c r="N56" s="104" t="s">
        <v>270</v>
      </c>
      <c r="O56" s="423">
        <v>0</v>
      </c>
      <c r="P56" s="128"/>
      <c r="Q56" s="128"/>
      <c r="R56" s="145">
        <f t="shared" si="17"/>
        <v>0</v>
      </c>
      <c r="S56" s="413">
        <f t="shared" si="18"/>
        <v>-15000</v>
      </c>
      <c r="T56" s="105">
        <v>0.5</v>
      </c>
      <c r="U56" s="509">
        <v>15000</v>
      </c>
      <c r="V56" s="372">
        <f t="shared" si="19"/>
        <v>7500</v>
      </c>
      <c r="W56" s="125"/>
      <c r="X56" s="130"/>
    </row>
    <row r="57" spans="1:24" s="109" customFormat="1" ht="17.5" customHeight="1" x14ac:dyDescent="0.35">
      <c r="A57" s="137"/>
      <c r="B57" s="567"/>
      <c r="C57" s="104" t="s">
        <v>264</v>
      </c>
      <c r="D57" s="348">
        <v>15000</v>
      </c>
      <c r="E57" s="348"/>
      <c r="F57" s="348"/>
      <c r="G57" s="350">
        <f>SUM(D57:F57)</f>
        <v>15000</v>
      </c>
      <c r="H57" s="253">
        <v>0.5</v>
      </c>
      <c r="I57" s="374"/>
      <c r="J57" s="351"/>
      <c r="K57" s="352"/>
      <c r="L57" s="126"/>
      <c r="M57" s="561"/>
      <c r="N57" s="104" t="s">
        <v>264</v>
      </c>
      <c r="O57" s="423">
        <v>0</v>
      </c>
      <c r="P57" s="128"/>
      <c r="Q57" s="128"/>
      <c r="R57" s="145">
        <f t="shared" si="17"/>
        <v>0</v>
      </c>
      <c r="S57" s="413">
        <f t="shared" si="18"/>
        <v>-15000</v>
      </c>
      <c r="T57" s="105">
        <v>0.5</v>
      </c>
      <c r="U57" s="509">
        <v>15000</v>
      </c>
      <c r="V57" s="372">
        <f t="shared" si="19"/>
        <v>7500</v>
      </c>
      <c r="W57" s="125"/>
      <c r="X57" s="130">
        <f t="shared" si="20"/>
        <v>0</v>
      </c>
    </row>
    <row r="58" spans="1:24" s="109" customFormat="1" ht="16.5" customHeight="1" x14ac:dyDescent="0.35">
      <c r="A58" s="137"/>
      <c r="B58" s="567"/>
      <c r="C58" s="104" t="s">
        <v>271</v>
      </c>
      <c r="D58" s="348">
        <v>110183.63</v>
      </c>
      <c r="E58" s="348"/>
      <c r="F58" s="348"/>
      <c r="G58" s="350">
        <f t="shared" ref="G58:G60" si="22">SUM(D58:F58)</f>
        <v>110183.63</v>
      </c>
      <c r="H58" s="253">
        <v>0.5</v>
      </c>
      <c r="I58" s="374"/>
      <c r="J58" s="351"/>
      <c r="K58" s="352"/>
      <c r="L58" s="126"/>
      <c r="M58" s="561"/>
      <c r="N58" s="104" t="s">
        <v>271</v>
      </c>
      <c r="O58" s="423">
        <v>0</v>
      </c>
      <c r="P58" s="128"/>
      <c r="Q58" s="128"/>
      <c r="R58" s="145">
        <f t="shared" si="17"/>
        <v>0</v>
      </c>
      <c r="S58" s="413">
        <f t="shared" si="18"/>
        <v>-110183.63</v>
      </c>
      <c r="T58" s="105">
        <v>0.5</v>
      </c>
      <c r="U58" s="509">
        <v>110184</v>
      </c>
      <c r="V58" s="372">
        <f t="shared" si="19"/>
        <v>55092</v>
      </c>
      <c r="W58" s="125"/>
      <c r="X58" s="130"/>
    </row>
    <row r="59" spans="1:24" s="109" customFormat="1" ht="18.5" customHeight="1" x14ac:dyDescent="0.35">
      <c r="A59" s="137"/>
      <c r="B59" s="567"/>
      <c r="C59" s="104"/>
      <c r="D59" s="348">
        <v>0</v>
      </c>
      <c r="E59" s="348"/>
      <c r="F59" s="348"/>
      <c r="G59" s="350">
        <f t="shared" si="22"/>
        <v>0</v>
      </c>
      <c r="H59" s="253"/>
      <c r="I59" s="374"/>
      <c r="J59" s="351"/>
      <c r="K59" s="352"/>
      <c r="L59" s="126"/>
      <c r="M59" s="561"/>
      <c r="N59" s="104"/>
      <c r="O59" s="423"/>
      <c r="P59" s="128"/>
      <c r="Q59" s="128"/>
      <c r="R59" s="145">
        <f t="shared" si="17"/>
        <v>0</v>
      </c>
      <c r="S59" s="413">
        <f t="shared" si="18"/>
        <v>0</v>
      </c>
      <c r="T59" s="105"/>
      <c r="U59" s="509"/>
      <c r="V59" s="372">
        <f t="shared" si="19"/>
        <v>0</v>
      </c>
      <c r="W59" s="125"/>
      <c r="X59" s="130"/>
    </row>
    <row r="60" spans="1:24" s="109" customFormat="1" ht="47.5" customHeight="1" x14ac:dyDescent="0.35">
      <c r="A60" s="137"/>
      <c r="B60" s="568"/>
      <c r="C60" s="104"/>
      <c r="D60" s="348">
        <v>0</v>
      </c>
      <c r="E60" s="348"/>
      <c r="F60" s="348"/>
      <c r="G60" s="350">
        <f t="shared" si="22"/>
        <v>0</v>
      </c>
      <c r="H60" s="253"/>
      <c r="I60" s="374"/>
      <c r="J60" s="351"/>
      <c r="K60" s="352"/>
      <c r="L60" s="126"/>
      <c r="M60" s="562"/>
      <c r="N60" s="104"/>
      <c r="O60" s="423"/>
      <c r="P60" s="128"/>
      <c r="Q60" s="128"/>
      <c r="R60" s="145">
        <f t="shared" si="17"/>
        <v>0</v>
      </c>
      <c r="S60" s="413">
        <f t="shared" si="18"/>
        <v>0</v>
      </c>
      <c r="T60" s="105"/>
      <c r="U60" s="509"/>
      <c r="V60" s="372">
        <f t="shared" si="19"/>
        <v>0</v>
      </c>
      <c r="W60" s="125"/>
      <c r="X60" s="130"/>
    </row>
    <row r="61" spans="1:24" s="109" customFormat="1" ht="16" customHeight="1" x14ac:dyDescent="0.35">
      <c r="A61" s="137"/>
      <c r="B61" s="566" t="s">
        <v>272</v>
      </c>
      <c r="C61" s="104" t="s">
        <v>273</v>
      </c>
      <c r="D61" s="348">
        <v>5000</v>
      </c>
      <c r="E61" s="348"/>
      <c r="F61" s="348"/>
      <c r="G61" s="350">
        <f>SUM(D61:F61)</f>
        <v>5000</v>
      </c>
      <c r="H61" s="253"/>
      <c r="I61" s="374"/>
      <c r="J61" s="351"/>
      <c r="K61" s="352"/>
      <c r="L61" s="126"/>
      <c r="M61" s="560" t="s">
        <v>272</v>
      </c>
      <c r="N61" s="104" t="s">
        <v>273</v>
      </c>
      <c r="O61" s="419">
        <v>5000</v>
      </c>
      <c r="P61" s="128"/>
      <c r="Q61" s="128"/>
      <c r="R61" s="145">
        <f t="shared" si="17"/>
        <v>5000</v>
      </c>
      <c r="S61" s="413">
        <f t="shared" si="18"/>
        <v>0</v>
      </c>
      <c r="T61" s="105"/>
      <c r="U61" s="509"/>
      <c r="V61" s="372">
        <f t="shared" si="19"/>
        <v>0</v>
      </c>
      <c r="W61" s="125"/>
      <c r="X61" s="130">
        <f>IFERROR(R61/G61,"")</f>
        <v>1</v>
      </c>
    </row>
    <row r="62" spans="1:24" s="137" customFormat="1" ht="44.5" customHeight="1" x14ac:dyDescent="0.35">
      <c r="B62" s="567"/>
      <c r="C62" s="104" t="s">
        <v>274</v>
      </c>
      <c r="D62" s="348">
        <v>20000</v>
      </c>
      <c r="E62" s="348"/>
      <c r="F62" s="348"/>
      <c r="G62" s="350">
        <v>20000</v>
      </c>
      <c r="H62" s="253"/>
      <c r="I62" s="162"/>
      <c r="J62" s="351"/>
      <c r="K62" s="352"/>
      <c r="L62" s="126"/>
      <c r="M62" s="561"/>
      <c r="N62" s="104" t="s">
        <v>274</v>
      </c>
      <c r="O62" s="419">
        <v>20000</v>
      </c>
      <c r="P62" s="128"/>
      <c r="Q62" s="128"/>
      <c r="R62" s="145">
        <f t="shared" si="17"/>
        <v>20000</v>
      </c>
      <c r="S62" s="413">
        <f t="shared" si="18"/>
        <v>0</v>
      </c>
      <c r="T62" s="105"/>
      <c r="U62" s="509"/>
      <c r="V62" s="372">
        <f t="shared" si="19"/>
        <v>0</v>
      </c>
      <c r="W62" s="125"/>
      <c r="X62" s="130">
        <f>IFERROR(R62/G62,"")</f>
        <v>1</v>
      </c>
    </row>
    <row r="63" spans="1:24" s="137" customFormat="1" ht="14.15" customHeight="1" x14ac:dyDescent="0.35">
      <c r="B63" s="567"/>
      <c r="C63" s="104"/>
      <c r="D63" s="348">
        <v>0</v>
      </c>
      <c r="E63" s="348"/>
      <c r="F63" s="348"/>
      <c r="G63" s="350">
        <v>0</v>
      </c>
      <c r="H63" s="253"/>
      <c r="I63" s="162"/>
      <c r="J63" s="351"/>
      <c r="K63" s="352"/>
      <c r="L63" s="126"/>
      <c r="M63" s="561"/>
      <c r="N63" s="104"/>
      <c r="O63" s="419"/>
      <c r="P63" s="128"/>
      <c r="Q63" s="128"/>
      <c r="R63" s="145">
        <f t="shared" si="17"/>
        <v>0</v>
      </c>
      <c r="S63" s="413">
        <f t="shared" si="18"/>
        <v>0</v>
      </c>
      <c r="T63" s="105"/>
      <c r="U63" s="509"/>
      <c r="V63" s="372">
        <f t="shared" si="19"/>
        <v>0</v>
      </c>
      <c r="W63" s="125"/>
      <c r="X63" s="130" t="str">
        <f>IFERROR(R63/G63,"")</f>
        <v/>
      </c>
    </row>
    <row r="64" spans="1:24" s="137" customFormat="1" ht="15.5" x14ac:dyDescent="0.35">
      <c r="A64" s="109"/>
      <c r="B64" s="567"/>
      <c r="C64" s="104"/>
      <c r="D64" s="348">
        <v>0</v>
      </c>
      <c r="E64" s="372"/>
      <c r="F64" s="372"/>
      <c r="G64" s="350">
        <v>0</v>
      </c>
      <c r="H64" s="253"/>
      <c r="I64" s="364"/>
      <c r="J64" s="351"/>
      <c r="K64" s="366"/>
      <c r="L64" s="126"/>
      <c r="M64" s="561"/>
      <c r="N64" s="104"/>
      <c r="O64" s="419"/>
      <c r="P64" s="136"/>
      <c r="Q64" s="136"/>
      <c r="R64" s="129">
        <f t="shared" ref="R64:R68" si="23">SUM(O64:Q64)</f>
        <v>0</v>
      </c>
      <c r="S64" s="413">
        <f t="shared" si="18"/>
        <v>0</v>
      </c>
      <c r="T64" s="105"/>
      <c r="U64" s="509"/>
      <c r="V64" s="372">
        <f t="shared" si="19"/>
        <v>0</v>
      </c>
      <c r="W64" s="135"/>
      <c r="X64" s="130" t="str">
        <f t="shared" si="20"/>
        <v/>
      </c>
    </row>
    <row r="65" spans="1:24" s="137" customFormat="1" ht="15.5" x14ac:dyDescent="0.35">
      <c r="A65" s="109"/>
      <c r="B65" s="567"/>
      <c r="C65" s="104"/>
      <c r="D65" s="348"/>
      <c r="E65" s="372"/>
      <c r="F65" s="372"/>
      <c r="G65" s="350"/>
      <c r="H65" s="253"/>
      <c r="I65" s="364"/>
      <c r="J65" s="351"/>
      <c r="K65" s="366"/>
      <c r="L65" s="126"/>
      <c r="M65" s="561"/>
      <c r="N65" s="104"/>
      <c r="O65" s="419"/>
      <c r="P65" s="136"/>
      <c r="Q65" s="136"/>
      <c r="R65" s="129"/>
      <c r="S65" s="413">
        <f t="shared" si="18"/>
        <v>0</v>
      </c>
      <c r="T65" s="105"/>
      <c r="U65" s="509"/>
      <c r="V65" s="372">
        <f t="shared" si="19"/>
        <v>0</v>
      </c>
      <c r="W65" s="135"/>
      <c r="X65" s="130"/>
    </row>
    <row r="66" spans="1:24" s="137" customFormat="1" ht="15.5" x14ac:dyDescent="0.35">
      <c r="A66" s="109"/>
      <c r="B66" s="567"/>
      <c r="C66" s="104"/>
      <c r="D66" s="348"/>
      <c r="E66" s="372"/>
      <c r="F66" s="372"/>
      <c r="G66" s="350"/>
      <c r="H66" s="253"/>
      <c r="I66" s="364"/>
      <c r="J66" s="351"/>
      <c r="K66" s="366"/>
      <c r="L66" s="126"/>
      <c r="M66" s="561"/>
      <c r="N66" s="104"/>
      <c r="O66" s="419"/>
      <c r="P66" s="136"/>
      <c r="Q66" s="136"/>
      <c r="R66" s="129"/>
      <c r="S66" s="413">
        <f t="shared" si="18"/>
        <v>0</v>
      </c>
      <c r="T66" s="105"/>
      <c r="U66" s="509"/>
      <c r="V66" s="372">
        <f t="shared" si="19"/>
        <v>0</v>
      </c>
      <c r="W66" s="135"/>
      <c r="X66" s="130"/>
    </row>
    <row r="67" spans="1:24" s="137" customFormat="1" ht="15.5" x14ac:dyDescent="0.35">
      <c r="A67" s="109"/>
      <c r="B67" s="567"/>
      <c r="C67" s="104"/>
      <c r="D67" s="348"/>
      <c r="E67" s="372"/>
      <c r="F67" s="372"/>
      <c r="G67" s="350"/>
      <c r="H67" s="253"/>
      <c r="I67" s="364"/>
      <c r="J67" s="351"/>
      <c r="K67" s="366"/>
      <c r="L67" s="126"/>
      <c r="M67" s="561"/>
      <c r="N67" s="104"/>
      <c r="O67" s="419"/>
      <c r="P67" s="136"/>
      <c r="Q67" s="136"/>
      <c r="R67" s="129"/>
      <c r="S67" s="413">
        <f t="shared" si="18"/>
        <v>0</v>
      </c>
      <c r="T67" s="105"/>
      <c r="U67" s="509"/>
      <c r="V67" s="372">
        <f t="shared" si="19"/>
        <v>0</v>
      </c>
      <c r="W67" s="135"/>
      <c r="X67" s="130"/>
    </row>
    <row r="68" spans="1:24" s="109" customFormat="1" ht="13.5" customHeight="1" x14ac:dyDescent="0.35">
      <c r="B68" s="568"/>
      <c r="C68" s="104"/>
      <c r="D68" s="348">
        <v>0</v>
      </c>
      <c r="E68" s="372"/>
      <c r="F68" s="372"/>
      <c r="G68" s="350">
        <v>0</v>
      </c>
      <c r="H68" s="253"/>
      <c r="I68" s="364"/>
      <c r="J68" s="351"/>
      <c r="K68" s="366"/>
      <c r="L68" s="126"/>
      <c r="M68" s="562"/>
      <c r="N68" s="104"/>
      <c r="O68" s="419"/>
      <c r="P68" s="136"/>
      <c r="Q68" s="136"/>
      <c r="R68" s="129">
        <f t="shared" si="23"/>
        <v>0</v>
      </c>
      <c r="S68" s="413">
        <f t="shared" si="18"/>
        <v>0</v>
      </c>
      <c r="T68" s="105"/>
      <c r="U68" s="509"/>
      <c r="V68" s="372">
        <f t="shared" si="19"/>
        <v>0</v>
      </c>
      <c r="W68" s="135"/>
      <c r="X68" s="130" t="str">
        <f t="shared" si="20"/>
        <v/>
      </c>
    </row>
    <row r="69" spans="1:24" s="109" customFormat="1" ht="30" customHeight="1" x14ac:dyDescent="0.35">
      <c r="B69" s="367"/>
      <c r="C69" s="368" t="s">
        <v>24</v>
      </c>
      <c r="D69" s="375">
        <f>SUM(D46:D68)</f>
        <v>260183.63</v>
      </c>
      <c r="E69" s="375">
        <f t="shared" ref="E69:F69" si="24">SUM(E49:E68)</f>
        <v>0</v>
      </c>
      <c r="F69" s="375">
        <f t="shared" si="24"/>
        <v>0</v>
      </c>
      <c r="G69" s="375">
        <f>SUM(G46:G68)</f>
        <v>260183.63</v>
      </c>
      <c r="H69" s="376">
        <f>(H46*G46)+(H47*G47)+(H48*G48)+(H51*G51)+(H50*G50)+(H52*G52)+(H56*G56)+(H57*G57)+(H58*G58)+(H61*G61)+(H62*G62)+(H68*G68)</f>
        <v>107591.815</v>
      </c>
      <c r="I69" s="369">
        <v>0</v>
      </c>
      <c r="J69" s="370"/>
      <c r="K69" s="366"/>
      <c r="L69" s="142"/>
      <c r="N69" s="139" t="s">
        <v>24</v>
      </c>
      <c r="O69" s="428">
        <f>SUM(O46:O68)</f>
        <v>25000</v>
      </c>
      <c r="P69" s="145">
        <f>SUM(P49:P68)</f>
        <v>0</v>
      </c>
      <c r="Q69" s="145">
        <f>SUM(Q49:Q68)</f>
        <v>0</v>
      </c>
      <c r="R69" s="145">
        <f>SUM(R46:R68)</f>
        <v>25000</v>
      </c>
      <c r="S69" s="413">
        <f t="shared" si="18"/>
        <v>-235183.63</v>
      </c>
      <c r="T69" s="145">
        <v>107592</v>
      </c>
      <c r="U69" s="511">
        <f>SUM(U49:U68)</f>
        <v>175184</v>
      </c>
      <c r="V69" s="372">
        <f>SUM(V46:V68)</f>
        <v>107592</v>
      </c>
      <c r="W69" s="135"/>
      <c r="X69" s="130">
        <f t="shared" si="20"/>
        <v>9.6085983580135301E-2</v>
      </c>
    </row>
    <row r="70" spans="1:24" s="109" customFormat="1" ht="45.5" customHeight="1" x14ac:dyDescent="0.35">
      <c r="B70" s="371" t="s">
        <v>31</v>
      </c>
      <c r="C70" s="558"/>
      <c r="D70" s="604"/>
      <c r="E70" s="604"/>
      <c r="F70" s="604"/>
      <c r="G70" s="604"/>
      <c r="H70" s="604"/>
      <c r="I70" s="605"/>
      <c r="J70" s="605"/>
      <c r="K70" s="604"/>
      <c r="L70" s="119"/>
      <c r="M70" s="630" t="s">
        <v>380</v>
      </c>
      <c r="N70" s="631"/>
      <c r="O70" s="631"/>
      <c r="P70" s="631"/>
      <c r="Q70" s="631"/>
      <c r="R70" s="631"/>
      <c r="S70" s="631"/>
      <c r="T70" s="631"/>
      <c r="U70" s="631"/>
      <c r="V70" s="631"/>
      <c r="W70" s="632"/>
      <c r="X70" s="118"/>
    </row>
    <row r="71" spans="1:24" s="109" customFormat="1" ht="104" customHeight="1" x14ac:dyDescent="0.35">
      <c r="B71" s="151" t="s">
        <v>32</v>
      </c>
      <c r="C71" s="121"/>
      <c r="D71" s="162"/>
      <c r="E71" s="162"/>
      <c r="F71" s="162"/>
      <c r="G71" s="150"/>
      <c r="H71" s="253"/>
      <c r="I71" s="162"/>
      <c r="J71" s="351"/>
      <c r="K71" s="352"/>
      <c r="L71" s="126"/>
      <c r="M71" s="159" t="s">
        <v>327</v>
      </c>
      <c r="N71" s="147" t="s">
        <v>273</v>
      </c>
      <c r="O71" s="423">
        <v>0</v>
      </c>
      <c r="P71" s="160"/>
      <c r="Q71" s="160"/>
      <c r="R71" s="148">
        <f>SUM(O71:Q71)</f>
        <v>0</v>
      </c>
      <c r="S71" s="413">
        <f>+R71-G71</f>
        <v>0</v>
      </c>
      <c r="T71" s="346">
        <v>0.5</v>
      </c>
      <c r="U71" s="510"/>
      <c r="V71" s="364">
        <f>U71*T71</f>
        <v>0</v>
      </c>
      <c r="W71" s="161"/>
      <c r="X71" s="414" t="str">
        <f>IFERROR(R71/G71,"")</f>
        <v/>
      </c>
    </row>
    <row r="72" spans="1:24" s="109" customFormat="1" ht="82" customHeight="1" x14ac:dyDescent="0.35">
      <c r="B72" s="151" t="s">
        <v>33</v>
      </c>
      <c r="C72" s="121"/>
      <c r="D72" s="162"/>
      <c r="E72" s="162"/>
      <c r="F72" s="162"/>
      <c r="G72" s="150"/>
      <c r="H72" s="253"/>
      <c r="I72" s="162"/>
      <c r="J72" s="351"/>
      <c r="K72" s="352"/>
      <c r="L72" s="126"/>
      <c r="M72" s="159" t="s">
        <v>381</v>
      </c>
      <c r="N72" s="147" t="s">
        <v>382</v>
      </c>
      <c r="O72" s="423">
        <v>15000</v>
      </c>
      <c r="P72" s="160"/>
      <c r="Q72" s="160"/>
      <c r="R72" s="148">
        <f t="shared" ref="R72:R121" si="25">SUM(O72:Q72)</f>
        <v>15000</v>
      </c>
      <c r="S72" s="413">
        <f t="shared" ref="S72:S122" si="26">+R72-G72</f>
        <v>15000</v>
      </c>
      <c r="T72" s="346">
        <v>0.5</v>
      </c>
      <c r="U72" s="510">
        <v>15000</v>
      </c>
      <c r="V72" s="364">
        <f t="shared" ref="V72:V121" si="27">U72*T72</f>
        <v>7500</v>
      </c>
      <c r="W72" s="161"/>
      <c r="X72" s="414" t="str">
        <f t="shared" ref="X72:X141" si="28">IFERROR(R72/G72,"")</f>
        <v/>
      </c>
    </row>
    <row r="73" spans="1:24" s="109" customFormat="1" ht="37" customHeight="1" x14ac:dyDescent="0.35">
      <c r="B73" s="151"/>
      <c r="C73" s="121"/>
      <c r="D73" s="162"/>
      <c r="E73" s="162"/>
      <c r="F73" s="162"/>
      <c r="G73" s="150"/>
      <c r="H73" s="253"/>
      <c r="I73" s="162"/>
      <c r="J73" s="351"/>
      <c r="K73" s="352"/>
      <c r="L73" s="126"/>
      <c r="M73" s="569" t="s">
        <v>328</v>
      </c>
      <c r="N73" s="147" t="s">
        <v>355</v>
      </c>
      <c r="O73" s="423">
        <v>5000</v>
      </c>
      <c r="P73" s="160"/>
      <c r="Q73" s="160"/>
      <c r="R73" s="148">
        <f t="shared" ref="R73:R74" si="29">SUM(O73:Q73)</f>
        <v>5000</v>
      </c>
      <c r="S73" s="413">
        <f t="shared" ref="S73:S74" si="30">+R73-G73</f>
        <v>5000</v>
      </c>
      <c r="T73" s="346">
        <v>0.5</v>
      </c>
      <c r="U73" s="505">
        <v>5000</v>
      </c>
      <c r="V73" s="364">
        <f t="shared" si="27"/>
        <v>2500</v>
      </c>
      <c r="W73" s="161"/>
      <c r="X73" s="414"/>
    </row>
    <row r="74" spans="1:24" s="109" customFormat="1" ht="33" customHeight="1" x14ac:dyDescent="0.35">
      <c r="B74" s="151"/>
      <c r="C74" s="121"/>
      <c r="D74" s="162"/>
      <c r="E74" s="162"/>
      <c r="F74" s="162"/>
      <c r="G74" s="150"/>
      <c r="H74" s="253"/>
      <c r="I74" s="162"/>
      <c r="J74" s="351"/>
      <c r="K74" s="352"/>
      <c r="L74" s="126"/>
      <c r="M74" s="570"/>
      <c r="N74" s="147" t="s">
        <v>356</v>
      </c>
      <c r="O74" s="423">
        <v>17000</v>
      </c>
      <c r="P74" s="160"/>
      <c r="Q74" s="160"/>
      <c r="R74" s="148">
        <f t="shared" si="29"/>
        <v>17000</v>
      </c>
      <c r="S74" s="413">
        <f t="shared" si="30"/>
        <v>17000</v>
      </c>
      <c r="T74" s="346">
        <v>0.5</v>
      </c>
      <c r="U74" s="505">
        <v>17000</v>
      </c>
      <c r="V74" s="364">
        <f t="shared" si="27"/>
        <v>8500</v>
      </c>
      <c r="W74" s="161"/>
      <c r="X74" s="414"/>
    </row>
    <row r="75" spans="1:24" s="109" customFormat="1" ht="49" customHeight="1" x14ac:dyDescent="0.35">
      <c r="B75" s="151" t="s">
        <v>34</v>
      </c>
      <c r="C75" s="121"/>
      <c r="D75" s="162"/>
      <c r="E75" s="162"/>
      <c r="F75" s="162"/>
      <c r="G75" s="150"/>
      <c r="H75" s="253"/>
      <c r="I75" s="162"/>
      <c r="J75" s="351"/>
      <c r="K75" s="352"/>
      <c r="L75" s="126"/>
      <c r="M75" s="571"/>
      <c r="N75" s="147" t="s">
        <v>357</v>
      </c>
      <c r="O75" s="423">
        <v>15000</v>
      </c>
      <c r="P75" s="160"/>
      <c r="Q75" s="160"/>
      <c r="R75" s="148">
        <f t="shared" si="25"/>
        <v>15000</v>
      </c>
      <c r="S75" s="413">
        <f t="shared" si="26"/>
        <v>15000</v>
      </c>
      <c r="T75" s="346">
        <v>0.3</v>
      </c>
      <c r="U75" s="505">
        <v>15000</v>
      </c>
      <c r="V75" s="364">
        <f t="shared" si="27"/>
        <v>4500</v>
      </c>
      <c r="W75" s="161"/>
      <c r="X75" s="414" t="str">
        <f t="shared" si="28"/>
        <v/>
      </c>
    </row>
    <row r="76" spans="1:24" s="109" customFormat="1" ht="111" customHeight="1" x14ac:dyDescent="0.35">
      <c r="B76" s="151" t="s">
        <v>35</v>
      </c>
      <c r="C76" s="121"/>
      <c r="D76" s="162"/>
      <c r="E76" s="162"/>
      <c r="F76" s="162"/>
      <c r="G76" s="150"/>
      <c r="H76" s="253"/>
      <c r="I76" s="162"/>
      <c r="J76" s="351"/>
      <c r="K76" s="352"/>
      <c r="L76" s="126"/>
      <c r="M76" s="159" t="s">
        <v>329</v>
      </c>
      <c r="N76" s="147" t="s">
        <v>273</v>
      </c>
      <c r="O76" s="423">
        <v>0</v>
      </c>
      <c r="P76" s="160"/>
      <c r="Q76" s="160"/>
      <c r="R76" s="148">
        <f t="shared" si="25"/>
        <v>0</v>
      </c>
      <c r="S76" s="413">
        <f t="shared" si="26"/>
        <v>0</v>
      </c>
      <c r="T76" s="346">
        <v>0.5</v>
      </c>
      <c r="U76" s="505"/>
      <c r="V76" s="364">
        <f t="shared" si="27"/>
        <v>0</v>
      </c>
      <c r="W76" s="161"/>
      <c r="X76" s="414" t="str">
        <f t="shared" si="28"/>
        <v/>
      </c>
    </row>
    <row r="77" spans="1:24" s="109" customFormat="1" ht="47" customHeight="1" x14ac:dyDescent="0.35">
      <c r="B77" s="151"/>
      <c r="C77" s="121"/>
      <c r="D77" s="162"/>
      <c r="E77" s="162"/>
      <c r="F77" s="162"/>
      <c r="G77" s="150"/>
      <c r="H77" s="253"/>
      <c r="I77" s="162"/>
      <c r="J77" s="351"/>
      <c r="K77" s="352"/>
      <c r="L77" s="126"/>
      <c r="M77" s="569" t="s">
        <v>330</v>
      </c>
      <c r="N77" s="147" t="s">
        <v>358</v>
      </c>
      <c r="O77" s="423">
        <v>0</v>
      </c>
      <c r="P77" s="160"/>
      <c r="Q77" s="160"/>
      <c r="R77" s="148">
        <f t="shared" si="25"/>
        <v>0</v>
      </c>
      <c r="S77" s="413">
        <f t="shared" si="26"/>
        <v>0</v>
      </c>
      <c r="T77" s="346">
        <v>0.5</v>
      </c>
      <c r="U77" s="505"/>
      <c r="V77" s="364">
        <f t="shared" si="27"/>
        <v>0</v>
      </c>
      <c r="W77" s="161"/>
      <c r="X77" s="414"/>
    </row>
    <row r="78" spans="1:24" s="109" customFormat="1" ht="50" customHeight="1" x14ac:dyDescent="0.35">
      <c r="B78" s="151" t="s">
        <v>36</v>
      </c>
      <c r="C78" s="121"/>
      <c r="D78" s="162"/>
      <c r="E78" s="162"/>
      <c r="F78" s="162"/>
      <c r="G78" s="150"/>
      <c r="H78" s="253"/>
      <c r="I78" s="162"/>
      <c r="J78" s="351"/>
      <c r="K78" s="352"/>
      <c r="L78" s="126"/>
      <c r="M78" s="571"/>
      <c r="N78" s="149" t="s">
        <v>357</v>
      </c>
      <c r="O78" s="423">
        <v>0</v>
      </c>
      <c r="P78" s="160"/>
      <c r="Q78" s="160"/>
      <c r="R78" s="148">
        <f t="shared" si="25"/>
        <v>0</v>
      </c>
      <c r="S78" s="413">
        <f t="shared" si="26"/>
        <v>0</v>
      </c>
      <c r="T78" s="346">
        <v>0.3</v>
      </c>
      <c r="U78" s="505"/>
      <c r="V78" s="364">
        <f t="shared" si="27"/>
        <v>0</v>
      </c>
      <c r="W78" s="161"/>
      <c r="X78" s="414" t="str">
        <f t="shared" si="28"/>
        <v/>
      </c>
    </row>
    <row r="79" spans="1:24" s="109" customFormat="1" ht="50" customHeight="1" x14ac:dyDescent="0.35">
      <c r="B79" s="151"/>
      <c r="C79" s="121"/>
      <c r="D79" s="162"/>
      <c r="E79" s="162"/>
      <c r="F79" s="162"/>
      <c r="G79" s="150"/>
      <c r="H79" s="253"/>
      <c r="I79" s="162"/>
      <c r="J79" s="351"/>
      <c r="K79" s="352"/>
      <c r="L79" s="126"/>
      <c r="M79" s="569" t="s">
        <v>331</v>
      </c>
      <c r="N79" s="149" t="s">
        <v>360</v>
      </c>
      <c r="O79" s="423">
        <v>5000</v>
      </c>
      <c r="P79" s="160"/>
      <c r="Q79" s="160"/>
      <c r="R79" s="148">
        <f t="shared" si="25"/>
        <v>5000</v>
      </c>
      <c r="S79" s="413">
        <f t="shared" si="26"/>
        <v>5000</v>
      </c>
      <c r="T79" s="346">
        <v>0.5</v>
      </c>
      <c r="U79" s="505">
        <v>5000</v>
      </c>
      <c r="V79" s="364">
        <f t="shared" si="27"/>
        <v>2500</v>
      </c>
      <c r="W79" s="161"/>
      <c r="X79" s="414"/>
    </row>
    <row r="80" spans="1:24" s="109" customFormat="1" ht="54" customHeight="1" x14ac:dyDescent="0.35">
      <c r="A80" s="137"/>
      <c r="B80" s="151" t="s">
        <v>37</v>
      </c>
      <c r="C80" s="363"/>
      <c r="D80" s="162"/>
      <c r="E80" s="162"/>
      <c r="F80" s="162"/>
      <c r="G80" s="150"/>
      <c r="H80" s="253"/>
      <c r="I80" s="162"/>
      <c r="J80" s="351"/>
      <c r="K80" s="352"/>
      <c r="L80" s="126"/>
      <c r="M80" s="571"/>
      <c r="N80" s="149" t="s">
        <v>359</v>
      </c>
      <c r="O80" s="423">
        <v>6504</v>
      </c>
      <c r="P80" s="160"/>
      <c r="Q80" s="160"/>
      <c r="R80" s="148">
        <f t="shared" si="25"/>
        <v>6504</v>
      </c>
      <c r="S80" s="413">
        <f t="shared" si="26"/>
        <v>6504</v>
      </c>
      <c r="T80" s="346">
        <v>0.3</v>
      </c>
      <c r="U80" s="505">
        <v>6504</v>
      </c>
      <c r="V80" s="364">
        <f t="shared" si="27"/>
        <v>1951.1999999999998</v>
      </c>
      <c r="W80" s="161"/>
      <c r="X80" s="414" t="str">
        <f t="shared" si="28"/>
        <v/>
      </c>
    </row>
    <row r="81" spans="1:24" s="109" customFormat="1" ht="37.5" customHeight="1" x14ac:dyDescent="0.35">
      <c r="A81" s="137"/>
      <c r="B81" s="151"/>
      <c r="C81" s="363"/>
      <c r="D81" s="162"/>
      <c r="E81" s="162"/>
      <c r="F81" s="162"/>
      <c r="G81" s="150"/>
      <c r="H81" s="253"/>
      <c r="I81" s="162"/>
      <c r="J81" s="351"/>
      <c r="K81" s="352"/>
      <c r="L81" s="126"/>
      <c r="M81" s="569" t="s">
        <v>332</v>
      </c>
      <c r="N81" s="149" t="s">
        <v>355</v>
      </c>
      <c r="O81" s="423">
        <v>3000</v>
      </c>
      <c r="P81" s="160"/>
      <c r="Q81" s="160"/>
      <c r="R81" s="148">
        <f t="shared" si="25"/>
        <v>3000</v>
      </c>
      <c r="S81" s="413">
        <f t="shared" si="26"/>
        <v>3000</v>
      </c>
      <c r="T81" s="346">
        <v>0.5</v>
      </c>
      <c r="U81" s="505">
        <v>3000</v>
      </c>
      <c r="V81" s="364">
        <f t="shared" si="27"/>
        <v>1500</v>
      </c>
      <c r="W81" s="161"/>
      <c r="X81" s="414"/>
    </row>
    <row r="82" spans="1:24" s="137" customFormat="1" ht="39.5" customHeight="1" x14ac:dyDescent="0.35">
      <c r="A82" s="109"/>
      <c r="B82" s="151" t="s">
        <v>38</v>
      </c>
      <c r="C82" s="363"/>
      <c r="D82" s="364"/>
      <c r="E82" s="364"/>
      <c r="F82" s="364"/>
      <c r="G82" s="150"/>
      <c r="H82" s="365"/>
      <c r="I82" s="364"/>
      <c r="J82" s="351"/>
      <c r="K82" s="366"/>
      <c r="L82" s="126"/>
      <c r="M82" s="571"/>
      <c r="N82" s="149" t="s">
        <v>357</v>
      </c>
      <c r="O82" s="423">
        <v>4080</v>
      </c>
      <c r="P82" s="154"/>
      <c r="Q82" s="154"/>
      <c r="R82" s="148">
        <f t="shared" si="25"/>
        <v>4080</v>
      </c>
      <c r="S82" s="413">
        <f t="shared" si="26"/>
        <v>4080</v>
      </c>
      <c r="T82" s="152">
        <v>0.3</v>
      </c>
      <c r="U82" s="505">
        <v>4080</v>
      </c>
      <c r="V82" s="364">
        <f t="shared" si="27"/>
        <v>1224</v>
      </c>
      <c r="W82" s="153"/>
      <c r="X82" s="414" t="str">
        <f t="shared" si="28"/>
        <v/>
      </c>
    </row>
    <row r="83" spans="1:24" s="137" customFormat="1" ht="57" customHeight="1" x14ac:dyDescent="0.35">
      <c r="A83" s="109"/>
      <c r="B83" s="151"/>
      <c r="C83" s="363"/>
      <c r="D83" s="364"/>
      <c r="E83" s="364"/>
      <c r="F83" s="364"/>
      <c r="G83" s="150"/>
      <c r="H83" s="365"/>
      <c r="I83" s="364"/>
      <c r="J83" s="351"/>
      <c r="K83" s="366"/>
      <c r="L83" s="126"/>
      <c r="M83" s="159" t="s">
        <v>333</v>
      </c>
      <c r="N83" s="149" t="s">
        <v>361</v>
      </c>
      <c r="O83" s="423">
        <v>4425</v>
      </c>
      <c r="P83" s="154"/>
      <c r="Q83" s="154"/>
      <c r="R83" s="148">
        <f t="shared" ref="R83:R86" si="31">SUM(O83:Q83)</f>
        <v>4425</v>
      </c>
      <c r="S83" s="413">
        <f t="shared" ref="S83:S86" si="32">+R83-G83</f>
        <v>4425</v>
      </c>
      <c r="T83" s="152"/>
      <c r="U83" s="505">
        <v>4425</v>
      </c>
      <c r="V83" s="364">
        <f t="shared" si="27"/>
        <v>0</v>
      </c>
      <c r="W83" s="153"/>
      <c r="X83" s="414"/>
    </row>
    <row r="84" spans="1:24" s="137" customFormat="1" ht="67" customHeight="1" x14ac:dyDescent="0.35">
      <c r="A84" s="109"/>
      <c r="B84" s="151"/>
      <c r="C84" s="363"/>
      <c r="D84" s="364"/>
      <c r="E84" s="364"/>
      <c r="F84" s="364"/>
      <c r="G84" s="150"/>
      <c r="H84" s="365"/>
      <c r="I84" s="364"/>
      <c r="J84" s="351"/>
      <c r="K84" s="366"/>
      <c r="L84" s="126"/>
      <c r="M84" s="159" t="s">
        <v>334</v>
      </c>
      <c r="N84" s="149" t="s">
        <v>362</v>
      </c>
      <c r="O84" s="423">
        <v>1770</v>
      </c>
      <c r="P84" s="154"/>
      <c r="Q84" s="154"/>
      <c r="R84" s="148">
        <f t="shared" si="31"/>
        <v>1770</v>
      </c>
      <c r="S84" s="413">
        <f t="shared" si="32"/>
        <v>1770</v>
      </c>
      <c r="T84" s="152">
        <v>0.5</v>
      </c>
      <c r="U84" s="505">
        <v>1770</v>
      </c>
      <c r="V84" s="364">
        <f t="shared" si="27"/>
        <v>885</v>
      </c>
      <c r="W84" s="153"/>
      <c r="X84" s="414"/>
    </row>
    <row r="85" spans="1:24" s="137" customFormat="1" ht="86" customHeight="1" x14ac:dyDescent="0.35">
      <c r="A85" s="109"/>
      <c r="B85" s="151"/>
      <c r="C85" s="363"/>
      <c r="D85" s="364"/>
      <c r="E85" s="364"/>
      <c r="F85" s="364"/>
      <c r="G85" s="150"/>
      <c r="H85" s="365"/>
      <c r="I85" s="364"/>
      <c r="J85" s="351"/>
      <c r="K85" s="366"/>
      <c r="L85" s="126"/>
      <c r="M85" s="159" t="s">
        <v>335</v>
      </c>
      <c r="N85" s="149" t="s">
        <v>363</v>
      </c>
      <c r="O85" s="423">
        <v>8850</v>
      </c>
      <c r="P85" s="154"/>
      <c r="Q85" s="154"/>
      <c r="R85" s="148">
        <f t="shared" si="31"/>
        <v>8850</v>
      </c>
      <c r="S85" s="413">
        <f t="shared" si="32"/>
        <v>8850</v>
      </c>
      <c r="T85" s="152">
        <v>0.5</v>
      </c>
      <c r="U85" s="505">
        <v>8850</v>
      </c>
      <c r="V85" s="364">
        <f t="shared" si="27"/>
        <v>4425</v>
      </c>
      <c r="W85" s="153"/>
      <c r="X85" s="414"/>
    </row>
    <row r="86" spans="1:24" s="137" customFormat="1" ht="38.5" customHeight="1" x14ac:dyDescent="0.35">
      <c r="A86" s="109"/>
      <c r="B86" s="151"/>
      <c r="C86" s="363"/>
      <c r="D86" s="364"/>
      <c r="E86" s="364"/>
      <c r="F86" s="364"/>
      <c r="G86" s="150"/>
      <c r="H86" s="365"/>
      <c r="I86" s="364"/>
      <c r="J86" s="351"/>
      <c r="K86" s="366"/>
      <c r="L86" s="126"/>
      <c r="M86" s="569" t="s">
        <v>336</v>
      </c>
      <c r="N86" s="149" t="s">
        <v>364</v>
      </c>
      <c r="O86" s="423">
        <v>7699</v>
      </c>
      <c r="P86" s="154"/>
      <c r="Q86" s="154"/>
      <c r="R86" s="148">
        <f t="shared" si="31"/>
        <v>7699</v>
      </c>
      <c r="S86" s="413">
        <f t="shared" si="32"/>
        <v>7699</v>
      </c>
      <c r="T86" s="152">
        <v>0.5</v>
      </c>
      <c r="U86" s="505">
        <v>7699</v>
      </c>
      <c r="V86" s="364">
        <f t="shared" si="27"/>
        <v>3849.5</v>
      </c>
      <c r="W86" s="153"/>
      <c r="X86" s="414"/>
    </row>
    <row r="87" spans="1:24" s="137" customFormat="1" ht="29.5" customHeight="1" x14ac:dyDescent="0.35">
      <c r="A87" s="109"/>
      <c r="B87" s="151"/>
      <c r="C87" s="363"/>
      <c r="D87" s="364"/>
      <c r="E87" s="364"/>
      <c r="F87" s="364"/>
      <c r="G87" s="150"/>
      <c r="H87" s="365"/>
      <c r="I87" s="364"/>
      <c r="J87" s="351"/>
      <c r="K87" s="366"/>
      <c r="L87" s="126"/>
      <c r="M87" s="571"/>
      <c r="N87" s="149" t="s">
        <v>365</v>
      </c>
      <c r="O87" s="423">
        <v>10000</v>
      </c>
      <c r="P87" s="154"/>
      <c r="Q87" s="154"/>
      <c r="R87" s="148">
        <f t="shared" ref="R87:R120" si="33">SUM(O87:Q87)</f>
        <v>10000</v>
      </c>
      <c r="S87" s="413">
        <f t="shared" ref="S87:S120" si="34">+R87-G87</f>
        <v>10000</v>
      </c>
      <c r="T87" s="152">
        <v>0.3</v>
      </c>
      <c r="U87" s="505">
        <v>10000</v>
      </c>
      <c r="V87" s="364">
        <f t="shared" si="27"/>
        <v>3000</v>
      </c>
      <c r="W87" s="153"/>
      <c r="X87" s="414"/>
    </row>
    <row r="88" spans="1:24" s="137" customFormat="1" ht="39.5" customHeight="1" x14ac:dyDescent="0.35">
      <c r="A88" s="109"/>
      <c r="B88" s="151"/>
      <c r="C88" s="363"/>
      <c r="D88" s="364"/>
      <c r="E88" s="364"/>
      <c r="F88" s="364"/>
      <c r="G88" s="150"/>
      <c r="H88" s="365"/>
      <c r="I88" s="364"/>
      <c r="J88" s="351"/>
      <c r="K88" s="366"/>
      <c r="L88" s="126"/>
      <c r="M88" s="569" t="s">
        <v>337</v>
      </c>
      <c r="N88" s="149" t="s">
        <v>366</v>
      </c>
      <c r="O88" s="423">
        <v>12000</v>
      </c>
      <c r="P88" s="154"/>
      <c r="Q88" s="154"/>
      <c r="R88" s="148">
        <f t="shared" si="33"/>
        <v>12000</v>
      </c>
      <c r="S88" s="413">
        <f t="shared" si="34"/>
        <v>12000</v>
      </c>
      <c r="T88" s="152">
        <v>0.5</v>
      </c>
      <c r="U88" s="505">
        <v>12000</v>
      </c>
      <c r="V88" s="364">
        <f t="shared" si="27"/>
        <v>6000</v>
      </c>
      <c r="W88" s="153"/>
      <c r="X88" s="414"/>
    </row>
    <row r="89" spans="1:24" s="137" customFormat="1" ht="70.5" customHeight="1" x14ac:dyDescent="0.35">
      <c r="A89" s="109"/>
      <c r="B89" s="151"/>
      <c r="C89" s="363"/>
      <c r="D89" s="364"/>
      <c r="E89" s="364"/>
      <c r="F89" s="364"/>
      <c r="G89" s="150"/>
      <c r="H89" s="365"/>
      <c r="I89" s="364"/>
      <c r="J89" s="351"/>
      <c r="K89" s="366"/>
      <c r="L89" s="126"/>
      <c r="M89" s="571"/>
      <c r="N89" s="149" t="s">
        <v>367</v>
      </c>
      <c r="O89" s="423">
        <v>14549</v>
      </c>
      <c r="P89" s="154"/>
      <c r="Q89" s="154"/>
      <c r="R89" s="148">
        <f t="shared" si="33"/>
        <v>14549</v>
      </c>
      <c r="S89" s="413">
        <f t="shared" si="34"/>
        <v>14549</v>
      </c>
      <c r="T89" s="152">
        <v>0.3</v>
      </c>
      <c r="U89" s="505">
        <v>14549</v>
      </c>
      <c r="V89" s="364">
        <f t="shared" si="27"/>
        <v>4364.7</v>
      </c>
      <c r="W89" s="153"/>
      <c r="X89" s="414"/>
    </row>
    <row r="90" spans="1:24" s="137" customFormat="1" ht="70.5" customHeight="1" x14ac:dyDescent="0.35">
      <c r="A90" s="109"/>
      <c r="B90" s="151"/>
      <c r="C90" s="363"/>
      <c r="D90" s="364"/>
      <c r="E90" s="364"/>
      <c r="F90" s="364"/>
      <c r="G90" s="150"/>
      <c r="H90" s="365"/>
      <c r="I90" s="364"/>
      <c r="J90" s="351"/>
      <c r="K90" s="366"/>
      <c r="L90" s="126"/>
      <c r="M90" s="569" t="s">
        <v>338</v>
      </c>
      <c r="N90" s="149" t="s">
        <v>355</v>
      </c>
      <c r="O90" s="423">
        <v>3000</v>
      </c>
      <c r="P90" s="154"/>
      <c r="Q90" s="154"/>
      <c r="R90" s="148">
        <f t="shared" si="33"/>
        <v>3000</v>
      </c>
      <c r="S90" s="413">
        <f t="shared" si="34"/>
        <v>3000</v>
      </c>
      <c r="T90" s="152">
        <v>0.5</v>
      </c>
      <c r="U90" s="505">
        <v>3000</v>
      </c>
      <c r="V90" s="364">
        <f t="shared" si="27"/>
        <v>1500</v>
      </c>
      <c r="W90" s="153"/>
      <c r="X90" s="414"/>
    </row>
    <row r="91" spans="1:24" s="137" customFormat="1" ht="74.5" customHeight="1" x14ac:dyDescent="0.35">
      <c r="A91" s="109"/>
      <c r="B91" s="151"/>
      <c r="C91" s="363"/>
      <c r="D91" s="364"/>
      <c r="E91" s="364"/>
      <c r="F91" s="364"/>
      <c r="G91" s="150"/>
      <c r="H91" s="365"/>
      <c r="I91" s="364"/>
      <c r="J91" s="351"/>
      <c r="K91" s="366"/>
      <c r="L91" s="126"/>
      <c r="M91" s="571"/>
      <c r="N91" s="149" t="s">
        <v>357</v>
      </c>
      <c r="O91" s="423">
        <v>5850</v>
      </c>
      <c r="P91" s="154"/>
      <c r="Q91" s="154"/>
      <c r="R91" s="148">
        <f t="shared" si="33"/>
        <v>5850</v>
      </c>
      <c r="S91" s="413">
        <f t="shared" si="34"/>
        <v>5850</v>
      </c>
      <c r="T91" s="152">
        <v>0.3</v>
      </c>
      <c r="U91" s="505">
        <v>5850</v>
      </c>
      <c r="V91" s="364">
        <f t="shared" si="27"/>
        <v>1755</v>
      </c>
      <c r="W91" s="153"/>
      <c r="X91" s="414"/>
    </row>
    <row r="92" spans="1:24" s="137" customFormat="1" ht="87.5" customHeight="1" x14ac:dyDescent="0.35">
      <c r="A92" s="109"/>
      <c r="B92" s="151"/>
      <c r="C92" s="363"/>
      <c r="D92" s="364"/>
      <c r="E92" s="364"/>
      <c r="F92" s="364"/>
      <c r="G92" s="150"/>
      <c r="H92" s="365"/>
      <c r="I92" s="364"/>
      <c r="J92" s="351"/>
      <c r="K92" s="366"/>
      <c r="L92" s="126"/>
      <c r="M92" s="159" t="s">
        <v>339</v>
      </c>
      <c r="N92" s="149" t="s">
        <v>368</v>
      </c>
      <c r="O92" s="423">
        <v>10000</v>
      </c>
      <c r="P92" s="154"/>
      <c r="Q92" s="154"/>
      <c r="R92" s="148">
        <f t="shared" si="33"/>
        <v>10000</v>
      </c>
      <c r="S92" s="413">
        <f t="shared" si="34"/>
        <v>10000</v>
      </c>
      <c r="T92" s="152">
        <v>0.5</v>
      </c>
      <c r="U92" s="505">
        <v>10000</v>
      </c>
      <c r="V92" s="364">
        <f t="shared" si="27"/>
        <v>5000</v>
      </c>
      <c r="W92" s="153"/>
      <c r="X92" s="414"/>
    </row>
    <row r="93" spans="1:24" s="137" customFormat="1" ht="76" customHeight="1" x14ac:dyDescent="0.35">
      <c r="A93" s="109"/>
      <c r="B93" s="151"/>
      <c r="C93" s="363"/>
      <c r="D93" s="364"/>
      <c r="E93" s="364"/>
      <c r="F93" s="364"/>
      <c r="G93" s="150"/>
      <c r="H93" s="365"/>
      <c r="I93" s="364"/>
      <c r="J93" s="351"/>
      <c r="K93" s="366"/>
      <c r="L93" s="126"/>
      <c r="M93" s="159" t="s">
        <v>340</v>
      </c>
      <c r="N93" s="149" t="s">
        <v>369</v>
      </c>
      <c r="O93" s="423">
        <v>8850</v>
      </c>
      <c r="P93" s="154"/>
      <c r="Q93" s="154"/>
      <c r="R93" s="148">
        <f t="shared" si="33"/>
        <v>8850</v>
      </c>
      <c r="S93" s="413">
        <f t="shared" si="34"/>
        <v>8850</v>
      </c>
      <c r="T93" s="152">
        <v>0.3</v>
      </c>
      <c r="U93" s="505">
        <v>8850</v>
      </c>
      <c r="V93" s="364">
        <f t="shared" si="27"/>
        <v>2655</v>
      </c>
      <c r="W93" s="153"/>
      <c r="X93" s="414"/>
    </row>
    <row r="94" spans="1:24" s="137" customFormat="1" ht="96" customHeight="1" x14ac:dyDescent="0.35">
      <c r="A94" s="109"/>
      <c r="B94" s="151"/>
      <c r="C94" s="363"/>
      <c r="D94" s="364"/>
      <c r="E94" s="364"/>
      <c r="F94" s="364"/>
      <c r="G94" s="150"/>
      <c r="H94" s="365"/>
      <c r="I94" s="364"/>
      <c r="J94" s="351"/>
      <c r="K94" s="366"/>
      <c r="L94" s="126"/>
      <c r="M94" s="159" t="s">
        <v>341</v>
      </c>
      <c r="N94" s="149" t="s">
        <v>370</v>
      </c>
      <c r="O94" s="423">
        <v>2655</v>
      </c>
      <c r="P94" s="154"/>
      <c r="Q94" s="154"/>
      <c r="R94" s="148">
        <f t="shared" si="33"/>
        <v>2655</v>
      </c>
      <c r="S94" s="413">
        <f t="shared" si="34"/>
        <v>2655</v>
      </c>
      <c r="T94" s="152">
        <v>0.3</v>
      </c>
      <c r="U94" s="505">
        <v>2655</v>
      </c>
      <c r="V94" s="364">
        <f t="shared" si="27"/>
        <v>796.5</v>
      </c>
      <c r="W94" s="153"/>
      <c r="X94" s="414"/>
    </row>
    <row r="95" spans="1:24" s="137" customFormat="1" ht="48" customHeight="1" x14ac:dyDescent="0.35">
      <c r="A95" s="109"/>
      <c r="B95" s="151"/>
      <c r="C95" s="363"/>
      <c r="D95" s="364"/>
      <c r="E95" s="364"/>
      <c r="F95" s="364"/>
      <c r="G95" s="150"/>
      <c r="H95" s="365"/>
      <c r="I95" s="364"/>
      <c r="J95" s="351"/>
      <c r="K95" s="366"/>
      <c r="L95" s="126"/>
      <c r="M95" s="569" t="s">
        <v>342</v>
      </c>
      <c r="N95" s="149" t="s">
        <v>371</v>
      </c>
      <c r="O95" s="423">
        <v>10000</v>
      </c>
      <c r="P95" s="154"/>
      <c r="Q95" s="154"/>
      <c r="R95" s="148">
        <f t="shared" si="33"/>
        <v>10000</v>
      </c>
      <c r="S95" s="413">
        <f t="shared" si="34"/>
        <v>10000</v>
      </c>
      <c r="T95" s="152">
        <v>0.5</v>
      </c>
      <c r="U95" s="505">
        <v>10000</v>
      </c>
      <c r="V95" s="364">
        <f t="shared" si="27"/>
        <v>5000</v>
      </c>
      <c r="W95" s="153"/>
      <c r="X95" s="414"/>
    </row>
    <row r="96" spans="1:24" s="137" customFormat="1" ht="42" customHeight="1" x14ac:dyDescent="0.35">
      <c r="A96" s="109"/>
      <c r="B96" s="151"/>
      <c r="C96" s="363"/>
      <c r="D96" s="364"/>
      <c r="E96" s="364"/>
      <c r="F96" s="364"/>
      <c r="G96" s="150"/>
      <c r="H96" s="365"/>
      <c r="I96" s="364"/>
      <c r="J96" s="351"/>
      <c r="K96" s="366"/>
      <c r="L96" s="126"/>
      <c r="M96" s="571"/>
      <c r="N96" s="149" t="s">
        <v>357</v>
      </c>
      <c r="O96" s="423">
        <v>16549</v>
      </c>
      <c r="P96" s="154"/>
      <c r="Q96" s="154"/>
      <c r="R96" s="148">
        <f t="shared" si="33"/>
        <v>16549</v>
      </c>
      <c r="S96" s="413">
        <f t="shared" si="34"/>
        <v>16549</v>
      </c>
      <c r="T96" s="152">
        <v>0.3</v>
      </c>
      <c r="U96" s="505">
        <v>16549</v>
      </c>
      <c r="V96" s="364">
        <f t="shared" si="27"/>
        <v>4964.7</v>
      </c>
      <c r="W96" s="153"/>
      <c r="X96" s="414"/>
    </row>
    <row r="97" spans="1:24" s="137" customFormat="1" ht="93.5" customHeight="1" x14ac:dyDescent="0.35">
      <c r="A97" s="109"/>
      <c r="B97" s="151"/>
      <c r="C97" s="363"/>
      <c r="D97" s="364"/>
      <c r="E97" s="364"/>
      <c r="F97" s="364"/>
      <c r="G97" s="150"/>
      <c r="H97" s="365"/>
      <c r="I97" s="364"/>
      <c r="J97" s="351"/>
      <c r="K97" s="366"/>
      <c r="L97" s="126"/>
      <c r="M97" s="159" t="s">
        <v>390</v>
      </c>
      <c r="N97" s="149" t="s">
        <v>265</v>
      </c>
      <c r="O97" s="423">
        <v>17699</v>
      </c>
      <c r="P97" s="154"/>
      <c r="Q97" s="154"/>
      <c r="R97" s="148">
        <f t="shared" si="33"/>
        <v>17699</v>
      </c>
      <c r="S97" s="413">
        <f t="shared" si="34"/>
        <v>17699</v>
      </c>
      <c r="T97" s="152">
        <v>0.5</v>
      </c>
      <c r="U97" s="505">
        <v>17699</v>
      </c>
      <c r="V97" s="364">
        <f t="shared" si="27"/>
        <v>8849.5</v>
      </c>
      <c r="W97" s="153"/>
      <c r="X97" s="414"/>
    </row>
    <row r="98" spans="1:24" s="137" customFormat="1" ht="78.5" customHeight="1" x14ac:dyDescent="0.35">
      <c r="A98" s="109"/>
      <c r="B98" s="151"/>
      <c r="C98" s="363"/>
      <c r="D98" s="364"/>
      <c r="E98" s="364"/>
      <c r="F98" s="364"/>
      <c r="G98" s="150"/>
      <c r="H98" s="365"/>
      <c r="I98" s="364"/>
      <c r="J98" s="351"/>
      <c r="K98" s="366"/>
      <c r="L98" s="126"/>
      <c r="M98" s="159" t="s">
        <v>343</v>
      </c>
      <c r="N98" s="149" t="s">
        <v>265</v>
      </c>
      <c r="O98" s="423">
        <v>26549</v>
      </c>
      <c r="P98" s="154"/>
      <c r="Q98" s="154"/>
      <c r="R98" s="148">
        <f t="shared" si="33"/>
        <v>26549</v>
      </c>
      <c r="S98" s="413">
        <f t="shared" si="34"/>
        <v>26549</v>
      </c>
      <c r="T98" s="152">
        <v>0.5</v>
      </c>
      <c r="U98" s="505">
        <v>26549</v>
      </c>
      <c r="V98" s="364">
        <f t="shared" si="27"/>
        <v>13274.5</v>
      </c>
      <c r="W98" s="153"/>
      <c r="X98" s="414"/>
    </row>
    <row r="99" spans="1:24" s="137" customFormat="1" ht="68" customHeight="1" x14ac:dyDescent="0.35">
      <c r="A99" s="109"/>
      <c r="B99" s="151"/>
      <c r="C99" s="363"/>
      <c r="D99" s="364"/>
      <c r="E99" s="364"/>
      <c r="F99" s="364"/>
      <c r="G99" s="150"/>
      <c r="H99" s="365"/>
      <c r="I99" s="364"/>
      <c r="J99" s="351"/>
      <c r="K99" s="366"/>
      <c r="L99" s="126"/>
      <c r="M99" s="159" t="s">
        <v>344</v>
      </c>
      <c r="N99" s="149" t="s">
        <v>367</v>
      </c>
      <c r="O99" s="423">
        <v>12389</v>
      </c>
      <c r="P99" s="154"/>
      <c r="Q99" s="154"/>
      <c r="R99" s="148">
        <f t="shared" si="33"/>
        <v>12389</v>
      </c>
      <c r="S99" s="413">
        <f t="shared" si="34"/>
        <v>12389</v>
      </c>
      <c r="T99" s="152">
        <v>0.3</v>
      </c>
      <c r="U99" s="505">
        <v>12389</v>
      </c>
      <c r="V99" s="364">
        <f t="shared" si="27"/>
        <v>3716.7</v>
      </c>
      <c r="W99" s="153"/>
      <c r="X99" s="414"/>
    </row>
    <row r="100" spans="1:24" s="137" customFormat="1" ht="48" customHeight="1" x14ac:dyDescent="0.35">
      <c r="A100" s="109"/>
      <c r="B100" s="151"/>
      <c r="C100" s="363"/>
      <c r="D100" s="364"/>
      <c r="E100" s="364"/>
      <c r="F100" s="364"/>
      <c r="G100" s="150"/>
      <c r="H100" s="365"/>
      <c r="I100" s="364"/>
      <c r="J100" s="351"/>
      <c r="K100" s="366"/>
      <c r="L100" s="126"/>
      <c r="M100" s="569" t="s">
        <v>345</v>
      </c>
      <c r="N100" s="149" t="s">
        <v>355</v>
      </c>
      <c r="O100" s="423">
        <v>3000</v>
      </c>
      <c r="P100" s="154"/>
      <c r="Q100" s="154"/>
      <c r="R100" s="148">
        <f t="shared" si="33"/>
        <v>3000</v>
      </c>
      <c r="S100" s="413">
        <f t="shared" si="34"/>
        <v>3000</v>
      </c>
      <c r="T100" s="152">
        <v>0.5</v>
      </c>
      <c r="U100" s="505">
        <v>3000</v>
      </c>
      <c r="V100" s="364">
        <f t="shared" si="27"/>
        <v>1500</v>
      </c>
      <c r="W100" s="153"/>
      <c r="X100" s="414"/>
    </row>
    <row r="101" spans="1:24" s="137" customFormat="1" ht="50.5" customHeight="1" x14ac:dyDescent="0.35">
      <c r="A101" s="109"/>
      <c r="B101" s="151"/>
      <c r="C101" s="363"/>
      <c r="D101" s="364"/>
      <c r="E101" s="364"/>
      <c r="F101" s="364"/>
      <c r="G101" s="150"/>
      <c r="H101" s="365"/>
      <c r="I101" s="364"/>
      <c r="J101" s="351"/>
      <c r="K101" s="366"/>
      <c r="L101" s="126"/>
      <c r="M101" s="571"/>
      <c r="N101" s="149" t="s">
        <v>357</v>
      </c>
      <c r="O101" s="423">
        <v>5850</v>
      </c>
      <c r="P101" s="154"/>
      <c r="Q101" s="154"/>
      <c r="R101" s="148">
        <f t="shared" si="33"/>
        <v>5850</v>
      </c>
      <c r="S101" s="413">
        <f t="shared" si="34"/>
        <v>5850</v>
      </c>
      <c r="T101" s="152">
        <v>0.3</v>
      </c>
      <c r="U101" s="505">
        <v>5850</v>
      </c>
      <c r="V101" s="364">
        <f t="shared" si="27"/>
        <v>1755</v>
      </c>
      <c r="W101" s="153"/>
      <c r="X101" s="414"/>
    </row>
    <row r="102" spans="1:24" s="137" customFormat="1" ht="64.5" customHeight="1" x14ac:dyDescent="0.35">
      <c r="A102" s="109"/>
      <c r="B102" s="151"/>
      <c r="C102" s="363"/>
      <c r="D102" s="364"/>
      <c r="E102" s="364"/>
      <c r="F102" s="364"/>
      <c r="G102" s="150"/>
      <c r="H102" s="365"/>
      <c r="I102" s="364"/>
      <c r="J102" s="351"/>
      <c r="K102" s="366"/>
      <c r="L102" s="126"/>
      <c r="M102" s="159" t="s">
        <v>346</v>
      </c>
      <c r="N102" s="149" t="s">
        <v>265</v>
      </c>
      <c r="O102" s="423">
        <v>2655</v>
      </c>
      <c r="P102" s="154"/>
      <c r="Q102" s="154"/>
      <c r="R102" s="148">
        <f t="shared" si="33"/>
        <v>2655</v>
      </c>
      <c r="S102" s="413">
        <f t="shared" si="34"/>
        <v>2655</v>
      </c>
      <c r="T102" s="152">
        <v>0.5</v>
      </c>
      <c r="U102" s="505">
        <v>2655</v>
      </c>
      <c r="V102" s="364">
        <f t="shared" si="27"/>
        <v>1327.5</v>
      </c>
      <c r="W102" s="153"/>
      <c r="X102" s="414"/>
    </row>
    <row r="103" spans="1:24" s="137" customFormat="1" ht="97" customHeight="1" x14ac:dyDescent="0.35">
      <c r="A103" s="109"/>
      <c r="B103" s="151"/>
      <c r="C103" s="363"/>
      <c r="D103" s="364"/>
      <c r="E103" s="364"/>
      <c r="F103" s="364"/>
      <c r="G103" s="150"/>
      <c r="H103" s="365"/>
      <c r="I103" s="364"/>
      <c r="J103" s="351"/>
      <c r="K103" s="366"/>
      <c r="L103" s="126"/>
      <c r="M103" s="159" t="s">
        <v>347</v>
      </c>
      <c r="N103" s="149" t="s">
        <v>367</v>
      </c>
      <c r="O103" s="423">
        <v>3540</v>
      </c>
      <c r="P103" s="154"/>
      <c r="Q103" s="154"/>
      <c r="R103" s="148">
        <f t="shared" si="33"/>
        <v>3540</v>
      </c>
      <c r="S103" s="413">
        <f t="shared" si="34"/>
        <v>3540</v>
      </c>
      <c r="T103" s="152">
        <v>0.3</v>
      </c>
      <c r="U103" s="505">
        <v>3540</v>
      </c>
      <c r="V103" s="364">
        <f t="shared" si="27"/>
        <v>1062</v>
      </c>
      <c r="W103" s="153"/>
      <c r="X103" s="414"/>
    </row>
    <row r="104" spans="1:24" s="137" customFormat="1" ht="49.5" customHeight="1" x14ac:dyDescent="0.35">
      <c r="A104" s="109"/>
      <c r="B104" s="151"/>
      <c r="C104" s="363"/>
      <c r="D104" s="364"/>
      <c r="E104" s="364"/>
      <c r="F104" s="364"/>
      <c r="G104" s="150"/>
      <c r="H104" s="365"/>
      <c r="I104" s="364"/>
      <c r="J104" s="351"/>
      <c r="K104" s="366"/>
      <c r="L104" s="126"/>
      <c r="M104" s="569" t="s">
        <v>348</v>
      </c>
      <c r="N104" s="149" t="s">
        <v>372</v>
      </c>
      <c r="O104" s="423">
        <v>0</v>
      </c>
      <c r="P104" s="154"/>
      <c r="Q104" s="154"/>
      <c r="R104" s="148">
        <f t="shared" si="33"/>
        <v>0</v>
      </c>
      <c r="S104" s="413">
        <f t="shared" si="34"/>
        <v>0</v>
      </c>
      <c r="T104" s="152">
        <v>0.5</v>
      </c>
      <c r="U104" s="505"/>
      <c r="V104" s="364">
        <f t="shared" si="27"/>
        <v>0</v>
      </c>
      <c r="W104" s="153"/>
      <c r="X104" s="414"/>
    </row>
    <row r="105" spans="1:24" s="137" customFormat="1" ht="43" customHeight="1" x14ac:dyDescent="0.35">
      <c r="A105" s="109"/>
      <c r="B105" s="151"/>
      <c r="C105" s="363"/>
      <c r="D105" s="364"/>
      <c r="E105" s="364"/>
      <c r="F105" s="364"/>
      <c r="G105" s="150"/>
      <c r="H105" s="365"/>
      <c r="I105" s="364"/>
      <c r="J105" s="351"/>
      <c r="K105" s="366"/>
      <c r="L105" s="126"/>
      <c r="M105" s="570"/>
      <c r="N105" s="149" t="s">
        <v>357</v>
      </c>
      <c r="O105" s="423">
        <v>0</v>
      </c>
      <c r="P105" s="154"/>
      <c r="Q105" s="154"/>
      <c r="R105" s="148">
        <f t="shared" si="33"/>
        <v>0</v>
      </c>
      <c r="S105" s="413">
        <f t="shared" si="34"/>
        <v>0</v>
      </c>
      <c r="T105" s="152">
        <v>0.3</v>
      </c>
      <c r="U105" s="505"/>
      <c r="V105" s="364">
        <f t="shared" si="27"/>
        <v>0</v>
      </c>
      <c r="W105" s="153"/>
      <c r="X105" s="414"/>
    </row>
    <row r="106" spans="1:24" s="137" customFormat="1" ht="19.5" customHeight="1" x14ac:dyDescent="0.35">
      <c r="A106" s="109"/>
      <c r="B106" s="151"/>
      <c r="C106" s="363"/>
      <c r="D106" s="364"/>
      <c r="E106" s="364"/>
      <c r="F106" s="364"/>
      <c r="G106" s="150"/>
      <c r="H106" s="365"/>
      <c r="I106" s="364"/>
      <c r="J106" s="351"/>
      <c r="K106" s="366"/>
      <c r="L106" s="126"/>
      <c r="M106" s="571"/>
      <c r="N106" s="149" t="s">
        <v>373</v>
      </c>
      <c r="O106" s="423">
        <v>0</v>
      </c>
      <c r="P106" s="154"/>
      <c r="Q106" s="154"/>
      <c r="R106" s="148">
        <f t="shared" si="33"/>
        <v>0</v>
      </c>
      <c r="S106" s="413">
        <f t="shared" si="34"/>
        <v>0</v>
      </c>
      <c r="T106" s="152">
        <v>0.3</v>
      </c>
      <c r="U106" s="505"/>
      <c r="V106" s="364">
        <f t="shared" si="27"/>
        <v>0</v>
      </c>
      <c r="W106" s="153"/>
      <c r="X106" s="414"/>
    </row>
    <row r="107" spans="1:24" s="137" customFormat="1" ht="36" customHeight="1" x14ac:dyDescent="0.35">
      <c r="A107" s="109"/>
      <c r="B107" s="151"/>
      <c r="C107" s="363"/>
      <c r="D107" s="364"/>
      <c r="E107" s="364"/>
      <c r="F107" s="364"/>
      <c r="G107" s="150"/>
      <c r="H107" s="365"/>
      <c r="I107" s="364"/>
      <c r="J107" s="351"/>
      <c r="K107" s="366"/>
      <c r="L107" s="126"/>
      <c r="M107" s="569" t="s">
        <v>398</v>
      </c>
      <c r="N107" s="149" t="s">
        <v>265</v>
      </c>
      <c r="O107" s="423">
        <v>8395</v>
      </c>
      <c r="P107" s="154"/>
      <c r="Q107" s="154"/>
      <c r="R107" s="148">
        <f t="shared" si="33"/>
        <v>8395</v>
      </c>
      <c r="S107" s="413">
        <f t="shared" si="34"/>
        <v>8395</v>
      </c>
      <c r="T107" s="152">
        <v>0.5</v>
      </c>
      <c r="U107" s="505">
        <v>8395</v>
      </c>
      <c r="V107" s="364">
        <f t="shared" si="27"/>
        <v>4197.5</v>
      </c>
      <c r="W107" s="153"/>
      <c r="X107" s="414"/>
    </row>
    <row r="108" spans="1:24" s="137" customFormat="1" ht="36" customHeight="1" x14ac:dyDescent="0.35">
      <c r="A108" s="109"/>
      <c r="B108" s="151"/>
      <c r="C108" s="363"/>
      <c r="D108" s="364"/>
      <c r="E108" s="364"/>
      <c r="F108" s="364"/>
      <c r="G108" s="150"/>
      <c r="H108" s="365"/>
      <c r="I108" s="364"/>
      <c r="J108" s="351"/>
      <c r="K108" s="366"/>
      <c r="L108" s="126"/>
      <c r="M108" s="570"/>
      <c r="N108" s="149" t="s">
        <v>374</v>
      </c>
      <c r="O108" s="423">
        <v>11605</v>
      </c>
      <c r="P108" s="154"/>
      <c r="Q108" s="154"/>
      <c r="R108" s="148">
        <f t="shared" si="33"/>
        <v>11605</v>
      </c>
      <c r="S108" s="413">
        <f t="shared" si="34"/>
        <v>11605</v>
      </c>
      <c r="T108" s="152">
        <v>0.3</v>
      </c>
      <c r="U108" s="505">
        <v>11605</v>
      </c>
      <c r="V108" s="364">
        <f t="shared" si="27"/>
        <v>3481.5</v>
      </c>
      <c r="W108" s="153"/>
      <c r="X108" s="414"/>
    </row>
    <row r="109" spans="1:24" s="137" customFormat="1" ht="30" customHeight="1" x14ac:dyDescent="0.35">
      <c r="A109" s="109"/>
      <c r="B109" s="151"/>
      <c r="C109" s="363"/>
      <c r="D109" s="364"/>
      <c r="E109" s="364"/>
      <c r="F109" s="364"/>
      <c r="G109" s="150"/>
      <c r="H109" s="365"/>
      <c r="I109" s="364"/>
      <c r="J109" s="351"/>
      <c r="K109" s="366"/>
      <c r="L109" s="126"/>
      <c r="M109" s="571"/>
      <c r="N109" s="149" t="s">
        <v>357</v>
      </c>
      <c r="O109" s="423">
        <v>13097</v>
      </c>
      <c r="P109" s="154"/>
      <c r="Q109" s="154"/>
      <c r="R109" s="148">
        <f t="shared" si="33"/>
        <v>13097</v>
      </c>
      <c r="S109" s="413">
        <f t="shared" si="34"/>
        <v>13097</v>
      </c>
      <c r="T109" s="152">
        <v>0.3</v>
      </c>
      <c r="U109" s="505">
        <v>13097</v>
      </c>
      <c r="V109" s="364">
        <f t="shared" si="27"/>
        <v>3929.1</v>
      </c>
      <c r="W109" s="153"/>
      <c r="X109" s="414"/>
    </row>
    <row r="110" spans="1:24" s="137" customFormat="1" ht="36" customHeight="1" x14ac:dyDescent="0.35">
      <c r="A110" s="109"/>
      <c r="B110" s="151"/>
      <c r="C110" s="363"/>
      <c r="D110" s="364"/>
      <c r="E110" s="364"/>
      <c r="F110" s="364"/>
      <c r="G110" s="150"/>
      <c r="H110" s="365"/>
      <c r="I110" s="364"/>
      <c r="J110" s="351"/>
      <c r="K110" s="366"/>
      <c r="L110" s="126"/>
      <c r="M110" s="569" t="s">
        <v>349</v>
      </c>
      <c r="N110" s="149" t="s">
        <v>366</v>
      </c>
      <c r="O110" s="423">
        <v>10000</v>
      </c>
      <c r="P110" s="154"/>
      <c r="Q110" s="154"/>
      <c r="R110" s="148">
        <f t="shared" si="33"/>
        <v>10000</v>
      </c>
      <c r="S110" s="413">
        <f t="shared" si="34"/>
        <v>10000</v>
      </c>
      <c r="T110" s="152">
        <v>0.5</v>
      </c>
      <c r="U110" s="505">
        <v>10000</v>
      </c>
      <c r="V110" s="364">
        <f t="shared" si="27"/>
        <v>5000</v>
      </c>
      <c r="W110" s="153"/>
      <c r="X110" s="414"/>
    </row>
    <row r="111" spans="1:24" s="137" customFormat="1" ht="45.5" customHeight="1" x14ac:dyDescent="0.35">
      <c r="A111" s="109"/>
      <c r="B111" s="151"/>
      <c r="C111" s="363"/>
      <c r="D111" s="364"/>
      <c r="E111" s="364"/>
      <c r="F111" s="364"/>
      <c r="G111" s="150"/>
      <c r="H111" s="365"/>
      <c r="I111" s="364"/>
      <c r="J111" s="351"/>
      <c r="K111" s="366"/>
      <c r="L111" s="126"/>
      <c r="M111" s="571"/>
      <c r="N111" s="149" t="s">
        <v>365</v>
      </c>
      <c r="O111" s="423">
        <v>7699</v>
      </c>
      <c r="P111" s="154"/>
      <c r="Q111" s="154"/>
      <c r="R111" s="148">
        <f t="shared" si="33"/>
        <v>7699</v>
      </c>
      <c r="S111" s="413">
        <f t="shared" si="34"/>
        <v>7699</v>
      </c>
      <c r="T111" s="152">
        <v>0.3</v>
      </c>
      <c r="U111" s="505">
        <v>7699</v>
      </c>
      <c r="V111" s="364">
        <f t="shared" si="27"/>
        <v>2309.6999999999998</v>
      </c>
      <c r="W111" s="153"/>
      <c r="X111" s="414"/>
    </row>
    <row r="112" spans="1:24" s="137" customFormat="1" ht="45.5" customHeight="1" x14ac:dyDescent="0.35">
      <c r="A112" s="109"/>
      <c r="B112" s="151"/>
      <c r="C112" s="363"/>
      <c r="D112" s="364"/>
      <c r="E112" s="364"/>
      <c r="F112" s="364"/>
      <c r="G112" s="150"/>
      <c r="H112" s="365"/>
      <c r="I112" s="364"/>
      <c r="J112" s="351"/>
      <c r="K112" s="366"/>
      <c r="L112" s="126"/>
      <c r="M112" s="569" t="s">
        <v>350</v>
      </c>
      <c r="N112" s="149" t="s">
        <v>366</v>
      </c>
      <c r="O112" s="423">
        <v>0</v>
      </c>
      <c r="P112" s="154"/>
      <c r="Q112" s="154"/>
      <c r="R112" s="148">
        <f t="shared" si="33"/>
        <v>0</v>
      </c>
      <c r="S112" s="413">
        <f t="shared" si="34"/>
        <v>0</v>
      </c>
      <c r="T112" s="152">
        <v>0.5</v>
      </c>
      <c r="U112" s="505"/>
      <c r="V112" s="364">
        <f t="shared" si="27"/>
        <v>0</v>
      </c>
      <c r="W112" s="153"/>
      <c r="X112" s="414"/>
    </row>
    <row r="113" spans="1:32" s="137" customFormat="1" ht="49.5" customHeight="1" x14ac:dyDescent="0.35">
      <c r="A113" s="109"/>
      <c r="B113" s="151"/>
      <c r="C113" s="363"/>
      <c r="D113" s="364"/>
      <c r="E113" s="364"/>
      <c r="F113" s="364"/>
      <c r="G113" s="150"/>
      <c r="H113" s="365"/>
      <c r="I113" s="364"/>
      <c r="J113" s="351"/>
      <c r="K113" s="366"/>
      <c r="L113" s="126"/>
      <c r="M113" s="571"/>
      <c r="N113" s="149" t="s">
        <v>375</v>
      </c>
      <c r="O113" s="423">
        <v>0</v>
      </c>
      <c r="P113" s="154"/>
      <c r="Q113" s="154"/>
      <c r="R113" s="148">
        <f t="shared" si="33"/>
        <v>0</v>
      </c>
      <c r="S113" s="413">
        <f t="shared" si="34"/>
        <v>0</v>
      </c>
      <c r="T113" s="152"/>
      <c r="U113" s="505"/>
      <c r="V113" s="364">
        <f t="shared" si="27"/>
        <v>0</v>
      </c>
      <c r="W113" s="153"/>
      <c r="X113" s="414"/>
    </row>
    <row r="114" spans="1:32" s="137" customFormat="1" ht="33" customHeight="1" x14ac:dyDescent="0.35">
      <c r="A114" s="109"/>
      <c r="B114" s="151"/>
      <c r="C114" s="363"/>
      <c r="D114" s="364"/>
      <c r="E114" s="364"/>
      <c r="F114" s="364"/>
      <c r="G114" s="150"/>
      <c r="H114" s="365"/>
      <c r="I114" s="364"/>
      <c r="J114" s="351"/>
      <c r="K114" s="366"/>
      <c r="L114" s="126"/>
      <c r="M114" s="569" t="s">
        <v>351</v>
      </c>
      <c r="N114" s="149" t="s">
        <v>376</v>
      </c>
      <c r="O114" s="423">
        <v>5000</v>
      </c>
      <c r="P114" s="154"/>
      <c r="Q114" s="154"/>
      <c r="R114" s="148">
        <f t="shared" si="33"/>
        <v>5000</v>
      </c>
      <c r="S114" s="413">
        <f t="shared" si="34"/>
        <v>5000</v>
      </c>
      <c r="T114" s="152">
        <v>0.5</v>
      </c>
      <c r="U114" s="505">
        <v>5000</v>
      </c>
      <c r="V114" s="364">
        <f t="shared" si="27"/>
        <v>2500</v>
      </c>
      <c r="W114" s="153"/>
      <c r="X114" s="414"/>
    </row>
    <row r="115" spans="1:32" s="137" customFormat="1" ht="28" customHeight="1" x14ac:dyDescent="0.35">
      <c r="A115" s="109"/>
      <c r="B115" s="151"/>
      <c r="C115" s="363"/>
      <c r="D115" s="364"/>
      <c r="E115" s="364"/>
      <c r="F115" s="364"/>
      <c r="G115" s="150"/>
      <c r="H115" s="365"/>
      <c r="I115" s="364"/>
      <c r="J115" s="351"/>
      <c r="K115" s="366"/>
      <c r="L115" s="126"/>
      <c r="M115" s="570"/>
      <c r="N115" s="149" t="s">
        <v>377</v>
      </c>
      <c r="O115" s="423">
        <v>5000</v>
      </c>
      <c r="P115" s="154"/>
      <c r="Q115" s="154"/>
      <c r="R115" s="148">
        <f t="shared" si="33"/>
        <v>5000</v>
      </c>
      <c r="S115" s="413">
        <f t="shared" si="34"/>
        <v>5000</v>
      </c>
      <c r="T115" s="152">
        <v>0.3</v>
      </c>
      <c r="U115" s="505">
        <v>5000</v>
      </c>
      <c r="V115" s="364">
        <f t="shared" si="27"/>
        <v>1500</v>
      </c>
      <c r="W115" s="153"/>
      <c r="X115" s="414"/>
    </row>
    <row r="116" spans="1:32" s="137" customFormat="1" ht="33" customHeight="1" x14ac:dyDescent="0.35">
      <c r="A116" s="109"/>
      <c r="B116" s="151"/>
      <c r="C116" s="363"/>
      <c r="D116" s="364"/>
      <c r="E116" s="364"/>
      <c r="F116" s="364"/>
      <c r="G116" s="150"/>
      <c r="H116" s="365"/>
      <c r="I116" s="364"/>
      <c r="J116" s="351"/>
      <c r="K116" s="366"/>
      <c r="L116" s="126"/>
      <c r="M116" s="571"/>
      <c r="N116" s="149" t="s">
        <v>378</v>
      </c>
      <c r="O116" s="423">
        <v>7699</v>
      </c>
      <c r="P116" s="154"/>
      <c r="Q116" s="154"/>
      <c r="R116" s="148">
        <f t="shared" si="33"/>
        <v>7699</v>
      </c>
      <c r="S116" s="413">
        <f t="shared" si="34"/>
        <v>7699</v>
      </c>
      <c r="T116" s="152">
        <v>0.3</v>
      </c>
      <c r="U116" s="505">
        <v>7699</v>
      </c>
      <c r="V116" s="364">
        <f t="shared" si="27"/>
        <v>2309.6999999999998</v>
      </c>
      <c r="W116" s="153"/>
      <c r="X116" s="414"/>
    </row>
    <row r="117" spans="1:32" s="137" customFormat="1" ht="33" customHeight="1" x14ac:dyDescent="0.35">
      <c r="A117" s="109"/>
      <c r="B117" s="151"/>
      <c r="C117" s="363"/>
      <c r="D117" s="364"/>
      <c r="E117" s="364"/>
      <c r="F117" s="364"/>
      <c r="G117" s="150"/>
      <c r="H117" s="365"/>
      <c r="I117" s="364"/>
      <c r="J117" s="351"/>
      <c r="K117" s="366"/>
      <c r="L117" s="126"/>
      <c r="M117" s="628" t="s">
        <v>352</v>
      </c>
      <c r="N117" s="149" t="s">
        <v>396</v>
      </c>
      <c r="O117" s="423">
        <v>16570</v>
      </c>
      <c r="P117" s="154"/>
      <c r="Q117" s="154"/>
      <c r="R117" s="148">
        <f t="shared" si="33"/>
        <v>16570</v>
      </c>
      <c r="S117" s="413">
        <f t="shared" si="34"/>
        <v>16570</v>
      </c>
      <c r="T117" s="152">
        <v>0.5</v>
      </c>
      <c r="U117" s="505">
        <v>16570</v>
      </c>
      <c r="V117" s="364">
        <f t="shared" si="27"/>
        <v>8285</v>
      </c>
      <c r="W117" s="153"/>
      <c r="X117" s="414"/>
    </row>
    <row r="118" spans="1:32" s="137" customFormat="1" ht="47" customHeight="1" x14ac:dyDescent="0.35">
      <c r="A118" s="109"/>
      <c r="B118" s="151"/>
      <c r="C118" s="363"/>
      <c r="D118" s="364"/>
      <c r="E118" s="364"/>
      <c r="F118" s="364"/>
      <c r="G118" s="150"/>
      <c r="H118" s="365"/>
      <c r="I118" s="364"/>
      <c r="J118" s="351"/>
      <c r="K118" s="366"/>
      <c r="L118" s="126"/>
      <c r="M118" s="629"/>
      <c r="N118" s="149" t="s">
        <v>357</v>
      </c>
      <c r="O118" s="423">
        <v>5000</v>
      </c>
      <c r="P118" s="154"/>
      <c r="Q118" s="154"/>
      <c r="R118" s="148">
        <f t="shared" si="33"/>
        <v>5000</v>
      </c>
      <c r="S118" s="413">
        <f t="shared" si="34"/>
        <v>5000</v>
      </c>
      <c r="T118" s="152">
        <v>0.3</v>
      </c>
      <c r="U118" s="505">
        <v>5000</v>
      </c>
      <c r="V118" s="364">
        <f t="shared" si="27"/>
        <v>1500</v>
      </c>
      <c r="W118" s="153"/>
      <c r="X118" s="414"/>
    </row>
    <row r="119" spans="1:32" s="490" customFormat="1" ht="86" customHeight="1" x14ac:dyDescent="0.35">
      <c r="B119" s="491"/>
      <c r="C119" s="492"/>
      <c r="D119" s="493"/>
      <c r="E119" s="493"/>
      <c r="F119" s="493"/>
      <c r="G119" s="150"/>
      <c r="H119" s="494"/>
      <c r="I119" s="493"/>
      <c r="J119" s="495"/>
      <c r="K119" s="496"/>
      <c r="L119" s="497"/>
      <c r="M119" s="498" t="s">
        <v>353</v>
      </c>
      <c r="N119" s="149" t="s">
        <v>379</v>
      </c>
      <c r="O119" s="423">
        <v>0</v>
      </c>
      <c r="P119" s="154"/>
      <c r="Q119" s="154"/>
      <c r="R119" s="148">
        <f t="shared" si="33"/>
        <v>0</v>
      </c>
      <c r="S119" s="413">
        <f t="shared" si="34"/>
        <v>0</v>
      </c>
      <c r="T119" s="152">
        <v>0.3</v>
      </c>
      <c r="U119" s="505"/>
      <c r="V119" s="364">
        <f t="shared" si="27"/>
        <v>0</v>
      </c>
      <c r="W119" s="153"/>
      <c r="X119" s="499"/>
      <c r="Y119" s="137"/>
      <c r="Z119" s="137"/>
      <c r="AA119" s="137"/>
      <c r="AB119" s="137"/>
      <c r="AC119" s="137"/>
      <c r="AD119" s="137"/>
      <c r="AE119" s="137"/>
      <c r="AF119" s="137"/>
    </row>
    <row r="120" spans="1:32" s="137" customFormat="1" ht="82" customHeight="1" x14ac:dyDescent="0.35">
      <c r="A120" s="109"/>
      <c r="B120" s="151"/>
      <c r="C120" s="363"/>
      <c r="D120" s="364"/>
      <c r="E120" s="364"/>
      <c r="F120" s="364"/>
      <c r="G120" s="150"/>
      <c r="H120" s="365"/>
      <c r="I120" s="364"/>
      <c r="J120" s="351"/>
      <c r="K120" s="366"/>
      <c r="L120" s="126"/>
      <c r="M120" s="159" t="s">
        <v>354</v>
      </c>
      <c r="N120" s="149" t="s">
        <v>397</v>
      </c>
      <c r="O120" s="423">
        <v>20000</v>
      </c>
      <c r="P120" s="154"/>
      <c r="Q120" s="154"/>
      <c r="R120" s="148">
        <f t="shared" si="33"/>
        <v>20000</v>
      </c>
      <c r="S120" s="413">
        <f t="shared" si="34"/>
        <v>20000</v>
      </c>
      <c r="T120" s="152"/>
      <c r="U120" s="505">
        <v>20000</v>
      </c>
      <c r="V120" s="364">
        <f t="shared" si="27"/>
        <v>0</v>
      </c>
      <c r="W120" s="153"/>
      <c r="X120" s="414"/>
    </row>
    <row r="121" spans="1:32" s="109" customFormat="1" ht="47" customHeight="1" x14ac:dyDescent="0.35">
      <c r="B121" s="151" t="s">
        <v>39</v>
      </c>
      <c r="C121" s="363"/>
      <c r="D121" s="364"/>
      <c r="E121" s="364"/>
      <c r="F121" s="364"/>
      <c r="G121" s="150"/>
      <c r="H121" s="365"/>
      <c r="I121" s="364"/>
      <c r="J121" s="378"/>
      <c r="K121" s="366"/>
      <c r="L121" s="126"/>
      <c r="M121" s="159"/>
      <c r="N121" s="149"/>
      <c r="O121" s="423"/>
      <c r="P121" s="154"/>
      <c r="Q121" s="154"/>
      <c r="R121" s="148">
        <f t="shared" si="25"/>
        <v>0</v>
      </c>
      <c r="S121" s="413">
        <f t="shared" si="26"/>
        <v>0</v>
      </c>
      <c r="T121" s="152"/>
      <c r="U121" s="505"/>
      <c r="V121" s="364">
        <f t="shared" si="27"/>
        <v>0</v>
      </c>
      <c r="W121" s="153"/>
      <c r="X121" s="414" t="str">
        <f t="shared" si="28"/>
        <v/>
      </c>
    </row>
    <row r="122" spans="1:32" s="109" customFormat="1" ht="82" customHeight="1" x14ac:dyDescent="0.35">
      <c r="B122" s="367"/>
      <c r="C122" s="368" t="s">
        <v>24</v>
      </c>
      <c r="D122" s="369">
        <f>SUM(D71:D121)</f>
        <v>0</v>
      </c>
      <c r="E122" s="369">
        <f>SUM(E71:E121)</f>
        <v>0</v>
      </c>
      <c r="F122" s="369">
        <f>SUM(F71:F121)</f>
        <v>0</v>
      </c>
      <c r="G122" s="369">
        <f>SUM(G71:G121)</f>
        <v>0</v>
      </c>
      <c r="H122" s="369">
        <f>(H71*G71)+(H72*G72)+(H75*G75)+(H76*G76)+(H78*G78)+(H80*G80)+(H82*G82)+(H121*G121)</f>
        <v>0</v>
      </c>
      <c r="I122" s="369">
        <f>SUM(I71:I121)</f>
        <v>0</v>
      </c>
      <c r="J122" s="370"/>
      <c r="K122" s="366"/>
      <c r="L122" s="142"/>
      <c r="M122" s="415"/>
      <c r="N122" s="347" t="s">
        <v>24</v>
      </c>
      <c r="O122" s="429">
        <f>SUM(O71:O121)</f>
        <v>368528</v>
      </c>
      <c r="P122" s="143">
        <f>SUM(P71:P121)</f>
        <v>0</v>
      </c>
      <c r="Q122" s="143">
        <f>SUM(Q71:Q121)</f>
        <v>0</v>
      </c>
      <c r="R122" s="143">
        <f>SUM(R71:R121)</f>
        <v>368528</v>
      </c>
      <c r="S122" s="413">
        <f t="shared" si="26"/>
        <v>368528</v>
      </c>
      <c r="T122" s="143">
        <f>(T71*R71)+(T72*R72)+(T73*R73)+(T74*R74)+(T75*R75)+(T76*R76)+(T77*R77)+(T78*R78)+(T79*R79)+(T80*R80)+(T81*R81)+(T82*R82)+(T84*R84)+(T85*R85)+(T86*R86)+(T87*R87)+(T88*R88)+(T89*R89)+(T90*R90)+(T91*R91)+(T92*R92)+(T93*R93)+(T94*R94)+(T95*R95)+(T96*R96)+(T97*R97)+(T98*R98)+(T99*R99)+(T100*R100)+(T101*R101)+(T102*R102)+(T103*R103)+(T104*R104)+(T105*R105)+(T106*R106)+(T107*R107)+(T108*R108)+(T109*R109)+(T110*R110)+(T111*R111)+(T112*R112)+(T113*R113)+(T114*R114)+(T115*R115)+(T116*R116)+(T117*R117)+(T118*119)+(T119*R119)+(T121*R121)</f>
        <v>139404</v>
      </c>
      <c r="U122" s="505">
        <f>SUM(U71:U121)</f>
        <v>368528</v>
      </c>
      <c r="V122" s="364">
        <f>SUM(V71:V121)</f>
        <v>140868.29999999999</v>
      </c>
      <c r="W122" s="153"/>
      <c r="X122" s="414" t="str">
        <f t="shared" si="28"/>
        <v/>
      </c>
    </row>
    <row r="123" spans="1:32" s="109" customFormat="1" ht="15.5" x14ac:dyDescent="0.35">
      <c r="B123" s="379"/>
      <c r="C123" s="380"/>
      <c r="D123" s="381"/>
      <c r="E123" s="381"/>
      <c r="F123" s="381"/>
      <c r="G123" s="381"/>
      <c r="H123" s="382"/>
      <c r="I123" s="381"/>
      <c r="J123" s="383"/>
      <c r="K123" s="382"/>
      <c r="L123" s="126"/>
      <c r="M123" s="155"/>
      <c r="N123" s="156"/>
      <c r="O123" s="430"/>
      <c r="P123" s="158"/>
      <c r="Q123" s="158"/>
      <c r="R123" s="157"/>
      <c r="S123" s="451"/>
      <c r="T123" s="158"/>
      <c r="U123" s="512"/>
      <c r="V123" s="382"/>
      <c r="W123" s="158"/>
      <c r="X123" s="130" t="str">
        <f t="shared" si="28"/>
        <v/>
      </c>
    </row>
    <row r="124" spans="1:32" s="109" customFormat="1" ht="67.5" customHeight="1" x14ac:dyDescent="0.35">
      <c r="B124" s="368" t="s">
        <v>40</v>
      </c>
      <c r="C124" s="558" t="s">
        <v>275</v>
      </c>
      <c r="D124" s="558"/>
      <c r="E124" s="558"/>
      <c r="F124" s="558"/>
      <c r="G124" s="558"/>
      <c r="H124" s="558"/>
      <c r="I124" s="559"/>
      <c r="J124" s="559"/>
      <c r="K124" s="558"/>
      <c r="L124" s="117"/>
      <c r="M124" s="139" t="s">
        <v>40</v>
      </c>
      <c r="N124" s="552" t="s">
        <v>275</v>
      </c>
      <c r="O124" s="553"/>
      <c r="P124" s="553"/>
      <c r="Q124" s="553"/>
      <c r="R124" s="553"/>
      <c r="S124" s="553"/>
      <c r="T124" s="553"/>
      <c r="U124" s="553"/>
      <c r="V124" s="553"/>
      <c r="W124" s="554"/>
      <c r="X124" s="130" t="str">
        <f t="shared" si="28"/>
        <v/>
      </c>
    </row>
    <row r="125" spans="1:32" s="344" customFormat="1" ht="30" customHeight="1" x14ac:dyDescent="0.35">
      <c r="B125" s="371" t="s">
        <v>41</v>
      </c>
      <c r="C125" s="558" t="s">
        <v>313</v>
      </c>
      <c r="D125" s="558"/>
      <c r="E125" s="558"/>
      <c r="F125" s="558"/>
      <c r="G125" s="558"/>
      <c r="H125" s="558"/>
      <c r="I125" s="559"/>
      <c r="J125" s="559"/>
      <c r="K125" s="558"/>
      <c r="L125" s="119"/>
      <c r="M125" s="116" t="s">
        <v>41</v>
      </c>
      <c r="N125" s="552" t="s">
        <v>313</v>
      </c>
      <c r="O125" s="553"/>
      <c r="P125" s="553"/>
      <c r="Q125" s="553"/>
      <c r="R125" s="553"/>
      <c r="S125" s="553"/>
      <c r="T125" s="553"/>
      <c r="U125" s="553"/>
      <c r="V125" s="553"/>
      <c r="W125" s="554"/>
      <c r="X125" s="405" t="str">
        <f t="shared" si="28"/>
        <v/>
      </c>
    </row>
    <row r="126" spans="1:32" s="109" customFormat="1" ht="41" customHeight="1" x14ac:dyDescent="0.35">
      <c r="B126" s="549" t="s">
        <v>282</v>
      </c>
      <c r="C126" s="348" t="s">
        <v>276</v>
      </c>
      <c r="D126" s="348">
        <v>20000</v>
      </c>
      <c r="E126" s="363"/>
      <c r="F126" s="363"/>
      <c r="G126" s="150">
        <f t="shared" ref="G126:G128" si="35">SUM(D126:F126)</f>
        <v>20000</v>
      </c>
      <c r="H126" s="253">
        <v>0.5</v>
      </c>
      <c r="I126" s="373"/>
      <c r="J126" s="373"/>
      <c r="K126" s="363"/>
      <c r="L126" s="119"/>
      <c r="M126" s="563" t="s">
        <v>282</v>
      </c>
      <c r="N126" s="348" t="s">
        <v>276</v>
      </c>
      <c r="O126" s="423">
        <v>15000</v>
      </c>
      <c r="P126" s="162"/>
      <c r="Q126" s="377"/>
      <c r="R126" s="129">
        <f>+O126+P126+Q126</f>
        <v>15000</v>
      </c>
      <c r="S126" s="413">
        <f>R126-G126</f>
        <v>-5000</v>
      </c>
      <c r="T126" s="105">
        <v>0.5</v>
      </c>
      <c r="U126" s="513">
        <v>15000</v>
      </c>
      <c r="V126" s="364">
        <f>U126*T126</f>
        <v>7500</v>
      </c>
      <c r="W126" s="377"/>
      <c r="X126" s="130"/>
    </row>
    <row r="127" spans="1:32" s="109" customFormat="1" ht="36" customHeight="1" x14ac:dyDescent="0.35">
      <c r="B127" s="550"/>
      <c r="C127" s="104" t="s">
        <v>277</v>
      </c>
      <c r="D127" s="348">
        <v>5000</v>
      </c>
      <c r="E127" s="363"/>
      <c r="F127" s="363"/>
      <c r="G127" s="150">
        <f t="shared" si="35"/>
        <v>5000</v>
      </c>
      <c r="H127" s="253">
        <v>0.5</v>
      </c>
      <c r="I127" s="373"/>
      <c r="J127" s="373"/>
      <c r="K127" s="363"/>
      <c r="L127" s="119"/>
      <c r="M127" s="564"/>
      <c r="N127" s="104" t="s">
        <v>277</v>
      </c>
      <c r="O127" s="419">
        <v>5000</v>
      </c>
      <c r="P127" s="162"/>
      <c r="Q127" s="377"/>
      <c r="R127" s="129">
        <f t="shared" ref="R127:R140" si="36">+O127+P127+Q127</f>
        <v>5000</v>
      </c>
      <c r="S127" s="413">
        <f t="shared" ref="S127:S141" si="37">R127-G127</f>
        <v>0</v>
      </c>
      <c r="T127" s="105">
        <v>0.5</v>
      </c>
      <c r="U127" s="513">
        <v>5000</v>
      </c>
      <c r="V127" s="364">
        <f t="shared" ref="V127:V140" si="38">U127*T127</f>
        <v>2500</v>
      </c>
      <c r="W127" s="377"/>
      <c r="X127" s="130"/>
    </row>
    <row r="128" spans="1:32" s="109" customFormat="1" ht="41" customHeight="1" x14ac:dyDescent="0.35">
      <c r="B128" s="550"/>
      <c r="C128" s="104" t="s">
        <v>278</v>
      </c>
      <c r="D128" s="348">
        <v>5000</v>
      </c>
      <c r="E128" s="363"/>
      <c r="F128" s="363"/>
      <c r="G128" s="150">
        <f t="shared" si="35"/>
        <v>5000</v>
      </c>
      <c r="H128" s="253">
        <v>0.5</v>
      </c>
      <c r="I128" s="373"/>
      <c r="J128" s="373"/>
      <c r="K128" s="363"/>
      <c r="L128" s="119"/>
      <c r="M128" s="564"/>
      <c r="N128" s="104" t="s">
        <v>278</v>
      </c>
      <c r="O128" s="419">
        <v>0</v>
      </c>
      <c r="P128" s="162"/>
      <c r="Q128" s="377"/>
      <c r="R128" s="129">
        <f t="shared" si="36"/>
        <v>0</v>
      </c>
      <c r="S128" s="413">
        <v>0</v>
      </c>
      <c r="T128" s="105">
        <v>0.5</v>
      </c>
      <c r="U128" s="513"/>
      <c r="V128" s="364">
        <f t="shared" si="38"/>
        <v>0</v>
      </c>
      <c r="W128" s="377"/>
      <c r="X128" s="130"/>
    </row>
    <row r="129" spans="1:36" s="109" customFormat="1" ht="17.5" customHeight="1" x14ac:dyDescent="0.35">
      <c r="B129" s="551"/>
      <c r="C129" s="121"/>
      <c r="D129" s="348"/>
      <c r="E129" s="348"/>
      <c r="F129" s="348"/>
      <c r="G129" s="150">
        <f t="shared" ref="G129:G140" si="39">SUM(D129:F129)</f>
        <v>0</v>
      </c>
      <c r="H129" s="253"/>
      <c r="I129" s="374"/>
      <c r="J129" s="351"/>
      <c r="K129" s="352"/>
      <c r="L129" s="126"/>
      <c r="M129" s="565"/>
      <c r="N129" s="121"/>
      <c r="O129" s="419"/>
      <c r="P129" s="162"/>
      <c r="Q129" s="160"/>
      <c r="R129" s="129">
        <f t="shared" si="36"/>
        <v>0</v>
      </c>
      <c r="S129" s="413">
        <f t="shared" si="37"/>
        <v>0</v>
      </c>
      <c r="T129" s="105"/>
      <c r="U129" s="513"/>
      <c r="V129" s="364">
        <f t="shared" si="38"/>
        <v>0</v>
      </c>
      <c r="W129" s="106"/>
      <c r="X129" s="130"/>
    </row>
    <row r="130" spans="1:36" s="109" customFormat="1" ht="18" customHeight="1" x14ac:dyDescent="0.35">
      <c r="B130" s="619" t="s">
        <v>279</v>
      </c>
      <c r="C130" s="104" t="s">
        <v>247</v>
      </c>
      <c r="D130" s="348">
        <v>15000</v>
      </c>
      <c r="E130" s="348"/>
      <c r="F130" s="348"/>
      <c r="G130" s="150">
        <f t="shared" si="39"/>
        <v>15000</v>
      </c>
      <c r="H130" s="253">
        <v>0.5</v>
      </c>
      <c r="I130" s="374"/>
      <c r="J130" s="351"/>
      <c r="K130" s="352"/>
      <c r="L130" s="126"/>
      <c r="M130" s="622" t="s">
        <v>279</v>
      </c>
      <c r="N130" s="104" t="s">
        <v>247</v>
      </c>
      <c r="O130" s="423">
        <v>10000</v>
      </c>
      <c r="P130" s="162"/>
      <c r="Q130" s="160"/>
      <c r="R130" s="129">
        <f t="shared" si="36"/>
        <v>10000</v>
      </c>
      <c r="S130" s="413">
        <f t="shared" si="37"/>
        <v>-5000</v>
      </c>
      <c r="T130" s="105">
        <v>0.5</v>
      </c>
      <c r="U130" s="513">
        <v>10000</v>
      </c>
      <c r="V130" s="364">
        <f t="shared" si="38"/>
        <v>5000</v>
      </c>
      <c r="W130" s="106"/>
      <c r="X130" s="130"/>
    </row>
    <row r="131" spans="1:36" s="109" customFormat="1" ht="18" customHeight="1" x14ac:dyDescent="0.35">
      <c r="B131" s="620"/>
      <c r="C131" s="104" t="s">
        <v>280</v>
      </c>
      <c r="D131" s="348">
        <v>5800</v>
      </c>
      <c r="E131" s="348"/>
      <c r="F131" s="348"/>
      <c r="G131" s="150">
        <f t="shared" si="39"/>
        <v>5800</v>
      </c>
      <c r="H131" s="253">
        <v>0.5</v>
      </c>
      <c r="I131" s="374"/>
      <c r="J131" s="351"/>
      <c r="K131" s="352"/>
      <c r="L131" s="126"/>
      <c r="M131" s="623"/>
      <c r="N131" s="104" t="s">
        <v>280</v>
      </c>
      <c r="O131" s="419">
        <v>5800</v>
      </c>
      <c r="P131" s="162"/>
      <c r="Q131" s="160"/>
      <c r="R131" s="129">
        <f t="shared" si="36"/>
        <v>5800</v>
      </c>
      <c r="S131" s="413">
        <f t="shared" si="37"/>
        <v>0</v>
      </c>
      <c r="T131" s="105">
        <v>0.5</v>
      </c>
      <c r="U131" s="513">
        <v>5800</v>
      </c>
      <c r="V131" s="364">
        <f t="shared" si="38"/>
        <v>2900</v>
      </c>
      <c r="W131" s="106"/>
      <c r="X131" s="130"/>
    </row>
    <row r="132" spans="1:36" s="109" customFormat="1" ht="18" customHeight="1" x14ac:dyDescent="0.35">
      <c r="B132" s="620"/>
      <c r="C132" s="104" t="s">
        <v>281</v>
      </c>
      <c r="D132" s="348">
        <v>5000</v>
      </c>
      <c r="E132" s="348"/>
      <c r="F132" s="348"/>
      <c r="G132" s="150">
        <f t="shared" si="39"/>
        <v>5000</v>
      </c>
      <c r="H132" s="253">
        <v>0.3</v>
      </c>
      <c r="I132" s="374"/>
      <c r="J132" s="351"/>
      <c r="K132" s="352"/>
      <c r="L132" s="126"/>
      <c r="M132" s="623"/>
      <c r="N132" s="104" t="s">
        <v>281</v>
      </c>
      <c r="O132" s="423">
        <v>5000</v>
      </c>
      <c r="P132" s="162"/>
      <c r="Q132" s="160"/>
      <c r="R132" s="129">
        <f t="shared" si="36"/>
        <v>5000</v>
      </c>
      <c r="S132" s="413">
        <f t="shared" si="37"/>
        <v>0</v>
      </c>
      <c r="T132" s="105">
        <v>0.3</v>
      </c>
      <c r="U132" s="513">
        <v>5000</v>
      </c>
      <c r="V132" s="364">
        <f t="shared" si="38"/>
        <v>1500</v>
      </c>
      <c r="W132" s="106"/>
      <c r="X132" s="130"/>
    </row>
    <row r="133" spans="1:36" s="109" customFormat="1" ht="23" customHeight="1" x14ac:dyDescent="0.35">
      <c r="B133" s="620"/>
      <c r="C133" s="104"/>
      <c r="D133" s="348"/>
      <c r="E133" s="348"/>
      <c r="F133" s="348"/>
      <c r="G133" s="150">
        <f t="shared" si="39"/>
        <v>0</v>
      </c>
      <c r="H133" s="253"/>
      <c r="I133" s="374"/>
      <c r="J133" s="351"/>
      <c r="K133" s="352"/>
      <c r="L133" s="126"/>
      <c r="M133" s="623"/>
      <c r="N133" s="104"/>
      <c r="O133" s="419"/>
      <c r="P133" s="162"/>
      <c r="Q133" s="160"/>
      <c r="R133" s="129">
        <f t="shared" si="36"/>
        <v>0</v>
      </c>
      <c r="S133" s="413">
        <f t="shared" si="37"/>
        <v>0</v>
      </c>
      <c r="T133" s="105"/>
      <c r="U133" s="513"/>
      <c r="V133" s="364">
        <f t="shared" si="38"/>
        <v>0</v>
      </c>
      <c r="W133" s="106"/>
      <c r="X133" s="130"/>
    </row>
    <row r="134" spans="1:36" s="109" customFormat="1" ht="22" customHeight="1" x14ac:dyDescent="0.35">
      <c r="B134" s="621"/>
      <c r="C134" s="104"/>
      <c r="D134" s="348"/>
      <c r="E134" s="348"/>
      <c r="F134" s="348"/>
      <c r="G134" s="150">
        <f t="shared" si="39"/>
        <v>0</v>
      </c>
      <c r="H134" s="253"/>
      <c r="I134" s="374"/>
      <c r="J134" s="351"/>
      <c r="K134" s="352"/>
      <c r="L134" s="126"/>
      <c r="M134" s="624"/>
      <c r="N134" s="104"/>
      <c r="O134" s="419"/>
      <c r="P134" s="162"/>
      <c r="Q134" s="160"/>
      <c r="R134" s="129">
        <f t="shared" si="36"/>
        <v>0</v>
      </c>
      <c r="S134" s="413">
        <f t="shared" si="37"/>
        <v>0</v>
      </c>
      <c r="T134" s="105"/>
      <c r="U134" s="513"/>
      <c r="V134" s="364">
        <f t="shared" si="38"/>
        <v>0</v>
      </c>
      <c r="W134" s="106"/>
      <c r="X134" s="130"/>
    </row>
    <row r="135" spans="1:36" s="109" customFormat="1" ht="80.150000000000006" customHeight="1" x14ac:dyDescent="0.35">
      <c r="B135" s="151" t="s">
        <v>42</v>
      </c>
      <c r="C135" s="121"/>
      <c r="D135" s="348"/>
      <c r="E135" s="348"/>
      <c r="F135" s="348"/>
      <c r="G135" s="150">
        <f t="shared" si="39"/>
        <v>0</v>
      </c>
      <c r="H135" s="253"/>
      <c r="I135" s="374"/>
      <c r="J135" s="351"/>
      <c r="K135" s="352"/>
      <c r="L135" s="126"/>
      <c r="M135" s="151" t="s">
        <v>42</v>
      </c>
      <c r="N135" s="107"/>
      <c r="O135" s="419"/>
      <c r="P135" s="162"/>
      <c r="Q135" s="160"/>
      <c r="R135" s="129">
        <f t="shared" si="36"/>
        <v>0</v>
      </c>
      <c r="S135" s="413">
        <f t="shared" si="37"/>
        <v>0</v>
      </c>
      <c r="T135" s="105"/>
      <c r="U135" s="509"/>
      <c r="V135" s="364">
        <f t="shared" si="38"/>
        <v>0</v>
      </c>
      <c r="W135" s="106"/>
      <c r="X135" s="130"/>
    </row>
    <row r="136" spans="1:36" s="109" customFormat="1" ht="91.5" customHeight="1" x14ac:dyDescent="0.35">
      <c r="B136" s="151" t="s">
        <v>43</v>
      </c>
      <c r="C136" s="121"/>
      <c r="D136" s="348"/>
      <c r="E136" s="348"/>
      <c r="F136" s="348"/>
      <c r="G136" s="150">
        <f t="shared" si="39"/>
        <v>0</v>
      </c>
      <c r="H136" s="253"/>
      <c r="I136" s="374"/>
      <c r="J136" s="351"/>
      <c r="K136" s="352"/>
      <c r="L136" s="126"/>
      <c r="M136" s="151" t="s">
        <v>43</v>
      </c>
      <c r="N136" s="107"/>
      <c r="O136" s="419"/>
      <c r="P136" s="162"/>
      <c r="Q136" s="128"/>
      <c r="R136" s="129">
        <f t="shared" si="36"/>
        <v>0</v>
      </c>
      <c r="S136" s="413">
        <f t="shared" si="37"/>
        <v>0</v>
      </c>
      <c r="T136" s="105"/>
      <c r="U136" s="509"/>
      <c r="V136" s="364">
        <f t="shared" si="38"/>
        <v>0</v>
      </c>
      <c r="W136" s="125"/>
      <c r="X136" s="130"/>
    </row>
    <row r="137" spans="1:36" s="109" customFormat="1" ht="48.9" customHeight="1" x14ac:dyDescent="0.35">
      <c r="B137" s="151" t="s">
        <v>44</v>
      </c>
      <c r="C137" s="362"/>
      <c r="D137" s="348"/>
      <c r="E137" s="348"/>
      <c r="F137" s="348"/>
      <c r="G137" s="150">
        <f t="shared" si="39"/>
        <v>0</v>
      </c>
      <c r="H137" s="253"/>
      <c r="I137" s="374"/>
      <c r="J137" s="351"/>
      <c r="K137" s="352"/>
      <c r="L137" s="126"/>
      <c r="M137" s="120" t="s">
        <v>44</v>
      </c>
      <c r="N137" s="108"/>
      <c r="O137" s="419"/>
      <c r="P137" s="162"/>
      <c r="Q137" s="128"/>
      <c r="R137" s="129">
        <f t="shared" si="36"/>
        <v>0</v>
      </c>
      <c r="S137" s="413">
        <f t="shared" si="37"/>
        <v>0</v>
      </c>
      <c r="T137" s="105"/>
      <c r="U137" s="509"/>
      <c r="V137" s="364">
        <f t="shared" si="38"/>
        <v>0</v>
      </c>
      <c r="W137" s="161"/>
      <c r="X137" s="130"/>
    </row>
    <row r="138" spans="1:36" s="109" customFormat="1" ht="30" customHeight="1" x14ac:dyDescent="0.35">
      <c r="B138" s="151" t="s">
        <v>45</v>
      </c>
      <c r="C138" s="121"/>
      <c r="D138" s="162"/>
      <c r="E138" s="162"/>
      <c r="F138" s="162"/>
      <c r="G138" s="150">
        <f t="shared" si="39"/>
        <v>0</v>
      </c>
      <c r="H138" s="253"/>
      <c r="I138" s="162"/>
      <c r="J138" s="351"/>
      <c r="K138" s="352"/>
      <c r="L138" s="126"/>
      <c r="M138" s="120" t="s">
        <v>45</v>
      </c>
      <c r="N138" s="127"/>
      <c r="O138" s="419"/>
      <c r="P138" s="162"/>
      <c r="Q138" s="128"/>
      <c r="R138" s="129">
        <f t="shared" si="36"/>
        <v>0</v>
      </c>
      <c r="S138" s="413">
        <f t="shared" si="37"/>
        <v>0</v>
      </c>
      <c r="T138" s="105"/>
      <c r="U138" s="509"/>
      <c r="V138" s="364">
        <f t="shared" si="38"/>
        <v>0</v>
      </c>
      <c r="W138" s="125"/>
      <c r="X138" s="130"/>
    </row>
    <row r="139" spans="1:36" s="109" customFormat="1" ht="30" customHeight="1" x14ac:dyDescent="0.35">
      <c r="A139" s="137"/>
      <c r="B139" s="151" t="s">
        <v>46</v>
      </c>
      <c r="C139" s="363"/>
      <c r="D139" s="364"/>
      <c r="E139" s="364"/>
      <c r="F139" s="364"/>
      <c r="G139" s="150">
        <f t="shared" si="39"/>
        <v>0</v>
      </c>
      <c r="H139" s="365"/>
      <c r="I139" s="364"/>
      <c r="J139" s="351"/>
      <c r="K139" s="366"/>
      <c r="L139" s="126"/>
      <c r="M139" s="120" t="s">
        <v>46</v>
      </c>
      <c r="N139" s="132"/>
      <c r="O139" s="419"/>
      <c r="P139" s="162"/>
      <c r="Q139" s="136"/>
      <c r="R139" s="129">
        <f t="shared" si="36"/>
        <v>0</v>
      </c>
      <c r="S139" s="413">
        <f t="shared" si="37"/>
        <v>0</v>
      </c>
      <c r="T139" s="105"/>
      <c r="U139" s="509"/>
      <c r="V139" s="364">
        <f t="shared" si="38"/>
        <v>0</v>
      </c>
      <c r="W139" s="135"/>
      <c r="X139" s="130"/>
    </row>
    <row r="140" spans="1:36" s="137" customFormat="1" ht="30" customHeight="1" x14ac:dyDescent="0.35">
      <c r="B140" s="151" t="s">
        <v>47</v>
      </c>
      <c r="C140" s="363"/>
      <c r="D140" s="364"/>
      <c r="E140" s="364"/>
      <c r="F140" s="364"/>
      <c r="G140" s="150">
        <f t="shared" si="39"/>
        <v>0</v>
      </c>
      <c r="H140" s="365"/>
      <c r="I140" s="364"/>
      <c r="J140" s="351"/>
      <c r="K140" s="366"/>
      <c r="L140" s="126"/>
      <c r="M140" s="120" t="s">
        <v>47</v>
      </c>
      <c r="N140" s="132"/>
      <c r="O140" s="419"/>
      <c r="P140" s="162"/>
      <c r="Q140" s="136"/>
      <c r="R140" s="129">
        <f t="shared" si="36"/>
        <v>0</v>
      </c>
      <c r="S140" s="413">
        <f t="shared" si="37"/>
        <v>0</v>
      </c>
      <c r="T140" s="105"/>
      <c r="U140" s="509"/>
      <c r="V140" s="364">
        <f t="shared" si="38"/>
        <v>0</v>
      </c>
      <c r="W140" s="135"/>
      <c r="X140" s="130"/>
    </row>
    <row r="141" spans="1:36" s="137" customFormat="1" ht="30" customHeight="1" x14ac:dyDescent="0.35">
      <c r="A141" s="109"/>
      <c r="B141" s="367"/>
      <c r="C141" s="368" t="s">
        <v>24</v>
      </c>
      <c r="D141" s="369">
        <f>SUM(D126:D140)</f>
        <v>55800</v>
      </c>
      <c r="E141" s="369">
        <f>SUM(E129:E140)</f>
        <v>0</v>
      </c>
      <c r="F141" s="369">
        <f>SUM(F129:F140)</f>
        <v>0</v>
      </c>
      <c r="G141" s="251">
        <f>SUM(G126:G140)</f>
        <v>55800</v>
      </c>
      <c r="H141" s="251">
        <f>(H126*G126)+(H127*G127)+(H128*G128)+(H130*G130)+(H131*G131)+H132*G132</f>
        <v>26900</v>
      </c>
      <c r="I141" s="369">
        <f>SUM(I129:I140)</f>
        <v>0</v>
      </c>
      <c r="J141" s="370"/>
      <c r="K141" s="366"/>
      <c r="L141" s="142"/>
      <c r="M141" s="109"/>
      <c r="N141" s="139" t="s">
        <v>24</v>
      </c>
      <c r="O141" s="425">
        <f>SUM(O126:O140)</f>
        <v>40800</v>
      </c>
      <c r="P141" s="140">
        <f>SUM(P129:P140)</f>
        <v>0</v>
      </c>
      <c r="Q141" s="140">
        <f>SUM(Q129:Q140)</f>
        <v>0</v>
      </c>
      <c r="R141" s="145">
        <f>SUM(R126:R140)</f>
        <v>40800</v>
      </c>
      <c r="S141" s="413">
        <f t="shared" si="37"/>
        <v>-15000</v>
      </c>
      <c r="T141" s="140">
        <f>(T126*R126)+(T127*R127)+(T128*R128)+(T129*R129)+(T130*R130)+(T131*R131)+(T132*R132)+(T134*R134)+(T135*R135)+(T136*R136)+(T137*R137)+(T138*R138)+(T139*R139)+(T140*R140)</f>
        <v>19400</v>
      </c>
      <c r="U141" s="506">
        <f>SUM(U126:U140)</f>
        <v>40800</v>
      </c>
      <c r="V141" s="364">
        <f>SUM(V126:V140)</f>
        <v>19400</v>
      </c>
      <c r="W141" s="135"/>
      <c r="X141" s="130">
        <f t="shared" si="28"/>
        <v>0.73118279569892475</v>
      </c>
    </row>
    <row r="142" spans="1:36" s="109" customFormat="1" ht="30" customHeight="1" x14ac:dyDescent="0.35">
      <c r="B142" s="371" t="s">
        <v>48</v>
      </c>
      <c r="C142" s="604" t="s">
        <v>283</v>
      </c>
      <c r="D142" s="604"/>
      <c r="E142" s="604"/>
      <c r="F142" s="604"/>
      <c r="G142" s="604"/>
      <c r="H142" s="604"/>
      <c r="I142" s="605"/>
      <c r="J142" s="605"/>
      <c r="K142" s="604"/>
      <c r="L142" s="119"/>
      <c r="M142" s="116" t="s">
        <v>48</v>
      </c>
      <c r="N142" s="604" t="s">
        <v>283</v>
      </c>
      <c r="O142" s="604"/>
      <c r="P142" s="604"/>
      <c r="Q142" s="604"/>
      <c r="R142" s="604"/>
      <c r="S142" s="604"/>
      <c r="T142" s="605"/>
      <c r="U142" s="605"/>
      <c r="V142" s="604"/>
      <c r="W142" s="604"/>
      <c r="X142" s="604"/>
    </row>
    <row r="143" spans="1:36" s="109" customFormat="1" ht="30" customHeight="1" x14ac:dyDescent="0.35">
      <c r="B143" s="619" t="s">
        <v>284</v>
      </c>
      <c r="C143" s="104" t="s">
        <v>285</v>
      </c>
      <c r="D143" s="348">
        <v>10000</v>
      </c>
      <c r="E143" s="364"/>
      <c r="F143" s="364"/>
      <c r="G143" s="150">
        <f>SUM(D143:F143)</f>
        <v>10000</v>
      </c>
      <c r="H143" s="253">
        <v>0.5</v>
      </c>
      <c r="I143" s="373"/>
      <c r="J143" s="373"/>
      <c r="K143" s="363"/>
      <c r="L143" s="119"/>
      <c r="M143" s="622" t="s">
        <v>284</v>
      </c>
      <c r="N143" s="104" t="s">
        <v>285</v>
      </c>
      <c r="O143" s="422">
        <v>10000</v>
      </c>
      <c r="P143" s="394"/>
      <c r="Q143" s="394"/>
      <c r="R143" s="129">
        <f>+O143+P143+Q143</f>
        <v>10000</v>
      </c>
      <c r="S143" s="413">
        <f t="shared" ref="S143:S161" si="40">+R143-G143</f>
        <v>0</v>
      </c>
      <c r="T143" s="253">
        <v>0.5</v>
      </c>
      <c r="U143" s="514">
        <v>10000</v>
      </c>
      <c r="V143" s="535">
        <f>U143*T143</f>
        <v>5000</v>
      </c>
      <c r="W143" s="394"/>
      <c r="X143" s="212"/>
      <c r="Y143" s="137"/>
      <c r="Z143" s="137"/>
      <c r="AA143" s="137"/>
      <c r="AB143" s="137"/>
      <c r="AC143" s="137"/>
      <c r="AD143" s="137"/>
      <c r="AE143" s="137"/>
      <c r="AF143" s="137"/>
      <c r="AG143" s="137"/>
      <c r="AH143" s="137"/>
      <c r="AI143" s="137"/>
      <c r="AJ143" s="137"/>
    </row>
    <row r="144" spans="1:36" s="109" customFormat="1" ht="30" customHeight="1" x14ac:dyDescent="0.35">
      <c r="B144" s="620"/>
      <c r="C144" s="104" t="s">
        <v>286</v>
      </c>
      <c r="D144" s="348">
        <v>20000</v>
      </c>
      <c r="E144" s="363"/>
      <c r="F144" s="363"/>
      <c r="G144" s="150">
        <f>SUM(D144:F144)</f>
        <v>20000</v>
      </c>
      <c r="H144" s="253">
        <v>0.5</v>
      </c>
      <c r="I144" s="373"/>
      <c r="J144" s="373"/>
      <c r="K144" s="363"/>
      <c r="L144" s="119"/>
      <c r="M144" s="623"/>
      <c r="N144" s="104" t="s">
        <v>286</v>
      </c>
      <c r="O144" s="422">
        <v>20000</v>
      </c>
      <c r="P144" s="394"/>
      <c r="Q144" s="394"/>
      <c r="R144" s="129">
        <f t="shared" ref="R144:R161" si="41">+O144+P144+Q144</f>
        <v>20000</v>
      </c>
      <c r="S144" s="413">
        <f t="shared" si="40"/>
        <v>0</v>
      </c>
      <c r="T144" s="253">
        <v>0.5</v>
      </c>
      <c r="U144" s="514">
        <v>20000</v>
      </c>
      <c r="V144" s="535">
        <f t="shared" ref="V144:V162" si="42">U144*T144</f>
        <v>10000</v>
      </c>
      <c r="W144" s="394"/>
      <c r="X144" s="212"/>
      <c r="Y144" s="137"/>
      <c r="Z144" s="137"/>
      <c r="AA144" s="137"/>
      <c r="AB144" s="137"/>
      <c r="AC144" s="137"/>
      <c r="AD144" s="137"/>
      <c r="AE144" s="137"/>
      <c r="AF144" s="137"/>
      <c r="AG144" s="137"/>
      <c r="AH144" s="137"/>
      <c r="AI144" s="137"/>
      <c r="AJ144" s="137"/>
    </row>
    <row r="145" spans="2:36" s="109" customFormat="1" ht="46.5" customHeight="1" x14ac:dyDescent="0.35">
      <c r="B145" s="620"/>
      <c r="C145" s="104" t="s">
        <v>287</v>
      </c>
      <c r="D145" s="348">
        <v>30000</v>
      </c>
      <c r="E145" s="363"/>
      <c r="F145" s="363"/>
      <c r="G145" s="150">
        <f>SUM(D145:F145)</f>
        <v>30000</v>
      </c>
      <c r="H145" s="253">
        <v>0.5</v>
      </c>
      <c r="I145" s="373"/>
      <c r="J145" s="373"/>
      <c r="K145" s="363"/>
      <c r="L145" s="119"/>
      <c r="M145" s="623"/>
      <c r="N145" s="104" t="s">
        <v>287</v>
      </c>
      <c r="O145" s="422">
        <v>30000</v>
      </c>
      <c r="P145" s="394"/>
      <c r="Q145" s="394"/>
      <c r="R145" s="129">
        <f t="shared" si="41"/>
        <v>30000</v>
      </c>
      <c r="S145" s="413">
        <f t="shared" si="40"/>
        <v>0</v>
      </c>
      <c r="T145" s="253">
        <v>0.5</v>
      </c>
      <c r="U145" s="514">
        <v>30000</v>
      </c>
      <c r="V145" s="535">
        <f t="shared" si="42"/>
        <v>15000</v>
      </c>
      <c r="W145" s="394"/>
      <c r="X145" s="212"/>
      <c r="Y145" s="137"/>
      <c r="Z145" s="137"/>
      <c r="AA145" s="137"/>
      <c r="AB145" s="137"/>
      <c r="AC145" s="137"/>
      <c r="AD145" s="137"/>
      <c r="AE145" s="137"/>
      <c r="AF145" s="137"/>
      <c r="AG145" s="137"/>
      <c r="AH145" s="137"/>
      <c r="AI145" s="137"/>
      <c r="AJ145" s="137"/>
    </row>
    <row r="146" spans="2:36" s="109" customFormat="1" ht="43" customHeight="1" x14ac:dyDescent="0.35">
      <c r="B146" s="620"/>
      <c r="C146" s="104" t="s">
        <v>288</v>
      </c>
      <c r="D146" s="348">
        <v>50000</v>
      </c>
      <c r="E146" s="363"/>
      <c r="F146" s="363"/>
      <c r="G146" s="150">
        <f>SUM(D146:F146)</f>
        <v>50000</v>
      </c>
      <c r="H146" s="253">
        <v>0.5</v>
      </c>
      <c r="I146" s="373"/>
      <c r="J146" s="373"/>
      <c r="K146" s="363"/>
      <c r="L146" s="119"/>
      <c r="M146" s="623"/>
      <c r="N146" s="104" t="s">
        <v>288</v>
      </c>
      <c r="O146" s="424">
        <v>30000</v>
      </c>
      <c r="P146" s="394"/>
      <c r="Q146" s="394"/>
      <c r="R146" s="129">
        <f t="shared" si="41"/>
        <v>30000</v>
      </c>
      <c r="S146" s="413">
        <f t="shared" si="40"/>
        <v>-20000</v>
      </c>
      <c r="T146" s="253">
        <v>0.5</v>
      </c>
      <c r="U146" s="514">
        <v>30000</v>
      </c>
      <c r="V146" s="535">
        <f t="shared" si="42"/>
        <v>15000</v>
      </c>
      <c r="W146" s="394"/>
      <c r="X146" s="212"/>
      <c r="Y146" s="137"/>
      <c r="Z146" s="137"/>
      <c r="AA146" s="137"/>
      <c r="AB146" s="137"/>
      <c r="AC146" s="137"/>
      <c r="AD146" s="137"/>
      <c r="AE146" s="137"/>
      <c r="AF146" s="137"/>
      <c r="AG146" s="137"/>
      <c r="AH146" s="137"/>
      <c r="AI146" s="137"/>
      <c r="AJ146" s="137"/>
    </row>
    <row r="147" spans="2:36" s="109" customFormat="1" ht="66.5" customHeight="1" x14ac:dyDescent="0.35">
      <c r="B147" s="621"/>
      <c r="C147" s="104"/>
      <c r="D147" s="348"/>
      <c r="E147" s="363"/>
      <c r="F147" s="363"/>
      <c r="G147" s="150"/>
      <c r="H147" s="253"/>
      <c r="I147" s="373"/>
      <c r="J147" s="373"/>
      <c r="K147" s="363"/>
      <c r="L147" s="119"/>
      <c r="M147" s="624"/>
      <c r="N147" s="104"/>
      <c r="O147" s="422"/>
      <c r="P147" s="394"/>
      <c r="Q147" s="394"/>
      <c r="R147" s="129">
        <f t="shared" si="41"/>
        <v>0</v>
      </c>
      <c r="S147" s="413">
        <f t="shared" si="40"/>
        <v>0</v>
      </c>
      <c r="T147" s="253"/>
      <c r="U147" s="514"/>
      <c r="V147" s="535">
        <f t="shared" si="42"/>
        <v>0</v>
      </c>
      <c r="W147" s="394"/>
      <c r="X147" s="212"/>
      <c r="Y147" s="137"/>
      <c r="Z147" s="137"/>
      <c r="AA147" s="137"/>
      <c r="AB147" s="137"/>
      <c r="AC147" s="137"/>
      <c r="AD147" s="137"/>
      <c r="AE147" s="137"/>
      <c r="AF147" s="137"/>
      <c r="AG147" s="137"/>
      <c r="AH147" s="137"/>
      <c r="AI147" s="137"/>
      <c r="AJ147" s="137"/>
    </row>
    <row r="148" spans="2:36" s="109" customFormat="1" ht="38.5" customHeight="1" x14ac:dyDescent="0.35">
      <c r="B148" s="619" t="s">
        <v>289</v>
      </c>
      <c r="C148" s="104" t="s">
        <v>290</v>
      </c>
      <c r="D148" s="348">
        <v>10000</v>
      </c>
      <c r="E148" s="348"/>
      <c r="F148" s="348"/>
      <c r="G148" s="150">
        <f>SUM(D148:F148)</f>
        <v>10000</v>
      </c>
      <c r="H148" s="253">
        <v>0.5</v>
      </c>
      <c r="I148" s="348"/>
      <c r="J148" s="351"/>
      <c r="K148" s="352"/>
      <c r="L148" s="126"/>
      <c r="M148" s="622" t="s">
        <v>289</v>
      </c>
      <c r="N148" s="104" t="s">
        <v>290</v>
      </c>
      <c r="O148" s="422">
        <v>10000</v>
      </c>
      <c r="P148" s="128"/>
      <c r="Q148" s="128"/>
      <c r="R148" s="129">
        <f t="shared" si="41"/>
        <v>10000</v>
      </c>
      <c r="S148" s="413">
        <f t="shared" si="40"/>
        <v>0</v>
      </c>
      <c r="T148" s="253">
        <v>0.5</v>
      </c>
      <c r="U148" s="514">
        <v>10000</v>
      </c>
      <c r="V148" s="535">
        <f t="shared" si="42"/>
        <v>5000</v>
      </c>
      <c r="W148" s="125"/>
      <c r="X148" s="130">
        <f>IFERROR(R148/G148,"")</f>
        <v>1</v>
      </c>
    </row>
    <row r="149" spans="2:36" s="109" customFormat="1" ht="28.5" customHeight="1" x14ac:dyDescent="0.35">
      <c r="B149" s="620"/>
      <c r="C149" s="104" t="s">
        <v>291</v>
      </c>
      <c r="D149" s="348">
        <v>40000</v>
      </c>
      <c r="E149" s="348"/>
      <c r="F149" s="348"/>
      <c r="G149" s="150">
        <f>SUM(D149:F149)</f>
        <v>40000</v>
      </c>
      <c r="H149" s="253">
        <v>0.5</v>
      </c>
      <c r="I149" s="348"/>
      <c r="J149" s="351"/>
      <c r="K149" s="352"/>
      <c r="L149" s="126"/>
      <c r="M149" s="623"/>
      <c r="N149" s="104" t="s">
        <v>291</v>
      </c>
      <c r="O149" s="424">
        <v>30000</v>
      </c>
      <c r="P149" s="128"/>
      <c r="Q149" s="128"/>
      <c r="R149" s="129">
        <f t="shared" si="41"/>
        <v>30000</v>
      </c>
      <c r="S149" s="413">
        <f t="shared" si="40"/>
        <v>-10000</v>
      </c>
      <c r="T149" s="253">
        <v>0.5</v>
      </c>
      <c r="U149" s="514">
        <v>30000</v>
      </c>
      <c r="V149" s="535">
        <f t="shared" si="42"/>
        <v>15000</v>
      </c>
      <c r="W149" s="125"/>
      <c r="X149" s="130"/>
    </row>
    <row r="150" spans="2:36" s="109" customFormat="1" ht="29" customHeight="1" x14ac:dyDescent="0.35">
      <c r="B150" s="620"/>
      <c r="C150" s="104"/>
      <c r="D150" s="348"/>
      <c r="E150" s="348"/>
      <c r="F150" s="348"/>
      <c r="G150" s="150"/>
      <c r="H150" s="253"/>
      <c r="I150" s="348"/>
      <c r="J150" s="351"/>
      <c r="K150" s="352"/>
      <c r="L150" s="126"/>
      <c r="M150" s="623"/>
      <c r="N150" s="104"/>
      <c r="O150" s="422"/>
      <c r="P150" s="128"/>
      <c r="Q150" s="128"/>
      <c r="R150" s="129">
        <f t="shared" si="41"/>
        <v>0</v>
      </c>
      <c r="S150" s="413">
        <f t="shared" si="40"/>
        <v>0</v>
      </c>
      <c r="T150" s="253"/>
      <c r="U150" s="514"/>
      <c r="V150" s="535">
        <f t="shared" si="42"/>
        <v>0</v>
      </c>
      <c r="W150" s="125"/>
      <c r="X150" s="130"/>
    </row>
    <row r="151" spans="2:36" s="109" customFormat="1" ht="44" customHeight="1" x14ac:dyDescent="0.35">
      <c r="B151" s="620"/>
      <c r="C151" s="104"/>
      <c r="D151" s="348"/>
      <c r="E151" s="348"/>
      <c r="F151" s="348"/>
      <c r="G151" s="150"/>
      <c r="H151" s="253"/>
      <c r="I151" s="348"/>
      <c r="J151" s="351"/>
      <c r="K151" s="352"/>
      <c r="L151" s="126"/>
      <c r="M151" s="623"/>
      <c r="N151" s="104"/>
      <c r="O151" s="422"/>
      <c r="P151" s="128"/>
      <c r="Q151" s="128"/>
      <c r="R151" s="129">
        <f t="shared" si="41"/>
        <v>0</v>
      </c>
      <c r="S151" s="413">
        <f t="shared" si="40"/>
        <v>0</v>
      </c>
      <c r="T151" s="253"/>
      <c r="U151" s="514"/>
      <c r="V151" s="535">
        <f t="shared" si="42"/>
        <v>0</v>
      </c>
      <c r="W151" s="125"/>
      <c r="X151" s="130"/>
    </row>
    <row r="152" spans="2:36" s="109" customFormat="1" ht="44.5" customHeight="1" x14ac:dyDescent="0.35">
      <c r="B152" s="621"/>
      <c r="C152" s="104"/>
      <c r="D152" s="348"/>
      <c r="E152" s="348"/>
      <c r="F152" s="348"/>
      <c r="G152" s="150"/>
      <c r="H152" s="253"/>
      <c r="I152" s="348"/>
      <c r="J152" s="351"/>
      <c r="K152" s="352"/>
      <c r="L152" s="126"/>
      <c r="M152" s="624"/>
      <c r="N152" s="104"/>
      <c r="O152" s="422"/>
      <c r="P152" s="128"/>
      <c r="Q152" s="128"/>
      <c r="R152" s="129">
        <f t="shared" si="41"/>
        <v>0</v>
      </c>
      <c r="S152" s="413">
        <f t="shared" si="40"/>
        <v>0</v>
      </c>
      <c r="T152" s="253"/>
      <c r="U152" s="514"/>
      <c r="V152" s="535">
        <f t="shared" si="42"/>
        <v>0</v>
      </c>
      <c r="W152" s="125"/>
      <c r="X152" s="130" t="str">
        <f t="shared" ref="X152:X189" si="43">IFERROR(R152/G152,"")</f>
        <v/>
      </c>
    </row>
    <row r="153" spans="2:36" s="109" customFormat="1" ht="34.5" customHeight="1" x14ac:dyDescent="0.35">
      <c r="B153" s="619" t="s">
        <v>292</v>
      </c>
      <c r="C153" s="104" t="s">
        <v>293</v>
      </c>
      <c r="D153" s="348">
        <v>60000</v>
      </c>
      <c r="E153" s="348"/>
      <c r="F153" s="348"/>
      <c r="G153" s="150">
        <f>SUM(D153:F153)</f>
        <v>60000</v>
      </c>
      <c r="H153" s="253">
        <v>0.5</v>
      </c>
      <c r="I153" s="348"/>
      <c r="J153" s="351"/>
      <c r="K153" s="352"/>
      <c r="L153" s="126"/>
      <c r="M153" s="622" t="s">
        <v>292</v>
      </c>
      <c r="N153" s="104" t="s">
        <v>293</v>
      </c>
      <c r="O153" s="424">
        <v>15000</v>
      </c>
      <c r="P153" s="128"/>
      <c r="Q153" s="128"/>
      <c r="R153" s="129">
        <f t="shared" si="41"/>
        <v>15000</v>
      </c>
      <c r="S153" s="413">
        <f t="shared" si="40"/>
        <v>-45000</v>
      </c>
      <c r="T153" s="253">
        <v>0.5</v>
      </c>
      <c r="U153" s="514">
        <v>15000</v>
      </c>
      <c r="V153" s="535">
        <f t="shared" si="42"/>
        <v>7500</v>
      </c>
      <c r="W153" s="125"/>
      <c r="X153" s="130"/>
    </row>
    <row r="154" spans="2:36" s="109" customFormat="1" ht="44" customHeight="1" x14ac:dyDescent="0.35">
      <c r="B154" s="620"/>
      <c r="C154" s="104" t="s">
        <v>294</v>
      </c>
      <c r="D154" s="348">
        <v>40000</v>
      </c>
      <c r="E154" s="348"/>
      <c r="F154" s="348"/>
      <c r="G154" s="150">
        <f>SUM(D154:F154)</f>
        <v>40000</v>
      </c>
      <c r="H154" s="253">
        <v>0.5</v>
      </c>
      <c r="I154" s="348"/>
      <c r="J154" s="351"/>
      <c r="K154" s="352"/>
      <c r="L154" s="126"/>
      <c r="M154" s="623"/>
      <c r="N154" s="104" t="s">
        <v>294</v>
      </c>
      <c r="O154" s="424">
        <v>30000</v>
      </c>
      <c r="P154" s="128"/>
      <c r="Q154" s="128"/>
      <c r="R154" s="129">
        <f t="shared" si="41"/>
        <v>30000</v>
      </c>
      <c r="S154" s="413">
        <f t="shared" si="40"/>
        <v>-10000</v>
      </c>
      <c r="T154" s="253">
        <v>0.5</v>
      </c>
      <c r="U154" s="514">
        <v>30000</v>
      </c>
      <c r="V154" s="535">
        <f t="shared" si="42"/>
        <v>15000</v>
      </c>
      <c r="W154" s="125"/>
      <c r="X154" s="130"/>
    </row>
    <row r="155" spans="2:36" s="109" customFormat="1" ht="63.5" customHeight="1" x14ac:dyDescent="0.35">
      <c r="B155" s="620"/>
      <c r="C155" s="104" t="s">
        <v>295</v>
      </c>
      <c r="D155" s="348">
        <v>50000</v>
      </c>
      <c r="E155" s="348"/>
      <c r="F155" s="348"/>
      <c r="G155" s="150">
        <f>SUM(D155:F155)</f>
        <v>50000</v>
      </c>
      <c r="H155" s="253">
        <v>1</v>
      </c>
      <c r="I155" s="348"/>
      <c r="J155" s="351"/>
      <c r="K155" s="352"/>
      <c r="L155" s="126"/>
      <c r="M155" s="623"/>
      <c r="N155" s="104" t="s">
        <v>295</v>
      </c>
      <c r="O155" s="424">
        <v>30000</v>
      </c>
      <c r="P155" s="128"/>
      <c r="Q155" s="128"/>
      <c r="R155" s="129">
        <f t="shared" si="41"/>
        <v>30000</v>
      </c>
      <c r="S155" s="413">
        <f t="shared" si="40"/>
        <v>-20000</v>
      </c>
      <c r="T155" s="253">
        <v>1</v>
      </c>
      <c r="U155" s="514">
        <v>30000</v>
      </c>
      <c r="V155" s="535">
        <f t="shared" si="42"/>
        <v>30000</v>
      </c>
      <c r="W155" s="125"/>
      <c r="X155" s="130"/>
    </row>
    <row r="156" spans="2:36" s="109" customFormat="1" ht="31.5" customHeight="1" x14ac:dyDescent="0.35">
      <c r="B156" s="620"/>
      <c r="C156" s="104"/>
      <c r="D156" s="348"/>
      <c r="E156" s="348"/>
      <c r="F156" s="348"/>
      <c r="G156" s="150"/>
      <c r="H156" s="253"/>
      <c r="I156" s="348"/>
      <c r="J156" s="351"/>
      <c r="K156" s="352"/>
      <c r="L156" s="126"/>
      <c r="M156" s="623"/>
      <c r="N156" s="104"/>
      <c r="O156" s="422"/>
      <c r="P156" s="128"/>
      <c r="Q156" s="128"/>
      <c r="R156" s="129">
        <f t="shared" si="41"/>
        <v>0</v>
      </c>
      <c r="S156" s="413">
        <f t="shared" si="40"/>
        <v>0</v>
      </c>
      <c r="T156" s="253"/>
      <c r="U156" s="514"/>
      <c r="V156" s="535">
        <f t="shared" si="42"/>
        <v>0</v>
      </c>
      <c r="W156" s="125"/>
      <c r="X156" s="130"/>
    </row>
    <row r="157" spans="2:36" s="109" customFormat="1" ht="27.5" customHeight="1" x14ac:dyDescent="0.35">
      <c r="B157" s="621"/>
      <c r="C157" s="104"/>
      <c r="D157" s="348"/>
      <c r="E157" s="348"/>
      <c r="F157" s="348"/>
      <c r="G157" s="150"/>
      <c r="H157" s="253"/>
      <c r="I157" s="348"/>
      <c r="J157" s="351"/>
      <c r="K157" s="352"/>
      <c r="L157" s="126"/>
      <c r="M157" s="624"/>
      <c r="N157" s="104"/>
      <c r="O157" s="422"/>
      <c r="P157" s="128"/>
      <c r="Q157" s="128"/>
      <c r="R157" s="129">
        <f t="shared" si="41"/>
        <v>0</v>
      </c>
      <c r="S157" s="413">
        <f t="shared" si="40"/>
        <v>0</v>
      </c>
      <c r="T157" s="253"/>
      <c r="U157" s="514"/>
      <c r="V157" s="535">
        <f t="shared" si="42"/>
        <v>0</v>
      </c>
      <c r="W157" s="125"/>
      <c r="X157" s="130" t="str">
        <f t="shared" si="43"/>
        <v/>
      </c>
    </row>
    <row r="158" spans="2:36" s="109" customFormat="1" ht="48.9" customHeight="1" x14ac:dyDescent="0.35">
      <c r="B158" s="151" t="s">
        <v>49</v>
      </c>
      <c r="C158" s="121"/>
      <c r="D158" s="348"/>
      <c r="E158" s="348"/>
      <c r="F158" s="348"/>
      <c r="G158" s="150"/>
      <c r="H158" s="253"/>
      <c r="I158" s="374"/>
      <c r="J158" s="351"/>
      <c r="K158" s="352"/>
      <c r="L158" s="126"/>
      <c r="M158" s="151" t="s">
        <v>49</v>
      </c>
      <c r="N158" s="104"/>
      <c r="O158" s="422"/>
      <c r="P158" s="128"/>
      <c r="Q158" s="128"/>
      <c r="R158" s="129">
        <f t="shared" si="41"/>
        <v>0</v>
      </c>
      <c r="S158" s="413">
        <f t="shared" si="40"/>
        <v>0</v>
      </c>
      <c r="T158" s="253"/>
      <c r="U158" s="514"/>
      <c r="V158" s="535">
        <f t="shared" si="42"/>
        <v>0</v>
      </c>
      <c r="W158" s="125"/>
      <c r="X158" s="130" t="str">
        <f t="shared" si="43"/>
        <v/>
      </c>
    </row>
    <row r="159" spans="2:36" s="109" customFormat="1" ht="15.65" customHeight="1" x14ac:dyDescent="0.35">
      <c r="B159" s="151" t="s">
        <v>50</v>
      </c>
      <c r="C159" s="121"/>
      <c r="D159" s="348"/>
      <c r="E159" s="162"/>
      <c r="F159" s="162"/>
      <c r="G159" s="150"/>
      <c r="H159" s="253"/>
      <c r="I159" s="162"/>
      <c r="J159" s="351"/>
      <c r="K159" s="352"/>
      <c r="L159" s="126"/>
      <c r="M159" s="151" t="s">
        <v>50</v>
      </c>
      <c r="N159" s="121"/>
      <c r="O159" s="422"/>
      <c r="P159" s="128"/>
      <c r="Q159" s="128"/>
      <c r="R159" s="129">
        <f t="shared" si="41"/>
        <v>0</v>
      </c>
      <c r="S159" s="413">
        <f t="shared" si="40"/>
        <v>0</v>
      </c>
      <c r="T159" s="253"/>
      <c r="U159" s="514"/>
      <c r="V159" s="535">
        <f t="shared" si="42"/>
        <v>0</v>
      </c>
      <c r="W159" s="125"/>
      <c r="X159" s="130" t="str">
        <f t="shared" si="43"/>
        <v/>
      </c>
    </row>
    <row r="160" spans="2:36" s="109" customFormat="1" ht="15.9" customHeight="1" x14ac:dyDescent="0.35">
      <c r="B160" s="151" t="s">
        <v>51</v>
      </c>
      <c r="C160" s="121"/>
      <c r="D160" s="348"/>
      <c r="E160" s="162"/>
      <c r="F160" s="162"/>
      <c r="G160" s="150"/>
      <c r="H160" s="253"/>
      <c r="I160" s="162"/>
      <c r="J160" s="351"/>
      <c r="K160" s="352"/>
      <c r="L160" s="126"/>
      <c r="M160" s="151" t="s">
        <v>51</v>
      </c>
      <c r="N160" s="121"/>
      <c r="O160" s="422"/>
      <c r="P160" s="128"/>
      <c r="Q160" s="128"/>
      <c r="R160" s="129">
        <f t="shared" si="41"/>
        <v>0</v>
      </c>
      <c r="S160" s="413">
        <f t="shared" si="40"/>
        <v>0</v>
      </c>
      <c r="T160" s="253"/>
      <c r="U160" s="514"/>
      <c r="V160" s="535">
        <f t="shared" si="42"/>
        <v>0</v>
      </c>
      <c r="W160" s="125"/>
      <c r="X160" s="130" t="str">
        <f t="shared" si="43"/>
        <v/>
      </c>
    </row>
    <row r="161" spans="1:24" s="109" customFormat="1" ht="18.649999999999999" customHeight="1" x14ac:dyDescent="0.35">
      <c r="B161" s="151" t="s">
        <v>52</v>
      </c>
      <c r="C161" s="121"/>
      <c r="D161" s="348"/>
      <c r="E161" s="364"/>
      <c r="F161" s="364"/>
      <c r="G161" s="150"/>
      <c r="H161" s="253"/>
      <c r="I161" s="364"/>
      <c r="J161" s="351"/>
      <c r="K161" s="366"/>
      <c r="L161" s="126"/>
      <c r="M161" s="151" t="s">
        <v>52</v>
      </c>
      <c r="N161" s="121"/>
      <c r="O161" s="422"/>
      <c r="P161" s="136"/>
      <c r="Q161" s="136"/>
      <c r="R161" s="129">
        <f t="shared" si="41"/>
        <v>0</v>
      </c>
      <c r="S161" s="413">
        <f t="shared" si="40"/>
        <v>0</v>
      </c>
      <c r="T161" s="253"/>
      <c r="U161" s="514"/>
      <c r="V161" s="535">
        <f t="shared" si="42"/>
        <v>0</v>
      </c>
      <c r="W161" s="135"/>
      <c r="X161" s="130" t="str">
        <f t="shared" si="43"/>
        <v/>
      </c>
    </row>
    <row r="162" spans="1:24" s="109" customFormat="1" ht="20.399999999999999" customHeight="1" x14ac:dyDescent="0.35">
      <c r="B162" s="151"/>
      <c r="C162" s="121"/>
      <c r="D162" s="364">
        <v>0</v>
      </c>
      <c r="E162" s="364"/>
      <c r="F162" s="364"/>
      <c r="G162" s="150">
        <f>SUM(D162:F162)</f>
        <v>0</v>
      </c>
      <c r="H162" s="253"/>
      <c r="I162" s="364"/>
      <c r="J162" s="351"/>
      <c r="K162" s="366"/>
      <c r="L162" s="126"/>
      <c r="M162" s="151" t="s">
        <v>53</v>
      </c>
      <c r="N162" s="121"/>
      <c r="O162" s="422"/>
      <c r="P162" s="136"/>
      <c r="Q162" s="136"/>
      <c r="R162" s="129">
        <f t="shared" ref="R162" si="44">SUM(O162:Q162)</f>
        <v>0</v>
      </c>
      <c r="S162" s="413">
        <f t="shared" ref="S162:S163" si="45">+R162-G162</f>
        <v>0</v>
      </c>
      <c r="T162" s="134"/>
      <c r="U162" s="514"/>
      <c r="V162" s="535">
        <f t="shared" si="42"/>
        <v>0</v>
      </c>
      <c r="W162" s="135"/>
      <c r="X162" s="130" t="str">
        <f t="shared" si="43"/>
        <v/>
      </c>
    </row>
    <row r="163" spans="1:24" s="109" customFormat="1" ht="30" customHeight="1" x14ac:dyDescent="0.35">
      <c r="B163" s="367"/>
      <c r="C163" s="368" t="s">
        <v>24</v>
      </c>
      <c r="D163" s="251">
        <f>SUM(D143:D162)</f>
        <v>310000</v>
      </c>
      <c r="E163" s="251">
        <f>SUM(E148:E162)</f>
        <v>0</v>
      </c>
      <c r="F163" s="251">
        <f>SUM(F148:F162)</f>
        <v>0</v>
      </c>
      <c r="G163" s="251">
        <f>SUM(G143:G162)</f>
        <v>310000</v>
      </c>
      <c r="H163" s="251">
        <f>(H143*G143)+(H144*G144)+(H145*G145)+(H146*G146)+(H148*G148)+(H149*G149)+(H152*G152)+(H153*G153)+(H154*G154)+(H155*G155)+(H157*G157)+(H158*G158)+(H159*G159)+(H160*G160)+(H161*G161)+(H162*G162)</f>
        <v>180000</v>
      </c>
      <c r="I163" s="369">
        <f>SUM(I148:I162)</f>
        <v>0</v>
      </c>
      <c r="J163" s="370"/>
      <c r="K163" s="366"/>
      <c r="L163" s="142"/>
      <c r="M163" s="367"/>
      <c r="N163" s="368" t="s">
        <v>24</v>
      </c>
      <c r="O163" s="428">
        <f>SUM(O143:O162)</f>
        <v>205000</v>
      </c>
      <c r="P163" s="145">
        <f>SUM(P148:P162)</f>
        <v>0</v>
      </c>
      <c r="Q163" s="145">
        <f>SUM(Q148:Q162)</f>
        <v>0</v>
      </c>
      <c r="R163" s="145">
        <f>SUM(R143:R162)</f>
        <v>205000</v>
      </c>
      <c r="S163" s="413">
        <f t="shared" si="45"/>
        <v>-105000</v>
      </c>
      <c r="T163" s="145">
        <f>(T143*R143)+(T144*R144)+(T145*R145)+(T146*R146)+(T147*R147)+(T148*R148)+(T149*R149)+(T150*R150)+(T151*R151)+(T152*R152)+(T153*R153)+(T154*R154)+(T155*R155)+(T157*R157)+(T158*R158)+(T159*R159)+(T160*R160)+(T161*R161)+(T162*R162)</f>
        <v>117500</v>
      </c>
      <c r="U163" s="511">
        <f>SUM(U143:U162)</f>
        <v>205000</v>
      </c>
      <c r="V163" s="542">
        <f>SUM(V143:V162)</f>
        <v>117500</v>
      </c>
      <c r="W163" s="135"/>
      <c r="X163" s="130">
        <f>IFERROR(R163/G163,"")</f>
        <v>0.66129032258064513</v>
      </c>
    </row>
    <row r="164" spans="1:24" s="344" customFormat="1" ht="30" customHeight="1" x14ac:dyDescent="0.35">
      <c r="B164" s="371" t="s">
        <v>54</v>
      </c>
      <c r="C164" s="558" t="s">
        <v>316</v>
      </c>
      <c r="D164" s="558"/>
      <c r="E164" s="558"/>
      <c r="F164" s="558"/>
      <c r="G164" s="558"/>
      <c r="H164" s="558"/>
      <c r="I164" s="559"/>
      <c r="J164" s="559"/>
      <c r="K164" s="558"/>
      <c r="L164" s="119"/>
      <c r="M164" s="116" t="s">
        <v>54</v>
      </c>
      <c r="N164" s="555" t="s">
        <v>316</v>
      </c>
      <c r="O164" s="556"/>
      <c r="P164" s="556"/>
      <c r="Q164" s="556"/>
      <c r="R164" s="556"/>
      <c r="S164" s="556"/>
      <c r="T164" s="556"/>
      <c r="U164" s="556"/>
      <c r="V164" s="556"/>
      <c r="W164" s="557"/>
      <c r="X164" s="405" t="str">
        <f t="shared" si="43"/>
        <v/>
      </c>
    </row>
    <row r="165" spans="1:24" s="109" customFormat="1" ht="61.5" customHeight="1" x14ac:dyDescent="0.35">
      <c r="B165" s="616" t="s">
        <v>296</v>
      </c>
      <c r="C165" s="104" t="s">
        <v>297</v>
      </c>
      <c r="D165" s="348">
        <v>115000</v>
      </c>
      <c r="E165" s="363"/>
      <c r="F165" s="363"/>
      <c r="G165" s="150">
        <f t="shared" ref="G165:G167" si="46">SUM(D165:F165)</f>
        <v>115000</v>
      </c>
      <c r="H165" s="253">
        <v>0.5</v>
      </c>
      <c r="I165" s="373"/>
      <c r="J165" s="373"/>
      <c r="K165" s="363"/>
      <c r="L165" s="119"/>
      <c r="M165" s="625" t="s">
        <v>296</v>
      </c>
      <c r="N165" s="104" t="s">
        <v>297</v>
      </c>
      <c r="O165" s="424">
        <v>50000</v>
      </c>
      <c r="P165" s="348"/>
      <c r="Q165" s="348"/>
      <c r="R165" s="129">
        <f t="shared" ref="R165:R167" si="47">SUM(O165:Q165)</f>
        <v>50000</v>
      </c>
      <c r="S165" s="413">
        <f>R165-G165</f>
        <v>-65000</v>
      </c>
      <c r="T165" s="253">
        <v>0.5</v>
      </c>
      <c r="U165" s="526">
        <v>50000</v>
      </c>
      <c r="V165" s="543">
        <f>U165*T165</f>
        <v>25000</v>
      </c>
      <c r="W165" s="132"/>
      <c r="X165" s="130"/>
    </row>
    <row r="166" spans="1:24" s="109" customFormat="1" ht="30" customHeight="1" x14ac:dyDescent="0.35">
      <c r="B166" s="617"/>
      <c r="C166" s="104"/>
      <c r="D166" s="364"/>
      <c r="E166" s="363"/>
      <c r="F166" s="363"/>
      <c r="G166" s="150">
        <f t="shared" si="46"/>
        <v>0</v>
      </c>
      <c r="H166" s="253"/>
      <c r="I166" s="373"/>
      <c r="J166" s="373"/>
      <c r="K166" s="363"/>
      <c r="L166" s="119"/>
      <c r="M166" s="626"/>
      <c r="N166" s="104"/>
      <c r="O166" s="424"/>
      <c r="P166" s="348"/>
      <c r="Q166" s="348"/>
      <c r="R166" s="129">
        <f t="shared" si="47"/>
        <v>0</v>
      </c>
      <c r="S166" s="413">
        <f t="shared" ref="S166:S187" si="48">R166-G166</f>
        <v>0</v>
      </c>
      <c r="T166" s="132"/>
      <c r="U166" s="526"/>
      <c r="V166" s="543">
        <f t="shared" ref="V166:V186" si="49">U166*T166</f>
        <v>0</v>
      </c>
      <c r="W166" s="132"/>
      <c r="X166" s="130"/>
    </row>
    <row r="167" spans="1:24" s="109" customFormat="1" ht="30" customHeight="1" x14ac:dyDescent="0.35">
      <c r="B167" s="617"/>
      <c r="C167" s="104"/>
      <c r="D167" s="363"/>
      <c r="E167" s="363"/>
      <c r="F167" s="363"/>
      <c r="G167" s="150">
        <f t="shared" si="46"/>
        <v>0</v>
      </c>
      <c r="H167" s="253"/>
      <c r="I167" s="373"/>
      <c r="J167" s="373"/>
      <c r="K167" s="363"/>
      <c r="L167" s="119"/>
      <c r="M167" s="626"/>
      <c r="N167" s="104"/>
      <c r="O167" s="424"/>
      <c r="P167" s="348"/>
      <c r="Q167" s="348"/>
      <c r="R167" s="129">
        <f t="shared" si="47"/>
        <v>0</v>
      </c>
      <c r="S167" s="413">
        <f t="shared" si="48"/>
        <v>0</v>
      </c>
      <c r="T167" s="132"/>
      <c r="U167" s="526"/>
      <c r="V167" s="543">
        <f t="shared" si="49"/>
        <v>0</v>
      </c>
      <c r="W167" s="132"/>
      <c r="X167" s="130"/>
    </row>
    <row r="168" spans="1:24" s="109" customFormat="1" ht="30" customHeight="1" x14ac:dyDescent="0.35">
      <c r="B168" s="617"/>
      <c r="C168" s="104"/>
      <c r="D168" s="162"/>
      <c r="E168" s="162"/>
      <c r="F168" s="162"/>
      <c r="G168" s="150">
        <f t="shared" ref="G168:G186" si="50">SUM(D168:F168)</f>
        <v>0</v>
      </c>
      <c r="H168" s="253"/>
      <c r="I168" s="162"/>
      <c r="J168" s="351"/>
      <c r="K168" s="352"/>
      <c r="L168" s="126"/>
      <c r="M168" s="626"/>
      <c r="N168" s="104"/>
      <c r="O168" s="424"/>
      <c r="P168" s="348"/>
      <c r="Q168" s="348"/>
      <c r="R168" s="129">
        <f>SUM(O168:Q168)</f>
        <v>0</v>
      </c>
      <c r="S168" s="413">
        <f t="shared" si="48"/>
        <v>0</v>
      </c>
      <c r="T168" s="123"/>
      <c r="U168" s="526"/>
      <c r="V168" s="543">
        <f t="shared" si="49"/>
        <v>0</v>
      </c>
      <c r="W168" s="125"/>
      <c r="X168" s="130" t="str">
        <f t="shared" si="43"/>
        <v/>
      </c>
    </row>
    <row r="169" spans="1:24" s="109" customFormat="1" ht="30" customHeight="1" x14ac:dyDescent="0.35">
      <c r="B169" s="618"/>
      <c r="C169" s="104"/>
      <c r="D169" s="162"/>
      <c r="E169" s="162"/>
      <c r="F169" s="162"/>
      <c r="G169" s="150">
        <f t="shared" si="50"/>
        <v>0</v>
      </c>
      <c r="H169" s="253"/>
      <c r="I169" s="162"/>
      <c r="J169" s="351"/>
      <c r="K169" s="352"/>
      <c r="L169" s="126"/>
      <c r="M169" s="627"/>
      <c r="N169" s="104"/>
      <c r="O169" s="424"/>
      <c r="P169" s="348"/>
      <c r="Q169" s="348"/>
      <c r="R169" s="129">
        <f t="shared" ref="R169:R171" si="51">SUM(O169:Q169)</f>
        <v>0</v>
      </c>
      <c r="S169" s="413">
        <f t="shared" si="48"/>
        <v>0</v>
      </c>
      <c r="T169" s="123"/>
      <c r="U169" s="526"/>
      <c r="V169" s="543">
        <f t="shared" si="49"/>
        <v>0</v>
      </c>
      <c r="W169" s="125"/>
      <c r="X169" s="130"/>
    </row>
    <row r="170" spans="1:24" s="109" customFormat="1" ht="35" customHeight="1" x14ac:dyDescent="0.35">
      <c r="B170" s="616" t="s">
        <v>298</v>
      </c>
      <c r="C170" s="104" t="s">
        <v>299</v>
      </c>
      <c r="D170" s="348">
        <v>60000</v>
      </c>
      <c r="E170" s="162"/>
      <c r="F170" s="162"/>
      <c r="G170" s="150">
        <f t="shared" si="50"/>
        <v>60000</v>
      </c>
      <c r="H170" s="253">
        <v>1</v>
      </c>
      <c r="I170" s="162"/>
      <c r="J170" s="351"/>
      <c r="K170" s="352"/>
      <c r="L170" s="126"/>
      <c r="M170" s="625" t="s">
        <v>298</v>
      </c>
      <c r="N170" s="104" t="s">
        <v>299</v>
      </c>
      <c r="O170" s="424">
        <v>30000</v>
      </c>
      <c r="P170" s="348"/>
      <c r="Q170" s="348"/>
      <c r="R170" s="129">
        <f t="shared" si="51"/>
        <v>30000</v>
      </c>
      <c r="S170" s="413">
        <f t="shared" si="48"/>
        <v>-30000</v>
      </c>
      <c r="T170" s="123">
        <v>0.5</v>
      </c>
      <c r="U170" s="526">
        <v>30000</v>
      </c>
      <c r="V170" s="543">
        <f t="shared" si="49"/>
        <v>15000</v>
      </c>
      <c r="W170" s="125"/>
      <c r="X170" s="130"/>
    </row>
    <row r="171" spans="1:24" s="109" customFormat="1" ht="30" customHeight="1" x14ac:dyDescent="0.35">
      <c r="B171" s="617"/>
      <c r="C171" s="104"/>
      <c r="D171" s="162"/>
      <c r="E171" s="162"/>
      <c r="F171" s="162"/>
      <c r="G171" s="150">
        <f t="shared" si="50"/>
        <v>0</v>
      </c>
      <c r="H171" s="253"/>
      <c r="I171" s="162"/>
      <c r="J171" s="351"/>
      <c r="K171" s="352"/>
      <c r="L171" s="126"/>
      <c r="M171" s="626"/>
      <c r="N171" s="104"/>
      <c r="O171" s="422"/>
      <c r="P171" s="348"/>
      <c r="Q171" s="348"/>
      <c r="R171" s="129">
        <f t="shared" si="51"/>
        <v>0</v>
      </c>
      <c r="S171" s="413">
        <f t="shared" si="48"/>
        <v>0</v>
      </c>
      <c r="T171" s="123"/>
      <c r="U171" s="526"/>
      <c r="V171" s="543">
        <f t="shared" si="49"/>
        <v>0</v>
      </c>
      <c r="W171" s="125"/>
      <c r="X171" s="130"/>
    </row>
    <row r="172" spans="1:24" s="109" customFormat="1" ht="30" customHeight="1" x14ac:dyDescent="0.35">
      <c r="B172" s="617"/>
      <c r="C172" s="104"/>
      <c r="D172" s="162"/>
      <c r="E172" s="162"/>
      <c r="F172" s="162"/>
      <c r="G172" s="150">
        <f t="shared" si="50"/>
        <v>0</v>
      </c>
      <c r="H172" s="253"/>
      <c r="I172" s="162"/>
      <c r="J172" s="351"/>
      <c r="K172" s="352"/>
      <c r="L172" s="126"/>
      <c r="M172" s="626"/>
      <c r="N172" s="104"/>
      <c r="O172" s="422"/>
      <c r="P172" s="348"/>
      <c r="Q172" s="348"/>
      <c r="R172" s="129">
        <f t="shared" ref="R172:R186" si="52">SUM(O172:Q172)</f>
        <v>0</v>
      </c>
      <c r="S172" s="413">
        <f t="shared" si="48"/>
        <v>0</v>
      </c>
      <c r="T172" s="123"/>
      <c r="U172" s="526"/>
      <c r="V172" s="543">
        <f t="shared" si="49"/>
        <v>0</v>
      </c>
      <c r="W172" s="125"/>
      <c r="X172" s="130" t="str">
        <f t="shared" si="43"/>
        <v/>
      </c>
    </row>
    <row r="173" spans="1:24" s="109" customFormat="1" ht="30" customHeight="1" x14ac:dyDescent="0.35">
      <c r="B173" s="617"/>
      <c r="C173" s="104"/>
      <c r="D173" s="162"/>
      <c r="E173" s="162"/>
      <c r="F173" s="162"/>
      <c r="G173" s="150">
        <f t="shared" si="50"/>
        <v>0</v>
      </c>
      <c r="H173" s="253"/>
      <c r="I173" s="162"/>
      <c r="J173" s="351"/>
      <c r="K173" s="352"/>
      <c r="L173" s="126"/>
      <c r="M173" s="626"/>
      <c r="N173" s="104"/>
      <c r="O173" s="422"/>
      <c r="P173" s="348"/>
      <c r="Q173" s="348"/>
      <c r="R173" s="129">
        <f t="shared" si="52"/>
        <v>0</v>
      </c>
      <c r="S173" s="413">
        <f t="shared" si="48"/>
        <v>0</v>
      </c>
      <c r="T173" s="123"/>
      <c r="U173" s="526"/>
      <c r="V173" s="543">
        <f t="shared" si="49"/>
        <v>0</v>
      </c>
      <c r="W173" s="125"/>
      <c r="X173" s="130" t="str">
        <f t="shared" si="43"/>
        <v/>
      </c>
    </row>
    <row r="174" spans="1:24" s="109" customFormat="1" ht="30" customHeight="1" x14ac:dyDescent="0.35">
      <c r="A174" s="137"/>
      <c r="B174" s="618"/>
      <c r="C174" s="104"/>
      <c r="D174" s="162"/>
      <c r="E174" s="162"/>
      <c r="F174" s="162"/>
      <c r="G174" s="150">
        <f t="shared" si="50"/>
        <v>0</v>
      </c>
      <c r="H174" s="253"/>
      <c r="I174" s="162"/>
      <c r="J174" s="351"/>
      <c r="K174" s="352"/>
      <c r="L174" s="126"/>
      <c r="M174" s="627"/>
      <c r="N174" s="104"/>
      <c r="O174" s="422"/>
      <c r="P174" s="348"/>
      <c r="Q174" s="348"/>
      <c r="R174" s="129">
        <f t="shared" si="52"/>
        <v>0</v>
      </c>
      <c r="S174" s="413">
        <f t="shared" si="48"/>
        <v>0</v>
      </c>
      <c r="T174" s="123"/>
      <c r="U174" s="526"/>
      <c r="V174" s="543">
        <f t="shared" si="49"/>
        <v>0</v>
      </c>
      <c r="W174" s="125"/>
      <c r="X174" s="130" t="str">
        <f t="shared" si="43"/>
        <v/>
      </c>
    </row>
    <row r="175" spans="1:24" s="109" customFormat="1" ht="30" customHeight="1" x14ac:dyDescent="0.35">
      <c r="A175" s="137"/>
      <c r="B175" s="384"/>
      <c r="C175" s="104"/>
      <c r="D175" s="162"/>
      <c r="E175" s="162"/>
      <c r="F175" s="162"/>
      <c r="G175" s="150"/>
      <c r="H175" s="253"/>
      <c r="I175" s="162"/>
      <c r="J175" s="351"/>
      <c r="K175" s="352"/>
      <c r="L175" s="126"/>
      <c r="M175" s="569" t="s">
        <v>383</v>
      </c>
      <c r="N175" s="108" t="s">
        <v>355</v>
      </c>
      <c r="O175" s="424">
        <v>10000</v>
      </c>
      <c r="P175" s="144"/>
      <c r="Q175" s="144"/>
      <c r="R175" s="148">
        <f t="shared" ref="R175" si="53">SUM(O175:Q175)</f>
        <v>10000</v>
      </c>
      <c r="S175" s="413">
        <f t="shared" si="48"/>
        <v>10000</v>
      </c>
      <c r="T175" s="346">
        <v>0.5</v>
      </c>
      <c r="U175" s="526">
        <v>10000</v>
      </c>
      <c r="V175" s="543">
        <f t="shared" si="49"/>
        <v>5000</v>
      </c>
      <c r="W175" s="125"/>
      <c r="X175" s="130"/>
    </row>
    <row r="176" spans="1:24" s="137" customFormat="1" ht="57.5" customHeight="1" x14ac:dyDescent="0.35">
      <c r="A176" s="109"/>
      <c r="B176" s="151" t="s">
        <v>55</v>
      </c>
      <c r="C176" s="121"/>
      <c r="D176" s="162"/>
      <c r="E176" s="162"/>
      <c r="F176" s="162"/>
      <c r="G176" s="150">
        <f t="shared" si="50"/>
        <v>0</v>
      </c>
      <c r="H176" s="253"/>
      <c r="I176" s="162"/>
      <c r="J176" s="351"/>
      <c r="K176" s="352"/>
      <c r="L176" s="126"/>
      <c r="M176" s="571"/>
      <c r="N176" s="147" t="s">
        <v>357</v>
      </c>
      <c r="O176" s="424">
        <v>15000</v>
      </c>
      <c r="P176" s="144"/>
      <c r="Q176" s="144"/>
      <c r="R176" s="148">
        <f t="shared" si="52"/>
        <v>15000</v>
      </c>
      <c r="S176" s="413">
        <f t="shared" si="48"/>
        <v>15000</v>
      </c>
      <c r="T176" s="346">
        <v>0.3</v>
      </c>
      <c r="U176" s="526">
        <v>15000</v>
      </c>
      <c r="V176" s="543">
        <f t="shared" si="49"/>
        <v>4500</v>
      </c>
      <c r="W176" s="161"/>
      <c r="X176" s="414" t="str">
        <f t="shared" si="43"/>
        <v/>
      </c>
    </row>
    <row r="177" spans="1:27" s="137" customFormat="1" ht="40" customHeight="1" x14ac:dyDescent="0.35">
      <c r="A177" s="109"/>
      <c r="B177" s="151"/>
      <c r="C177" s="121"/>
      <c r="D177" s="162"/>
      <c r="E177" s="162"/>
      <c r="F177" s="162"/>
      <c r="G177" s="150"/>
      <c r="H177" s="253"/>
      <c r="I177" s="162"/>
      <c r="J177" s="351"/>
      <c r="K177" s="352"/>
      <c r="L177" s="126"/>
      <c r="M177" s="569" t="s">
        <v>384</v>
      </c>
      <c r="N177" s="108" t="s">
        <v>355</v>
      </c>
      <c r="O177" s="424">
        <v>2500</v>
      </c>
      <c r="P177" s="144"/>
      <c r="Q177" s="144"/>
      <c r="R177" s="148">
        <f t="shared" ref="R177" si="54">SUM(O177:Q177)</f>
        <v>2500</v>
      </c>
      <c r="S177" s="413">
        <f t="shared" si="48"/>
        <v>2500</v>
      </c>
      <c r="T177" s="346">
        <v>0.5</v>
      </c>
      <c r="U177" s="526">
        <v>2500</v>
      </c>
      <c r="V177" s="543">
        <f t="shared" si="49"/>
        <v>1250</v>
      </c>
      <c r="W177" s="161"/>
      <c r="X177" s="414"/>
    </row>
    <row r="178" spans="1:27" s="109" customFormat="1" ht="35" customHeight="1" x14ac:dyDescent="0.35">
      <c r="B178" s="151" t="s">
        <v>56</v>
      </c>
      <c r="C178" s="121"/>
      <c r="D178" s="162"/>
      <c r="E178" s="162"/>
      <c r="F178" s="162"/>
      <c r="G178" s="150">
        <f t="shared" si="50"/>
        <v>0</v>
      </c>
      <c r="H178" s="253"/>
      <c r="I178" s="162"/>
      <c r="J178" s="351"/>
      <c r="K178" s="352"/>
      <c r="L178" s="126"/>
      <c r="M178" s="571"/>
      <c r="N178" s="147" t="s">
        <v>357</v>
      </c>
      <c r="O178" s="424">
        <v>7500</v>
      </c>
      <c r="P178" s="144"/>
      <c r="Q178" s="144"/>
      <c r="R178" s="148">
        <f t="shared" si="52"/>
        <v>7500</v>
      </c>
      <c r="S178" s="413">
        <f t="shared" si="48"/>
        <v>7500</v>
      </c>
      <c r="T178" s="346">
        <v>0.3</v>
      </c>
      <c r="U178" s="526">
        <v>7500</v>
      </c>
      <c r="V178" s="543">
        <f t="shared" si="49"/>
        <v>2250</v>
      </c>
      <c r="W178" s="161"/>
      <c r="X178" s="414" t="str">
        <f t="shared" si="43"/>
        <v/>
      </c>
    </row>
    <row r="179" spans="1:27" s="109" customFormat="1" ht="35" customHeight="1" x14ac:dyDescent="0.35">
      <c r="B179" s="151"/>
      <c r="C179" s="121"/>
      <c r="D179" s="162"/>
      <c r="E179" s="162"/>
      <c r="F179" s="162"/>
      <c r="G179" s="150"/>
      <c r="H179" s="253"/>
      <c r="I179" s="162"/>
      <c r="J179" s="351"/>
      <c r="K179" s="352"/>
      <c r="L179" s="126"/>
      <c r="M179" s="569" t="s">
        <v>385</v>
      </c>
      <c r="N179" s="147" t="s">
        <v>366</v>
      </c>
      <c r="O179" s="424">
        <v>0</v>
      </c>
      <c r="P179" s="144"/>
      <c r="Q179" s="144"/>
      <c r="R179" s="148">
        <f t="shared" si="52"/>
        <v>0</v>
      </c>
      <c r="S179" s="413">
        <f t="shared" si="48"/>
        <v>0</v>
      </c>
      <c r="T179" s="346">
        <v>0.5</v>
      </c>
      <c r="U179" s="526"/>
      <c r="V179" s="543">
        <f t="shared" si="49"/>
        <v>0</v>
      </c>
      <c r="W179" s="161"/>
      <c r="X179" s="414"/>
    </row>
    <row r="180" spans="1:27" s="109" customFormat="1" ht="57.5" customHeight="1" x14ac:dyDescent="0.35">
      <c r="B180" s="151" t="s">
        <v>57</v>
      </c>
      <c r="C180" s="363"/>
      <c r="D180" s="364"/>
      <c r="E180" s="364"/>
      <c r="F180" s="364"/>
      <c r="G180" s="150">
        <f t="shared" si="50"/>
        <v>0</v>
      </c>
      <c r="H180" s="365"/>
      <c r="I180" s="364"/>
      <c r="J180" s="351"/>
      <c r="K180" s="366"/>
      <c r="L180" s="126"/>
      <c r="M180" s="571"/>
      <c r="N180" s="149" t="s">
        <v>388</v>
      </c>
      <c r="O180" s="424">
        <v>0</v>
      </c>
      <c r="P180" s="144"/>
      <c r="Q180" s="144"/>
      <c r="R180" s="148">
        <f t="shared" si="52"/>
        <v>0</v>
      </c>
      <c r="S180" s="413">
        <f t="shared" si="48"/>
        <v>0</v>
      </c>
      <c r="T180" s="152">
        <v>0.3</v>
      </c>
      <c r="U180" s="526"/>
      <c r="V180" s="543">
        <f t="shared" si="49"/>
        <v>0</v>
      </c>
      <c r="W180" s="153"/>
      <c r="X180" s="414" t="str">
        <f t="shared" si="43"/>
        <v/>
      </c>
    </row>
    <row r="181" spans="1:27" s="109" customFormat="1" ht="57.5" customHeight="1" x14ac:dyDescent="0.35">
      <c r="B181" s="151"/>
      <c r="C181" s="363"/>
      <c r="D181" s="364"/>
      <c r="E181" s="364"/>
      <c r="F181" s="364"/>
      <c r="G181" s="150"/>
      <c r="H181" s="365"/>
      <c r="I181" s="364"/>
      <c r="J181" s="351"/>
      <c r="K181" s="366"/>
      <c r="L181" s="126"/>
      <c r="M181" s="569" t="s">
        <v>386</v>
      </c>
      <c r="N181" s="149" t="s">
        <v>355</v>
      </c>
      <c r="O181" s="424">
        <v>0</v>
      </c>
      <c r="P181" s="144"/>
      <c r="Q181" s="144"/>
      <c r="R181" s="148">
        <f t="shared" si="52"/>
        <v>0</v>
      </c>
      <c r="S181" s="413">
        <f t="shared" si="48"/>
        <v>0</v>
      </c>
      <c r="T181" s="152">
        <v>0.5</v>
      </c>
      <c r="U181" s="526"/>
      <c r="V181" s="543">
        <f t="shared" si="49"/>
        <v>0</v>
      </c>
      <c r="W181" s="153"/>
      <c r="X181" s="414"/>
    </row>
    <row r="182" spans="1:27" s="109" customFormat="1" ht="70" customHeight="1" x14ac:dyDescent="0.35">
      <c r="B182" s="151"/>
      <c r="C182" s="363"/>
      <c r="D182" s="364"/>
      <c r="E182" s="364"/>
      <c r="F182" s="364"/>
      <c r="G182" s="150"/>
      <c r="H182" s="365"/>
      <c r="I182" s="364"/>
      <c r="J182" s="351"/>
      <c r="K182" s="366"/>
      <c r="L182" s="126"/>
      <c r="M182" s="571"/>
      <c r="N182" s="149" t="s">
        <v>357</v>
      </c>
      <c r="O182" s="424">
        <v>0</v>
      </c>
      <c r="P182" s="144"/>
      <c r="Q182" s="144"/>
      <c r="R182" s="148">
        <f t="shared" ref="R182:R184" si="55">SUM(O182:Q182)</f>
        <v>0</v>
      </c>
      <c r="S182" s="413">
        <f t="shared" si="48"/>
        <v>0</v>
      </c>
      <c r="T182" s="152">
        <v>0.3</v>
      </c>
      <c r="U182" s="526"/>
      <c r="V182" s="543">
        <f t="shared" si="49"/>
        <v>0</v>
      </c>
      <c r="W182" s="153"/>
      <c r="X182" s="414"/>
    </row>
    <row r="183" spans="1:27" s="109" customFormat="1" ht="48.5" customHeight="1" x14ac:dyDescent="0.35">
      <c r="B183" s="151"/>
      <c r="C183" s="363"/>
      <c r="D183" s="364"/>
      <c r="E183" s="364"/>
      <c r="F183" s="364"/>
      <c r="G183" s="150"/>
      <c r="H183" s="365"/>
      <c r="I183" s="364"/>
      <c r="J183" s="351"/>
      <c r="K183" s="366"/>
      <c r="L183" s="126"/>
      <c r="M183" s="569" t="s">
        <v>387</v>
      </c>
      <c r="N183" s="149" t="s">
        <v>389</v>
      </c>
      <c r="O183" s="424">
        <v>20000</v>
      </c>
      <c r="P183" s="144"/>
      <c r="Q183" s="144"/>
      <c r="R183" s="148">
        <f t="shared" si="55"/>
        <v>20000</v>
      </c>
      <c r="S183" s="413">
        <f t="shared" si="48"/>
        <v>20000</v>
      </c>
      <c r="T183" s="152">
        <v>0.5</v>
      </c>
      <c r="U183" s="526">
        <v>20000</v>
      </c>
      <c r="V183" s="543">
        <f t="shared" si="49"/>
        <v>10000</v>
      </c>
      <c r="W183" s="153"/>
      <c r="X183" s="414"/>
    </row>
    <row r="184" spans="1:27" s="109" customFormat="1" ht="49" customHeight="1" x14ac:dyDescent="0.35">
      <c r="B184" s="151"/>
      <c r="C184" s="363"/>
      <c r="D184" s="364"/>
      <c r="E184" s="364"/>
      <c r="F184" s="364"/>
      <c r="G184" s="150"/>
      <c r="H184" s="365"/>
      <c r="I184" s="364"/>
      <c r="J184" s="351"/>
      <c r="K184" s="366"/>
      <c r="L184" s="126"/>
      <c r="M184" s="571"/>
      <c r="N184" s="149" t="s">
        <v>357</v>
      </c>
      <c r="O184" s="424">
        <v>25000</v>
      </c>
      <c r="P184" s="144"/>
      <c r="Q184" s="144"/>
      <c r="R184" s="148">
        <f t="shared" si="55"/>
        <v>25000</v>
      </c>
      <c r="S184" s="413">
        <f t="shared" si="48"/>
        <v>25000</v>
      </c>
      <c r="T184" s="152">
        <v>0.3</v>
      </c>
      <c r="U184" s="526">
        <v>25000</v>
      </c>
      <c r="V184" s="543">
        <f t="shared" si="49"/>
        <v>7500</v>
      </c>
      <c r="W184" s="153"/>
      <c r="X184" s="414"/>
      <c r="AA184" s="545">
        <f>V187+V163+V141+V122+V69+V44+V25</f>
        <v>652510.69999999995</v>
      </c>
    </row>
    <row r="185" spans="1:27" s="109" customFormat="1" ht="30" customHeight="1" x14ac:dyDescent="0.35">
      <c r="B185" s="151"/>
      <c r="C185" s="363"/>
      <c r="D185" s="364"/>
      <c r="E185" s="364"/>
      <c r="F185" s="364"/>
      <c r="G185" s="150"/>
      <c r="H185" s="365"/>
      <c r="I185" s="364"/>
      <c r="J185" s="351"/>
      <c r="K185" s="366"/>
      <c r="L185" s="126"/>
      <c r="M185" s="159"/>
      <c r="N185" s="149"/>
      <c r="O185" s="424"/>
      <c r="P185" s="144"/>
      <c r="Q185" s="144"/>
      <c r="R185" s="148"/>
      <c r="S185" s="413">
        <f t="shared" si="48"/>
        <v>0</v>
      </c>
      <c r="T185" s="152"/>
      <c r="U185" s="526"/>
      <c r="V185" s="543">
        <f t="shared" si="49"/>
        <v>0</v>
      </c>
      <c r="W185" s="153"/>
      <c r="X185" s="414"/>
    </row>
    <row r="186" spans="1:27" s="109" customFormat="1" ht="30" customHeight="1" x14ac:dyDescent="0.35">
      <c r="B186" s="151" t="s">
        <v>58</v>
      </c>
      <c r="C186" s="363"/>
      <c r="D186" s="364"/>
      <c r="E186" s="364"/>
      <c r="F186" s="364"/>
      <c r="G186" s="150">
        <f t="shared" si="50"/>
        <v>0</v>
      </c>
      <c r="H186" s="365"/>
      <c r="I186" s="364"/>
      <c r="J186" s="351"/>
      <c r="K186" s="366"/>
      <c r="L186" s="126"/>
      <c r="M186" s="159" t="s">
        <v>58</v>
      </c>
      <c r="N186" s="149"/>
      <c r="O186" s="424"/>
      <c r="P186" s="144"/>
      <c r="Q186" s="144"/>
      <c r="R186" s="148">
        <f t="shared" si="52"/>
        <v>0</v>
      </c>
      <c r="S186" s="413">
        <f t="shared" si="48"/>
        <v>0</v>
      </c>
      <c r="T186" s="152"/>
      <c r="U186" s="526"/>
      <c r="V186" s="543">
        <f t="shared" si="49"/>
        <v>0</v>
      </c>
      <c r="W186" s="153"/>
      <c r="X186" s="414" t="str">
        <f t="shared" si="43"/>
        <v/>
      </c>
    </row>
    <row r="187" spans="1:27" s="109" customFormat="1" ht="30" customHeight="1" x14ac:dyDescent="0.35">
      <c r="B187" s="367"/>
      <c r="C187" s="368" t="s">
        <v>24</v>
      </c>
      <c r="D187" s="251">
        <f>SUM(D165:D186)</f>
        <v>175000</v>
      </c>
      <c r="E187" s="251">
        <f>SUM(E168:E186)</f>
        <v>0</v>
      </c>
      <c r="F187" s="251">
        <f>SUM(F168:F186)</f>
        <v>0</v>
      </c>
      <c r="G187" s="251">
        <f>SUM(G165:G186)</f>
        <v>175000</v>
      </c>
      <c r="H187" s="251">
        <f>(H165*G165)+(H168*G168)+(H170*G170)+(H172*G172)+(H173*G173)+(H174*G174)+(H176*G176)+(H178*G178)+(H180*G180)+(H186*G186)</f>
        <v>117500</v>
      </c>
      <c r="I187" s="369">
        <f>SUM(I168:I186)</f>
        <v>0</v>
      </c>
      <c r="J187" s="370"/>
      <c r="K187" s="366"/>
      <c r="L187" s="142"/>
      <c r="M187" s="415"/>
      <c r="N187" s="368" t="s">
        <v>24</v>
      </c>
      <c r="O187" s="428">
        <f>SUM(O165:O186)</f>
        <v>160000</v>
      </c>
      <c r="P187" s="251">
        <f>SUM(P168:P186)</f>
        <v>0</v>
      </c>
      <c r="Q187" s="251">
        <f>SUM(Q168:Q186)</f>
        <v>0</v>
      </c>
      <c r="R187" s="251">
        <f>SUM(R165:R186)</f>
        <v>160000</v>
      </c>
      <c r="S187" s="413">
        <f t="shared" si="48"/>
        <v>-15000</v>
      </c>
      <c r="T187" s="251">
        <v>70500</v>
      </c>
      <c r="U187" s="515">
        <f>SUM(U165:U186)</f>
        <v>160000</v>
      </c>
      <c r="V187" s="544">
        <f>SUM(V165:V186)</f>
        <v>70500</v>
      </c>
      <c r="W187" s="153"/>
      <c r="X187" s="414">
        <f t="shared" si="43"/>
        <v>0.91428571428571426</v>
      </c>
    </row>
    <row r="188" spans="1:27" s="109" customFormat="1" ht="30" hidden="1" customHeight="1" x14ac:dyDescent="0.35">
      <c r="B188" s="371" t="s">
        <v>59</v>
      </c>
      <c r="C188" s="604"/>
      <c r="D188" s="604"/>
      <c r="E188" s="604"/>
      <c r="F188" s="604"/>
      <c r="G188" s="604"/>
      <c r="H188" s="604"/>
      <c r="I188" s="605"/>
      <c r="J188" s="605"/>
      <c r="K188" s="604"/>
      <c r="L188" s="119"/>
      <c r="M188" s="116" t="s">
        <v>59</v>
      </c>
      <c r="N188" s="572"/>
      <c r="O188" s="573"/>
      <c r="P188" s="573"/>
      <c r="Q188" s="573"/>
      <c r="R188" s="573"/>
      <c r="S188" s="573"/>
      <c r="T188" s="573"/>
      <c r="U188" s="573"/>
      <c r="V188" s="573"/>
      <c r="W188" s="574"/>
      <c r="X188" s="130" t="str">
        <f t="shared" si="43"/>
        <v/>
      </c>
    </row>
    <row r="189" spans="1:27" s="109" customFormat="1" ht="30" hidden="1" customHeight="1" x14ac:dyDescent="0.35">
      <c r="B189" s="151" t="s">
        <v>60</v>
      </c>
      <c r="C189" s="121"/>
      <c r="D189" s="162"/>
      <c r="E189" s="162"/>
      <c r="F189" s="162"/>
      <c r="G189" s="150">
        <f t="shared" ref="G189:G196" si="56">SUM(D189:F189)</f>
        <v>0</v>
      </c>
      <c r="H189" s="253"/>
      <c r="I189" s="162"/>
      <c r="J189" s="351"/>
      <c r="K189" s="352"/>
      <c r="L189" s="126"/>
      <c r="M189" s="120" t="s">
        <v>60</v>
      </c>
      <c r="N189" s="127"/>
      <c r="O189" s="420"/>
      <c r="P189" s="128"/>
      <c r="Q189" s="128"/>
      <c r="R189" s="129">
        <f>SUM(O189:Q189)</f>
        <v>0</v>
      </c>
      <c r="S189" s="413">
        <f>+R189-G189</f>
        <v>0</v>
      </c>
      <c r="T189" s="123"/>
      <c r="U189" s="509"/>
      <c r="V189" s="378"/>
      <c r="W189" s="125"/>
      <c r="X189" s="130" t="str">
        <f t="shared" si="43"/>
        <v/>
      </c>
    </row>
    <row r="190" spans="1:27" s="109" customFormat="1" ht="30" hidden="1" customHeight="1" x14ac:dyDescent="0.35">
      <c r="B190" s="151" t="s">
        <v>61</v>
      </c>
      <c r="C190" s="121"/>
      <c r="D190" s="162"/>
      <c r="E190" s="162"/>
      <c r="F190" s="162"/>
      <c r="G190" s="150">
        <f t="shared" si="56"/>
        <v>0</v>
      </c>
      <c r="H190" s="253"/>
      <c r="I190" s="162"/>
      <c r="J190" s="351"/>
      <c r="K190" s="352"/>
      <c r="L190" s="126"/>
      <c r="M190" s="120" t="s">
        <v>61</v>
      </c>
      <c r="N190" s="127"/>
      <c r="O190" s="420"/>
      <c r="P190" s="128"/>
      <c r="Q190" s="128"/>
      <c r="R190" s="129">
        <f t="shared" ref="R190:R196" si="57">SUM(O190:Q190)</f>
        <v>0</v>
      </c>
      <c r="S190" s="413">
        <f t="shared" ref="S190:S197" si="58">+R190-G190</f>
        <v>0</v>
      </c>
      <c r="T190" s="123"/>
      <c r="U190" s="509"/>
      <c r="V190" s="378"/>
      <c r="W190" s="125"/>
      <c r="X190" s="118"/>
    </row>
    <row r="191" spans="1:27" s="109" customFormat="1" ht="30" hidden="1" customHeight="1" x14ac:dyDescent="0.35">
      <c r="B191" s="151" t="s">
        <v>62</v>
      </c>
      <c r="C191" s="121"/>
      <c r="D191" s="162"/>
      <c r="E191" s="162"/>
      <c r="F191" s="162"/>
      <c r="G191" s="150">
        <f t="shared" si="56"/>
        <v>0</v>
      </c>
      <c r="H191" s="253"/>
      <c r="I191" s="162"/>
      <c r="J191" s="351"/>
      <c r="K191" s="352"/>
      <c r="L191" s="126"/>
      <c r="M191" s="120" t="s">
        <v>62</v>
      </c>
      <c r="N191" s="127"/>
      <c r="O191" s="420"/>
      <c r="P191" s="128"/>
      <c r="Q191" s="128"/>
      <c r="R191" s="129">
        <f t="shared" si="57"/>
        <v>0</v>
      </c>
      <c r="S191" s="413">
        <f t="shared" si="58"/>
        <v>0</v>
      </c>
      <c r="T191" s="123"/>
      <c r="U191" s="509"/>
      <c r="V191" s="378"/>
      <c r="W191" s="125"/>
      <c r="X191" s="118"/>
    </row>
    <row r="192" spans="1:27" s="109" customFormat="1" ht="30" hidden="1" customHeight="1" x14ac:dyDescent="0.35">
      <c r="B192" s="151" t="s">
        <v>63</v>
      </c>
      <c r="C192" s="121"/>
      <c r="D192" s="162"/>
      <c r="E192" s="162"/>
      <c r="F192" s="162"/>
      <c r="G192" s="150">
        <f t="shared" si="56"/>
        <v>0</v>
      </c>
      <c r="H192" s="253"/>
      <c r="I192" s="162"/>
      <c r="J192" s="351"/>
      <c r="K192" s="352"/>
      <c r="L192" s="126"/>
      <c r="M192" s="120" t="s">
        <v>63</v>
      </c>
      <c r="N192" s="127"/>
      <c r="O192" s="420"/>
      <c r="P192" s="128"/>
      <c r="Q192" s="128"/>
      <c r="R192" s="129">
        <f t="shared" si="57"/>
        <v>0</v>
      </c>
      <c r="S192" s="413">
        <f t="shared" si="58"/>
        <v>0</v>
      </c>
      <c r="T192" s="123"/>
      <c r="U192" s="509"/>
      <c r="V192" s="378"/>
      <c r="W192" s="125"/>
      <c r="X192" s="118"/>
    </row>
    <row r="193" spans="2:24" s="109" customFormat="1" ht="30" hidden="1" customHeight="1" x14ac:dyDescent="0.35">
      <c r="B193" s="151" t="s">
        <v>64</v>
      </c>
      <c r="C193" s="121"/>
      <c r="D193" s="162"/>
      <c r="E193" s="162"/>
      <c r="F193" s="162"/>
      <c r="G193" s="150">
        <f t="shared" si="56"/>
        <v>0</v>
      </c>
      <c r="H193" s="253"/>
      <c r="I193" s="162"/>
      <c r="J193" s="351"/>
      <c r="K193" s="352"/>
      <c r="L193" s="126"/>
      <c r="M193" s="120" t="s">
        <v>64</v>
      </c>
      <c r="N193" s="127"/>
      <c r="O193" s="420"/>
      <c r="P193" s="128"/>
      <c r="Q193" s="128"/>
      <c r="R193" s="129">
        <f t="shared" si="57"/>
        <v>0</v>
      </c>
      <c r="S193" s="413">
        <f t="shared" si="58"/>
        <v>0</v>
      </c>
      <c r="T193" s="123"/>
      <c r="U193" s="509"/>
      <c r="V193" s="378"/>
      <c r="W193" s="125"/>
      <c r="X193" s="118"/>
    </row>
    <row r="194" spans="2:24" s="109" customFormat="1" ht="30" hidden="1" customHeight="1" x14ac:dyDescent="0.35">
      <c r="B194" s="151" t="s">
        <v>65</v>
      </c>
      <c r="C194" s="121"/>
      <c r="D194" s="162"/>
      <c r="E194" s="162"/>
      <c r="F194" s="162"/>
      <c r="G194" s="150">
        <f t="shared" si="56"/>
        <v>0</v>
      </c>
      <c r="H194" s="253"/>
      <c r="I194" s="162"/>
      <c r="J194" s="351"/>
      <c r="K194" s="352"/>
      <c r="L194" s="126"/>
      <c r="M194" s="120" t="s">
        <v>65</v>
      </c>
      <c r="N194" s="127"/>
      <c r="O194" s="420"/>
      <c r="P194" s="128"/>
      <c r="Q194" s="128"/>
      <c r="R194" s="129">
        <f t="shared" si="57"/>
        <v>0</v>
      </c>
      <c r="S194" s="413">
        <f t="shared" si="58"/>
        <v>0</v>
      </c>
      <c r="T194" s="123"/>
      <c r="U194" s="509"/>
      <c r="V194" s="378"/>
      <c r="W194" s="125"/>
      <c r="X194" s="118"/>
    </row>
    <row r="195" spans="2:24" s="109" customFormat="1" ht="30" hidden="1" customHeight="1" x14ac:dyDescent="0.35">
      <c r="B195" s="151" t="s">
        <v>66</v>
      </c>
      <c r="C195" s="363"/>
      <c r="D195" s="364"/>
      <c r="E195" s="364"/>
      <c r="F195" s="364"/>
      <c r="G195" s="150">
        <f t="shared" si="56"/>
        <v>0</v>
      </c>
      <c r="H195" s="365"/>
      <c r="I195" s="364"/>
      <c r="J195" s="351"/>
      <c r="K195" s="366"/>
      <c r="L195" s="126"/>
      <c r="M195" s="120" t="s">
        <v>66</v>
      </c>
      <c r="N195" s="132"/>
      <c r="O195" s="420"/>
      <c r="P195" s="136"/>
      <c r="Q195" s="136"/>
      <c r="R195" s="129">
        <f t="shared" si="57"/>
        <v>0</v>
      </c>
      <c r="S195" s="413">
        <f t="shared" si="58"/>
        <v>0</v>
      </c>
      <c r="T195" s="134"/>
      <c r="U195" s="509"/>
      <c r="V195" s="378"/>
      <c r="W195" s="135"/>
      <c r="X195" s="118"/>
    </row>
    <row r="196" spans="2:24" s="109" customFormat="1" ht="30" hidden="1" customHeight="1" x14ac:dyDescent="0.35">
      <c r="B196" s="151" t="s">
        <v>67</v>
      </c>
      <c r="C196" s="363"/>
      <c r="D196" s="364"/>
      <c r="E196" s="364"/>
      <c r="F196" s="364"/>
      <c r="G196" s="150">
        <f t="shared" si="56"/>
        <v>0</v>
      </c>
      <c r="H196" s="365"/>
      <c r="I196" s="364"/>
      <c r="J196" s="351"/>
      <c r="K196" s="366"/>
      <c r="L196" s="126"/>
      <c r="M196" s="120" t="s">
        <v>67</v>
      </c>
      <c r="N196" s="132"/>
      <c r="O196" s="420"/>
      <c r="P196" s="136"/>
      <c r="Q196" s="136"/>
      <c r="R196" s="129">
        <f t="shared" si="57"/>
        <v>0</v>
      </c>
      <c r="S196" s="413">
        <f t="shared" si="58"/>
        <v>0</v>
      </c>
      <c r="T196" s="134"/>
      <c r="U196" s="509"/>
      <c r="V196" s="378"/>
      <c r="W196" s="135"/>
      <c r="X196" s="118"/>
    </row>
    <row r="197" spans="2:24" s="109" customFormat="1" ht="30" hidden="1" customHeight="1" x14ac:dyDescent="0.35">
      <c r="B197" s="367"/>
      <c r="C197" s="368" t="s">
        <v>24</v>
      </c>
      <c r="D197" s="369">
        <f>SUM(D189:D196)</f>
        <v>0</v>
      </c>
      <c r="E197" s="369">
        <f>SUM(E189:E196)</f>
        <v>0</v>
      </c>
      <c r="F197" s="369">
        <f>SUM(F189:F196)</f>
        <v>0</v>
      </c>
      <c r="G197" s="369">
        <f>SUM(G189:G196)</f>
        <v>0</v>
      </c>
      <c r="H197" s="251">
        <f>(H189*G189)+(H190*G190)+(H191*G191)+(H192*G192)+(H193*G193)+(H194*G194)+(H195*G195)+(H196*G196)</f>
        <v>0</v>
      </c>
      <c r="I197" s="369">
        <f>SUM(I189:I196)</f>
        <v>0</v>
      </c>
      <c r="J197" s="370"/>
      <c r="K197" s="366"/>
      <c r="L197" s="142"/>
      <c r="N197" s="139" t="s">
        <v>24</v>
      </c>
      <c r="O197" s="431">
        <f>SUM(O189:O196)</f>
        <v>0</v>
      </c>
      <c r="P197" s="145">
        <f>SUM(P189:P196)</f>
        <v>0</v>
      </c>
      <c r="Q197" s="145">
        <f>SUM(Q189:Q196)</f>
        <v>0</v>
      </c>
      <c r="R197" s="140">
        <f>SUM(R189:R196)</f>
        <v>0</v>
      </c>
      <c r="S197" s="413">
        <f t="shared" si="58"/>
        <v>0</v>
      </c>
      <c r="T197" s="145">
        <f>(T189*R189)+(T190*R190)+(T191*R191)+(T192*R192)+(T193*R193)+(T194*R194)+(T195*R195)+(T196*R196)</f>
        <v>0</v>
      </c>
      <c r="U197" s="511">
        <f>SUM(U189:U196)</f>
        <v>0</v>
      </c>
      <c r="V197" s="536"/>
      <c r="W197" s="135"/>
      <c r="X197" s="118"/>
    </row>
    <row r="198" spans="2:24" s="109" customFormat="1" ht="15.5" hidden="1" x14ac:dyDescent="0.35">
      <c r="B198" s="385"/>
      <c r="C198" s="379"/>
      <c r="D198" s="386"/>
      <c r="E198" s="386"/>
      <c r="F198" s="386"/>
      <c r="G198" s="386"/>
      <c r="H198" s="387"/>
      <c r="I198" s="386"/>
      <c r="J198" s="388"/>
      <c r="K198" s="379"/>
      <c r="L198" s="167"/>
      <c r="M198" s="163"/>
      <c r="N198" s="155"/>
      <c r="O198" s="432"/>
      <c r="P198" s="165"/>
      <c r="Q198" s="165"/>
      <c r="R198" s="164"/>
      <c r="S198" s="452"/>
      <c r="T198" s="165"/>
      <c r="U198" s="516"/>
      <c r="V198" s="387"/>
      <c r="W198" s="155"/>
      <c r="X198" s="118"/>
    </row>
    <row r="199" spans="2:24" s="109" customFormat="1" ht="30" hidden="1" customHeight="1" x14ac:dyDescent="0.35">
      <c r="B199" s="368" t="s">
        <v>68</v>
      </c>
      <c r="C199" s="558"/>
      <c r="D199" s="558"/>
      <c r="E199" s="558"/>
      <c r="F199" s="558"/>
      <c r="G199" s="558"/>
      <c r="H199" s="558"/>
      <c r="I199" s="559"/>
      <c r="J199" s="559"/>
      <c r="K199" s="558"/>
      <c r="L199" s="117"/>
      <c r="M199" s="139" t="s">
        <v>68</v>
      </c>
      <c r="N199" s="555"/>
      <c r="O199" s="556"/>
      <c r="P199" s="556"/>
      <c r="Q199" s="556"/>
      <c r="R199" s="556"/>
      <c r="S199" s="556"/>
      <c r="T199" s="556"/>
      <c r="U199" s="556"/>
      <c r="V199" s="556"/>
      <c r="W199" s="557"/>
      <c r="X199" s="118"/>
    </row>
    <row r="200" spans="2:24" s="109" customFormat="1" ht="30" hidden="1" customHeight="1" x14ac:dyDescent="0.35">
      <c r="B200" s="371" t="s">
        <v>69</v>
      </c>
      <c r="C200" s="604"/>
      <c r="D200" s="604"/>
      <c r="E200" s="604"/>
      <c r="F200" s="604"/>
      <c r="G200" s="604"/>
      <c r="H200" s="604"/>
      <c r="I200" s="605"/>
      <c r="J200" s="605"/>
      <c r="K200" s="604"/>
      <c r="L200" s="119"/>
      <c r="M200" s="116" t="s">
        <v>69</v>
      </c>
      <c r="N200" s="572"/>
      <c r="O200" s="573"/>
      <c r="P200" s="573"/>
      <c r="Q200" s="573"/>
      <c r="R200" s="573"/>
      <c r="S200" s="573"/>
      <c r="T200" s="573"/>
      <c r="U200" s="573"/>
      <c r="V200" s="573"/>
      <c r="W200" s="574"/>
      <c r="X200" s="118"/>
    </row>
    <row r="201" spans="2:24" s="109" customFormat="1" ht="30" hidden="1" customHeight="1" x14ac:dyDescent="0.35">
      <c r="B201" s="151" t="s">
        <v>70</v>
      </c>
      <c r="C201" s="121"/>
      <c r="D201" s="162"/>
      <c r="E201" s="162"/>
      <c r="F201" s="162"/>
      <c r="G201" s="150">
        <f t="shared" ref="G201:G208" si="59">SUM(D201:F201)</f>
        <v>0</v>
      </c>
      <c r="H201" s="253"/>
      <c r="I201" s="162"/>
      <c r="J201" s="351"/>
      <c r="K201" s="352"/>
      <c r="L201" s="126"/>
      <c r="M201" s="120" t="s">
        <v>70</v>
      </c>
      <c r="N201" s="127"/>
      <c r="O201" s="420"/>
      <c r="P201" s="128"/>
      <c r="Q201" s="128"/>
      <c r="R201" s="129">
        <f>SUM(O201:Q201)</f>
        <v>0</v>
      </c>
      <c r="S201" s="413">
        <f>+R201-G201</f>
        <v>0</v>
      </c>
      <c r="T201" s="123"/>
      <c r="U201" s="509"/>
      <c r="V201" s="378"/>
      <c r="W201" s="125"/>
      <c r="X201" s="118"/>
    </row>
    <row r="202" spans="2:24" s="109" customFormat="1" ht="30" hidden="1" customHeight="1" x14ac:dyDescent="0.35">
      <c r="B202" s="151" t="s">
        <v>71</v>
      </c>
      <c r="C202" s="121"/>
      <c r="D202" s="162"/>
      <c r="E202" s="162"/>
      <c r="F202" s="162"/>
      <c r="G202" s="150">
        <f t="shared" si="59"/>
        <v>0</v>
      </c>
      <c r="H202" s="253"/>
      <c r="I202" s="162"/>
      <c r="J202" s="351"/>
      <c r="K202" s="352"/>
      <c r="L202" s="126"/>
      <c r="M202" s="120" t="s">
        <v>71</v>
      </c>
      <c r="N202" s="127"/>
      <c r="O202" s="420"/>
      <c r="P202" s="128"/>
      <c r="Q202" s="128"/>
      <c r="R202" s="129">
        <f t="shared" ref="R202:R208" si="60">SUM(O202:Q202)</f>
        <v>0</v>
      </c>
      <c r="S202" s="413">
        <f t="shared" ref="S202:S209" si="61">+R202-G202</f>
        <v>0</v>
      </c>
      <c r="T202" s="123"/>
      <c r="U202" s="509"/>
      <c r="V202" s="378"/>
      <c r="W202" s="125"/>
      <c r="X202" s="118"/>
    </row>
    <row r="203" spans="2:24" s="109" customFormat="1" ht="30" hidden="1" customHeight="1" x14ac:dyDescent="0.35">
      <c r="B203" s="151" t="s">
        <v>72</v>
      </c>
      <c r="C203" s="121"/>
      <c r="D203" s="162"/>
      <c r="E203" s="162"/>
      <c r="F203" s="162"/>
      <c r="G203" s="150">
        <f t="shared" si="59"/>
        <v>0</v>
      </c>
      <c r="H203" s="253"/>
      <c r="I203" s="162"/>
      <c r="J203" s="351"/>
      <c r="K203" s="352"/>
      <c r="L203" s="126"/>
      <c r="M203" s="120" t="s">
        <v>72</v>
      </c>
      <c r="N203" s="127"/>
      <c r="O203" s="420"/>
      <c r="P203" s="128"/>
      <c r="Q203" s="128"/>
      <c r="R203" s="129">
        <f t="shared" si="60"/>
        <v>0</v>
      </c>
      <c r="S203" s="413">
        <f t="shared" si="61"/>
        <v>0</v>
      </c>
      <c r="T203" s="123"/>
      <c r="U203" s="509"/>
      <c r="V203" s="378"/>
      <c r="W203" s="125"/>
      <c r="X203" s="118"/>
    </row>
    <row r="204" spans="2:24" s="109" customFormat="1" ht="30" hidden="1" customHeight="1" x14ac:dyDescent="0.35">
      <c r="B204" s="151" t="s">
        <v>73</v>
      </c>
      <c r="C204" s="121"/>
      <c r="D204" s="162"/>
      <c r="E204" s="162"/>
      <c r="F204" s="162"/>
      <c r="G204" s="150">
        <f t="shared" si="59"/>
        <v>0</v>
      </c>
      <c r="H204" s="253"/>
      <c r="I204" s="162"/>
      <c r="J204" s="351"/>
      <c r="K204" s="352"/>
      <c r="L204" s="126"/>
      <c r="M204" s="120" t="s">
        <v>73</v>
      </c>
      <c r="N204" s="127"/>
      <c r="O204" s="420"/>
      <c r="P204" s="128"/>
      <c r="Q204" s="128"/>
      <c r="R204" s="129">
        <f t="shared" si="60"/>
        <v>0</v>
      </c>
      <c r="S204" s="413">
        <f t="shared" si="61"/>
        <v>0</v>
      </c>
      <c r="T204" s="123"/>
      <c r="U204" s="509"/>
      <c r="V204" s="378"/>
      <c r="W204" s="125"/>
      <c r="X204" s="118"/>
    </row>
    <row r="205" spans="2:24" s="109" customFormat="1" ht="30" hidden="1" customHeight="1" x14ac:dyDescent="0.35">
      <c r="B205" s="151" t="s">
        <v>74</v>
      </c>
      <c r="C205" s="121"/>
      <c r="D205" s="162"/>
      <c r="E205" s="162"/>
      <c r="F205" s="162"/>
      <c r="G205" s="150">
        <f t="shared" si="59"/>
        <v>0</v>
      </c>
      <c r="H205" s="253"/>
      <c r="I205" s="162"/>
      <c r="J205" s="351"/>
      <c r="K205" s="352"/>
      <c r="L205" s="126"/>
      <c r="M205" s="120" t="s">
        <v>74</v>
      </c>
      <c r="N205" s="127"/>
      <c r="O205" s="420"/>
      <c r="P205" s="128"/>
      <c r="Q205" s="128"/>
      <c r="R205" s="129">
        <f t="shared" si="60"/>
        <v>0</v>
      </c>
      <c r="S205" s="413">
        <f t="shared" si="61"/>
        <v>0</v>
      </c>
      <c r="T205" s="123"/>
      <c r="U205" s="509"/>
      <c r="V205" s="378"/>
      <c r="W205" s="125"/>
      <c r="X205" s="118"/>
    </row>
    <row r="206" spans="2:24" s="109" customFormat="1" ht="30" hidden="1" customHeight="1" x14ac:dyDescent="0.35">
      <c r="B206" s="151" t="s">
        <v>75</v>
      </c>
      <c r="C206" s="121"/>
      <c r="D206" s="162"/>
      <c r="E206" s="162"/>
      <c r="F206" s="162"/>
      <c r="G206" s="150">
        <f t="shared" si="59"/>
        <v>0</v>
      </c>
      <c r="H206" s="253"/>
      <c r="I206" s="162"/>
      <c r="J206" s="351"/>
      <c r="K206" s="352"/>
      <c r="L206" s="126"/>
      <c r="M206" s="120" t="s">
        <v>75</v>
      </c>
      <c r="N206" s="127"/>
      <c r="O206" s="420"/>
      <c r="P206" s="128"/>
      <c r="Q206" s="128"/>
      <c r="R206" s="129">
        <f t="shared" si="60"/>
        <v>0</v>
      </c>
      <c r="S206" s="413">
        <f t="shared" si="61"/>
        <v>0</v>
      </c>
      <c r="T206" s="123"/>
      <c r="U206" s="509"/>
      <c r="V206" s="378"/>
      <c r="W206" s="125"/>
      <c r="X206" s="118"/>
    </row>
    <row r="207" spans="2:24" s="109" customFormat="1" ht="30" hidden="1" customHeight="1" x14ac:dyDescent="0.35">
      <c r="B207" s="151" t="s">
        <v>76</v>
      </c>
      <c r="C207" s="363"/>
      <c r="D207" s="364"/>
      <c r="E207" s="364"/>
      <c r="F207" s="364"/>
      <c r="G207" s="150">
        <f t="shared" si="59"/>
        <v>0</v>
      </c>
      <c r="H207" s="365"/>
      <c r="I207" s="364"/>
      <c r="J207" s="351"/>
      <c r="K207" s="366"/>
      <c r="L207" s="126"/>
      <c r="M207" s="120" t="s">
        <v>76</v>
      </c>
      <c r="N207" s="132"/>
      <c r="O207" s="420"/>
      <c r="P207" s="136"/>
      <c r="Q207" s="136"/>
      <c r="R207" s="129">
        <f t="shared" si="60"/>
        <v>0</v>
      </c>
      <c r="S207" s="413">
        <f t="shared" si="61"/>
        <v>0</v>
      </c>
      <c r="T207" s="134"/>
      <c r="U207" s="509"/>
      <c r="V207" s="378"/>
      <c r="W207" s="135"/>
      <c r="X207" s="118"/>
    </row>
    <row r="208" spans="2:24" s="109" customFormat="1" ht="30" hidden="1" customHeight="1" x14ac:dyDescent="0.35">
      <c r="B208" s="151" t="s">
        <v>77</v>
      </c>
      <c r="C208" s="363"/>
      <c r="D208" s="364"/>
      <c r="E208" s="364"/>
      <c r="F208" s="364"/>
      <c r="G208" s="150">
        <f t="shared" si="59"/>
        <v>0</v>
      </c>
      <c r="H208" s="365"/>
      <c r="I208" s="364"/>
      <c r="J208" s="351"/>
      <c r="K208" s="366"/>
      <c r="L208" s="126"/>
      <c r="M208" s="120" t="s">
        <v>77</v>
      </c>
      <c r="N208" s="132"/>
      <c r="O208" s="420"/>
      <c r="P208" s="136"/>
      <c r="Q208" s="136"/>
      <c r="R208" s="129">
        <f t="shared" si="60"/>
        <v>0</v>
      </c>
      <c r="S208" s="413">
        <f t="shared" si="61"/>
        <v>0</v>
      </c>
      <c r="T208" s="134"/>
      <c r="U208" s="509"/>
      <c r="V208" s="378"/>
      <c r="W208" s="135"/>
      <c r="X208" s="118"/>
    </row>
    <row r="209" spans="2:24" s="109" customFormat="1" ht="30" hidden="1" customHeight="1" x14ac:dyDescent="0.35">
      <c r="B209" s="367"/>
      <c r="C209" s="368" t="s">
        <v>24</v>
      </c>
      <c r="D209" s="369">
        <f>SUM(D201:D208)</f>
        <v>0</v>
      </c>
      <c r="E209" s="369">
        <f>SUM(E201:E208)</f>
        <v>0</v>
      </c>
      <c r="F209" s="369">
        <f>SUM(F201:F208)</f>
        <v>0</v>
      </c>
      <c r="G209" s="251">
        <f>SUM(G201:G208)</f>
        <v>0</v>
      </c>
      <c r="H209" s="251">
        <f>(H201*G201)+(H202*G202)+(H203*G203)+(H204*G204)+(H205*G205)+(H206*G206)+(H207*G207)+(H208*G208)</f>
        <v>0</v>
      </c>
      <c r="I209" s="369">
        <f>SUM(I201:I208)</f>
        <v>0</v>
      </c>
      <c r="J209" s="370"/>
      <c r="K209" s="366"/>
      <c r="L209" s="142"/>
      <c r="N209" s="139" t="s">
        <v>24</v>
      </c>
      <c r="O209" s="431">
        <f>SUM(O201:O208)</f>
        <v>0</v>
      </c>
      <c r="P209" s="145">
        <f>SUM(P201:P208)</f>
        <v>0</v>
      </c>
      <c r="Q209" s="145">
        <f>SUM(Q201:Q208)</f>
        <v>0</v>
      </c>
      <c r="R209" s="145">
        <f>SUM(R201:R208)</f>
        <v>0</v>
      </c>
      <c r="S209" s="413">
        <f t="shared" si="61"/>
        <v>0</v>
      </c>
      <c r="T209" s="145">
        <f>(T201*R201)+(T202*R202)+(T203*R203)+(T204*R204)+(T205*R205)+(T206*R206)+(T207*R207)+(T208*R208)</f>
        <v>0</v>
      </c>
      <c r="U209" s="511">
        <f>SUM(U201:U208)</f>
        <v>0</v>
      </c>
      <c r="V209" s="536"/>
      <c r="W209" s="135"/>
      <c r="X209" s="118"/>
    </row>
    <row r="210" spans="2:24" s="109" customFormat="1" ht="30" hidden="1" customHeight="1" x14ac:dyDescent="0.35">
      <c r="B210" s="371" t="s">
        <v>78</v>
      </c>
      <c r="C210" s="604"/>
      <c r="D210" s="604"/>
      <c r="E210" s="604"/>
      <c r="F210" s="604"/>
      <c r="G210" s="604"/>
      <c r="H210" s="604"/>
      <c r="I210" s="605"/>
      <c r="J210" s="605"/>
      <c r="K210" s="604"/>
      <c r="L210" s="119"/>
      <c r="M210" s="116" t="s">
        <v>78</v>
      </c>
      <c r="N210" s="572"/>
      <c r="O210" s="573"/>
      <c r="P210" s="573"/>
      <c r="Q210" s="573"/>
      <c r="R210" s="573"/>
      <c r="S210" s="573"/>
      <c r="T210" s="573"/>
      <c r="U210" s="573"/>
      <c r="V210" s="573"/>
      <c r="W210" s="574"/>
      <c r="X210" s="118"/>
    </row>
    <row r="211" spans="2:24" s="109" customFormat="1" ht="30" hidden="1" customHeight="1" x14ac:dyDescent="0.35">
      <c r="B211" s="151" t="s">
        <v>79</v>
      </c>
      <c r="C211" s="121"/>
      <c r="D211" s="162"/>
      <c r="E211" s="162"/>
      <c r="F211" s="162"/>
      <c r="G211" s="150">
        <f t="shared" ref="G211:G218" si="62">SUM(D211:F211)</f>
        <v>0</v>
      </c>
      <c r="H211" s="253"/>
      <c r="I211" s="162"/>
      <c r="J211" s="351"/>
      <c r="K211" s="352"/>
      <c r="L211" s="126"/>
      <c r="M211" s="120" t="s">
        <v>79</v>
      </c>
      <c r="N211" s="127"/>
      <c r="O211" s="420"/>
      <c r="P211" s="128"/>
      <c r="Q211" s="128"/>
      <c r="R211" s="129">
        <f>SUM(O211:Q211)</f>
        <v>0</v>
      </c>
      <c r="S211" s="413">
        <f>+R211-G211</f>
        <v>0</v>
      </c>
      <c r="T211" s="123"/>
      <c r="U211" s="509"/>
      <c r="V211" s="378"/>
      <c r="W211" s="125"/>
      <c r="X211" s="118"/>
    </row>
    <row r="212" spans="2:24" s="109" customFormat="1" ht="30" hidden="1" customHeight="1" x14ac:dyDescent="0.35">
      <c r="B212" s="151" t="s">
        <v>80</v>
      </c>
      <c r="C212" s="121"/>
      <c r="D212" s="162"/>
      <c r="E212" s="162"/>
      <c r="F212" s="162"/>
      <c r="G212" s="150">
        <f t="shared" si="62"/>
        <v>0</v>
      </c>
      <c r="H212" s="253"/>
      <c r="I212" s="162"/>
      <c r="J212" s="351"/>
      <c r="K212" s="352"/>
      <c r="L212" s="126"/>
      <c r="M212" s="120" t="s">
        <v>80</v>
      </c>
      <c r="N212" s="127"/>
      <c r="O212" s="420"/>
      <c r="P212" s="128"/>
      <c r="Q212" s="128"/>
      <c r="R212" s="129">
        <f t="shared" ref="R212:R218" si="63">SUM(O212:Q212)</f>
        <v>0</v>
      </c>
      <c r="S212" s="413">
        <f t="shared" ref="S212:S219" si="64">+R212-G212</f>
        <v>0</v>
      </c>
      <c r="T212" s="123"/>
      <c r="U212" s="509"/>
      <c r="V212" s="378"/>
      <c r="W212" s="125"/>
      <c r="X212" s="118"/>
    </row>
    <row r="213" spans="2:24" s="109" customFormat="1" ht="30" hidden="1" customHeight="1" x14ac:dyDescent="0.35">
      <c r="B213" s="151" t="s">
        <v>81</v>
      </c>
      <c r="C213" s="121"/>
      <c r="D213" s="162"/>
      <c r="E213" s="162"/>
      <c r="F213" s="162"/>
      <c r="G213" s="150">
        <f t="shared" si="62"/>
        <v>0</v>
      </c>
      <c r="H213" s="253"/>
      <c r="I213" s="162"/>
      <c r="J213" s="351"/>
      <c r="K213" s="352"/>
      <c r="L213" s="126"/>
      <c r="M213" s="120" t="s">
        <v>81</v>
      </c>
      <c r="N213" s="127"/>
      <c r="O213" s="420"/>
      <c r="P213" s="128"/>
      <c r="Q213" s="128"/>
      <c r="R213" s="129">
        <f t="shared" si="63"/>
        <v>0</v>
      </c>
      <c r="S213" s="413">
        <f t="shared" si="64"/>
        <v>0</v>
      </c>
      <c r="T213" s="123"/>
      <c r="U213" s="509"/>
      <c r="V213" s="378"/>
      <c r="W213" s="125"/>
      <c r="X213" s="118"/>
    </row>
    <row r="214" spans="2:24" s="109" customFormat="1" ht="30" hidden="1" customHeight="1" x14ac:dyDescent="0.35">
      <c r="B214" s="151" t="s">
        <v>82</v>
      </c>
      <c r="C214" s="121"/>
      <c r="D214" s="162"/>
      <c r="E214" s="162"/>
      <c r="F214" s="162"/>
      <c r="G214" s="150">
        <f t="shared" si="62"/>
        <v>0</v>
      </c>
      <c r="H214" s="253"/>
      <c r="I214" s="162"/>
      <c r="J214" s="351"/>
      <c r="K214" s="352"/>
      <c r="L214" s="126"/>
      <c r="M214" s="120" t="s">
        <v>82</v>
      </c>
      <c r="N214" s="127"/>
      <c r="O214" s="420"/>
      <c r="P214" s="128"/>
      <c r="Q214" s="128"/>
      <c r="R214" s="129">
        <f t="shared" si="63"/>
        <v>0</v>
      </c>
      <c r="S214" s="413">
        <f t="shared" si="64"/>
        <v>0</v>
      </c>
      <c r="T214" s="123"/>
      <c r="U214" s="509"/>
      <c r="V214" s="378"/>
      <c r="W214" s="125"/>
      <c r="X214" s="118"/>
    </row>
    <row r="215" spans="2:24" s="109" customFormat="1" ht="30" hidden="1" customHeight="1" x14ac:dyDescent="0.35">
      <c r="B215" s="151" t="s">
        <v>83</v>
      </c>
      <c r="C215" s="121"/>
      <c r="D215" s="162"/>
      <c r="E215" s="162"/>
      <c r="F215" s="162"/>
      <c r="G215" s="150">
        <f t="shared" si="62"/>
        <v>0</v>
      </c>
      <c r="H215" s="253"/>
      <c r="I215" s="162"/>
      <c r="J215" s="351"/>
      <c r="K215" s="352"/>
      <c r="L215" s="126"/>
      <c r="M215" s="120" t="s">
        <v>83</v>
      </c>
      <c r="N215" s="127"/>
      <c r="O215" s="420"/>
      <c r="P215" s="128"/>
      <c r="Q215" s="128"/>
      <c r="R215" s="129">
        <f t="shared" si="63"/>
        <v>0</v>
      </c>
      <c r="S215" s="413">
        <f t="shared" si="64"/>
        <v>0</v>
      </c>
      <c r="T215" s="123"/>
      <c r="U215" s="509"/>
      <c r="V215" s="378"/>
      <c r="W215" s="125"/>
      <c r="X215" s="118"/>
    </row>
    <row r="216" spans="2:24" s="109" customFormat="1" ht="30" hidden="1" customHeight="1" x14ac:dyDescent="0.35">
      <c r="B216" s="151" t="s">
        <v>84</v>
      </c>
      <c r="C216" s="121"/>
      <c r="D216" s="162"/>
      <c r="E216" s="162"/>
      <c r="F216" s="162"/>
      <c r="G216" s="150">
        <f t="shared" si="62"/>
        <v>0</v>
      </c>
      <c r="H216" s="253"/>
      <c r="I216" s="162"/>
      <c r="J216" s="351"/>
      <c r="K216" s="352"/>
      <c r="L216" s="126"/>
      <c r="M216" s="120" t="s">
        <v>84</v>
      </c>
      <c r="N216" s="127"/>
      <c r="O216" s="420"/>
      <c r="P216" s="128"/>
      <c r="Q216" s="128"/>
      <c r="R216" s="129">
        <f t="shared" si="63"/>
        <v>0</v>
      </c>
      <c r="S216" s="413">
        <f t="shared" si="64"/>
        <v>0</v>
      </c>
      <c r="T216" s="123"/>
      <c r="U216" s="509"/>
      <c r="V216" s="378"/>
      <c r="W216" s="125"/>
      <c r="X216" s="118"/>
    </row>
    <row r="217" spans="2:24" s="109" customFormat="1" ht="30" hidden="1" customHeight="1" x14ac:dyDescent="0.35">
      <c r="B217" s="151" t="s">
        <v>85</v>
      </c>
      <c r="C217" s="363"/>
      <c r="D217" s="364"/>
      <c r="E217" s="364"/>
      <c r="F217" s="364"/>
      <c r="G217" s="150">
        <f t="shared" si="62"/>
        <v>0</v>
      </c>
      <c r="H217" s="365"/>
      <c r="I217" s="364"/>
      <c r="J217" s="351"/>
      <c r="K217" s="366"/>
      <c r="L217" s="126"/>
      <c r="M217" s="120" t="s">
        <v>85</v>
      </c>
      <c r="N217" s="132"/>
      <c r="O217" s="420"/>
      <c r="P217" s="136"/>
      <c r="Q217" s="136"/>
      <c r="R217" s="129">
        <f t="shared" si="63"/>
        <v>0</v>
      </c>
      <c r="S217" s="413">
        <f t="shared" si="64"/>
        <v>0</v>
      </c>
      <c r="T217" s="134"/>
      <c r="U217" s="509"/>
      <c r="V217" s="378"/>
      <c r="W217" s="135"/>
      <c r="X217" s="118"/>
    </row>
    <row r="218" spans="2:24" s="109" customFormat="1" ht="30" hidden="1" customHeight="1" x14ac:dyDescent="0.35">
      <c r="B218" s="151" t="s">
        <v>86</v>
      </c>
      <c r="C218" s="363"/>
      <c r="D218" s="364"/>
      <c r="E218" s="364"/>
      <c r="F218" s="364"/>
      <c r="G218" s="150">
        <f t="shared" si="62"/>
        <v>0</v>
      </c>
      <c r="H218" s="365"/>
      <c r="I218" s="364"/>
      <c r="J218" s="351"/>
      <c r="K218" s="366"/>
      <c r="L218" s="126"/>
      <c r="M218" s="120" t="s">
        <v>86</v>
      </c>
      <c r="N218" s="132"/>
      <c r="O218" s="420"/>
      <c r="P218" s="136"/>
      <c r="Q218" s="136"/>
      <c r="R218" s="129">
        <f t="shared" si="63"/>
        <v>0</v>
      </c>
      <c r="S218" s="413">
        <f t="shared" si="64"/>
        <v>0</v>
      </c>
      <c r="T218" s="134"/>
      <c r="U218" s="509"/>
      <c r="V218" s="378"/>
      <c r="W218" s="135"/>
      <c r="X218" s="118"/>
    </row>
    <row r="219" spans="2:24" s="109" customFormat="1" ht="30" hidden="1" customHeight="1" x14ac:dyDescent="0.35">
      <c r="B219" s="367"/>
      <c r="C219" s="368" t="s">
        <v>24</v>
      </c>
      <c r="D219" s="251">
        <f>SUM(D211:D218)</f>
        <v>0</v>
      </c>
      <c r="E219" s="251">
        <f>SUM(E211:E218)</f>
        <v>0</v>
      </c>
      <c r="F219" s="251">
        <f>SUM(F211:F218)</f>
        <v>0</v>
      </c>
      <c r="G219" s="251">
        <f>SUM(G211:G218)</f>
        <v>0</v>
      </c>
      <c r="H219" s="251">
        <f>(H211*G211)+(H212*G212)+(H213*G213)+(H214*G214)+(H215*G215)+(H216*G216)+(H217*G217)+(H218*G218)</f>
        <v>0</v>
      </c>
      <c r="I219" s="369">
        <f>SUM(I211:I218)</f>
        <v>0</v>
      </c>
      <c r="J219" s="370"/>
      <c r="K219" s="366"/>
      <c r="L219" s="142"/>
      <c r="N219" s="139" t="s">
        <v>24</v>
      </c>
      <c r="O219" s="433">
        <f>SUM(O211:O218)</f>
        <v>0</v>
      </c>
      <c r="P219" s="145">
        <f>SUM(P211:P218)</f>
        <v>0</v>
      </c>
      <c r="Q219" s="145">
        <f>SUM(Q211:Q218)</f>
        <v>0</v>
      </c>
      <c r="R219" s="145">
        <f>SUM(R211:R218)</f>
        <v>0</v>
      </c>
      <c r="S219" s="413">
        <f t="shared" si="64"/>
        <v>0</v>
      </c>
      <c r="T219" s="145">
        <f>(T211*R211)+(T212*R212)+(T213*R213)+(T214*R214)+(T215*R215)+(T216*R216)+(T217*R217)+(T218*R218)</f>
        <v>0</v>
      </c>
      <c r="U219" s="511">
        <f>SUM(U211:U218)</f>
        <v>0</v>
      </c>
      <c r="V219" s="536"/>
      <c r="W219" s="135"/>
      <c r="X219" s="118"/>
    </row>
    <row r="220" spans="2:24" s="109" customFormat="1" ht="30" hidden="1" customHeight="1" x14ac:dyDescent="0.35">
      <c r="B220" s="389" t="s">
        <v>87</v>
      </c>
      <c r="C220" s="604"/>
      <c r="D220" s="604"/>
      <c r="E220" s="604"/>
      <c r="F220" s="604"/>
      <c r="G220" s="604"/>
      <c r="H220" s="604"/>
      <c r="I220" s="605"/>
      <c r="J220" s="605"/>
      <c r="K220" s="604"/>
      <c r="L220" s="119"/>
      <c r="M220" s="168" t="s">
        <v>87</v>
      </c>
      <c r="N220" s="572"/>
      <c r="O220" s="573"/>
      <c r="P220" s="573"/>
      <c r="Q220" s="573"/>
      <c r="R220" s="573"/>
      <c r="S220" s="573"/>
      <c r="T220" s="573"/>
      <c r="U220" s="573"/>
      <c r="V220" s="573"/>
      <c r="W220" s="574"/>
      <c r="X220" s="118"/>
    </row>
    <row r="221" spans="2:24" s="109" customFormat="1" ht="30" hidden="1" customHeight="1" x14ac:dyDescent="0.35">
      <c r="B221" s="151" t="s">
        <v>88</v>
      </c>
      <c r="C221" s="121"/>
      <c r="D221" s="162"/>
      <c r="E221" s="162"/>
      <c r="F221" s="162"/>
      <c r="G221" s="150">
        <f t="shared" ref="G221:G228" si="65">SUM(D221:F221)</f>
        <v>0</v>
      </c>
      <c r="H221" s="253"/>
      <c r="I221" s="162"/>
      <c r="J221" s="351"/>
      <c r="K221" s="352"/>
      <c r="L221" s="126"/>
      <c r="M221" s="120" t="s">
        <v>88</v>
      </c>
      <c r="N221" s="127"/>
      <c r="O221" s="420"/>
      <c r="P221" s="128"/>
      <c r="Q221" s="128"/>
      <c r="R221" s="129">
        <f>SUM(O221:Q221)</f>
        <v>0</v>
      </c>
      <c r="S221" s="413">
        <f>+R221-G221</f>
        <v>0</v>
      </c>
      <c r="T221" s="123"/>
      <c r="U221" s="509"/>
      <c r="V221" s="378"/>
      <c r="W221" s="125"/>
      <c r="X221" s="118"/>
    </row>
    <row r="222" spans="2:24" s="109" customFormat="1" ht="30" hidden="1" customHeight="1" x14ac:dyDescent="0.35">
      <c r="B222" s="151" t="s">
        <v>89</v>
      </c>
      <c r="C222" s="121"/>
      <c r="D222" s="162"/>
      <c r="E222" s="162"/>
      <c r="F222" s="162"/>
      <c r="G222" s="150">
        <f t="shared" si="65"/>
        <v>0</v>
      </c>
      <c r="H222" s="253"/>
      <c r="I222" s="162"/>
      <c r="J222" s="351"/>
      <c r="K222" s="352"/>
      <c r="L222" s="126"/>
      <c r="M222" s="120" t="s">
        <v>89</v>
      </c>
      <c r="N222" s="127"/>
      <c r="O222" s="420"/>
      <c r="P222" s="128"/>
      <c r="Q222" s="128"/>
      <c r="R222" s="129">
        <f t="shared" ref="R222:R228" si="66">SUM(O222:Q222)</f>
        <v>0</v>
      </c>
      <c r="S222" s="413">
        <f t="shared" ref="S222:S229" si="67">+R222-G222</f>
        <v>0</v>
      </c>
      <c r="T222" s="123"/>
      <c r="U222" s="509"/>
      <c r="V222" s="378"/>
      <c r="W222" s="125"/>
      <c r="X222" s="118"/>
    </row>
    <row r="223" spans="2:24" s="109" customFormat="1" ht="30" hidden="1" customHeight="1" x14ac:dyDescent="0.35">
      <c r="B223" s="151" t="s">
        <v>90</v>
      </c>
      <c r="C223" s="121"/>
      <c r="D223" s="162"/>
      <c r="E223" s="162"/>
      <c r="F223" s="162"/>
      <c r="G223" s="150">
        <f t="shared" si="65"/>
        <v>0</v>
      </c>
      <c r="H223" s="253"/>
      <c r="I223" s="162"/>
      <c r="J223" s="351"/>
      <c r="K223" s="352"/>
      <c r="L223" s="126"/>
      <c r="M223" s="120" t="s">
        <v>90</v>
      </c>
      <c r="N223" s="127"/>
      <c r="O223" s="420"/>
      <c r="P223" s="128"/>
      <c r="Q223" s="128"/>
      <c r="R223" s="129">
        <f t="shared" si="66"/>
        <v>0</v>
      </c>
      <c r="S223" s="413">
        <f t="shared" si="67"/>
        <v>0</v>
      </c>
      <c r="T223" s="123"/>
      <c r="U223" s="509"/>
      <c r="V223" s="378"/>
      <c r="W223" s="125"/>
      <c r="X223" s="118"/>
    </row>
    <row r="224" spans="2:24" s="109" customFormat="1" ht="30" hidden="1" customHeight="1" x14ac:dyDescent="0.35">
      <c r="B224" s="151" t="s">
        <v>91</v>
      </c>
      <c r="C224" s="121"/>
      <c r="D224" s="162"/>
      <c r="E224" s="162"/>
      <c r="F224" s="162"/>
      <c r="G224" s="150">
        <f t="shared" si="65"/>
        <v>0</v>
      </c>
      <c r="H224" s="253"/>
      <c r="I224" s="162"/>
      <c r="J224" s="351"/>
      <c r="K224" s="352"/>
      <c r="L224" s="126"/>
      <c r="M224" s="120" t="s">
        <v>91</v>
      </c>
      <c r="N224" s="127"/>
      <c r="O224" s="420"/>
      <c r="P224" s="128"/>
      <c r="Q224" s="128"/>
      <c r="R224" s="129">
        <f t="shared" si="66"/>
        <v>0</v>
      </c>
      <c r="S224" s="413">
        <f t="shared" si="67"/>
        <v>0</v>
      </c>
      <c r="T224" s="123"/>
      <c r="U224" s="509"/>
      <c r="V224" s="378"/>
      <c r="W224" s="125"/>
      <c r="X224" s="118"/>
    </row>
    <row r="225" spans="2:24" s="109" customFormat="1" ht="30" hidden="1" customHeight="1" x14ac:dyDescent="0.35">
      <c r="B225" s="151" t="s">
        <v>92</v>
      </c>
      <c r="C225" s="121"/>
      <c r="D225" s="162"/>
      <c r="E225" s="162"/>
      <c r="F225" s="162"/>
      <c r="G225" s="150">
        <f t="shared" si="65"/>
        <v>0</v>
      </c>
      <c r="H225" s="253"/>
      <c r="I225" s="162"/>
      <c r="J225" s="351"/>
      <c r="K225" s="352"/>
      <c r="L225" s="126"/>
      <c r="M225" s="120" t="s">
        <v>92</v>
      </c>
      <c r="N225" s="127"/>
      <c r="O225" s="420"/>
      <c r="P225" s="128"/>
      <c r="Q225" s="128"/>
      <c r="R225" s="129">
        <f t="shared" si="66"/>
        <v>0</v>
      </c>
      <c r="S225" s="413">
        <f t="shared" si="67"/>
        <v>0</v>
      </c>
      <c r="T225" s="123"/>
      <c r="U225" s="509"/>
      <c r="V225" s="378"/>
      <c r="W225" s="125"/>
      <c r="X225" s="118"/>
    </row>
    <row r="226" spans="2:24" s="109" customFormat="1" ht="30" hidden="1" customHeight="1" x14ac:dyDescent="0.35">
      <c r="B226" s="151" t="s">
        <v>93</v>
      </c>
      <c r="C226" s="121"/>
      <c r="D226" s="162"/>
      <c r="E226" s="162"/>
      <c r="F226" s="162"/>
      <c r="G226" s="150">
        <f t="shared" si="65"/>
        <v>0</v>
      </c>
      <c r="H226" s="253"/>
      <c r="I226" s="162"/>
      <c r="J226" s="351"/>
      <c r="K226" s="352"/>
      <c r="L226" s="126"/>
      <c r="M226" s="120" t="s">
        <v>93</v>
      </c>
      <c r="N226" s="127"/>
      <c r="O226" s="420"/>
      <c r="P226" s="128"/>
      <c r="Q226" s="128"/>
      <c r="R226" s="129">
        <f t="shared" si="66"/>
        <v>0</v>
      </c>
      <c r="S226" s="413">
        <f t="shared" si="67"/>
        <v>0</v>
      </c>
      <c r="T226" s="123"/>
      <c r="U226" s="509"/>
      <c r="V226" s="378"/>
      <c r="W226" s="125"/>
      <c r="X226" s="118"/>
    </row>
    <row r="227" spans="2:24" s="109" customFormat="1" ht="30" hidden="1" customHeight="1" x14ac:dyDescent="0.35">
      <c r="B227" s="151" t="s">
        <v>94</v>
      </c>
      <c r="C227" s="363"/>
      <c r="D227" s="364"/>
      <c r="E227" s="364"/>
      <c r="F227" s="364"/>
      <c r="G227" s="150">
        <f t="shared" si="65"/>
        <v>0</v>
      </c>
      <c r="H227" s="365"/>
      <c r="I227" s="364"/>
      <c r="J227" s="351"/>
      <c r="K227" s="366"/>
      <c r="L227" s="126"/>
      <c r="M227" s="120" t="s">
        <v>94</v>
      </c>
      <c r="N227" s="132"/>
      <c r="O227" s="420"/>
      <c r="P227" s="136"/>
      <c r="Q227" s="136"/>
      <c r="R227" s="129">
        <f t="shared" si="66"/>
        <v>0</v>
      </c>
      <c r="S227" s="413">
        <f t="shared" si="67"/>
        <v>0</v>
      </c>
      <c r="T227" s="134"/>
      <c r="U227" s="509"/>
      <c r="V227" s="378"/>
      <c r="W227" s="135"/>
      <c r="X227" s="118"/>
    </row>
    <row r="228" spans="2:24" s="109" customFormat="1" ht="30" hidden="1" customHeight="1" x14ac:dyDescent="0.35">
      <c r="B228" s="151" t="s">
        <v>95</v>
      </c>
      <c r="C228" s="363"/>
      <c r="D228" s="364"/>
      <c r="E228" s="364"/>
      <c r="F228" s="364"/>
      <c r="G228" s="150">
        <f t="shared" si="65"/>
        <v>0</v>
      </c>
      <c r="H228" s="365"/>
      <c r="I228" s="364"/>
      <c r="J228" s="351"/>
      <c r="K228" s="366"/>
      <c r="L228" s="126"/>
      <c r="M228" s="120" t="s">
        <v>95</v>
      </c>
      <c r="N228" s="132"/>
      <c r="O228" s="420"/>
      <c r="P228" s="136"/>
      <c r="Q228" s="136"/>
      <c r="R228" s="129">
        <f t="shared" si="66"/>
        <v>0</v>
      </c>
      <c r="S228" s="413">
        <f t="shared" si="67"/>
        <v>0</v>
      </c>
      <c r="T228" s="134"/>
      <c r="U228" s="509"/>
      <c r="V228" s="378"/>
      <c r="W228" s="135"/>
      <c r="X228" s="118"/>
    </row>
    <row r="229" spans="2:24" s="109" customFormat="1" ht="30" hidden="1" customHeight="1" x14ac:dyDescent="0.35">
      <c r="B229" s="367"/>
      <c r="C229" s="368" t="s">
        <v>24</v>
      </c>
      <c r="D229" s="251">
        <f>SUM(D221:D228)</f>
        <v>0</v>
      </c>
      <c r="E229" s="251">
        <f>SUM(E221:E228)</f>
        <v>0</v>
      </c>
      <c r="F229" s="251">
        <f>SUM(F221:F228)</f>
        <v>0</v>
      </c>
      <c r="G229" s="251">
        <f>SUM(G221:G228)</f>
        <v>0</v>
      </c>
      <c r="H229" s="251">
        <f>(H221*G221)+(H222*G222)+(H223*G223)+(H224*G224)+(H225*G225)+(H226*G226)+(H227*G227)+(H228*G228)</f>
        <v>0</v>
      </c>
      <c r="I229" s="369">
        <f>SUM(I221:I228)</f>
        <v>0</v>
      </c>
      <c r="J229" s="370"/>
      <c r="K229" s="366"/>
      <c r="L229" s="142"/>
      <c r="N229" s="139" t="s">
        <v>24</v>
      </c>
      <c r="O229" s="433">
        <f>SUM(O221:O228)</f>
        <v>0</v>
      </c>
      <c r="P229" s="145">
        <f>SUM(P221:P228)</f>
        <v>0</v>
      </c>
      <c r="Q229" s="145">
        <f>SUM(Q221:Q228)</f>
        <v>0</v>
      </c>
      <c r="R229" s="145">
        <f>SUM(R221:R228)</f>
        <v>0</v>
      </c>
      <c r="S229" s="413">
        <f t="shared" si="67"/>
        <v>0</v>
      </c>
      <c r="T229" s="145">
        <f>(T221*R221)+(T222*R222)+(T223*R223)+(T224*R224)+(T225*R225)+(T226*R226)+(T227*R227)+(T228*R228)</f>
        <v>0</v>
      </c>
      <c r="U229" s="511">
        <f>SUM(U221:U228)</f>
        <v>0</v>
      </c>
      <c r="V229" s="536"/>
      <c r="W229" s="135"/>
      <c r="X229" s="118"/>
    </row>
    <row r="230" spans="2:24" s="109" customFormat="1" ht="30" hidden="1" customHeight="1" x14ac:dyDescent="0.35">
      <c r="B230" s="389" t="s">
        <v>96</v>
      </c>
      <c r="C230" s="604"/>
      <c r="D230" s="604"/>
      <c r="E230" s="604"/>
      <c r="F230" s="604"/>
      <c r="G230" s="604"/>
      <c r="H230" s="604"/>
      <c r="I230" s="605"/>
      <c r="J230" s="605"/>
      <c r="K230" s="604"/>
      <c r="L230" s="119"/>
      <c r="M230" s="168" t="s">
        <v>96</v>
      </c>
      <c r="N230" s="572"/>
      <c r="O230" s="573"/>
      <c r="P230" s="573"/>
      <c r="Q230" s="573"/>
      <c r="R230" s="573"/>
      <c r="S230" s="573"/>
      <c r="T230" s="573"/>
      <c r="U230" s="573"/>
      <c r="V230" s="573"/>
      <c r="W230" s="574"/>
      <c r="X230" s="118"/>
    </row>
    <row r="231" spans="2:24" s="109" customFormat="1" ht="30" hidden="1" customHeight="1" x14ac:dyDescent="0.35">
      <c r="B231" s="151" t="s">
        <v>97</v>
      </c>
      <c r="C231" s="121"/>
      <c r="D231" s="162"/>
      <c r="E231" s="162"/>
      <c r="F231" s="162"/>
      <c r="G231" s="150">
        <f t="shared" ref="G231:G238" si="68">SUM(D231:F231)</f>
        <v>0</v>
      </c>
      <c r="H231" s="253"/>
      <c r="I231" s="162"/>
      <c r="J231" s="351"/>
      <c r="K231" s="352"/>
      <c r="L231" s="126"/>
      <c r="M231" s="120" t="s">
        <v>97</v>
      </c>
      <c r="N231" s="127"/>
      <c r="O231" s="420"/>
      <c r="P231" s="128"/>
      <c r="Q231" s="128"/>
      <c r="R231" s="129">
        <f>SUM(O231:Q231)</f>
        <v>0</v>
      </c>
      <c r="S231" s="413">
        <f>+R231-G231</f>
        <v>0</v>
      </c>
      <c r="T231" s="123"/>
      <c r="U231" s="509"/>
      <c r="V231" s="378"/>
      <c r="W231" s="125"/>
      <c r="X231" s="118"/>
    </row>
    <row r="232" spans="2:24" s="109" customFormat="1" ht="30" hidden="1" customHeight="1" x14ac:dyDescent="0.35">
      <c r="B232" s="151" t="s">
        <v>98</v>
      </c>
      <c r="C232" s="121"/>
      <c r="D232" s="162"/>
      <c r="E232" s="162"/>
      <c r="F232" s="162"/>
      <c r="G232" s="150">
        <f t="shared" si="68"/>
        <v>0</v>
      </c>
      <c r="H232" s="253"/>
      <c r="I232" s="162"/>
      <c r="J232" s="351"/>
      <c r="K232" s="352"/>
      <c r="L232" s="126"/>
      <c r="M232" s="120" t="s">
        <v>98</v>
      </c>
      <c r="N232" s="127"/>
      <c r="O232" s="420"/>
      <c r="P232" s="128"/>
      <c r="Q232" s="128"/>
      <c r="R232" s="129">
        <f t="shared" ref="R232:R238" si="69">SUM(O232:Q232)</f>
        <v>0</v>
      </c>
      <c r="S232" s="413">
        <f t="shared" ref="S232:S239" si="70">+R232-G232</f>
        <v>0</v>
      </c>
      <c r="T232" s="123"/>
      <c r="U232" s="509"/>
      <c r="V232" s="378"/>
      <c r="W232" s="125"/>
      <c r="X232" s="118"/>
    </row>
    <row r="233" spans="2:24" s="109" customFormat="1" ht="30" hidden="1" customHeight="1" x14ac:dyDescent="0.35">
      <c r="B233" s="151" t="s">
        <v>99</v>
      </c>
      <c r="C233" s="121"/>
      <c r="D233" s="162"/>
      <c r="E233" s="162"/>
      <c r="F233" s="162"/>
      <c r="G233" s="150">
        <f t="shared" si="68"/>
        <v>0</v>
      </c>
      <c r="H233" s="253"/>
      <c r="I233" s="162"/>
      <c r="J233" s="351"/>
      <c r="K233" s="352"/>
      <c r="L233" s="126"/>
      <c r="M233" s="120" t="s">
        <v>99</v>
      </c>
      <c r="N233" s="127"/>
      <c r="O233" s="420"/>
      <c r="P233" s="128"/>
      <c r="Q233" s="128"/>
      <c r="R233" s="129">
        <f t="shared" si="69"/>
        <v>0</v>
      </c>
      <c r="S233" s="413">
        <f t="shared" si="70"/>
        <v>0</v>
      </c>
      <c r="T233" s="123"/>
      <c r="U233" s="509"/>
      <c r="V233" s="378"/>
      <c r="W233" s="125"/>
      <c r="X233" s="118"/>
    </row>
    <row r="234" spans="2:24" s="109" customFormat="1" ht="30" hidden="1" customHeight="1" x14ac:dyDescent="0.35">
      <c r="B234" s="151" t="s">
        <v>100</v>
      </c>
      <c r="C234" s="121"/>
      <c r="D234" s="162"/>
      <c r="E234" s="162"/>
      <c r="F234" s="162"/>
      <c r="G234" s="150">
        <f t="shared" si="68"/>
        <v>0</v>
      </c>
      <c r="H234" s="253"/>
      <c r="I234" s="162"/>
      <c r="J234" s="351"/>
      <c r="K234" s="352"/>
      <c r="L234" s="126"/>
      <c r="M234" s="120" t="s">
        <v>100</v>
      </c>
      <c r="N234" s="127"/>
      <c r="O234" s="420"/>
      <c r="P234" s="128"/>
      <c r="Q234" s="128"/>
      <c r="R234" s="129">
        <f t="shared" si="69"/>
        <v>0</v>
      </c>
      <c r="S234" s="413">
        <f t="shared" si="70"/>
        <v>0</v>
      </c>
      <c r="T234" s="123"/>
      <c r="U234" s="509"/>
      <c r="V234" s="378"/>
      <c r="W234" s="125"/>
      <c r="X234" s="118"/>
    </row>
    <row r="235" spans="2:24" s="109" customFormat="1" ht="30" hidden="1" customHeight="1" x14ac:dyDescent="0.35">
      <c r="B235" s="151" t="s">
        <v>101</v>
      </c>
      <c r="C235" s="121"/>
      <c r="D235" s="162"/>
      <c r="E235" s="162"/>
      <c r="F235" s="162"/>
      <c r="G235" s="150">
        <f t="shared" si="68"/>
        <v>0</v>
      </c>
      <c r="H235" s="253"/>
      <c r="I235" s="162"/>
      <c r="J235" s="351"/>
      <c r="K235" s="352"/>
      <c r="L235" s="126"/>
      <c r="M235" s="120" t="s">
        <v>101</v>
      </c>
      <c r="N235" s="127"/>
      <c r="O235" s="420"/>
      <c r="P235" s="128"/>
      <c r="Q235" s="128"/>
      <c r="R235" s="129">
        <f t="shared" si="69"/>
        <v>0</v>
      </c>
      <c r="S235" s="413">
        <f t="shared" si="70"/>
        <v>0</v>
      </c>
      <c r="T235" s="123"/>
      <c r="U235" s="509"/>
      <c r="V235" s="378"/>
      <c r="W235" s="125"/>
      <c r="X235" s="118"/>
    </row>
    <row r="236" spans="2:24" s="109" customFormat="1" ht="30" hidden="1" customHeight="1" x14ac:dyDescent="0.35">
      <c r="B236" s="151" t="s">
        <v>102</v>
      </c>
      <c r="C236" s="121"/>
      <c r="D236" s="162"/>
      <c r="E236" s="162"/>
      <c r="F236" s="162"/>
      <c r="G236" s="150">
        <f t="shared" si="68"/>
        <v>0</v>
      </c>
      <c r="H236" s="253"/>
      <c r="I236" s="162"/>
      <c r="J236" s="351"/>
      <c r="K236" s="352"/>
      <c r="L236" s="126"/>
      <c r="M236" s="120" t="s">
        <v>102</v>
      </c>
      <c r="N236" s="127"/>
      <c r="O236" s="420"/>
      <c r="P236" s="128"/>
      <c r="Q236" s="128"/>
      <c r="R236" s="129">
        <f t="shared" si="69"/>
        <v>0</v>
      </c>
      <c r="S236" s="413">
        <f t="shared" si="70"/>
        <v>0</v>
      </c>
      <c r="T236" s="123"/>
      <c r="U236" s="509"/>
      <c r="V236" s="378"/>
      <c r="W236" s="125"/>
      <c r="X236" s="118"/>
    </row>
    <row r="237" spans="2:24" s="109" customFormat="1" ht="30" hidden="1" customHeight="1" x14ac:dyDescent="0.35">
      <c r="B237" s="151" t="s">
        <v>103</v>
      </c>
      <c r="C237" s="363"/>
      <c r="D237" s="364"/>
      <c r="E237" s="364"/>
      <c r="F237" s="364"/>
      <c r="G237" s="150">
        <f t="shared" si="68"/>
        <v>0</v>
      </c>
      <c r="H237" s="365"/>
      <c r="I237" s="364"/>
      <c r="J237" s="351"/>
      <c r="K237" s="366"/>
      <c r="L237" s="126"/>
      <c r="M237" s="120" t="s">
        <v>103</v>
      </c>
      <c r="N237" s="132"/>
      <c r="O237" s="420"/>
      <c r="P237" s="136"/>
      <c r="Q237" s="136"/>
      <c r="R237" s="129">
        <f t="shared" si="69"/>
        <v>0</v>
      </c>
      <c r="S237" s="413">
        <f t="shared" si="70"/>
        <v>0</v>
      </c>
      <c r="T237" s="134"/>
      <c r="U237" s="509"/>
      <c r="V237" s="378"/>
      <c r="W237" s="135"/>
      <c r="X237" s="118"/>
    </row>
    <row r="238" spans="2:24" s="109" customFormat="1" ht="30" hidden="1" customHeight="1" x14ac:dyDescent="0.35">
      <c r="B238" s="151" t="s">
        <v>104</v>
      </c>
      <c r="C238" s="363"/>
      <c r="D238" s="364"/>
      <c r="E238" s="364"/>
      <c r="F238" s="364"/>
      <c r="G238" s="150">
        <f t="shared" si="68"/>
        <v>0</v>
      </c>
      <c r="H238" s="365"/>
      <c r="I238" s="364"/>
      <c r="J238" s="351"/>
      <c r="K238" s="366"/>
      <c r="L238" s="126"/>
      <c r="M238" s="120" t="s">
        <v>104</v>
      </c>
      <c r="N238" s="132"/>
      <c r="O238" s="420"/>
      <c r="P238" s="136"/>
      <c r="Q238" s="136"/>
      <c r="R238" s="129">
        <f t="shared" si="69"/>
        <v>0</v>
      </c>
      <c r="S238" s="413">
        <f t="shared" si="70"/>
        <v>0</v>
      </c>
      <c r="T238" s="134"/>
      <c r="U238" s="509"/>
      <c r="V238" s="378"/>
      <c r="W238" s="135"/>
      <c r="X238" s="118"/>
    </row>
    <row r="239" spans="2:24" s="109" customFormat="1" ht="30" hidden="1" customHeight="1" x14ac:dyDescent="0.35">
      <c r="B239" s="367"/>
      <c r="C239" s="368" t="s">
        <v>24</v>
      </c>
      <c r="D239" s="369">
        <f>SUM(D231:D238)</f>
        <v>0</v>
      </c>
      <c r="E239" s="369">
        <f>SUM(E231:E238)</f>
        <v>0</v>
      </c>
      <c r="F239" s="369">
        <f>SUM(F231:F238)</f>
        <v>0</v>
      </c>
      <c r="G239" s="369">
        <f>SUM(G231:G238)</f>
        <v>0</v>
      </c>
      <c r="H239" s="251">
        <f>(H231*G231)+(H232*G232)+(H233*G233)+(H234*G234)+(H235*G235)+(H236*G236)+(H237*G237)+(H238*G238)</f>
        <v>0</v>
      </c>
      <c r="I239" s="369">
        <f>SUM(I231:I238)</f>
        <v>0</v>
      </c>
      <c r="J239" s="370"/>
      <c r="K239" s="366"/>
      <c r="L239" s="142"/>
      <c r="N239" s="139" t="s">
        <v>24</v>
      </c>
      <c r="O239" s="431">
        <f>SUM(O231:O238)</f>
        <v>0</v>
      </c>
      <c r="P239" s="145">
        <f>SUM(P231:P238)</f>
        <v>0</v>
      </c>
      <c r="Q239" s="145">
        <f>SUM(Q231:Q238)</f>
        <v>0</v>
      </c>
      <c r="R239" s="140">
        <f>SUM(R231:R238)</f>
        <v>0</v>
      </c>
      <c r="S239" s="413">
        <f t="shared" si="70"/>
        <v>0</v>
      </c>
      <c r="T239" s="145">
        <f>(T231*R231)+(T232*R232)+(T233*R233)+(T234*R234)+(T235*R235)+(T236*R236)+(T237*R237)+(T238*R238)</f>
        <v>0</v>
      </c>
      <c r="U239" s="511">
        <f>SUM(U231:U238)</f>
        <v>0</v>
      </c>
      <c r="V239" s="536"/>
      <c r="W239" s="135"/>
      <c r="X239" s="118"/>
    </row>
    <row r="240" spans="2:24" s="109" customFormat="1" ht="15.5" hidden="1" x14ac:dyDescent="0.35">
      <c r="B240" s="385"/>
      <c r="C240" s="379"/>
      <c r="D240" s="386"/>
      <c r="E240" s="386"/>
      <c r="F240" s="386"/>
      <c r="G240" s="386"/>
      <c r="H240" s="387"/>
      <c r="I240" s="386"/>
      <c r="J240" s="388"/>
      <c r="K240" s="390"/>
      <c r="L240" s="167"/>
      <c r="M240" s="163"/>
      <c r="N240" s="155"/>
      <c r="O240" s="432"/>
      <c r="P240" s="165"/>
      <c r="Q240" s="165"/>
      <c r="R240" s="164"/>
      <c r="S240" s="452"/>
      <c r="T240" s="165"/>
      <c r="U240" s="516"/>
      <c r="V240" s="387"/>
      <c r="W240" s="169"/>
      <c r="X240" s="118"/>
    </row>
    <row r="241" spans="2:24" s="109" customFormat="1" ht="30" hidden="1" customHeight="1" x14ac:dyDescent="0.35">
      <c r="B241" s="368" t="s">
        <v>105</v>
      </c>
      <c r="C241" s="558"/>
      <c r="D241" s="558"/>
      <c r="E241" s="558"/>
      <c r="F241" s="558"/>
      <c r="G241" s="558"/>
      <c r="H241" s="558"/>
      <c r="I241" s="559"/>
      <c r="J241" s="559"/>
      <c r="K241" s="558"/>
      <c r="L241" s="117"/>
      <c r="M241" s="139" t="s">
        <v>105</v>
      </c>
      <c r="N241" s="555"/>
      <c r="O241" s="556"/>
      <c r="P241" s="556"/>
      <c r="Q241" s="556"/>
      <c r="R241" s="556"/>
      <c r="S241" s="556"/>
      <c r="T241" s="556"/>
      <c r="U241" s="556"/>
      <c r="V241" s="556"/>
      <c r="W241" s="557"/>
      <c r="X241" s="118"/>
    </row>
    <row r="242" spans="2:24" s="109" customFormat="1" ht="30" hidden="1" customHeight="1" x14ac:dyDescent="0.35">
      <c r="B242" s="371" t="s">
        <v>106</v>
      </c>
      <c r="C242" s="604"/>
      <c r="D242" s="604"/>
      <c r="E242" s="604"/>
      <c r="F242" s="604"/>
      <c r="G242" s="604"/>
      <c r="H242" s="604"/>
      <c r="I242" s="605"/>
      <c r="J242" s="605"/>
      <c r="K242" s="604"/>
      <c r="L242" s="119"/>
      <c r="M242" s="116" t="s">
        <v>106</v>
      </c>
      <c r="N242" s="572"/>
      <c r="O242" s="573"/>
      <c r="P242" s="573"/>
      <c r="Q242" s="573"/>
      <c r="R242" s="573"/>
      <c r="S242" s="573"/>
      <c r="T242" s="573"/>
      <c r="U242" s="573"/>
      <c r="V242" s="573"/>
      <c r="W242" s="574"/>
      <c r="X242" s="118"/>
    </row>
    <row r="243" spans="2:24" s="109" customFormat="1" ht="30" hidden="1" customHeight="1" x14ac:dyDescent="0.35">
      <c r="B243" s="151" t="s">
        <v>107</v>
      </c>
      <c r="C243" s="121"/>
      <c r="D243" s="162"/>
      <c r="E243" s="162"/>
      <c r="F243" s="162"/>
      <c r="G243" s="150">
        <f t="shared" ref="G243:G250" si="71">SUM(D243:F243)</f>
        <v>0</v>
      </c>
      <c r="H243" s="253"/>
      <c r="I243" s="162"/>
      <c r="J243" s="351"/>
      <c r="K243" s="352"/>
      <c r="L243" s="126"/>
      <c r="M243" s="120" t="s">
        <v>107</v>
      </c>
      <c r="N243" s="127"/>
      <c r="O243" s="420"/>
      <c r="P243" s="128"/>
      <c r="Q243" s="128"/>
      <c r="R243" s="129">
        <f>SUM(O243:Q243)</f>
        <v>0</v>
      </c>
      <c r="S243" s="413">
        <f>+R243-G243</f>
        <v>0</v>
      </c>
      <c r="T243" s="123"/>
      <c r="U243" s="509"/>
      <c r="V243" s="378"/>
      <c r="W243" s="125"/>
      <c r="X243" s="118"/>
    </row>
    <row r="244" spans="2:24" s="109" customFormat="1" ht="30" hidden="1" customHeight="1" x14ac:dyDescent="0.35">
      <c r="B244" s="151" t="s">
        <v>108</v>
      </c>
      <c r="C244" s="121"/>
      <c r="D244" s="162"/>
      <c r="E244" s="162"/>
      <c r="F244" s="162"/>
      <c r="G244" s="150">
        <f t="shared" si="71"/>
        <v>0</v>
      </c>
      <c r="H244" s="253"/>
      <c r="I244" s="162"/>
      <c r="J244" s="351"/>
      <c r="K244" s="352"/>
      <c r="L244" s="126"/>
      <c r="M244" s="120" t="s">
        <v>108</v>
      </c>
      <c r="N244" s="127"/>
      <c r="O244" s="420"/>
      <c r="P244" s="128"/>
      <c r="Q244" s="128"/>
      <c r="R244" s="129">
        <f t="shared" ref="R244:R250" si="72">SUM(O244:Q244)</f>
        <v>0</v>
      </c>
      <c r="S244" s="413">
        <f t="shared" ref="S244:S251" si="73">+R244-G244</f>
        <v>0</v>
      </c>
      <c r="T244" s="123"/>
      <c r="U244" s="509"/>
      <c r="V244" s="378"/>
      <c r="W244" s="125"/>
      <c r="X244" s="118"/>
    </row>
    <row r="245" spans="2:24" s="109" customFormat="1" ht="30" hidden="1" customHeight="1" x14ac:dyDescent="0.35">
      <c r="B245" s="151" t="s">
        <v>109</v>
      </c>
      <c r="C245" s="121"/>
      <c r="D245" s="162"/>
      <c r="E245" s="162"/>
      <c r="F245" s="162"/>
      <c r="G245" s="150">
        <f t="shared" si="71"/>
        <v>0</v>
      </c>
      <c r="H245" s="253"/>
      <c r="I245" s="162"/>
      <c r="J245" s="351"/>
      <c r="K245" s="352"/>
      <c r="L245" s="126"/>
      <c r="M245" s="120" t="s">
        <v>109</v>
      </c>
      <c r="N245" s="127"/>
      <c r="O245" s="420"/>
      <c r="P245" s="128"/>
      <c r="Q245" s="128"/>
      <c r="R245" s="129">
        <f t="shared" si="72"/>
        <v>0</v>
      </c>
      <c r="S245" s="413">
        <f t="shared" si="73"/>
        <v>0</v>
      </c>
      <c r="T245" s="123"/>
      <c r="U245" s="509"/>
      <c r="V245" s="378"/>
      <c r="W245" s="125"/>
      <c r="X245" s="118"/>
    </row>
    <row r="246" spans="2:24" s="109" customFormat="1" ht="30" hidden="1" customHeight="1" x14ac:dyDescent="0.35">
      <c r="B246" s="151" t="s">
        <v>110</v>
      </c>
      <c r="C246" s="121"/>
      <c r="D246" s="162"/>
      <c r="E246" s="162"/>
      <c r="F246" s="162"/>
      <c r="G246" s="150">
        <f t="shared" si="71"/>
        <v>0</v>
      </c>
      <c r="H246" s="253"/>
      <c r="I246" s="162"/>
      <c r="J246" s="351"/>
      <c r="K246" s="352"/>
      <c r="L246" s="126"/>
      <c r="M246" s="120" t="s">
        <v>110</v>
      </c>
      <c r="N246" s="127"/>
      <c r="O246" s="420"/>
      <c r="P246" s="128"/>
      <c r="Q246" s="128"/>
      <c r="R246" s="129">
        <f t="shared" si="72"/>
        <v>0</v>
      </c>
      <c r="S246" s="413">
        <f t="shared" si="73"/>
        <v>0</v>
      </c>
      <c r="T246" s="123"/>
      <c r="U246" s="509"/>
      <c r="V246" s="378"/>
      <c r="W246" s="125"/>
      <c r="X246" s="118"/>
    </row>
    <row r="247" spans="2:24" s="109" customFormat="1" ht="30" hidden="1" customHeight="1" x14ac:dyDescent="0.35">
      <c r="B247" s="151" t="s">
        <v>111</v>
      </c>
      <c r="C247" s="121"/>
      <c r="D247" s="162"/>
      <c r="E247" s="162"/>
      <c r="F247" s="162"/>
      <c r="G247" s="150">
        <f t="shared" si="71"/>
        <v>0</v>
      </c>
      <c r="H247" s="253"/>
      <c r="I247" s="162"/>
      <c r="J247" s="351"/>
      <c r="K247" s="352"/>
      <c r="L247" s="126"/>
      <c r="M247" s="120" t="s">
        <v>111</v>
      </c>
      <c r="N247" s="127"/>
      <c r="O247" s="420"/>
      <c r="P247" s="128"/>
      <c r="Q247" s="128"/>
      <c r="R247" s="129">
        <f t="shared" si="72"/>
        <v>0</v>
      </c>
      <c r="S247" s="413">
        <f t="shared" si="73"/>
        <v>0</v>
      </c>
      <c r="T247" s="123"/>
      <c r="U247" s="509"/>
      <c r="V247" s="378"/>
      <c r="W247" s="125"/>
      <c r="X247" s="118"/>
    </row>
    <row r="248" spans="2:24" s="109" customFormat="1" ht="30" hidden="1" customHeight="1" x14ac:dyDescent="0.35">
      <c r="B248" s="151" t="s">
        <v>112</v>
      </c>
      <c r="C248" s="121"/>
      <c r="D248" s="162"/>
      <c r="E248" s="162"/>
      <c r="F248" s="162"/>
      <c r="G248" s="150">
        <f t="shared" si="71"/>
        <v>0</v>
      </c>
      <c r="H248" s="253"/>
      <c r="I248" s="162"/>
      <c r="J248" s="351"/>
      <c r="K248" s="352"/>
      <c r="L248" s="126"/>
      <c r="M248" s="120" t="s">
        <v>112</v>
      </c>
      <c r="N248" s="127"/>
      <c r="O248" s="420"/>
      <c r="P248" s="128"/>
      <c r="Q248" s="128"/>
      <c r="R248" s="129">
        <f t="shared" si="72"/>
        <v>0</v>
      </c>
      <c r="S248" s="413">
        <f t="shared" si="73"/>
        <v>0</v>
      </c>
      <c r="T248" s="123"/>
      <c r="U248" s="509"/>
      <c r="V248" s="378"/>
      <c r="W248" s="125"/>
      <c r="X248" s="118"/>
    </row>
    <row r="249" spans="2:24" s="109" customFormat="1" ht="30" hidden="1" customHeight="1" x14ac:dyDescent="0.35">
      <c r="B249" s="151" t="s">
        <v>113</v>
      </c>
      <c r="C249" s="363"/>
      <c r="D249" s="364"/>
      <c r="E249" s="364"/>
      <c r="F249" s="364"/>
      <c r="G249" s="150">
        <f t="shared" si="71"/>
        <v>0</v>
      </c>
      <c r="H249" s="365"/>
      <c r="I249" s="364"/>
      <c r="J249" s="351"/>
      <c r="K249" s="366"/>
      <c r="L249" s="126"/>
      <c r="M249" s="120" t="s">
        <v>113</v>
      </c>
      <c r="N249" s="132"/>
      <c r="O249" s="420"/>
      <c r="P249" s="136"/>
      <c r="Q249" s="136"/>
      <c r="R249" s="129">
        <f t="shared" si="72"/>
        <v>0</v>
      </c>
      <c r="S249" s="413">
        <f t="shared" si="73"/>
        <v>0</v>
      </c>
      <c r="T249" s="134"/>
      <c r="U249" s="509"/>
      <c r="V249" s="378"/>
      <c r="W249" s="135"/>
      <c r="X249" s="118"/>
    </row>
    <row r="250" spans="2:24" s="109" customFormat="1" ht="30" hidden="1" customHeight="1" x14ac:dyDescent="0.35">
      <c r="B250" s="151" t="s">
        <v>114</v>
      </c>
      <c r="C250" s="363"/>
      <c r="D250" s="364"/>
      <c r="E250" s="364"/>
      <c r="F250" s="364"/>
      <c r="G250" s="150">
        <f t="shared" si="71"/>
        <v>0</v>
      </c>
      <c r="H250" s="365"/>
      <c r="I250" s="364"/>
      <c r="J250" s="351"/>
      <c r="K250" s="366"/>
      <c r="L250" s="126"/>
      <c r="M250" s="120" t="s">
        <v>114</v>
      </c>
      <c r="N250" s="132"/>
      <c r="O250" s="420"/>
      <c r="P250" s="136"/>
      <c r="Q250" s="136"/>
      <c r="R250" s="129">
        <f t="shared" si="72"/>
        <v>0</v>
      </c>
      <c r="S250" s="413">
        <f t="shared" si="73"/>
        <v>0</v>
      </c>
      <c r="T250" s="134"/>
      <c r="U250" s="509"/>
      <c r="V250" s="378"/>
      <c r="W250" s="135"/>
      <c r="X250" s="118"/>
    </row>
    <row r="251" spans="2:24" s="109" customFormat="1" ht="30" hidden="1" customHeight="1" x14ac:dyDescent="0.35">
      <c r="B251" s="367"/>
      <c r="C251" s="368" t="s">
        <v>24</v>
      </c>
      <c r="D251" s="369">
        <f>SUM(D243:D250)</f>
        <v>0</v>
      </c>
      <c r="E251" s="369">
        <f>SUM(E243:E250)</f>
        <v>0</v>
      </c>
      <c r="F251" s="369">
        <f>SUM(F243:F250)</f>
        <v>0</v>
      </c>
      <c r="G251" s="251">
        <f>SUM(G243:G250)</f>
        <v>0</v>
      </c>
      <c r="H251" s="251">
        <f>(H243*G243)+(H244*G244)+(H245*G245)+(H246*G246)+(H247*G247)+(H248*G248)+(H249*G249)+(H250*G250)</f>
        <v>0</v>
      </c>
      <c r="I251" s="369">
        <f>SUM(I243:I250)</f>
        <v>0</v>
      </c>
      <c r="J251" s="370"/>
      <c r="K251" s="366"/>
      <c r="L251" s="142"/>
      <c r="N251" s="139" t="s">
        <v>24</v>
      </c>
      <c r="O251" s="431">
        <f>SUM(O243:O250)</f>
        <v>0</v>
      </c>
      <c r="P251" s="145">
        <f>SUM(P243:P250)</f>
        <v>0</v>
      </c>
      <c r="Q251" s="145">
        <f>SUM(Q243:Q250)</f>
        <v>0</v>
      </c>
      <c r="R251" s="145">
        <f>SUM(R243:R250)</f>
        <v>0</v>
      </c>
      <c r="S251" s="413">
        <f t="shared" si="73"/>
        <v>0</v>
      </c>
      <c r="T251" s="145">
        <f>(T243*R243)+(T244*R244)+(T245*R245)+(T246*R246)+(T247*R247)+(T248*R248)+(T249*R249)+(T250*R250)</f>
        <v>0</v>
      </c>
      <c r="U251" s="511">
        <f>SUM(U243:U250)</f>
        <v>0</v>
      </c>
      <c r="V251" s="536"/>
      <c r="W251" s="135"/>
      <c r="X251" s="118"/>
    </row>
    <row r="252" spans="2:24" s="109" customFormat="1" ht="30" hidden="1" customHeight="1" x14ac:dyDescent="0.35">
      <c r="B252" s="116" t="s">
        <v>115</v>
      </c>
      <c r="C252" s="606"/>
      <c r="D252" s="606"/>
      <c r="E252" s="606"/>
      <c r="F252" s="606"/>
      <c r="G252" s="606"/>
      <c r="H252" s="606"/>
      <c r="I252" s="607"/>
      <c r="J252" s="607"/>
      <c r="K252" s="606"/>
      <c r="L252" s="119"/>
      <c r="M252" s="116" t="s">
        <v>115</v>
      </c>
      <c r="N252" s="572"/>
      <c r="O252" s="573"/>
      <c r="P252" s="573"/>
      <c r="Q252" s="573"/>
      <c r="R252" s="573"/>
      <c r="S252" s="573"/>
      <c r="T252" s="573"/>
      <c r="U252" s="573"/>
      <c r="V252" s="573"/>
      <c r="W252" s="574"/>
      <c r="X252" s="118"/>
    </row>
    <row r="253" spans="2:24" s="109" customFormat="1" ht="30" hidden="1" customHeight="1" x14ac:dyDescent="0.35">
      <c r="B253" s="120" t="s">
        <v>116</v>
      </c>
      <c r="C253" s="127"/>
      <c r="D253" s="131"/>
      <c r="E253" s="131"/>
      <c r="F253" s="131"/>
      <c r="G253" s="129">
        <f t="shared" ref="G253:G260" si="74">SUM(D253:F253)</f>
        <v>0</v>
      </c>
      <c r="H253" s="123"/>
      <c r="I253" s="131"/>
      <c r="J253" s="124"/>
      <c r="K253" s="125"/>
      <c r="L253" s="126"/>
      <c r="M253" s="120" t="s">
        <v>116</v>
      </c>
      <c r="N253" s="127"/>
      <c r="O253" s="420"/>
      <c r="P253" s="128"/>
      <c r="Q253" s="128"/>
      <c r="R253" s="129">
        <f>SUM(O253:Q253)</f>
        <v>0</v>
      </c>
      <c r="S253" s="413">
        <f>+R253-G253</f>
        <v>0</v>
      </c>
      <c r="T253" s="123"/>
      <c r="U253" s="509"/>
      <c r="V253" s="378"/>
      <c r="W253" s="125"/>
      <c r="X253" s="118"/>
    </row>
    <row r="254" spans="2:24" s="109" customFormat="1" ht="30" hidden="1" customHeight="1" x14ac:dyDescent="0.35">
      <c r="B254" s="120" t="s">
        <v>117</v>
      </c>
      <c r="C254" s="127"/>
      <c r="D254" s="131"/>
      <c r="E254" s="131"/>
      <c r="F254" s="131"/>
      <c r="G254" s="129">
        <f t="shared" si="74"/>
        <v>0</v>
      </c>
      <c r="H254" s="123"/>
      <c r="I254" s="131"/>
      <c r="J254" s="124"/>
      <c r="K254" s="125"/>
      <c r="L254" s="126"/>
      <c r="M254" s="120" t="s">
        <v>117</v>
      </c>
      <c r="N254" s="127"/>
      <c r="O254" s="420"/>
      <c r="P254" s="128"/>
      <c r="Q254" s="128"/>
      <c r="R254" s="129">
        <f t="shared" ref="R254:R260" si="75">SUM(O254:Q254)</f>
        <v>0</v>
      </c>
      <c r="S254" s="413">
        <f t="shared" ref="S254:S261" si="76">+R254-G254</f>
        <v>0</v>
      </c>
      <c r="T254" s="123"/>
      <c r="U254" s="509"/>
      <c r="V254" s="378"/>
      <c r="W254" s="125"/>
      <c r="X254" s="118"/>
    </row>
    <row r="255" spans="2:24" s="109" customFormat="1" ht="30" hidden="1" customHeight="1" x14ac:dyDescent="0.35">
      <c r="B255" s="120" t="s">
        <v>118</v>
      </c>
      <c r="C255" s="127"/>
      <c r="D255" s="131"/>
      <c r="E255" s="131"/>
      <c r="F255" s="131"/>
      <c r="G255" s="129">
        <f t="shared" si="74"/>
        <v>0</v>
      </c>
      <c r="H255" s="123"/>
      <c r="I255" s="131"/>
      <c r="J255" s="124"/>
      <c r="K255" s="125"/>
      <c r="L255" s="126"/>
      <c r="M255" s="120" t="s">
        <v>118</v>
      </c>
      <c r="N255" s="127"/>
      <c r="O255" s="420"/>
      <c r="P255" s="128"/>
      <c r="Q255" s="128"/>
      <c r="R255" s="129">
        <f t="shared" si="75"/>
        <v>0</v>
      </c>
      <c r="S255" s="413">
        <f t="shared" si="76"/>
        <v>0</v>
      </c>
      <c r="T255" s="123"/>
      <c r="U255" s="509"/>
      <c r="V255" s="378"/>
      <c r="W255" s="125"/>
      <c r="X255" s="118"/>
    </row>
    <row r="256" spans="2:24" s="109" customFormat="1" ht="30" hidden="1" customHeight="1" x14ac:dyDescent="0.35">
      <c r="B256" s="120" t="s">
        <v>119</v>
      </c>
      <c r="C256" s="127"/>
      <c r="D256" s="131"/>
      <c r="E256" s="131"/>
      <c r="F256" s="131"/>
      <c r="G256" s="129">
        <f t="shared" si="74"/>
        <v>0</v>
      </c>
      <c r="H256" s="123"/>
      <c r="I256" s="131"/>
      <c r="J256" s="124"/>
      <c r="K256" s="125"/>
      <c r="L256" s="126"/>
      <c r="M256" s="120" t="s">
        <v>119</v>
      </c>
      <c r="N256" s="127"/>
      <c r="O256" s="420"/>
      <c r="P256" s="128"/>
      <c r="Q256" s="128"/>
      <c r="R256" s="129">
        <f t="shared" si="75"/>
        <v>0</v>
      </c>
      <c r="S256" s="413">
        <f t="shared" si="76"/>
        <v>0</v>
      </c>
      <c r="T256" s="123"/>
      <c r="U256" s="509"/>
      <c r="V256" s="378"/>
      <c r="W256" s="125"/>
      <c r="X256" s="118"/>
    </row>
    <row r="257" spans="2:24" s="109" customFormat="1" ht="30" hidden="1" customHeight="1" x14ac:dyDescent="0.35">
      <c r="B257" s="120" t="s">
        <v>120</v>
      </c>
      <c r="C257" s="127"/>
      <c r="D257" s="131"/>
      <c r="E257" s="131"/>
      <c r="F257" s="131"/>
      <c r="G257" s="129">
        <f t="shared" si="74"/>
        <v>0</v>
      </c>
      <c r="H257" s="123"/>
      <c r="I257" s="131"/>
      <c r="J257" s="124"/>
      <c r="K257" s="125"/>
      <c r="L257" s="126"/>
      <c r="M257" s="120" t="s">
        <v>120</v>
      </c>
      <c r="N257" s="127"/>
      <c r="O257" s="420"/>
      <c r="P257" s="128"/>
      <c r="Q257" s="128"/>
      <c r="R257" s="129">
        <f t="shared" si="75"/>
        <v>0</v>
      </c>
      <c r="S257" s="413">
        <f t="shared" si="76"/>
        <v>0</v>
      </c>
      <c r="T257" s="123"/>
      <c r="U257" s="509"/>
      <c r="V257" s="378"/>
      <c r="W257" s="125"/>
      <c r="X257" s="118"/>
    </row>
    <row r="258" spans="2:24" s="109" customFormat="1" ht="30" hidden="1" customHeight="1" x14ac:dyDescent="0.35">
      <c r="B258" s="120" t="s">
        <v>121</v>
      </c>
      <c r="C258" s="127"/>
      <c r="D258" s="131"/>
      <c r="E258" s="131"/>
      <c r="F258" s="131"/>
      <c r="G258" s="129">
        <f t="shared" si="74"/>
        <v>0</v>
      </c>
      <c r="H258" s="123"/>
      <c r="I258" s="131"/>
      <c r="J258" s="124"/>
      <c r="K258" s="125"/>
      <c r="L258" s="126"/>
      <c r="M258" s="120" t="s">
        <v>121</v>
      </c>
      <c r="N258" s="127"/>
      <c r="O258" s="420"/>
      <c r="P258" s="128"/>
      <c r="Q258" s="128"/>
      <c r="R258" s="129">
        <f t="shared" si="75"/>
        <v>0</v>
      </c>
      <c r="S258" s="413">
        <f t="shared" si="76"/>
        <v>0</v>
      </c>
      <c r="T258" s="123"/>
      <c r="U258" s="509"/>
      <c r="V258" s="378"/>
      <c r="W258" s="125"/>
      <c r="X258" s="118"/>
    </row>
    <row r="259" spans="2:24" s="109" customFormat="1" ht="30" hidden="1" customHeight="1" x14ac:dyDescent="0.35">
      <c r="B259" s="120" t="s">
        <v>122</v>
      </c>
      <c r="C259" s="132"/>
      <c r="D259" s="133"/>
      <c r="E259" s="133"/>
      <c r="F259" s="133"/>
      <c r="G259" s="129">
        <f t="shared" si="74"/>
        <v>0</v>
      </c>
      <c r="H259" s="134"/>
      <c r="I259" s="133"/>
      <c r="J259" s="124"/>
      <c r="K259" s="135"/>
      <c r="L259" s="126"/>
      <c r="M259" s="120" t="s">
        <v>122</v>
      </c>
      <c r="N259" s="132"/>
      <c r="O259" s="420"/>
      <c r="P259" s="136"/>
      <c r="Q259" s="136"/>
      <c r="R259" s="129">
        <f t="shared" si="75"/>
        <v>0</v>
      </c>
      <c r="S259" s="413">
        <f t="shared" si="76"/>
        <v>0</v>
      </c>
      <c r="T259" s="134"/>
      <c r="U259" s="509"/>
      <c r="V259" s="378"/>
      <c r="W259" s="135"/>
      <c r="X259" s="118"/>
    </row>
    <row r="260" spans="2:24" s="109" customFormat="1" ht="30" hidden="1" customHeight="1" x14ac:dyDescent="0.35">
      <c r="B260" s="120" t="s">
        <v>123</v>
      </c>
      <c r="C260" s="132"/>
      <c r="D260" s="133"/>
      <c r="E260" s="133"/>
      <c r="F260" s="133"/>
      <c r="G260" s="129">
        <f t="shared" si="74"/>
        <v>0</v>
      </c>
      <c r="H260" s="134"/>
      <c r="I260" s="133"/>
      <c r="J260" s="124"/>
      <c r="K260" s="135"/>
      <c r="L260" s="126"/>
      <c r="M260" s="120" t="s">
        <v>123</v>
      </c>
      <c r="N260" s="132"/>
      <c r="O260" s="420"/>
      <c r="P260" s="136"/>
      <c r="Q260" s="136"/>
      <c r="R260" s="129">
        <f t="shared" si="75"/>
        <v>0</v>
      </c>
      <c r="S260" s="413">
        <f t="shared" si="76"/>
        <v>0</v>
      </c>
      <c r="T260" s="134"/>
      <c r="U260" s="509"/>
      <c r="V260" s="378"/>
      <c r="W260" s="135"/>
      <c r="X260" s="118"/>
    </row>
    <row r="261" spans="2:24" s="109" customFormat="1" ht="30" hidden="1" customHeight="1" x14ac:dyDescent="0.35">
      <c r="C261" s="139" t="s">
        <v>24</v>
      </c>
      <c r="D261" s="145">
        <f>SUM(D253:D260)</f>
        <v>0</v>
      </c>
      <c r="E261" s="145">
        <f>SUM(E253:E260)</f>
        <v>0</v>
      </c>
      <c r="F261" s="145">
        <f>SUM(F253:F260)</f>
        <v>0</v>
      </c>
      <c r="G261" s="145">
        <f>SUM(G253:G260)</f>
        <v>0</v>
      </c>
      <c r="H261" s="145">
        <f>(H253*G253)+(H254*G254)+(H255*G255)+(H256*G256)+(H257*G257)+(H258*G258)+(H259*G259)+(H260*G260)</f>
        <v>0</v>
      </c>
      <c r="I261" s="140">
        <f>SUM(I253:I260)</f>
        <v>0</v>
      </c>
      <c r="J261" s="141"/>
      <c r="K261" s="135"/>
      <c r="L261" s="142"/>
      <c r="N261" s="139" t="s">
        <v>24</v>
      </c>
      <c r="O261" s="433">
        <f>SUM(O253:O260)</f>
        <v>0</v>
      </c>
      <c r="P261" s="145">
        <f>SUM(P253:P260)</f>
        <v>0</v>
      </c>
      <c r="Q261" s="145">
        <f>SUM(Q253:Q260)</f>
        <v>0</v>
      </c>
      <c r="R261" s="145">
        <f>SUM(R253:R260)</f>
        <v>0</v>
      </c>
      <c r="S261" s="413">
        <f t="shared" si="76"/>
        <v>0</v>
      </c>
      <c r="T261" s="145">
        <f>(T253*R253)+(T254*R254)+(T255*R255)+(T256*R256)+(T257*R257)+(T258*R258)+(T259*R259)+(T260*R260)</f>
        <v>0</v>
      </c>
      <c r="U261" s="511">
        <f>SUM(U253:U260)</f>
        <v>0</v>
      </c>
      <c r="V261" s="536"/>
      <c r="W261" s="135"/>
      <c r="X261" s="118"/>
    </row>
    <row r="262" spans="2:24" s="109" customFormat="1" ht="30" hidden="1" customHeight="1" x14ac:dyDescent="0.35">
      <c r="B262" s="116" t="s">
        <v>124</v>
      </c>
      <c r="C262" s="606"/>
      <c r="D262" s="606"/>
      <c r="E262" s="606"/>
      <c r="F262" s="606"/>
      <c r="G262" s="606"/>
      <c r="H262" s="606"/>
      <c r="I262" s="607"/>
      <c r="J262" s="607"/>
      <c r="K262" s="606"/>
      <c r="L262" s="119"/>
      <c r="M262" s="116" t="s">
        <v>124</v>
      </c>
      <c r="N262" s="572"/>
      <c r="O262" s="573"/>
      <c r="P262" s="573"/>
      <c r="Q262" s="573"/>
      <c r="R262" s="573"/>
      <c r="S262" s="573"/>
      <c r="T262" s="573"/>
      <c r="U262" s="573"/>
      <c r="V262" s="573"/>
      <c r="W262" s="574"/>
      <c r="X262" s="118"/>
    </row>
    <row r="263" spans="2:24" s="109" customFormat="1" ht="30" hidden="1" customHeight="1" x14ac:dyDescent="0.35">
      <c r="B263" s="120" t="s">
        <v>125</v>
      </c>
      <c r="C263" s="127"/>
      <c r="D263" s="131"/>
      <c r="E263" s="131"/>
      <c r="F263" s="131"/>
      <c r="G263" s="129">
        <f t="shared" ref="G263:G270" si="77">SUM(D263:F263)</f>
        <v>0</v>
      </c>
      <c r="H263" s="123"/>
      <c r="I263" s="131"/>
      <c r="J263" s="124"/>
      <c r="K263" s="125"/>
      <c r="L263" s="126"/>
      <c r="M263" s="120" t="s">
        <v>125</v>
      </c>
      <c r="N263" s="127"/>
      <c r="O263" s="420"/>
      <c r="P263" s="128"/>
      <c r="Q263" s="128"/>
      <c r="R263" s="129">
        <f>SUM(O263:Q263)</f>
        <v>0</v>
      </c>
      <c r="S263" s="413">
        <f>+R263-G263</f>
        <v>0</v>
      </c>
      <c r="T263" s="123"/>
      <c r="U263" s="509"/>
      <c r="V263" s="378"/>
      <c r="W263" s="125"/>
      <c r="X263" s="118"/>
    </row>
    <row r="264" spans="2:24" s="109" customFormat="1" ht="30" hidden="1" customHeight="1" x14ac:dyDescent="0.35">
      <c r="B264" s="120" t="s">
        <v>126</v>
      </c>
      <c r="C264" s="127"/>
      <c r="D264" s="131"/>
      <c r="E264" s="131"/>
      <c r="F264" s="131"/>
      <c r="G264" s="129">
        <f t="shared" si="77"/>
        <v>0</v>
      </c>
      <c r="H264" s="123"/>
      <c r="I264" s="131"/>
      <c r="J264" s="124"/>
      <c r="K264" s="125"/>
      <c r="L264" s="126"/>
      <c r="M264" s="120" t="s">
        <v>126</v>
      </c>
      <c r="N264" s="127"/>
      <c r="O264" s="420"/>
      <c r="P264" s="128"/>
      <c r="Q264" s="128"/>
      <c r="R264" s="129">
        <f t="shared" ref="R264:R270" si="78">SUM(O264:Q264)</f>
        <v>0</v>
      </c>
      <c r="S264" s="413">
        <f t="shared" ref="S264:S271" si="79">+R264-G264</f>
        <v>0</v>
      </c>
      <c r="T264" s="123"/>
      <c r="U264" s="509"/>
      <c r="V264" s="378"/>
      <c r="W264" s="125"/>
      <c r="X264" s="118"/>
    </row>
    <row r="265" spans="2:24" s="109" customFormat="1" ht="30" hidden="1" customHeight="1" x14ac:dyDescent="0.35">
      <c r="B265" s="120" t="s">
        <v>127</v>
      </c>
      <c r="C265" s="127"/>
      <c r="D265" s="131"/>
      <c r="E265" s="131"/>
      <c r="F265" s="131"/>
      <c r="G265" s="129">
        <f t="shared" si="77"/>
        <v>0</v>
      </c>
      <c r="H265" s="123"/>
      <c r="I265" s="131"/>
      <c r="J265" s="124"/>
      <c r="K265" s="125"/>
      <c r="L265" s="126"/>
      <c r="M265" s="120" t="s">
        <v>127</v>
      </c>
      <c r="N265" s="127"/>
      <c r="O265" s="420"/>
      <c r="P265" s="128"/>
      <c r="Q265" s="128"/>
      <c r="R265" s="129">
        <f t="shared" si="78"/>
        <v>0</v>
      </c>
      <c r="S265" s="413">
        <f t="shared" si="79"/>
        <v>0</v>
      </c>
      <c r="T265" s="123"/>
      <c r="U265" s="509"/>
      <c r="V265" s="378"/>
      <c r="W265" s="125"/>
      <c r="X265" s="118"/>
    </row>
    <row r="266" spans="2:24" s="109" customFormat="1" ht="30" hidden="1" customHeight="1" x14ac:dyDescent="0.35">
      <c r="B266" s="120" t="s">
        <v>128</v>
      </c>
      <c r="C266" s="127"/>
      <c r="D266" s="131"/>
      <c r="E266" s="131"/>
      <c r="F266" s="131"/>
      <c r="G266" s="129">
        <f t="shared" si="77"/>
        <v>0</v>
      </c>
      <c r="H266" s="123"/>
      <c r="I266" s="131"/>
      <c r="J266" s="124"/>
      <c r="K266" s="125"/>
      <c r="L266" s="126"/>
      <c r="M266" s="120" t="s">
        <v>128</v>
      </c>
      <c r="N266" s="127"/>
      <c r="O266" s="420"/>
      <c r="P266" s="128"/>
      <c r="Q266" s="128"/>
      <c r="R266" s="129">
        <f t="shared" si="78"/>
        <v>0</v>
      </c>
      <c r="S266" s="413">
        <f t="shared" si="79"/>
        <v>0</v>
      </c>
      <c r="T266" s="123"/>
      <c r="U266" s="509"/>
      <c r="V266" s="378"/>
      <c r="W266" s="125"/>
      <c r="X266" s="118"/>
    </row>
    <row r="267" spans="2:24" s="109" customFormat="1" ht="30" hidden="1" customHeight="1" x14ac:dyDescent="0.35">
      <c r="B267" s="120" t="s">
        <v>129</v>
      </c>
      <c r="C267" s="127"/>
      <c r="D267" s="131"/>
      <c r="E267" s="131"/>
      <c r="F267" s="131"/>
      <c r="G267" s="129">
        <f t="shared" si="77"/>
        <v>0</v>
      </c>
      <c r="H267" s="123"/>
      <c r="I267" s="131"/>
      <c r="J267" s="124"/>
      <c r="K267" s="125"/>
      <c r="L267" s="126"/>
      <c r="M267" s="120" t="s">
        <v>129</v>
      </c>
      <c r="N267" s="127"/>
      <c r="O267" s="420"/>
      <c r="P267" s="128"/>
      <c r="Q267" s="128"/>
      <c r="R267" s="129">
        <f t="shared" si="78"/>
        <v>0</v>
      </c>
      <c r="S267" s="413">
        <f t="shared" si="79"/>
        <v>0</v>
      </c>
      <c r="T267" s="123"/>
      <c r="U267" s="509"/>
      <c r="V267" s="378"/>
      <c r="W267" s="125"/>
      <c r="X267" s="118"/>
    </row>
    <row r="268" spans="2:24" s="109" customFormat="1" ht="30" hidden="1" customHeight="1" x14ac:dyDescent="0.35">
      <c r="B268" s="120" t="s">
        <v>130</v>
      </c>
      <c r="C268" s="127"/>
      <c r="D268" s="131"/>
      <c r="E268" s="131"/>
      <c r="F268" s="131"/>
      <c r="G268" s="129">
        <f t="shared" si="77"/>
        <v>0</v>
      </c>
      <c r="H268" s="123"/>
      <c r="I268" s="131"/>
      <c r="J268" s="124"/>
      <c r="K268" s="125"/>
      <c r="L268" s="126"/>
      <c r="M268" s="120" t="s">
        <v>130</v>
      </c>
      <c r="N268" s="127"/>
      <c r="O268" s="420"/>
      <c r="P268" s="128"/>
      <c r="Q268" s="128"/>
      <c r="R268" s="129">
        <f t="shared" si="78"/>
        <v>0</v>
      </c>
      <c r="S268" s="413">
        <f t="shared" si="79"/>
        <v>0</v>
      </c>
      <c r="T268" s="123"/>
      <c r="U268" s="509"/>
      <c r="V268" s="378"/>
      <c r="W268" s="125"/>
      <c r="X268" s="118"/>
    </row>
    <row r="269" spans="2:24" s="109" customFormat="1" ht="30" hidden="1" customHeight="1" x14ac:dyDescent="0.35">
      <c r="B269" s="120" t="s">
        <v>131</v>
      </c>
      <c r="C269" s="132"/>
      <c r="D269" s="133"/>
      <c r="E269" s="133"/>
      <c r="F269" s="133"/>
      <c r="G269" s="129">
        <f t="shared" si="77"/>
        <v>0</v>
      </c>
      <c r="H269" s="134"/>
      <c r="I269" s="133"/>
      <c r="J269" s="124"/>
      <c r="K269" s="135"/>
      <c r="L269" s="126"/>
      <c r="M269" s="120" t="s">
        <v>131</v>
      </c>
      <c r="N269" s="132"/>
      <c r="O269" s="420"/>
      <c r="P269" s="136"/>
      <c r="Q269" s="136"/>
      <c r="R269" s="129">
        <f t="shared" si="78"/>
        <v>0</v>
      </c>
      <c r="S269" s="413">
        <f t="shared" si="79"/>
        <v>0</v>
      </c>
      <c r="T269" s="134"/>
      <c r="U269" s="509"/>
      <c r="V269" s="378"/>
      <c r="W269" s="135"/>
      <c r="X269" s="118"/>
    </row>
    <row r="270" spans="2:24" s="109" customFormat="1" ht="30" hidden="1" customHeight="1" x14ac:dyDescent="0.35">
      <c r="B270" s="120" t="s">
        <v>132</v>
      </c>
      <c r="C270" s="132"/>
      <c r="D270" s="133"/>
      <c r="E270" s="133"/>
      <c r="F270" s="133"/>
      <c r="G270" s="129">
        <f t="shared" si="77"/>
        <v>0</v>
      </c>
      <c r="H270" s="134"/>
      <c r="I270" s="133"/>
      <c r="J270" s="124"/>
      <c r="K270" s="135"/>
      <c r="L270" s="126"/>
      <c r="M270" s="120" t="s">
        <v>132</v>
      </c>
      <c r="N270" s="132"/>
      <c r="O270" s="420"/>
      <c r="P270" s="136"/>
      <c r="Q270" s="136"/>
      <c r="R270" s="129">
        <f t="shared" si="78"/>
        <v>0</v>
      </c>
      <c r="S270" s="413">
        <f t="shared" si="79"/>
        <v>0</v>
      </c>
      <c r="T270" s="134"/>
      <c r="U270" s="509"/>
      <c r="V270" s="378"/>
      <c r="W270" s="135"/>
      <c r="X270" s="118"/>
    </row>
    <row r="271" spans="2:24" s="109" customFormat="1" ht="30" hidden="1" customHeight="1" x14ac:dyDescent="0.35">
      <c r="C271" s="139" t="s">
        <v>24</v>
      </c>
      <c r="D271" s="145">
        <f>SUM(D263:D270)</f>
        <v>0</v>
      </c>
      <c r="E271" s="145">
        <f>SUM(E263:E270)</f>
        <v>0</v>
      </c>
      <c r="F271" s="145">
        <f>SUM(F263:F270)</f>
        <v>0</v>
      </c>
      <c r="G271" s="145">
        <f>SUM(G263:G270)</f>
        <v>0</v>
      </c>
      <c r="H271" s="145">
        <f>(H263*G263)+(H264*G264)+(H265*G265)+(H266*G266)+(H267*G267)+(H268*G268)+(H269*G269)+(H270*G270)</f>
        <v>0</v>
      </c>
      <c r="I271" s="140">
        <f>SUM(I263:I270)</f>
        <v>0</v>
      </c>
      <c r="J271" s="141"/>
      <c r="K271" s="135"/>
      <c r="L271" s="142"/>
      <c r="N271" s="139" t="s">
        <v>24</v>
      </c>
      <c r="O271" s="433">
        <f>SUM(O263:O270)</f>
        <v>0</v>
      </c>
      <c r="P271" s="145">
        <f>SUM(P263:P270)</f>
        <v>0</v>
      </c>
      <c r="Q271" s="145">
        <f>SUM(Q263:Q270)</f>
        <v>0</v>
      </c>
      <c r="R271" s="145">
        <f>SUM(R263:R270)</f>
        <v>0</v>
      </c>
      <c r="S271" s="413">
        <f t="shared" si="79"/>
        <v>0</v>
      </c>
      <c r="T271" s="145">
        <f>(T263*R263)+(T264*R264)+(T265*R265)+(T266*R266)+(T267*R267)+(T268*R268)+(T269*R269)+(T270*R270)</f>
        <v>0</v>
      </c>
      <c r="U271" s="511">
        <f>SUM(U263:U270)</f>
        <v>0</v>
      </c>
      <c r="V271" s="536"/>
      <c r="W271" s="135"/>
      <c r="X271" s="118"/>
    </row>
    <row r="272" spans="2:24" s="109" customFormat="1" ht="30" hidden="1" customHeight="1" x14ac:dyDescent="0.35">
      <c r="B272" s="116" t="s">
        <v>133</v>
      </c>
      <c r="C272" s="606"/>
      <c r="D272" s="606"/>
      <c r="E272" s="606"/>
      <c r="F272" s="606"/>
      <c r="G272" s="606"/>
      <c r="H272" s="606"/>
      <c r="I272" s="607"/>
      <c r="J272" s="607"/>
      <c r="K272" s="606"/>
      <c r="L272" s="119"/>
      <c r="M272" s="116" t="s">
        <v>133</v>
      </c>
      <c r="N272" s="572"/>
      <c r="O272" s="573"/>
      <c r="P272" s="573"/>
      <c r="Q272" s="573"/>
      <c r="R272" s="573"/>
      <c r="S272" s="573"/>
      <c r="T272" s="573"/>
      <c r="U272" s="573"/>
      <c r="V272" s="573"/>
      <c r="W272" s="574"/>
      <c r="X272" s="118"/>
    </row>
    <row r="273" spans="2:24" s="109" customFormat="1" ht="30" hidden="1" customHeight="1" x14ac:dyDescent="0.35">
      <c r="B273" s="120" t="s">
        <v>134</v>
      </c>
      <c r="C273" s="127"/>
      <c r="D273" s="131"/>
      <c r="E273" s="131"/>
      <c r="F273" s="131"/>
      <c r="G273" s="129">
        <f t="shared" ref="G273:G280" si="80">SUM(D273:F273)</f>
        <v>0</v>
      </c>
      <c r="H273" s="123"/>
      <c r="I273" s="131"/>
      <c r="J273" s="124"/>
      <c r="K273" s="125"/>
      <c r="L273" s="126"/>
      <c r="M273" s="120" t="s">
        <v>134</v>
      </c>
      <c r="N273" s="127"/>
      <c r="O273" s="420"/>
      <c r="P273" s="128"/>
      <c r="Q273" s="128"/>
      <c r="R273" s="129">
        <f>SUM(O273:Q273)</f>
        <v>0</v>
      </c>
      <c r="S273" s="413">
        <f>+R273-G273</f>
        <v>0</v>
      </c>
      <c r="T273" s="123"/>
      <c r="U273" s="509"/>
      <c r="V273" s="378"/>
      <c r="W273" s="125"/>
      <c r="X273" s="118"/>
    </row>
    <row r="274" spans="2:24" s="109" customFormat="1" ht="30" hidden="1" customHeight="1" x14ac:dyDescent="0.35">
      <c r="B274" s="120" t="s">
        <v>135</v>
      </c>
      <c r="C274" s="127"/>
      <c r="D274" s="131"/>
      <c r="E274" s="131"/>
      <c r="F274" s="131"/>
      <c r="G274" s="129">
        <f t="shared" si="80"/>
        <v>0</v>
      </c>
      <c r="H274" s="123"/>
      <c r="I274" s="131"/>
      <c r="J274" s="124"/>
      <c r="K274" s="125"/>
      <c r="L274" s="126"/>
      <c r="M274" s="120" t="s">
        <v>135</v>
      </c>
      <c r="N274" s="127"/>
      <c r="O274" s="420"/>
      <c r="P274" s="128"/>
      <c r="Q274" s="128"/>
      <c r="R274" s="129">
        <f t="shared" ref="R274:R280" si="81">SUM(O274:Q274)</f>
        <v>0</v>
      </c>
      <c r="S274" s="413">
        <f t="shared" ref="S274:S301" si="82">+R274-G274</f>
        <v>0</v>
      </c>
      <c r="T274" s="123"/>
      <c r="U274" s="509"/>
      <c r="V274" s="378"/>
      <c r="W274" s="125"/>
      <c r="X274" s="118"/>
    </row>
    <row r="275" spans="2:24" s="109" customFormat="1" ht="30" hidden="1" customHeight="1" x14ac:dyDescent="0.35">
      <c r="B275" s="120" t="s">
        <v>136</v>
      </c>
      <c r="C275" s="127"/>
      <c r="D275" s="131"/>
      <c r="E275" s="131"/>
      <c r="F275" s="131"/>
      <c r="G275" s="129">
        <f t="shared" si="80"/>
        <v>0</v>
      </c>
      <c r="H275" s="123"/>
      <c r="I275" s="131"/>
      <c r="J275" s="124"/>
      <c r="K275" s="125"/>
      <c r="L275" s="126"/>
      <c r="M275" s="120" t="s">
        <v>136</v>
      </c>
      <c r="N275" s="127"/>
      <c r="O275" s="420"/>
      <c r="P275" s="128"/>
      <c r="Q275" s="128"/>
      <c r="R275" s="129">
        <f t="shared" si="81"/>
        <v>0</v>
      </c>
      <c r="S275" s="413">
        <f t="shared" si="82"/>
        <v>0</v>
      </c>
      <c r="T275" s="123"/>
      <c r="U275" s="509"/>
      <c r="V275" s="378"/>
      <c r="W275" s="125"/>
      <c r="X275" s="118"/>
    </row>
    <row r="276" spans="2:24" s="109" customFormat="1" ht="30" hidden="1" customHeight="1" x14ac:dyDescent="0.35">
      <c r="B276" s="120" t="s">
        <v>137</v>
      </c>
      <c r="C276" s="127"/>
      <c r="D276" s="131"/>
      <c r="E276" s="131"/>
      <c r="F276" s="131"/>
      <c r="G276" s="129">
        <f t="shared" si="80"/>
        <v>0</v>
      </c>
      <c r="H276" s="123"/>
      <c r="I276" s="131"/>
      <c r="J276" s="124"/>
      <c r="K276" s="125"/>
      <c r="L276" s="126"/>
      <c r="M276" s="120" t="s">
        <v>137</v>
      </c>
      <c r="N276" s="127"/>
      <c r="O276" s="420"/>
      <c r="P276" s="128"/>
      <c r="Q276" s="128"/>
      <c r="R276" s="129">
        <f t="shared" si="81"/>
        <v>0</v>
      </c>
      <c r="S276" s="413">
        <f t="shared" si="82"/>
        <v>0</v>
      </c>
      <c r="T276" s="123"/>
      <c r="U276" s="509"/>
      <c r="V276" s="378"/>
      <c r="W276" s="125"/>
      <c r="X276" s="118"/>
    </row>
    <row r="277" spans="2:24" s="109" customFormat="1" ht="30" hidden="1" customHeight="1" x14ac:dyDescent="0.35">
      <c r="B277" s="120" t="s">
        <v>138</v>
      </c>
      <c r="C277" s="127"/>
      <c r="D277" s="131"/>
      <c r="E277" s="131"/>
      <c r="F277" s="131"/>
      <c r="G277" s="129">
        <f t="shared" si="80"/>
        <v>0</v>
      </c>
      <c r="H277" s="123"/>
      <c r="I277" s="131"/>
      <c r="J277" s="124"/>
      <c r="K277" s="125"/>
      <c r="L277" s="126"/>
      <c r="M277" s="120" t="s">
        <v>138</v>
      </c>
      <c r="N277" s="127"/>
      <c r="O277" s="420"/>
      <c r="P277" s="128"/>
      <c r="Q277" s="128"/>
      <c r="R277" s="129">
        <f>SUM(O277:Q277)</f>
        <v>0</v>
      </c>
      <c r="S277" s="413">
        <f t="shared" si="82"/>
        <v>0</v>
      </c>
      <c r="T277" s="123"/>
      <c r="U277" s="509"/>
      <c r="V277" s="378"/>
      <c r="W277" s="125"/>
      <c r="X277" s="118"/>
    </row>
    <row r="278" spans="2:24" s="109" customFormat="1" ht="30" hidden="1" customHeight="1" x14ac:dyDescent="0.35">
      <c r="B278" s="120" t="s">
        <v>139</v>
      </c>
      <c r="C278" s="127"/>
      <c r="D278" s="131"/>
      <c r="E278" s="131"/>
      <c r="F278" s="131"/>
      <c r="G278" s="129">
        <f t="shared" si="80"/>
        <v>0</v>
      </c>
      <c r="H278" s="123"/>
      <c r="I278" s="131"/>
      <c r="J278" s="124"/>
      <c r="K278" s="125"/>
      <c r="L278" s="126"/>
      <c r="M278" s="120" t="s">
        <v>139</v>
      </c>
      <c r="N278" s="127"/>
      <c r="O278" s="420"/>
      <c r="P278" s="128"/>
      <c r="Q278" s="128"/>
      <c r="R278" s="129">
        <f t="shared" si="81"/>
        <v>0</v>
      </c>
      <c r="S278" s="413">
        <f t="shared" si="82"/>
        <v>0</v>
      </c>
      <c r="T278" s="123"/>
      <c r="U278" s="509"/>
      <c r="V278" s="378"/>
      <c r="W278" s="125"/>
      <c r="X278" s="118"/>
    </row>
    <row r="279" spans="2:24" s="109" customFormat="1" ht="30" hidden="1" customHeight="1" x14ac:dyDescent="0.35">
      <c r="B279" s="120" t="s">
        <v>140</v>
      </c>
      <c r="C279" s="132"/>
      <c r="D279" s="133"/>
      <c r="E279" s="133"/>
      <c r="F279" s="133"/>
      <c r="G279" s="129">
        <f t="shared" si="80"/>
        <v>0</v>
      </c>
      <c r="H279" s="134"/>
      <c r="I279" s="133"/>
      <c r="J279" s="124"/>
      <c r="K279" s="135"/>
      <c r="L279" s="126"/>
      <c r="M279" s="120" t="s">
        <v>140</v>
      </c>
      <c r="N279" s="132"/>
      <c r="O279" s="420"/>
      <c r="P279" s="136"/>
      <c r="Q279" s="136"/>
      <c r="R279" s="129">
        <f t="shared" si="81"/>
        <v>0</v>
      </c>
      <c r="S279" s="413">
        <f t="shared" si="82"/>
        <v>0</v>
      </c>
      <c r="T279" s="134"/>
      <c r="U279" s="509"/>
      <c r="V279" s="378"/>
      <c r="W279" s="135"/>
      <c r="X279" s="118"/>
    </row>
    <row r="280" spans="2:24" s="109" customFormat="1" ht="30" hidden="1" customHeight="1" x14ac:dyDescent="0.35">
      <c r="B280" s="120" t="s">
        <v>141</v>
      </c>
      <c r="C280" s="132"/>
      <c r="D280" s="133"/>
      <c r="E280" s="133"/>
      <c r="F280" s="133"/>
      <c r="G280" s="129">
        <f t="shared" si="80"/>
        <v>0</v>
      </c>
      <c r="H280" s="134"/>
      <c r="I280" s="133"/>
      <c r="J280" s="124"/>
      <c r="K280" s="135"/>
      <c r="L280" s="126"/>
      <c r="M280" s="120" t="s">
        <v>141</v>
      </c>
      <c r="N280" s="132"/>
      <c r="O280" s="420"/>
      <c r="P280" s="136"/>
      <c r="Q280" s="136"/>
      <c r="R280" s="129">
        <f t="shared" si="81"/>
        <v>0</v>
      </c>
      <c r="S280" s="413">
        <f t="shared" si="82"/>
        <v>0</v>
      </c>
      <c r="T280" s="134"/>
      <c r="U280" s="509"/>
      <c r="V280" s="378"/>
      <c r="W280" s="135"/>
      <c r="X280" s="118"/>
    </row>
    <row r="281" spans="2:24" s="109" customFormat="1" ht="30" customHeight="1" x14ac:dyDescent="0.35">
      <c r="C281" s="391" t="s">
        <v>24</v>
      </c>
      <c r="D281" s="145">
        <f>SUM(D273:D280)</f>
        <v>0</v>
      </c>
      <c r="E281" s="145">
        <f>SUM(E273:E280)</f>
        <v>0</v>
      </c>
      <c r="F281" s="145">
        <f>SUM(F273:F280)</f>
        <v>0</v>
      </c>
      <c r="G281" s="145">
        <f>SUM(G273:G280)</f>
        <v>0</v>
      </c>
      <c r="H281" s="145">
        <f>(H273*G273)+(H274*G274)+(H275*G275)+(H276*G276)+(H277*G277)+(H278*G278)+(H279*G279)+(H280*G280)</f>
        <v>0</v>
      </c>
      <c r="I281" s="145">
        <f>SUM(I273:I280)</f>
        <v>0</v>
      </c>
      <c r="J281" s="392"/>
      <c r="K281" s="393"/>
      <c r="L281" s="142"/>
      <c r="N281" s="391" t="s">
        <v>24</v>
      </c>
      <c r="O281" s="433">
        <f>SUM(O273:O280)</f>
        <v>0</v>
      </c>
      <c r="P281" s="145">
        <f>SUM(P273:P280)</f>
        <v>0</v>
      </c>
      <c r="Q281" s="145">
        <f>SUM(Q273:Q280)</f>
        <v>0</v>
      </c>
      <c r="R281" s="145">
        <f>SUM(R273:R280)</f>
        <v>0</v>
      </c>
      <c r="S281" s="453">
        <f t="shared" si="82"/>
        <v>0</v>
      </c>
      <c r="T281" s="145">
        <f>(T273*R273)+(T274*R274)+(T275*R275)+(T276*R276)+(T277*R277)+(T278*R278)+(T279*R279)+(T280*R280)</f>
        <v>0</v>
      </c>
      <c r="U281" s="511">
        <f>SUM(U273:U280)</f>
        <v>0</v>
      </c>
      <c r="V281" s="537"/>
      <c r="W281" s="393"/>
      <c r="X281" s="409"/>
    </row>
    <row r="282" spans="2:24" s="109" customFormat="1" ht="55" customHeight="1" x14ac:dyDescent="0.35">
      <c r="B282" s="613" t="s">
        <v>142</v>
      </c>
      <c r="C282" s="397" t="s">
        <v>300</v>
      </c>
      <c r="D282" s="395">
        <v>27100</v>
      </c>
      <c r="E282" s="395"/>
      <c r="F282" s="395"/>
      <c r="G282" s="172">
        <f t="shared" ref="G282:G289" si="83">SUM(D282:F282)</f>
        <v>27100</v>
      </c>
      <c r="H282" s="396"/>
      <c r="I282" s="395"/>
      <c r="J282" s="174"/>
      <c r="K282" s="170"/>
      <c r="L282" s="167"/>
      <c r="M282" s="586" t="s">
        <v>142</v>
      </c>
      <c r="N282" s="397" t="s">
        <v>300</v>
      </c>
      <c r="O282" s="434">
        <v>27100</v>
      </c>
      <c r="P282" s="395"/>
      <c r="Q282" s="395"/>
      <c r="R282" s="172">
        <f>+O282+P282+Q282</f>
        <v>27100</v>
      </c>
      <c r="S282" s="454">
        <f t="shared" si="82"/>
        <v>0</v>
      </c>
      <c r="T282" s="396"/>
      <c r="U282" s="527">
        <v>27100</v>
      </c>
      <c r="V282" s="529"/>
      <c r="W282" s="170"/>
      <c r="X282" s="118"/>
    </row>
    <row r="283" spans="2:24" s="109" customFormat="1" ht="56" customHeight="1" x14ac:dyDescent="0.35">
      <c r="B283" s="614"/>
      <c r="C283" s="397" t="s">
        <v>301</v>
      </c>
      <c r="D283" s="395">
        <v>80976</v>
      </c>
      <c r="E283" s="395"/>
      <c r="F283" s="395"/>
      <c r="G283" s="172">
        <f t="shared" si="83"/>
        <v>80976</v>
      </c>
      <c r="H283" s="396"/>
      <c r="I283" s="395"/>
      <c r="J283" s="174"/>
      <c r="K283" s="170"/>
      <c r="L283" s="167"/>
      <c r="M283" s="587"/>
      <c r="N283" s="397" t="s">
        <v>301</v>
      </c>
      <c r="O283" s="448">
        <v>70976</v>
      </c>
      <c r="P283" s="395"/>
      <c r="Q283" s="395"/>
      <c r="R283" s="172">
        <f t="shared" ref="R283:R288" si="84">+O283+P283+Q283</f>
        <v>70976</v>
      </c>
      <c r="S283" s="454">
        <f t="shared" si="82"/>
        <v>-10000</v>
      </c>
      <c r="T283" s="396"/>
      <c r="U283" s="527">
        <v>70976</v>
      </c>
      <c r="V283" s="529"/>
      <c r="W283" s="170"/>
      <c r="X283" s="118"/>
    </row>
    <row r="284" spans="2:24" s="109" customFormat="1" ht="35.5" customHeight="1" x14ac:dyDescent="0.35">
      <c r="B284" s="614"/>
      <c r="C284" s="398" t="s">
        <v>302</v>
      </c>
      <c r="D284" s="395">
        <v>58268</v>
      </c>
      <c r="E284" s="395"/>
      <c r="F284" s="395"/>
      <c r="G284" s="172">
        <f t="shared" si="83"/>
        <v>58268</v>
      </c>
      <c r="H284" s="396"/>
      <c r="I284" s="395"/>
      <c r="J284" s="174"/>
      <c r="K284" s="170"/>
      <c r="L284" s="167"/>
      <c r="M284" s="587"/>
      <c r="N284" s="398" t="s">
        <v>302</v>
      </c>
      <c r="O284" s="434">
        <v>58268</v>
      </c>
      <c r="P284" s="395"/>
      <c r="Q284" s="395"/>
      <c r="R284" s="172">
        <f t="shared" si="84"/>
        <v>58268</v>
      </c>
      <c r="S284" s="454">
        <f t="shared" si="82"/>
        <v>0</v>
      </c>
      <c r="T284" s="396"/>
      <c r="U284" s="527">
        <v>58268</v>
      </c>
      <c r="V284" s="529"/>
      <c r="W284" s="170"/>
      <c r="X284" s="118"/>
    </row>
    <row r="285" spans="2:24" s="109" customFormat="1" ht="51.5" customHeight="1" x14ac:dyDescent="0.35">
      <c r="B285" s="614"/>
      <c r="C285" s="399" t="s">
        <v>303</v>
      </c>
      <c r="D285" s="395">
        <v>116520</v>
      </c>
      <c r="E285" s="395"/>
      <c r="F285" s="395"/>
      <c r="G285" s="172">
        <f t="shared" si="83"/>
        <v>116520</v>
      </c>
      <c r="H285" s="396"/>
      <c r="I285" s="395"/>
      <c r="J285" s="174"/>
      <c r="K285" s="170"/>
      <c r="L285" s="167"/>
      <c r="M285" s="587"/>
      <c r="N285" s="399" t="s">
        <v>303</v>
      </c>
      <c r="O285" s="448">
        <v>70000</v>
      </c>
      <c r="P285" s="395"/>
      <c r="Q285" s="395"/>
      <c r="R285" s="172">
        <f t="shared" si="84"/>
        <v>70000</v>
      </c>
      <c r="S285" s="454">
        <f t="shared" si="82"/>
        <v>-46520</v>
      </c>
      <c r="T285" s="396"/>
      <c r="U285" s="527">
        <v>70000</v>
      </c>
      <c r="V285" s="529"/>
      <c r="W285" s="170"/>
      <c r="X285" s="118"/>
    </row>
    <row r="286" spans="2:24" s="109" customFormat="1" ht="46.5" customHeight="1" x14ac:dyDescent="0.35">
      <c r="B286" s="614"/>
      <c r="C286" s="400" t="s">
        <v>304</v>
      </c>
      <c r="D286" s="395">
        <v>35143</v>
      </c>
      <c r="E286" s="395"/>
      <c r="F286" s="395"/>
      <c r="G286" s="172">
        <f t="shared" si="83"/>
        <v>35143</v>
      </c>
      <c r="H286" s="396"/>
      <c r="I286" s="395"/>
      <c r="J286" s="174"/>
      <c r="K286" s="170"/>
      <c r="L286" s="167"/>
      <c r="M286" s="587"/>
      <c r="N286" s="400" t="s">
        <v>304</v>
      </c>
      <c r="O286" s="434">
        <v>35143</v>
      </c>
      <c r="P286" s="395"/>
      <c r="Q286" s="395"/>
      <c r="R286" s="172">
        <f t="shared" si="84"/>
        <v>35143</v>
      </c>
      <c r="S286" s="454">
        <f t="shared" si="82"/>
        <v>0</v>
      </c>
      <c r="T286" s="396"/>
      <c r="U286" s="527">
        <v>35143</v>
      </c>
      <c r="V286" s="529"/>
      <c r="W286" s="170"/>
      <c r="X286" s="118"/>
    </row>
    <row r="287" spans="2:24" s="109" customFormat="1" ht="15.5" x14ac:dyDescent="0.35">
      <c r="B287" s="614"/>
      <c r="C287" s="401" t="s">
        <v>305</v>
      </c>
      <c r="D287" s="395">
        <v>37990</v>
      </c>
      <c r="E287" s="395"/>
      <c r="F287" s="395"/>
      <c r="G287" s="172">
        <f t="shared" si="83"/>
        <v>37990</v>
      </c>
      <c r="H287" s="396"/>
      <c r="I287" s="395"/>
      <c r="J287" s="174"/>
      <c r="K287" s="170"/>
      <c r="L287" s="167"/>
      <c r="M287" s="587"/>
      <c r="N287" s="401" t="s">
        <v>305</v>
      </c>
      <c r="O287" s="434">
        <v>37990</v>
      </c>
      <c r="P287" s="395"/>
      <c r="Q287" s="395"/>
      <c r="R287" s="172">
        <f t="shared" si="84"/>
        <v>37990</v>
      </c>
      <c r="S287" s="454">
        <f t="shared" si="82"/>
        <v>0</v>
      </c>
      <c r="T287" s="396"/>
      <c r="U287" s="527">
        <v>37990</v>
      </c>
      <c r="V287" s="529"/>
      <c r="W287" s="170"/>
      <c r="X287" s="118"/>
    </row>
    <row r="288" spans="2:24" s="109" customFormat="1" ht="80" customHeight="1" x14ac:dyDescent="0.35">
      <c r="B288" s="614"/>
      <c r="C288" s="401" t="s">
        <v>306</v>
      </c>
      <c r="D288" s="395">
        <v>25000</v>
      </c>
      <c r="E288" s="395"/>
      <c r="F288" s="395"/>
      <c r="G288" s="172">
        <f t="shared" si="83"/>
        <v>25000</v>
      </c>
      <c r="H288" s="396"/>
      <c r="I288" s="395"/>
      <c r="J288" s="174"/>
      <c r="K288" s="170"/>
      <c r="L288" s="167"/>
      <c r="M288" s="587"/>
      <c r="N288" s="401" t="s">
        <v>306</v>
      </c>
      <c r="O288" s="435">
        <v>25000</v>
      </c>
      <c r="P288" s="395"/>
      <c r="Q288" s="395"/>
      <c r="R288" s="172">
        <f t="shared" si="84"/>
        <v>25000</v>
      </c>
      <c r="S288" s="454">
        <f t="shared" si="82"/>
        <v>0</v>
      </c>
      <c r="T288" s="396"/>
      <c r="U288" s="527">
        <v>25000</v>
      </c>
      <c r="V288" s="529"/>
      <c r="W288" s="170"/>
      <c r="X288" s="118"/>
    </row>
    <row r="289" spans="2:24" s="109" customFormat="1" ht="15.5" x14ac:dyDescent="0.35">
      <c r="B289" s="614"/>
      <c r="C289" s="170"/>
      <c r="D289" s="395"/>
      <c r="E289" s="395"/>
      <c r="F289" s="395"/>
      <c r="G289" s="172">
        <f t="shared" si="83"/>
        <v>0</v>
      </c>
      <c r="H289" s="396"/>
      <c r="I289" s="395"/>
      <c r="J289" s="174"/>
      <c r="K289" s="170"/>
      <c r="L289" s="167"/>
      <c r="M289" s="587"/>
      <c r="N289" s="170"/>
      <c r="O289" s="436"/>
      <c r="P289" s="165"/>
      <c r="Q289" s="165"/>
      <c r="R289" s="164"/>
      <c r="S289" s="454">
        <f t="shared" si="82"/>
        <v>0</v>
      </c>
      <c r="T289" s="165"/>
      <c r="U289" s="527"/>
      <c r="V289" s="387"/>
      <c r="W289" s="155"/>
      <c r="X289" s="410"/>
    </row>
    <row r="290" spans="2:24" s="109" customFormat="1" ht="14" customHeight="1" x14ac:dyDescent="0.35">
      <c r="B290" s="615"/>
      <c r="C290" s="170"/>
      <c r="D290" s="171"/>
      <c r="E290" s="171"/>
      <c r="F290" s="171"/>
      <c r="G290" s="172">
        <f>SUM(D290:F290)</f>
        <v>0</v>
      </c>
      <c r="H290" s="173"/>
      <c r="I290" s="171"/>
      <c r="J290" s="174"/>
      <c r="K290" s="175"/>
      <c r="L290" s="142"/>
      <c r="M290" s="588"/>
      <c r="N290" s="170"/>
      <c r="O290" s="437">
        <v>0</v>
      </c>
      <c r="P290" s="176"/>
      <c r="Q290" s="176"/>
      <c r="R290" s="172">
        <f>SUM(O290:Q290)</f>
        <v>0</v>
      </c>
      <c r="S290" s="454">
        <f t="shared" si="82"/>
        <v>0</v>
      </c>
      <c r="T290" s="173"/>
      <c r="U290" s="527"/>
      <c r="V290" s="529"/>
      <c r="W290" s="175"/>
      <c r="X290" s="118" t="str">
        <f>IFERROR(R290/G290,"")</f>
        <v/>
      </c>
    </row>
    <row r="291" spans="2:24" s="109" customFormat="1" ht="44" customHeight="1" x14ac:dyDescent="0.35">
      <c r="B291" s="613" t="s">
        <v>143</v>
      </c>
      <c r="C291" s="401" t="s">
        <v>307</v>
      </c>
      <c r="D291" s="171">
        <v>55000</v>
      </c>
      <c r="E291" s="171"/>
      <c r="F291" s="171"/>
      <c r="G291" s="172">
        <f t="shared" ref="G291:G294" si="85">SUM(D291:F291)</f>
        <v>55000</v>
      </c>
      <c r="H291" s="173"/>
      <c r="I291" s="171"/>
      <c r="J291" s="174"/>
      <c r="K291" s="175"/>
      <c r="L291" s="142"/>
      <c r="M291" s="586" t="s">
        <v>143</v>
      </c>
      <c r="N291" s="401" t="s">
        <v>307</v>
      </c>
      <c r="O291" s="437">
        <v>55000</v>
      </c>
      <c r="P291" s="176"/>
      <c r="Q291" s="176"/>
      <c r="R291" s="172">
        <f>+O291+P291+Q291</f>
        <v>55000</v>
      </c>
      <c r="S291" s="454">
        <f t="shared" si="82"/>
        <v>0</v>
      </c>
      <c r="T291" s="173"/>
      <c r="U291" s="527">
        <v>55000</v>
      </c>
      <c r="V291" s="529"/>
      <c r="W291" s="175"/>
      <c r="X291" s="118"/>
    </row>
    <row r="292" spans="2:24" s="109" customFormat="1" ht="59.5" customHeight="1" x14ac:dyDescent="0.35">
      <c r="B292" s="614"/>
      <c r="C292" s="402" t="s">
        <v>308</v>
      </c>
      <c r="D292" s="171">
        <v>30000</v>
      </c>
      <c r="E292" s="171"/>
      <c r="F292" s="171"/>
      <c r="G292" s="172">
        <f t="shared" si="85"/>
        <v>30000</v>
      </c>
      <c r="H292" s="173"/>
      <c r="I292" s="171"/>
      <c r="J292" s="174"/>
      <c r="K292" s="175"/>
      <c r="L292" s="142"/>
      <c r="M292" s="587"/>
      <c r="N292" s="402" t="s">
        <v>308</v>
      </c>
      <c r="O292" s="437">
        <v>30000</v>
      </c>
      <c r="P292" s="176"/>
      <c r="Q292" s="176"/>
      <c r="R292" s="172">
        <f t="shared" ref="R292:R300" si="86">+O292+P292+Q292</f>
        <v>30000</v>
      </c>
      <c r="S292" s="454">
        <f t="shared" si="82"/>
        <v>0</v>
      </c>
      <c r="T292" s="173"/>
      <c r="U292" s="527">
        <v>30000</v>
      </c>
      <c r="V292" s="529"/>
      <c r="W292" s="175"/>
      <c r="X292" s="118"/>
    </row>
    <row r="293" spans="2:24" s="109" customFormat="1" ht="45.5" customHeight="1" x14ac:dyDescent="0.35">
      <c r="B293" s="614"/>
      <c r="C293" s="403" t="s">
        <v>309</v>
      </c>
      <c r="D293" s="171">
        <v>55000</v>
      </c>
      <c r="E293" s="171"/>
      <c r="F293" s="171"/>
      <c r="G293" s="172">
        <f t="shared" si="85"/>
        <v>55000</v>
      </c>
      <c r="H293" s="173"/>
      <c r="I293" s="171"/>
      <c r="J293" s="174"/>
      <c r="K293" s="175"/>
      <c r="L293" s="142"/>
      <c r="M293" s="587"/>
      <c r="N293" s="402" t="s">
        <v>309</v>
      </c>
      <c r="O293" s="465">
        <v>50000</v>
      </c>
      <c r="P293" s="176"/>
      <c r="Q293" s="176"/>
      <c r="R293" s="172">
        <f t="shared" si="86"/>
        <v>50000</v>
      </c>
      <c r="S293" s="454">
        <f t="shared" si="82"/>
        <v>-5000</v>
      </c>
      <c r="T293" s="173"/>
      <c r="U293" s="527">
        <v>50000</v>
      </c>
      <c r="V293" s="529"/>
      <c r="W293" s="175"/>
      <c r="X293" s="118"/>
    </row>
    <row r="294" spans="2:24" s="109" customFormat="1" ht="14" customHeight="1" x14ac:dyDescent="0.35">
      <c r="B294" s="614"/>
      <c r="C294" s="403"/>
      <c r="D294" s="171"/>
      <c r="E294" s="171"/>
      <c r="F294" s="171"/>
      <c r="G294" s="172">
        <f t="shared" si="85"/>
        <v>0</v>
      </c>
      <c r="H294" s="173"/>
      <c r="I294" s="171"/>
      <c r="J294" s="174"/>
      <c r="K294" s="175"/>
      <c r="L294" s="142"/>
      <c r="M294" s="587"/>
      <c r="N294" s="403"/>
      <c r="O294" s="437"/>
      <c r="P294" s="176"/>
      <c r="Q294" s="176"/>
      <c r="R294" s="172">
        <f t="shared" si="86"/>
        <v>0</v>
      </c>
      <c r="S294" s="454">
        <f t="shared" si="82"/>
        <v>0</v>
      </c>
      <c r="T294" s="173"/>
      <c r="U294" s="527"/>
      <c r="V294" s="529"/>
      <c r="W294" s="175"/>
      <c r="X294" s="118"/>
    </row>
    <row r="295" spans="2:24" s="109" customFormat="1" ht="92" customHeight="1" x14ac:dyDescent="0.35">
      <c r="B295" s="615"/>
      <c r="C295" s="170"/>
      <c r="D295" s="122"/>
      <c r="E295" s="171"/>
      <c r="F295" s="171"/>
      <c r="G295" s="172">
        <f>SUM(D295:F295)</f>
        <v>0</v>
      </c>
      <c r="H295" s="173"/>
      <c r="I295" s="177"/>
      <c r="J295" s="174"/>
      <c r="K295" s="175"/>
      <c r="L295" s="142"/>
      <c r="M295" s="588"/>
      <c r="N295" s="170"/>
      <c r="O295" s="438">
        <v>0</v>
      </c>
      <c r="P295" s="176"/>
      <c r="Q295" s="176"/>
      <c r="R295" s="172">
        <f t="shared" si="86"/>
        <v>0</v>
      </c>
      <c r="S295" s="454">
        <f t="shared" si="82"/>
        <v>0</v>
      </c>
      <c r="T295" s="173"/>
      <c r="U295" s="527"/>
      <c r="V295" s="529"/>
      <c r="W295" s="175"/>
      <c r="X295" s="118"/>
    </row>
    <row r="296" spans="2:24" s="109" customFormat="1" ht="37" customHeight="1" x14ac:dyDescent="0.35">
      <c r="B296" s="613" t="s">
        <v>144</v>
      </c>
      <c r="C296" s="398" t="s">
        <v>310</v>
      </c>
      <c r="D296" s="122">
        <v>70262</v>
      </c>
      <c r="E296" s="171"/>
      <c r="F296" s="171"/>
      <c r="G296" s="172">
        <f t="shared" ref="G296:G300" si="87">SUM(D296:F296)</f>
        <v>70262</v>
      </c>
      <c r="H296" s="173"/>
      <c r="I296" s="177"/>
      <c r="J296" s="174"/>
      <c r="K296" s="175"/>
      <c r="L296" s="142"/>
      <c r="M296" s="586" t="s">
        <v>144</v>
      </c>
      <c r="N296" s="398" t="s">
        <v>310</v>
      </c>
      <c r="O296" s="464">
        <v>44494</v>
      </c>
      <c r="P296" s="176"/>
      <c r="Q296" s="176"/>
      <c r="R296" s="172">
        <f t="shared" si="86"/>
        <v>44494</v>
      </c>
      <c r="S296" s="454">
        <f t="shared" si="82"/>
        <v>-25768</v>
      </c>
      <c r="T296" s="173"/>
      <c r="U296" s="527">
        <v>44494</v>
      </c>
      <c r="V296" s="529"/>
      <c r="W296" s="175"/>
      <c r="X296" s="118"/>
    </row>
    <row r="297" spans="2:24" s="109" customFormat="1" ht="27" customHeight="1" x14ac:dyDescent="0.35">
      <c r="B297" s="614"/>
      <c r="C297" s="404" t="s">
        <v>311</v>
      </c>
      <c r="D297" s="122">
        <v>15000</v>
      </c>
      <c r="E297" s="171"/>
      <c r="F297" s="171"/>
      <c r="G297" s="172">
        <f t="shared" si="87"/>
        <v>15000</v>
      </c>
      <c r="H297" s="173"/>
      <c r="I297" s="177"/>
      <c r="J297" s="174"/>
      <c r="K297" s="175"/>
      <c r="L297" s="142"/>
      <c r="M297" s="587"/>
      <c r="N297" s="404" t="s">
        <v>311</v>
      </c>
      <c r="O297" s="438">
        <v>15000</v>
      </c>
      <c r="P297" s="176"/>
      <c r="Q297" s="176"/>
      <c r="R297" s="172">
        <f t="shared" si="86"/>
        <v>15000</v>
      </c>
      <c r="S297" s="454">
        <f t="shared" si="82"/>
        <v>0</v>
      </c>
      <c r="T297" s="173"/>
      <c r="U297" s="527">
        <v>12750</v>
      </c>
      <c r="V297" s="529"/>
      <c r="W297" s="175"/>
      <c r="X297" s="118"/>
    </row>
    <row r="298" spans="2:24" s="109" customFormat="1" ht="15" customHeight="1" x14ac:dyDescent="0.35">
      <c r="B298" s="614"/>
      <c r="C298" s="178"/>
      <c r="D298" s="122"/>
      <c r="E298" s="171"/>
      <c r="F298" s="171"/>
      <c r="G298" s="172">
        <f t="shared" si="87"/>
        <v>0</v>
      </c>
      <c r="H298" s="173"/>
      <c r="I298" s="177"/>
      <c r="J298" s="174"/>
      <c r="K298" s="175"/>
      <c r="L298" s="142"/>
      <c r="M298" s="587"/>
      <c r="N298" s="178"/>
      <c r="O298" s="438">
        <v>0</v>
      </c>
      <c r="P298" s="176"/>
      <c r="Q298" s="176"/>
      <c r="R298" s="172">
        <f t="shared" si="86"/>
        <v>0</v>
      </c>
      <c r="S298" s="454">
        <f t="shared" si="82"/>
        <v>0</v>
      </c>
      <c r="T298" s="173"/>
      <c r="U298" s="527"/>
      <c r="V298" s="529"/>
      <c r="W298" s="175"/>
      <c r="X298" s="118"/>
    </row>
    <row r="299" spans="2:24" s="109" customFormat="1" ht="44.5" customHeight="1" x14ac:dyDescent="0.35">
      <c r="B299" s="615"/>
      <c r="C299" s="178"/>
      <c r="D299" s="179"/>
      <c r="E299" s="171"/>
      <c r="F299" s="171"/>
      <c r="G299" s="172">
        <f t="shared" si="87"/>
        <v>0</v>
      </c>
      <c r="H299" s="173"/>
      <c r="I299" s="177"/>
      <c r="J299" s="174"/>
      <c r="K299" s="175"/>
      <c r="L299" s="142"/>
      <c r="M299" s="588"/>
      <c r="N299" s="178"/>
      <c r="O299" s="438">
        <v>0</v>
      </c>
      <c r="P299" s="176"/>
      <c r="Q299" s="176"/>
      <c r="R299" s="172">
        <f t="shared" si="86"/>
        <v>0</v>
      </c>
      <c r="S299" s="454">
        <f t="shared" si="82"/>
        <v>0</v>
      </c>
      <c r="T299" s="173"/>
      <c r="U299" s="527"/>
      <c r="V299" s="529"/>
      <c r="W299" s="175"/>
      <c r="X299" s="118"/>
    </row>
    <row r="300" spans="2:24" s="109" customFormat="1" ht="105" customHeight="1" x14ac:dyDescent="0.35">
      <c r="B300" s="180" t="s">
        <v>145</v>
      </c>
      <c r="C300" s="170" t="s">
        <v>265</v>
      </c>
      <c r="D300" s="179">
        <v>50000</v>
      </c>
      <c r="E300" s="171"/>
      <c r="F300" s="171"/>
      <c r="G300" s="172">
        <f t="shared" si="87"/>
        <v>50000</v>
      </c>
      <c r="H300" s="173">
        <v>0.5</v>
      </c>
      <c r="I300" s="171"/>
      <c r="J300" s="174"/>
      <c r="K300" s="175"/>
      <c r="L300" s="142"/>
      <c r="M300" s="180" t="s">
        <v>145</v>
      </c>
      <c r="N300" s="170" t="s">
        <v>265</v>
      </c>
      <c r="O300" s="435">
        <v>50000</v>
      </c>
      <c r="P300" s="176"/>
      <c r="Q300" s="176"/>
      <c r="R300" s="172">
        <f t="shared" si="86"/>
        <v>50000</v>
      </c>
      <c r="S300" s="454">
        <f t="shared" si="82"/>
        <v>0</v>
      </c>
      <c r="T300" s="173">
        <v>0.5</v>
      </c>
      <c r="U300" s="527"/>
      <c r="V300" s="529"/>
      <c r="W300" s="175"/>
      <c r="X300" s="118"/>
    </row>
    <row r="301" spans="2:24" s="109" customFormat="1" ht="60" customHeight="1" x14ac:dyDescent="0.35">
      <c r="B301" s="163"/>
      <c r="C301" s="181" t="s">
        <v>146</v>
      </c>
      <c r="D301" s="182">
        <f>SUM(D282:D300)</f>
        <v>656259</v>
      </c>
      <c r="E301" s="182">
        <f>SUM(E290:E300)</f>
        <v>0</v>
      </c>
      <c r="F301" s="182">
        <f>SUM(F290:F300)</f>
        <v>0</v>
      </c>
      <c r="G301" s="182">
        <f>SUM(G282:G300)</f>
        <v>656259</v>
      </c>
      <c r="H301" s="182">
        <f>(H290*G290)+(H295*G295)+(H299*G299)+(H300*G300)</f>
        <v>25000</v>
      </c>
      <c r="I301" s="140">
        <f>SUM(I290:I300)</f>
        <v>0</v>
      </c>
      <c r="J301" s="141"/>
      <c r="K301" s="170"/>
      <c r="L301" s="167"/>
      <c r="M301" s="163"/>
      <c r="N301" s="181" t="s">
        <v>146</v>
      </c>
      <c r="O301" s="439">
        <f>SUM(O282:O300)</f>
        <v>568971</v>
      </c>
      <c r="P301" s="182">
        <f>SUM(P290:P300)</f>
        <v>0</v>
      </c>
      <c r="Q301" s="182">
        <f>SUM(Q290:Q300)</f>
        <v>0</v>
      </c>
      <c r="R301" s="182">
        <f>SUM(R282:R300)</f>
        <v>568971</v>
      </c>
      <c r="S301" s="466">
        <f t="shared" si="82"/>
        <v>-87288</v>
      </c>
      <c r="T301" s="182"/>
      <c r="U301" s="517">
        <f>SUM(U282:U300)</f>
        <v>516721</v>
      </c>
      <c r="V301" s="536"/>
      <c r="W301" s="170"/>
      <c r="X301" s="118"/>
    </row>
    <row r="302" spans="2:24" s="109" customFormat="1" ht="15.5" x14ac:dyDescent="0.35">
      <c r="B302" s="163"/>
      <c r="C302" s="155"/>
      <c r="D302" s="164"/>
      <c r="E302" s="164"/>
      <c r="F302" s="164"/>
      <c r="G302" s="164"/>
      <c r="H302" s="165"/>
      <c r="I302" s="164"/>
      <c r="J302" s="166"/>
      <c r="K302" s="155"/>
      <c r="L302" s="167"/>
      <c r="M302" s="163"/>
      <c r="N302" s="155"/>
      <c r="O302" s="432"/>
      <c r="P302" s="165"/>
      <c r="Q302" s="165"/>
      <c r="R302" s="164"/>
      <c r="S302" s="413">
        <f t="shared" ref="S302:S305" si="88">+R302-G302</f>
        <v>0</v>
      </c>
      <c r="T302" s="165"/>
      <c r="U302" s="516"/>
      <c r="V302" s="387"/>
      <c r="W302" s="155"/>
      <c r="X302" s="118"/>
    </row>
    <row r="303" spans="2:24" s="109" customFormat="1" ht="15.5" x14ac:dyDescent="0.35">
      <c r="B303" s="163"/>
      <c r="C303" s="155"/>
      <c r="D303" s="164"/>
      <c r="E303" s="164"/>
      <c r="F303" s="164"/>
      <c r="G303" s="164"/>
      <c r="H303" s="165"/>
      <c r="I303" s="164"/>
      <c r="J303" s="166"/>
      <c r="K303" s="155"/>
      <c r="L303" s="167"/>
      <c r="M303" s="163"/>
      <c r="N303" s="155"/>
      <c r="O303" s="432"/>
      <c r="P303" s="165"/>
      <c r="Q303" s="165"/>
      <c r="R303" s="164"/>
      <c r="S303" s="413">
        <f t="shared" si="88"/>
        <v>0</v>
      </c>
      <c r="T303" s="165"/>
      <c r="U303" s="516"/>
      <c r="V303" s="387"/>
      <c r="W303" s="155"/>
      <c r="X303" s="118"/>
    </row>
    <row r="304" spans="2:24" s="109" customFormat="1" ht="15.5" x14ac:dyDescent="0.35">
      <c r="B304" s="163"/>
      <c r="C304" s="155"/>
      <c r="D304" s="164"/>
      <c r="E304" s="164"/>
      <c r="F304" s="164"/>
      <c r="G304" s="164"/>
      <c r="H304" s="165"/>
      <c r="I304" s="164"/>
      <c r="J304" s="166"/>
      <c r="K304" s="155"/>
      <c r="L304" s="167"/>
      <c r="M304" s="163"/>
      <c r="N304" s="155"/>
      <c r="O304" s="432"/>
      <c r="P304" s="165"/>
      <c r="Q304" s="165"/>
      <c r="R304" s="164"/>
      <c r="S304" s="413">
        <f t="shared" si="88"/>
        <v>0</v>
      </c>
      <c r="T304" s="165"/>
      <c r="U304" s="516"/>
      <c r="V304" s="387"/>
      <c r="W304" s="155"/>
      <c r="X304" s="118"/>
    </row>
    <row r="305" spans="2:24" s="109" customFormat="1" ht="15.5" x14ac:dyDescent="0.35">
      <c r="B305" s="163"/>
      <c r="C305" s="155"/>
      <c r="D305" s="164"/>
      <c r="E305" s="164"/>
      <c r="F305" s="164"/>
      <c r="G305" s="164"/>
      <c r="H305" s="165"/>
      <c r="I305" s="164"/>
      <c r="J305" s="166"/>
      <c r="K305" s="155"/>
      <c r="L305" s="167"/>
      <c r="M305" s="163"/>
      <c r="N305" s="155"/>
      <c r="O305" s="432"/>
      <c r="P305" s="165"/>
      <c r="Q305" s="165"/>
      <c r="R305" s="164"/>
      <c r="S305" s="413">
        <f t="shared" si="88"/>
        <v>0</v>
      </c>
      <c r="T305" s="165"/>
      <c r="U305" s="516"/>
      <c r="V305" s="387"/>
      <c r="W305" s="155"/>
      <c r="X305" s="118"/>
    </row>
    <row r="306" spans="2:24" s="109" customFormat="1" ht="15.5" x14ac:dyDescent="0.35">
      <c r="B306" s="163"/>
      <c r="C306" s="155"/>
      <c r="D306" s="164"/>
      <c r="E306" s="164"/>
      <c r="F306" s="164"/>
      <c r="G306" s="164"/>
      <c r="H306" s="165"/>
      <c r="I306" s="164"/>
      <c r="J306" s="166"/>
      <c r="K306" s="155"/>
      <c r="L306" s="167"/>
      <c r="M306" s="163"/>
      <c r="N306" s="155"/>
      <c r="O306" s="432"/>
      <c r="P306" s="165"/>
      <c r="Q306" s="165"/>
      <c r="R306" s="164"/>
      <c r="S306" s="452"/>
      <c r="T306" s="165"/>
      <c r="U306" s="516"/>
      <c r="V306" s="387"/>
      <c r="W306" s="155"/>
      <c r="X306" s="118"/>
    </row>
    <row r="307" spans="2:24" s="109" customFormat="1" ht="15.5" x14ac:dyDescent="0.35">
      <c r="B307" s="163"/>
      <c r="C307" s="155"/>
      <c r="D307" s="164"/>
      <c r="E307" s="164"/>
      <c r="F307" s="164"/>
      <c r="G307" s="164"/>
      <c r="H307" s="165"/>
      <c r="I307" s="164"/>
      <c r="J307" s="166"/>
      <c r="K307" s="155"/>
      <c r="L307" s="167"/>
      <c r="M307" s="163"/>
      <c r="N307" s="155"/>
      <c r="O307" s="432"/>
      <c r="P307" s="165"/>
      <c r="Q307" s="165"/>
      <c r="R307" s="164"/>
      <c r="S307" s="452"/>
      <c r="T307" s="165"/>
      <c r="U307" s="516"/>
      <c r="V307" s="387"/>
      <c r="W307" s="155"/>
      <c r="X307" s="118"/>
    </row>
    <row r="308" spans="2:24" s="109" customFormat="1" ht="16" thickBot="1" x14ac:dyDescent="0.4">
      <c r="B308" s="163"/>
      <c r="C308" s="155"/>
      <c r="D308" s="164"/>
      <c r="E308" s="164"/>
      <c r="F308" s="164"/>
      <c r="G308" s="164"/>
      <c r="H308" s="165"/>
      <c r="I308" s="164"/>
      <c r="J308" s="166"/>
      <c r="K308" s="155"/>
      <c r="L308" s="167"/>
      <c r="M308" s="163"/>
      <c r="N308" s="155"/>
      <c r="O308" s="432"/>
      <c r="P308" s="165"/>
      <c r="Q308" s="165"/>
      <c r="R308" s="164"/>
      <c r="S308" s="452"/>
      <c r="T308" s="165"/>
      <c r="U308" s="516"/>
      <c r="V308" s="387"/>
      <c r="W308" s="155"/>
      <c r="X308" s="118"/>
    </row>
    <row r="309" spans="2:24" s="109" customFormat="1" ht="15.5" x14ac:dyDescent="0.35">
      <c r="B309" s="163"/>
      <c r="C309" s="575" t="s">
        <v>147</v>
      </c>
      <c r="D309" s="576"/>
      <c r="E309" s="576"/>
      <c r="F309" s="576"/>
      <c r="G309" s="608"/>
      <c r="H309" s="183"/>
      <c r="I309" s="184"/>
      <c r="J309" s="185"/>
      <c r="K309" s="183"/>
      <c r="L309" s="138"/>
      <c r="M309" s="163"/>
      <c r="N309" s="575" t="s">
        <v>147</v>
      </c>
      <c r="O309" s="576"/>
      <c r="P309" s="576"/>
      <c r="Q309" s="576"/>
      <c r="R309" s="577"/>
      <c r="S309" s="455"/>
      <c r="T309" s="183"/>
      <c r="U309" s="518"/>
      <c r="V309" s="387"/>
      <c r="W309" s="183"/>
      <c r="X309" s="118"/>
    </row>
    <row r="310" spans="2:24" s="109" customFormat="1" ht="105" customHeight="1" x14ac:dyDescent="0.35">
      <c r="B310" s="163"/>
      <c r="C310" s="186"/>
      <c r="D310" s="187" t="str">
        <f>D5</f>
        <v>PNUD(budget en USD)</v>
      </c>
      <c r="E310" s="187" t="str">
        <f>E5</f>
        <v>HCDH (budget en USD)</v>
      </c>
      <c r="F310" s="187" t="str">
        <f>F5</f>
        <v>Organisation recipiendiaire 3 (budget en USD)</v>
      </c>
      <c r="G310" s="188" t="s">
        <v>10</v>
      </c>
      <c r="H310" s="155"/>
      <c r="I310" s="164"/>
      <c r="J310" s="166"/>
      <c r="K310" s="183"/>
      <c r="L310" s="138"/>
      <c r="M310" s="163"/>
      <c r="N310" s="186"/>
      <c r="O310" s="440" t="str">
        <f>O5</f>
        <v>PNUD(budget en USD)</v>
      </c>
      <c r="P310" s="189" t="str">
        <f>P5</f>
        <v>HCDH (budget en USD)</v>
      </c>
      <c r="Q310" s="189" t="str">
        <f>Q5</f>
        <v>Organisation recipiendiaire 3 (budget en USD)</v>
      </c>
      <c r="R310" s="190" t="s">
        <v>10</v>
      </c>
      <c r="S310" s="456" t="s">
        <v>15</v>
      </c>
      <c r="T310" s="155"/>
      <c r="U310" s="516"/>
      <c r="V310" s="387"/>
      <c r="W310" s="183"/>
      <c r="X310" s="118"/>
    </row>
    <row r="311" spans="2:24" s="109" customFormat="1" ht="42.65" customHeight="1" x14ac:dyDescent="0.35">
      <c r="B311" s="191"/>
      <c r="C311" s="192" t="s">
        <v>148</v>
      </c>
      <c r="D311" s="193">
        <f>D25+D44+D69+D141+D163+D187+D197+D209+D219+D229+D239+D251+D261+D271+D281+D301</f>
        <v>1682242.63</v>
      </c>
      <c r="E311" s="193">
        <f>E25+E44+E69+E122+E141+E163+E187+E197+E209+E219+E229+E239+E251+E261+E271+E281+E301</f>
        <v>186915.89</v>
      </c>
      <c r="F311" s="193">
        <f>SUM(F25,F44,F69,F122,F141,F163,F187,F197,F209,F219,F229,F239,F251,F261,F271,F281,F290,F295,F299,F300)</f>
        <v>0</v>
      </c>
      <c r="G311" s="194">
        <f>SUM(D311:F311)</f>
        <v>1869158.52</v>
      </c>
      <c r="H311" s="155"/>
      <c r="I311" s="164"/>
      <c r="J311" s="166"/>
      <c r="K311" s="191"/>
      <c r="L311" s="138"/>
      <c r="M311" s="191"/>
      <c r="N311" s="192" t="s">
        <v>148</v>
      </c>
      <c r="O311" s="441">
        <f>SUM(O25,O44,O69,O122,O141,O163,O187,O197,O209,O219,O229,O239,O251,O261,O271,O281,O301)</f>
        <v>1682243</v>
      </c>
      <c r="P311" s="195">
        <f>SUM(P25,P44,P69,P122,P141,P163,P187,P197,P209,P219,P229,P239,P251,P261,P271,P281,P290,P295,P299,P300)</f>
        <v>186915.89</v>
      </c>
      <c r="Q311" s="195">
        <f>SUM(Q25,Q44,Q69,Q122,Q141,Q163,Q187,Q197,Q209,Q219,Q229,Q239,Q251,Q261,Q271,Q281,Q290,Q295,Q299,Q300)</f>
        <v>0</v>
      </c>
      <c r="R311" s="196">
        <f>SUM(O311:Q311)</f>
        <v>1869158.8900000001</v>
      </c>
      <c r="S311" s="254">
        <f>+R311-G311</f>
        <v>0.37000000011175871</v>
      </c>
      <c r="T311" s="155"/>
      <c r="U311" s="516"/>
      <c r="V311" s="387"/>
      <c r="W311" s="191"/>
      <c r="X311" s="130"/>
    </row>
    <row r="312" spans="2:24" s="109" customFormat="1" ht="45" customHeight="1" x14ac:dyDescent="0.35">
      <c r="B312" s="197"/>
      <c r="C312" s="192" t="s">
        <v>149</v>
      </c>
      <c r="D312" s="193">
        <f>D311*0.07</f>
        <v>117756.9841</v>
      </c>
      <c r="E312" s="193">
        <f>E311*0.07</f>
        <v>13084.112300000003</v>
      </c>
      <c r="F312" s="193">
        <f>F311*0.07</f>
        <v>0</v>
      </c>
      <c r="G312" s="194">
        <f>G311*0.07</f>
        <v>130841.09640000001</v>
      </c>
      <c r="H312" s="197"/>
      <c r="I312" s="198"/>
      <c r="J312" s="166"/>
      <c r="K312" s="33"/>
      <c r="L312" s="138"/>
      <c r="M312" s="197"/>
      <c r="N312" s="192" t="s">
        <v>149</v>
      </c>
      <c r="O312" s="441">
        <f>O311*0.07</f>
        <v>117757.01000000001</v>
      </c>
      <c r="P312" s="195">
        <f>P311*0.07</f>
        <v>13084.112300000003</v>
      </c>
      <c r="Q312" s="195">
        <f>Q311*0.07</f>
        <v>0</v>
      </c>
      <c r="R312" s="196">
        <f>R311*0.07</f>
        <v>130841.12230000002</v>
      </c>
      <c r="S312" s="254">
        <f t="shared" ref="S312:S313" si="89">+R312-G312</f>
        <v>2.590000000782311E-2</v>
      </c>
      <c r="T312" s="197"/>
      <c r="U312" s="516"/>
      <c r="V312" s="387"/>
      <c r="W312" s="33"/>
      <c r="X312" s="130"/>
    </row>
    <row r="313" spans="2:24" s="109" customFormat="1" ht="16" thickBot="1" x14ac:dyDescent="0.4">
      <c r="B313" s="197"/>
      <c r="C313" s="199" t="s">
        <v>10</v>
      </c>
      <c r="D313" s="200">
        <f>SUM(D311:D312)</f>
        <v>1799999.6140999999</v>
      </c>
      <c r="E313" s="200">
        <f>SUM(E311:E312)</f>
        <v>200000.00230000002</v>
      </c>
      <c r="F313" s="200">
        <f>SUM(F311:F312)</f>
        <v>0</v>
      </c>
      <c r="G313" s="201">
        <f>SUM(G311:G312)</f>
        <v>1999999.6163999999</v>
      </c>
      <c r="H313" s="197"/>
      <c r="I313" s="198"/>
      <c r="J313" s="166"/>
      <c r="K313" s="33"/>
      <c r="L313" s="138"/>
      <c r="M313" s="197"/>
      <c r="N313" s="199" t="s">
        <v>10</v>
      </c>
      <c r="O313" s="442">
        <f>SUM(O311:O312)</f>
        <v>1800000.01</v>
      </c>
      <c r="P313" s="200">
        <f>SUM(P311:P312)</f>
        <v>200000.00230000002</v>
      </c>
      <c r="Q313" s="200">
        <f>SUM(Q311:Q312)</f>
        <v>0</v>
      </c>
      <c r="R313" s="202">
        <f>SUM(R311:R312)</f>
        <v>2000000.0123000001</v>
      </c>
      <c r="S313" s="416">
        <f t="shared" si="89"/>
        <v>0.39590000011958182</v>
      </c>
      <c r="T313" s="197"/>
      <c r="U313" s="516"/>
      <c r="V313" s="387"/>
      <c r="W313" s="33"/>
      <c r="X313" s="130"/>
    </row>
    <row r="314" spans="2:24" s="109" customFormat="1" ht="15.5" x14ac:dyDescent="0.35">
      <c r="B314" s="197"/>
      <c r="D314" s="203"/>
      <c r="E314" s="203"/>
      <c r="F314" s="203"/>
      <c r="G314" s="203"/>
      <c r="I314" s="204"/>
      <c r="J314" s="205"/>
      <c r="K314" s="206"/>
      <c r="L314" s="207"/>
      <c r="M314" s="197"/>
      <c r="O314" s="443"/>
      <c r="R314" s="203"/>
      <c r="S314" s="457"/>
      <c r="U314" s="519"/>
      <c r="V314" s="530"/>
      <c r="W314" s="206"/>
      <c r="X314" s="118"/>
    </row>
    <row r="315" spans="2:24" s="137" customFormat="1" ht="16" thickBot="1" x14ac:dyDescent="0.4">
      <c r="B315" s="155"/>
      <c r="C315" s="163"/>
      <c r="D315" s="208"/>
      <c r="E315" s="208"/>
      <c r="F315" s="208"/>
      <c r="G315" s="208"/>
      <c r="H315" s="209"/>
      <c r="I315" s="210"/>
      <c r="J315" s="211"/>
      <c r="K315" s="183"/>
      <c r="L315" s="207"/>
      <c r="M315" s="155"/>
      <c r="N315" s="163"/>
      <c r="O315" s="444"/>
      <c r="P315" s="209"/>
      <c r="Q315" s="209"/>
      <c r="R315" s="208"/>
      <c r="S315" s="458"/>
      <c r="T315" s="209"/>
      <c r="U315" s="520"/>
      <c r="V315" s="538"/>
      <c r="W315" s="183"/>
      <c r="X315" s="212"/>
    </row>
    <row r="316" spans="2:24" s="109" customFormat="1" ht="15" customHeight="1" x14ac:dyDescent="0.35">
      <c r="B316" s="33"/>
      <c r="C316" s="609" t="s">
        <v>150</v>
      </c>
      <c r="D316" s="610"/>
      <c r="E316" s="611"/>
      <c r="F316" s="611"/>
      <c r="G316" s="611"/>
      <c r="H316" s="612"/>
      <c r="I316" s="213"/>
      <c r="J316" s="214"/>
      <c r="K316" s="33"/>
      <c r="L316" s="138"/>
      <c r="M316" s="33"/>
      <c r="N316" s="578" t="s">
        <v>150</v>
      </c>
      <c r="O316" s="579"/>
      <c r="P316" s="579"/>
      <c r="Q316" s="579"/>
      <c r="R316" s="579"/>
      <c r="S316" s="579"/>
      <c r="T316" s="580"/>
      <c r="U316" s="521"/>
      <c r="V316" s="539"/>
      <c r="W316" s="33"/>
      <c r="X316" s="118"/>
    </row>
    <row r="317" spans="2:24" s="109" customFormat="1" ht="105" customHeight="1" x14ac:dyDescent="0.35">
      <c r="B317" s="33"/>
      <c r="C317" s="215"/>
      <c r="D317" s="187" t="str">
        <f>D5</f>
        <v>PNUD(budget en USD)</v>
      </c>
      <c r="E317" s="187" t="str">
        <f>E5</f>
        <v>HCDH (budget en USD)</v>
      </c>
      <c r="F317" s="187" t="str">
        <f>F5</f>
        <v>Organisation recipiendiaire 3 (budget en USD)</v>
      </c>
      <c r="G317" s="216" t="s">
        <v>10</v>
      </c>
      <c r="H317" s="217" t="s">
        <v>151</v>
      </c>
      <c r="I317" s="213"/>
      <c r="J317" s="214"/>
      <c r="K317" s="33"/>
      <c r="L317" s="138"/>
      <c r="M317" s="33"/>
      <c r="N317" s="215"/>
      <c r="O317" s="440" t="str">
        <f>O5</f>
        <v>PNUD(budget en USD)</v>
      </c>
      <c r="P317" s="189" t="str">
        <f>P5</f>
        <v>HCDH (budget en USD)</v>
      </c>
      <c r="Q317" s="189" t="str">
        <f>Q5</f>
        <v>Organisation recipiendiaire 3 (budget en USD)</v>
      </c>
      <c r="R317" s="216" t="s">
        <v>10</v>
      </c>
      <c r="S317" s="459" t="s">
        <v>15</v>
      </c>
      <c r="T317" s="217" t="s">
        <v>151</v>
      </c>
      <c r="U317" s="521"/>
      <c r="V317" s="539"/>
      <c r="W317" s="33"/>
      <c r="X317" s="118"/>
    </row>
    <row r="318" spans="2:24" s="109" customFormat="1" ht="35.15" customHeight="1" x14ac:dyDescent="0.35">
      <c r="B318" s="33"/>
      <c r="C318" s="68" t="s">
        <v>152</v>
      </c>
      <c r="D318" s="218">
        <f>$D$313*H318</f>
        <v>1259999.7298699999</v>
      </c>
      <c r="E318" s="219">
        <v>100000</v>
      </c>
      <c r="F318" s="219">
        <f>$F$313*H318</f>
        <v>0</v>
      </c>
      <c r="G318" s="219">
        <f>SUM(D318:F318)</f>
        <v>1359999.7298699999</v>
      </c>
      <c r="H318" s="220">
        <v>0.7</v>
      </c>
      <c r="I318" s="184"/>
      <c r="J318" s="256"/>
      <c r="K318" s="257"/>
      <c r="L318" s="138"/>
      <c r="M318" s="33"/>
      <c r="N318" s="68" t="s">
        <v>152</v>
      </c>
      <c r="O318" s="439">
        <f>$O$313*T318</f>
        <v>1259999.7298699999</v>
      </c>
      <c r="P318" s="411">
        <v>100000</v>
      </c>
      <c r="Q318" s="411">
        <f>$F$313*T318</f>
        <v>0</v>
      </c>
      <c r="R318" s="411">
        <f>SUM(O318:Q318)</f>
        <v>1359999.7298699999</v>
      </c>
      <c r="S318" s="254">
        <f>+R318-G318</f>
        <v>0</v>
      </c>
      <c r="T318" s="220">
        <f>D318/O313</f>
        <v>0.69999984603888965</v>
      </c>
      <c r="U318" s="518"/>
      <c r="V318" s="387"/>
      <c r="W318" s="33"/>
      <c r="X318" s="130"/>
    </row>
    <row r="319" spans="2:24" s="109" customFormat="1" ht="27.9" customHeight="1" x14ac:dyDescent="0.35">
      <c r="B319" s="601"/>
      <c r="C319" s="93" t="s">
        <v>153</v>
      </c>
      <c r="D319" s="218">
        <f>$D$313*H319</f>
        <v>539999.88422999997</v>
      </c>
      <c r="E319" s="219">
        <v>100000</v>
      </c>
      <c r="F319" s="219">
        <f>$F$313*H319</f>
        <v>0</v>
      </c>
      <c r="G319" s="221">
        <f>SUM(D319:F319)</f>
        <v>639999.88422999997</v>
      </c>
      <c r="H319" s="222">
        <v>0.3</v>
      </c>
      <c r="I319" s="184"/>
      <c r="J319" s="185"/>
      <c r="K319" s="258"/>
      <c r="L319" s="138"/>
      <c r="M319" s="581"/>
      <c r="N319" s="93" t="s">
        <v>153</v>
      </c>
      <c r="O319" s="439">
        <f>$O$313*T319</f>
        <v>540000.00300000003</v>
      </c>
      <c r="P319" s="411">
        <v>100000</v>
      </c>
      <c r="Q319" s="411">
        <f>$F$313*T319</f>
        <v>0</v>
      </c>
      <c r="R319" s="411">
        <f>SUM(O319:Q319)</f>
        <v>640000.00300000003</v>
      </c>
      <c r="S319" s="254"/>
      <c r="T319" s="222">
        <v>0.3</v>
      </c>
      <c r="U319" s="518"/>
      <c r="V319" s="387"/>
      <c r="X319" s="130"/>
    </row>
    <row r="320" spans="2:24" s="109" customFormat="1" ht="36.9" customHeight="1" x14ac:dyDescent="0.35">
      <c r="B320" s="601"/>
      <c r="C320" s="93"/>
      <c r="D320" s="218"/>
      <c r="E320" s="219">
        <f>$E$313*H320</f>
        <v>0</v>
      </c>
      <c r="F320" s="219">
        <f>$F$313*H320</f>
        <v>0</v>
      </c>
      <c r="G320" s="221">
        <f>SUM(D320:F320)</f>
        <v>0</v>
      </c>
      <c r="H320" s="223"/>
      <c r="I320" s="224"/>
      <c r="J320" s="225"/>
      <c r="K320" s="258"/>
      <c r="L320" s="138"/>
      <c r="M320" s="581"/>
      <c r="N320" s="93" t="s">
        <v>154</v>
      </c>
      <c r="O320" s="439"/>
      <c r="P320" s="411"/>
      <c r="Q320" s="411"/>
      <c r="R320" s="411"/>
      <c r="S320" s="254"/>
      <c r="T320" s="223"/>
      <c r="U320" s="522"/>
      <c r="V320" s="540"/>
      <c r="X320" s="130"/>
    </row>
    <row r="321" spans="2:24" s="109" customFormat="1" ht="16" thickBot="1" x14ac:dyDescent="0.4">
      <c r="B321" s="601"/>
      <c r="C321" s="199" t="s">
        <v>10</v>
      </c>
      <c r="D321" s="200">
        <f>SUM(D318:D320)</f>
        <v>1799999.6140999999</v>
      </c>
      <c r="E321" s="200">
        <f>SUM(E318:E320)</f>
        <v>200000</v>
      </c>
      <c r="F321" s="200">
        <f>SUM(F318:F320)</f>
        <v>0</v>
      </c>
      <c r="G321" s="200">
        <f>SUM(G318:G320)</f>
        <v>1999999.6140999999</v>
      </c>
      <c r="H321" s="226">
        <f>SUM(H318:H320)</f>
        <v>1</v>
      </c>
      <c r="I321" s="227"/>
      <c r="J321" s="228"/>
      <c r="L321" s="138"/>
      <c r="M321" s="581"/>
      <c r="N321" s="199" t="s">
        <v>10</v>
      </c>
      <c r="O321" s="439">
        <f>$O$313*T321</f>
        <v>1799999.7328699999</v>
      </c>
      <c r="P321" s="411">
        <f>SUM(P318:P320)</f>
        <v>200000</v>
      </c>
      <c r="Q321" s="411">
        <f>SUM(Q318:Q320)</f>
        <v>0</v>
      </c>
      <c r="R321" s="412">
        <f>SUM(R318:R320)</f>
        <v>1999999.7328699999</v>
      </c>
      <c r="S321" s="255"/>
      <c r="T321" s="226">
        <f>SUM(T318:T320)</f>
        <v>0.99999984603888969</v>
      </c>
      <c r="U321" s="523"/>
      <c r="V321" s="541"/>
      <c r="X321" s="130"/>
    </row>
    <row r="322" spans="2:24" s="109" customFormat="1" ht="16" thickBot="1" x14ac:dyDescent="0.4">
      <c r="B322" s="601"/>
      <c r="C322" s="229"/>
      <c r="D322" s="230"/>
      <c r="E322" s="230"/>
      <c r="F322" s="230"/>
      <c r="G322" s="230"/>
      <c r="H322" s="231"/>
      <c r="I322" s="232"/>
      <c r="J322" s="211"/>
      <c r="L322" s="138"/>
      <c r="M322" s="581"/>
      <c r="N322" s="229"/>
      <c r="O322" s="444"/>
      <c r="P322" s="231"/>
      <c r="Q322" s="231"/>
      <c r="R322" s="230"/>
      <c r="S322" s="460"/>
      <c r="T322" s="231"/>
      <c r="U322" s="520"/>
      <c r="V322" s="538"/>
    </row>
    <row r="323" spans="2:24" s="109" customFormat="1" ht="30.65" customHeight="1" x14ac:dyDescent="0.35">
      <c r="B323" s="601"/>
      <c r="C323" s="233" t="s">
        <v>155</v>
      </c>
      <c r="D323" s="234">
        <f>(H25+H44+H69+H122+H141+H163+H187+H197+H209+H219+H229+H239+H251+H261+H271+H281+H301)*1.07</f>
        <v>667091.24320000003</v>
      </c>
      <c r="E323" s="208"/>
      <c r="F323" s="208"/>
      <c r="G323" s="208"/>
      <c r="H323" s="235" t="s">
        <v>156</v>
      </c>
      <c r="I323" s="236">
        <f>SUM(I301,I281,I271,I261,I251,I239,I229,I219,I209,I197,I187,I163,I141,I122,I69,I44,I25)</f>
        <v>0</v>
      </c>
      <c r="J323" s="237"/>
      <c r="L323" s="138"/>
      <c r="M323" s="581"/>
      <c r="N323" s="233" t="s">
        <v>155</v>
      </c>
      <c r="O323" s="445">
        <f>SUM(T25+T44+T69+T122+T141+T163+T187)*1.07</f>
        <v>696619.64800000004</v>
      </c>
      <c r="P323" s="209"/>
      <c r="Q323" s="209"/>
      <c r="R323" s="208"/>
      <c r="S323" s="458"/>
      <c r="T323" s="235" t="s">
        <v>156</v>
      </c>
      <c r="U323" s="517">
        <f>SUM(U301,U281,U271,U261,U251,U239,U229,U219,U209,U197,U187,U163,U141,U122,U69,U44,U25)</f>
        <v>1967093</v>
      </c>
      <c r="V323" s="531"/>
    </row>
    <row r="324" spans="2:24" s="109" customFormat="1" ht="22.5" customHeight="1" thickBot="1" x14ac:dyDescent="0.4">
      <c r="B324" s="601"/>
      <c r="C324" s="238" t="s">
        <v>157</v>
      </c>
      <c r="D324" s="252">
        <f>D323/G321</f>
        <v>0.33354568595764011</v>
      </c>
      <c r="E324" s="239"/>
      <c r="F324" s="239"/>
      <c r="G324" s="239"/>
      <c r="H324" s="240" t="s">
        <v>158</v>
      </c>
      <c r="I324" s="241">
        <f>I323/G311</f>
        <v>0</v>
      </c>
      <c r="J324" s="242"/>
      <c r="L324" s="138"/>
      <c r="M324" s="581"/>
      <c r="N324" s="238" t="s">
        <v>157</v>
      </c>
      <c r="O324" s="446">
        <f>O323/R313</f>
        <v>0.34830982185789461</v>
      </c>
      <c r="P324" s="243"/>
      <c r="Q324" s="243"/>
      <c r="R324" s="239"/>
      <c r="S324" s="461"/>
      <c r="T324" s="240" t="s">
        <v>158</v>
      </c>
      <c r="U324" s="524">
        <f>U323/R313</f>
        <v>0.98354649395118898</v>
      </c>
      <c r="V324" s="532"/>
    </row>
    <row r="325" spans="2:24" s="109" customFormat="1" ht="14.25" customHeight="1" x14ac:dyDescent="0.35">
      <c r="B325" s="601"/>
      <c r="C325" s="582"/>
      <c r="D325" s="583"/>
      <c r="E325" s="244"/>
      <c r="F325" s="244"/>
      <c r="G325" s="244"/>
      <c r="I325" s="204"/>
      <c r="J325" s="205"/>
      <c r="L325" s="138"/>
      <c r="M325" s="581"/>
      <c r="N325" s="582"/>
      <c r="O325" s="583"/>
      <c r="P325" s="245"/>
      <c r="Q325" s="245"/>
      <c r="R325" s="244"/>
      <c r="S325" s="462"/>
      <c r="U325" s="519"/>
      <c r="V325" s="530"/>
    </row>
    <row r="326" spans="2:24" s="109" customFormat="1" ht="33.65" customHeight="1" x14ac:dyDescent="0.35">
      <c r="B326" s="601"/>
      <c r="C326" s="238" t="s">
        <v>159</v>
      </c>
      <c r="D326" s="246">
        <f>SUM(D296:D300)*1.07</f>
        <v>144730.34</v>
      </c>
      <c r="E326" s="239"/>
      <c r="F326" s="239"/>
      <c r="G326" s="239"/>
      <c r="I326" s="204"/>
      <c r="J326" s="205"/>
      <c r="L326" s="138"/>
      <c r="M326" s="581"/>
      <c r="N326" s="238" t="s">
        <v>159</v>
      </c>
      <c r="O326" s="447">
        <f>SUM(O296:Q300)*1.07</f>
        <v>117158.58</v>
      </c>
      <c r="P326" s="247"/>
      <c r="Q326" s="247"/>
      <c r="R326" s="239"/>
      <c r="S326" s="461"/>
      <c r="U326" s="519"/>
      <c r="V326" s="530"/>
    </row>
    <row r="327" spans="2:24" s="109" customFormat="1" ht="28.25" customHeight="1" x14ac:dyDescent="0.35">
      <c r="B327" s="601"/>
      <c r="C327" s="238" t="s">
        <v>160</v>
      </c>
      <c r="D327" s="252">
        <f>D326/G313</f>
        <v>7.2365183879642275E-2</v>
      </c>
      <c r="E327" s="239"/>
      <c r="F327" s="239"/>
      <c r="G327" s="239"/>
      <c r="I327" s="204"/>
      <c r="J327" s="205"/>
      <c r="L327" s="138"/>
      <c r="M327" s="581"/>
      <c r="N327" s="238" t="s">
        <v>160</v>
      </c>
      <c r="O327" s="446">
        <f>O326/R313</f>
        <v>5.8579289639737367E-2</v>
      </c>
      <c r="P327" s="247"/>
      <c r="Q327" s="247"/>
      <c r="R327" s="239"/>
      <c r="S327" s="461"/>
      <c r="U327" s="519"/>
      <c r="V327" s="530"/>
    </row>
    <row r="328" spans="2:24" s="109" customFormat="1" ht="62.4" customHeight="1" thickBot="1" x14ac:dyDescent="0.4">
      <c r="B328" s="601"/>
      <c r="C328" s="602" t="s">
        <v>161</v>
      </c>
      <c r="D328" s="603"/>
      <c r="E328" s="248"/>
      <c r="F328" s="248"/>
      <c r="G328" s="248"/>
      <c r="I328" s="249"/>
      <c r="J328" s="205"/>
      <c r="L328" s="138"/>
      <c r="M328" s="581"/>
      <c r="N328" s="584" t="s">
        <v>161</v>
      </c>
      <c r="O328" s="585"/>
      <c r="P328" s="250"/>
      <c r="Q328" s="250"/>
      <c r="R328" s="248"/>
      <c r="S328" s="463"/>
      <c r="U328" s="519"/>
      <c r="V328" s="530"/>
    </row>
    <row r="329" spans="2:24" ht="14" customHeight="1" x14ac:dyDescent="0.3">
      <c r="B329" s="601"/>
      <c r="M329" s="581"/>
      <c r="U329" s="525"/>
      <c r="V329" s="533"/>
    </row>
    <row r="330" spans="2:24" ht="14" customHeight="1" x14ac:dyDescent="0.3">
      <c r="B330" s="601"/>
      <c r="M330" s="581"/>
      <c r="U330" s="525"/>
      <c r="V330" s="533"/>
    </row>
    <row r="331" spans="2:24" ht="14" customHeight="1" x14ac:dyDescent="0.3">
      <c r="B331" s="601"/>
      <c r="M331" s="581"/>
      <c r="U331" s="525"/>
      <c r="V331" s="533"/>
    </row>
    <row r="332" spans="2:24" ht="14" customHeight="1" x14ac:dyDescent="0.3">
      <c r="B332" s="601"/>
      <c r="M332" s="581"/>
      <c r="U332" s="525"/>
      <c r="V332" s="533"/>
    </row>
    <row r="333" spans="2:24" ht="14" customHeight="1" x14ac:dyDescent="0.3">
      <c r="B333" s="601"/>
      <c r="M333" s="581"/>
      <c r="U333" s="525"/>
      <c r="V333" s="533"/>
    </row>
    <row r="393" spans="1:1" x14ac:dyDescent="0.3">
      <c r="A393" s="2" t="s">
        <v>162</v>
      </c>
    </row>
  </sheetData>
  <mergeCells count="118">
    <mergeCell ref="M130:M134"/>
    <mergeCell ref="M143:M147"/>
    <mergeCell ref="M56:M60"/>
    <mergeCell ref="M61:M68"/>
    <mergeCell ref="M126:M129"/>
    <mergeCell ref="M73:M75"/>
    <mergeCell ref="M77:M78"/>
    <mergeCell ref="M79:M80"/>
    <mergeCell ref="M81:M82"/>
    <mergeCell ref="M86:M87"/>
    <mergeCell ref="M88:M89"/>
    <mergeCell ref="M90:M91"/>
    <mergeCell ref="M112:M113"/>
    <mergeCell ref="M114:M116"/>
    <mergeCell ref="M117:M118"/>
    <mergeCell ref="M70:W70"/>
    <mergeCell ref="M95:M96"/>
    <mergeCell ref="M100:M101"/>
    <mergeCell ref="M104:M106"/>
    <mergeCell ref="M107:M109"/>
    <mergeCell ref="M110:M111"/>
    <mergeCell ref="N142:V142"/>
    <mergeCell ref="W142:X142"/>
    <mergeCell ref="M148:M152"/>
    <mergeCell ref="M153:M157"/>
    <mergeCell ref="M165:M169"/>
    <mergeCell ref="M170:M174"/>
    <mergeCell ref="M282:M290"/>
    <mergeCell ref="M177:M178"/>
    <mergeCell ref="M179:M180"/>
    <mergeCell ref="M181:M182"/>
    <mergeCell ref="M183:M184"/>
    <mergeCell ref="M175:M176"/>
    <mergeCell ref="B165:B169"/>
    <mergeCell ref="B170:B174"/>
    <mergeCell ref="B282:B290"/>
    <mergeCell ref="B291:B295"/>
    <mergeCell ref="B153:B157"/>
    <mergeCell ref="B143:B147"/>
    <mergeCell ref="B148:B152"/>
    <mergeCell ref="B126:B129"/>
    <mergeCell ref="B130:B134"/>
    <mergeCell ref="C241:K241"/>
    <mergeCell ref="C70:K70"/>
    <mergeCell ref="C124:K124"/>
    <mergeCell ref="C125:K125"/>
    <mergeCell ref="C142:K142"/>
    <mergeCell ref="C164:K164"/>
    <mergeCell ref="C188:K188"/>
    <mergeCell ref="C199:K199"/>
    <mergeCell ref="C200:K200"/>
    <mergeCell ref="C210:K210"/>
    <mergeCell ref="C220:K220"/>
    <mergeCell ref="C230:K230"/>
    <mergeCell ref="B319:B333"/>
    <mergeCell ref="C325:D325"/>
    <mergeCell ref="C328:D328"/>
    <mergeCell ref="C242:K242"/>
    <mergeCell ref="C252:K252"/>
    <mergeCell ref="C262:K262"/>
    <mergeCell ref="C272:K272"/>
    <mergeCell ref="C309:G309"/>
    <mergeCell ref="C316:H316"/>
    <mergeCell ref="B296:B299"/>
    <mergeCell ref="N262:W262"/>
    <mergeCell ref="N164:W164"/>
    <mergeCell ref="N188:W188"/>
    <mergeCell ref="N199:W199"/>
    <mergeCell ref="N200:W200"/>
    <mergeCell ref="N210:W210"/>
    <mergeCell ref="N220:W220"/>
    <mergeCell ref="N230:W230"/>
    <mergeCell ref="N241:W241"/>
    <mergeCell ref="N242:W242"/>
    <mergeCell ref="N252:W252"/>
    <mergeCell ref="N272:W272"/>
    <mergeCell ref="N309:R309"/>
    <mergeCell ref="N316:T316"/>
    <mergeCell ref="M319:M333"/>
    <mergeCell ref="N325:O325"/>
    <mergeCell ref="N328:O328"/>
    <mergeCell ref="M291:M295"/>
    <mergeCell ref="M296:M299"/>
    <mergeCell ref="B1:K1"/>
    <mergeCell ref="M1:W1"/>
    <mergeCell ref="N6:W6"/>
    <mergeCell ref="N7:W7"/>
    <mergeCell ref="N26:W26"/>
    <mergeCell ref="B2:E2"/>
    <mergeCell ref="B3:H3"/>
    <mergeCell ref="C6:K6"/>
    <mergeCell ref="C7:K7"/>
    <mergeCell ref="C26:K26"/>
    <mergeCell ref="M8:M10"/>
    <mergeCell ref="M11:M13"/>
    <mergeCell ref="M15:M18"/>
    <mergeCell ref="M19:M20"/>
    <mergeCell ref="B8:B10"/>
    <mergeCell ref="B11:B13"/>
    <mergeCell ref="B15:B18"/>
    <mergeCell ref="N124:W124"/>
    <mergeCell ref="N125:W125"/>
    <mergeCell ref="N45:W45"/>
    <mergeCell ref="C45:K45"/>
    <mergeCell ref="M27:M30"/>
    <mergeCell ref="M31:M33"/>
    <mergeCell ref="M34:M36"/>
    <mergeCell ref="M46:M50"/>
    <mergeCell ref="M51:M55"/>
    <mergeCell ref="B46:B50"/>
    <mergeCell ref="B51:B55"/>
    <mergeCell ref="B56:B60"/>
    <mergeCell ref="B61:B68"/>
    <mergeCell ref="B27:B30"/>
    <mergeCell ref="B31:B33"/>
    <mergeCell ref="B34:B36"/>
    <mergeCell ref="M37:M39"/>
    <mergeCell ref="M40:M41"/>
  </mergeCells>
  <phoneticPr fontId="24" type="noConversion"/>
  <conditionalFormatting sqref="D324">
    <cfRule type="cellIs" dxfId="61" priority="12" operator="lessThan">
      <formula>0.15</formula>
    </cfRule>
  </conditionalFormatting>
  <conditionalFormatting sqref="D327">
    <cfRule type="cellIs" dxfId="60" priority="11" operator="lessThan">
      <formula>0.05</formula>
    </cfRule>
  </conditionalFormatting>
  <conditionalFormatting sqref="H321:J321">
    <cfRule type="cellIs" dxfId="59" priority="10" operator="greaterThan">
      <formula>1</formula>
    </cfRule>
  </conditionalFormatting>
  <conditionalFormatting sqref="O324">
    <cfRule type="cellIs" dxfId="58" priority="3" operator="lessThan">
      <formula>0.15</formula>
    </cfRule>
  </conditionalFormatting>
  <conditionalFormatting sqref="O327">
    <cfRule type="cellIs" dxfId="57" priority="2" operator="lessThan">
      <formula>0.05</formula>
    </cfRule>
  </conditionalFormatting>
  <conditionalFormatting sqref="T321:V321">
    <cfRule type="cellIs" dxfId="56" priority="1" operator="greaterThan">
      <formula>1</formula>
    </cfRule>
  </conditionalFormatting>
  <dataValidations count="6">
    <dataValidation allowBlank="1" showErrorMessage="1" prompt="% Towards Gender Equality and Women's Empowerment Must be Higher than 15%_x000a_" sqref="D326:G326 D324 O326:S326 O324" xr:uid="{9ECE9C52-FF04-4942-888C-F84CE3C2D237}"/>
    <dataValidation allowBlank="1" showInputMessage="1" showErrorMessage="1" prompt="Insert *text* description of Activity here" sqref="N273 N143 N263 C71 C126:C134 C148 C189 C201 C211 C221 C231 C243 C253 C263 C273 C27 C165 N253 N71:O71 N8 N148 N189 N201 N211 N221 N231 N243 C8 C46:C63 N46:N63 C143 N126:N134 N165" xr:uid="{707FC11A-9BD7-4AE0-9E98-15F5D4822DA6}"/>
    <dataValidation allowBlank="1" showInputMessage="1" showErrorMessage="1" prompt="Insert *text* description of Output here" sqref="N272 C7 C125 C70 C28:C29 C45 C142 C188 C200 C210 C220 C230 C242 C252 C262 C272 N7 N26:N29 C164 N164 N45 N125 N142 N188 N200 N210 N220 N230 N242 N252 N262 C26" xr:uid="{781C8C42-CF16-4D2D-BFCA-35C2159AB96E}"/>
    <dataValidation allowBlank="1" showInputMessage="1" showErrorMessage="1" prompt="Insert *text* description of Outcome here" sqref="N241:W241 C6:K6 C199:K199 C241:K241 N6:W6 N124:W124 N199:W199 C124:K124" xr:uid="{CB49969C-3E32-453F-9B21-51BA0415969F}"/>
    <dataValidation allowBlank="1" showInputMessage="1" showErrorMessage="1" prompt="M&amp;E Budget Cannot be Less than 5%_x000a_" sqref="E327:G327 P327:S327" xr:uid="{3ABB3FF7-57AB-4AD9-919D-2C57FE185B07}"/>
    <dataValidation allowBlank="1" showInputMessage="1" showErrorMessage="1" prompt="% Towards Gender Equality and Women's Empowerment Must be Higher than 15%_x000a_" sqref="F324:G324 Q324:S324" xr:uid="{CF3709F7-B0F8-4088-8DEA-73554150EFFD}"/>
  </dataValidations>
  <pageMargins left="0.7" right="0.7" top="0.75" bottom="0.75" header="0.3" footer="0.3"/>
  <pageSetup paperSize="9" scale="70" orientation="landscape" r:id="rId1"/>
  <ignoredErrors>
    <ignoredError sqref="H122 H197 H209 H219 H229 H239 H251 H261 H271 H281 H301 U69 T209 T219 T229:U229 T239:U239 T251:U251 T261:U261 T271:U271 T281:U281"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5CCB-D30D-4754-92E7-26C76CC0C8E9}">
  <dimension ref="A1:N245"/>
  <sheetViews>
    <sheetView topLeftCell="B181" zoomScale="70" zoomScaleNormal="70" zoomScalePageLayoutView="66" workbookViewId="0">
      <selection activeCell="H16" sqref="H16"/>
    </sheetView>
  </sheetViews>
  <sheetFormatPr defaultColWidth="9.08984375" defaultRowHeight="15.5" x14ac:dyDescent="0.35"/>
  <cols>
    <col min="1" max="1" width="9.08984375" style="16"/>
    <col min="2" max="2" width="40.54296875" style="16" customWidth="1"/>
    <col min="3" max="3" width="19.453125" style="16" customWidth="1"/>
    <col min="4" max="4" width="24.6328125" style="16" customWidth="1"/>
    <col min="5" max="5" width="18.6328125" style="16" customWidth="1"/>
    <col min="6" max="6" width="18" style="34" customWidth="1"/>
    <col min="7" max="7" width="44.6328125" style="16" customWidth="1"/>
    <col min="8" max="8" width="20.90625" style="34" customWidth="1"/>
    <col min="9" max="9" width="14.08984375" style="34" customWidth="1"/>
    <col min="10" max="10" width="20.90625" style="16" customWidth="1"/>
    <col min="11" max="11" width="9.08984375" style="16"/>
    <col min="12" max="12" width="11.453125" style="16" customWidth="1"/>
    <col min="13" max="13" width="9.08984375" style="16"/>
    <col min="14" max="14" width="15.54296875" style="16" customWidth="1"/>
    <col min="15" max="16384" width="9.08984375" style="16"/>
  </cols>
  <sheetData>
    <row r="1" spans="1:12" x14ac:dyDescent="0.35">
      <c r="A1" s="633" t="s">
        <v>2</v>
      </c>
      <c r="B1" s="633"/>
      <c r="C1" s="633"/>
      <c r="D1" s="633"/>
      <c r="E1" s="633"/>
      <c r="F1" s="60"/>
      <c r="G1" s="634" t="s">
        <v>163</v>
      </c>
      <c r="H1" s="634"/>
      <c r="I1" s="634"/>
      <c r="J1" s="634"/>
    </row>
    <row r="2" spans="1:12" ht="33.75" customHeight="1" x14ac:dyDescent="1">
      <c r="B2" s="548" t="s">
        <v>4</v>
      </c>
      <c r="C2" s="548"/>
      <c r="D2" s="548"/>
      <c r="E2" s="32"/>
      <c r="F2" s="60"/>
      <c r="G2" s="548" t="s">
        <v>4</v>
      </c>
      <c r="H2" s="548"/>
      <c r="I2" s="548"/>
      <c r="J2" s="32"/>
    </row>
    <row r="3" spans="1:12" ht="25.5" customHeight="1" x14ac:dyDescent="0.45">
      <c r="B3" s="641" t="s">
        <v>164</v>
      </c>
      <c r="C3" s="641"/>
      <c r="D3" s="641"/>
      <c r="F3" s="60"/>
      <c r="G3" s="641" t="s">
        <v>164</v>
      </c>
      <c r="H3" s="641"/>
      <c r="I3" s="641"/>
    </row>
    <row r="4" spans="1:12" ht="9.75" customHeight="1" x14ac:dyDescent="0.35">
      <c r="B4" s="17"/>
      <c r="C4" s="17"/>
      <c r="D4" s="17"/>
      <c r="F4" s="60"/>
      <c r="G4" s="17"/>
      <c r="H4" s="17"/>
      <c r="I4" s="17"/>
    </row>
    <row r="5" spans="1:12" ht="57.9" customHeight="1" x14ac:dyDescent="0.35">
      <c r="B5" s="17"/>
      <c r="C5" s="18" t="str">
        <f>'1)Tableau budgétaire 1'!O5</f>
        <v>PNUD(budget en USD)</v>
      </c>
      <c r="D5" s="18" t="s">
        <v>244</v>
      </c>
      <c r="E5" s="19" t="s">
        <v>10</v>
      </c>
      <c r="F5" s="60"/>
      <c r="G5" s="17"/>
      <c r="H5" s="18" t="str">
        <f>'1)Tableau budgétaire 1'!O5</f>
        <v>PNUD(budget en USD)</v>
      </c>
      <c r="I5" s="18" t="s">
        <v>8</v>
      </c>
      <c r="J5" s="19" t="s">
        <v>10</v>
      </c>
    </row>
    <row r="6" spans="1:12" ht="50.15" customHeight="1" x14ac:dyDescent="0.35">
      <c r="A6" s="635" t="s">
        <v>165</v>
      </c>
      <c r="B6" s="636"/>
      <c r="C6" s="636"/>
      <c r="D6" s="636"/>
      <c r="E6" s="637"/>
      <c r="F6" s="60"/>
      <c r="G6" s="636"/>
      <c r="H6" s="636"/>
      <c r="I6" s="636"/>
      <c r="J6" s="637"/>
    </row>
    <row r="7" spans="1:12" ht="30.75" customHeight="1" x14ac:dyDescent="0.35">
      <c r="B7" s="635" t="s">
        <v>166</v>
      </c>
      <c r="C7" s="636"/>
      <c r="D7" s="636"/>
      <c r="E7" s="637"/>
      <c r="F7" s="60"/>
      <c r="G7" s="635" t="s">
        <v>166</v>
      </c>
      <c r="H7" s="636"/>
      <c r="I7" s="636"/>
      <c r="J7" s="637"/>
    </row>
    <row r="8" spans="1:12" ht="30.75" customHeight="1" thickBot="1" x14ac:dyDescent="0.4">
      <c r="B8" s="20" t="s">
        <v>167</v>
      </c>
      <c r="C8" s="21">
        <v>223345</v>
      </c>
      <c r="D8" s="21">
        <v>111916</v>
      </c>
      <c r="E8" s="22">
        <f t="shared" ref="E8:E15" si="0">SUM(C8:D8)</f>
        <v>335261</v>
      </c>
      <c r="F8" s="60"/>
      <c r="G8" s="261" t="s">
        <v>167</v>
      </c>
      <c r="H8" s="259">
        <f>SUM(H9:H15)</f>
        <v>223345</v>
      </c>
      <c r="I8" s="259">
        <v>111916</v>
      </c>
      <c r="J8" s="103">
        <f t="shared" ref="J8:J16" si="1">SUM(H8:I8)</f>
        <v>335261</v>
      </c>
    </row>
    <row r="9" spans="1:12" ht="21.75" customHeight="1" x14ac:dyDescent="0.35">
      <c r="B9" s="23" t="s">
        <v>168</v>
      </c>
      <c r="C9" s="468">
        <v>0</v>
      </c>
      <c r="D9" s="24">
        <v>75000</v>
      </c>
      <c r="E9" s="101">
        <f t="shared" si="0"/>
        <v>75000</v>
      </c>
      <c r="F9" s="60"/>
      <c r="G9" s="262" t="s">
        <v>168</v>
      </c>
      <c r="H9" s="469">
        <v>0</v>
      </c>
      <c r="I9" s="263">
        <v>75000</v>
      </c>
      <c r="J9" s="101">
        <f t="shared" si="1"/>
        <v>75000</v>
      </c>
    </row>
    <row r="10" spans="1:12" x14ac:dyDescent="0.35">
      <c r="B10" s="26" t="s">
        <v>169</v>
      </c>
      <c r="C10" s="468">
        <v>125000</v>
      </c>
      <c r="D10" s="28"/>
      <c r="E10" s="102">
        <f t="shared" si="0"/>
        <v>125000</v>
      </c>
      <c r="F10" s="60"/>
      <c r="G10" s="264" t="s">
        <v>169</v>
      </c>
      <c r="H10" s="467">
        <v>0</v>
      </c>
      <c r="I10" s="265"/>
      <c r="J10" s="102">
        <f t="shared" si="1"/>
        <v>0</v>
      </c>
    </row>
    <row r="11" spans="1:12" ht="15.75" customHeight="1" x14ac:dyDescent="0.35">
      <c r="B11" s="26" t="s">
        <v>170</v>
      </c>
      <c r="C11" s="468" t="s">
        <v>392</v>
      </c>
      <c r="D11" s="27"/>
      <c r="E11" s="102">
        <f t="shared" si="0"/>
        <v>0</v>
      </c>
      <c r="F11" s="60"/>
      <c r="G11" s="264" t="s">
        <v>170</v>
      </c>
      <c r="H11" s="467">
        <v>0</v>
      </c>
      <c r="I11" s="100"/>
      <c r="J11" s="102">
        <f t="shared" si="1"/>
        <v>0</v>
      </c>
    </row>
    <row r="12" spans="1:12" x14ac:dyDescent="0.35">
      <c r="B12" s="30" t="s">
        <v>171</v>
      </c>
      <c r="C12" s="468">
        <v>75000</v>
      </c>
      <c r="D12" s="27"/>
      <c r="E12" s="102">
        <f t="shared" si="0"/>
        <v>75000</v>
      </c>
      <c r="F12" s="60"/>
      <c r="G12" s="266" t="s">
        <v>171</v>
      </c>
      <c r="H12" s="467">
        <f>+'1)Tableau budgétaire 1'!O10+'1)Tableau budgétaire 1'!O11+'1)Tableau budgétaire 1'!O15+'1)Tableau budgétaire 1'!O16+'1)Tableau budgétaire 1'!O19+'1)Tableau budgétaire 1'!O20+'1)Tableau budgétaire 1'!O21</f>
        <v>213345</v>
      </c>
      <c r="I12" s="100"/>
      <c r="J12" s="102">
        <f t="shared" si="1"/>
        <v>213345</v>
      </c>
    </row>
    <row r="13" spans="1:12" x14ac:dyDescent="0.35">
      <c r="B13" s="26" t="s">
        <v>172</v>
      </c>
      <c r="C13" s="468">
        <v>10000</v>
      </c>
      <c r="D13" s="27">
        <v>36915.89</v>
      </c>
      <c r="E13" s="29">
        <f t="shared" si="0"/>
        <v>46915.89</v>
      </c>
      <c r="F13" s="60"/>
      <c r="G13" s="264" t="s">
        <v>172</v>
      </c>
      <c r="H13" s="467">
        <f>+'1)Tableau budgétaire 1'!O12+'1)Tableau budgétaire 1'!O17</f>
        <v>10000</v>
      </c>
      <c r="I13" s="100">
        <v>36915.89</v>
      </c>
      <c r="J13" s="102">
        <f t="shared" si="1"/>
        <v>46915.89</v>
      </c>
    </row>
    <row r="14" spans="1:12" ht="29.25" customHeight="1" x14ac:dyDescent="0.35">
      <c r="B14" s="26" t="s">
        <v>173</v>
      </c>
      <c r="C14" s="468">
        <v>0</v>
      </c>
      <c r="D14" s="27"/>
      <c r="E14" s="29">
        <f t="shared" si="0"/>
        <v>0</v>
      </c>
      <c r="F14" s="60"/>
      <c r="G14" s="264" t="s">
        <v>173</v>
      </c>
      <c r="H14" s="100">
        <v>0</v>
      </c>
      <c r="I14" s="100"/>
      <c r="J14" s="102">
        <f t="shared" si="1"/>
        <v>0</v>
      </c>
    </row>
    <row r="15" spans="1:12" ht="36.75" customHeight="1" x14ac:dyDescent="0.35">
      <c r="B15" s="26" t="s">
        <v>174</v>
      </c>
      <c r="C15" s="468">
        <v>0</v>
      </c>
      <c r="D15" s="27"/>
      <c r="E15" s="29">
        <f t="shared" si="0"/>
        <v>0</v>
      </c>
      <c r="F15" s="60"/>
      <c r="G15" s="264" t="s">
        <v>174</v>
      </c>
      <c r="H15" s="100">
        <v>0</v>
      </c>
      <c r="I15" s="100"/>
      <c r="J15" s="102">
        <f t="shared" si="1"/>
        <v>0</v>
      </c>
    </row>
    <row r="16" spans="1:12" ht="21.75" customHeight="1" thickBot="1" x14ac:dyDescent="0.4">
      <c r="B16" s="31" t="s">
        <v>175</v>
      </c>
      <c r="C16" s="102">
        <f>SUM(C9:C15)</f>
        <v>210000</v>
      </c>
      <c r="D16" s="29">
        <f>SUM(D9:D15)</f>
        <v>111915.89</v>
      </c>
      <c r="E16" s="102">
        <f>SUM(E9:E15)</f>
        <v>321915.89</v>
      </c>
      <c r="F16" s="60"/>
      <c r="G16" s="267" t="s">
        <v>175</v>
      </c>
      <c r="H16" s="470">
        <f>SUM(H9:H15)</f>
        <v>223345</v>
      </c>
      <c r="I16" s="259">
        <f>SUM(I9:I15)</f>
        <v>111915.89</v>
      </c>
      <c r="J16" s="260">
        <f t="shared" si="1"/>
        <v>335260.89</v>
      </c>
      <c r="L16" s="278"/>
    </row>
    <row r="17" spans="2:10" s="34" customFormat="1" x14ac:dyDescent="0.35">
      <c r="B17" s="35"/>
      <c r="C17" s="36"/>
      <c r="D17" s="36"/>
      <c r="E17" s="37"/>
      <c r="F17" s="60"/>
      <c r="G17" s="268"/>
      <c r="H17" s="269"/>
      <c r="I17" s="269"/>
      <c r="J17" s="270"/>
    </row>
    <row r="18" spans="2:10" ht="15.75" customHeight="1" x14ac:dyDescent="0.35">
      <c r="B18" s="635" t="s">
        <v>176</v>
      </c>
      <c r="C18" s="636"/>
      <c r="D18" s="636"/>
      <c r="E18" s="637"/>
      <c r="F18" s="60"/>
      <c r="G18" s="645" t="s">
        <v>176</v>
      </c>
      <c r="H18" s="646"/>
      <c r="I18" s="646"/>
      <c r="J18" s="647"/>
    </row>
    <row r="19" spans="2:10" ht="27" customHeight="1" thickBot="1" x14ac:dyDescent="0.4">
      <c r="B19" s="20" t="s">
        <v>177</v>
      </c>
      <c r="C19" s="21">
        <v>90599</v>
      </c>
      <c r="D19" s="21">
        <v>75000</v>
      </c>
      <c r="E19" s="22">
        <f t="shared" ref="E19:E26" si="2">SUM(C19:D19)</f>
        <v>165599</v>
      </c>
      <c r="F19" s="60"/>
      <c r="G19" s="261" t="s">
        <v>177</v>
      </c>
      <c r="H19" s="259">
        <v>90599</v>
      </c>
      <c r="I19" s="259">
        <v>75000</v>
      </c>
      <c r="J19" s="103">
        <f t="shared" ref="J19:J27" si="3">SUM(H19:I19)</f>
        <v>165599</v>
      </c>
    </row>
    <row r="20" spans="2:10" x14ac:dyDescent="0.35">
      <c r="B20" s="23" t="s">
        <v>168</v>
      </c>
      <c r="C20" s="298">
        <v>0</v>
      </c>
      <c r="D20" s="24">
        <v>75000</v>
      </c>
      <c r="E20" s="25">
        <f t="shared" si="2"/>
        <v>75000</v>
      </c>
      <c r="F20" s="60"/>
      <c r="G20" s="262" t="s">
        <v>168</v>
      </c>
      <c r="H20" s="99">
        <v>0</v>
      </c>
      <c r="I20" s="263">
        <v>75000</v>
      </c>
      <c r="J20" s="101">
        <f t="shared" si="3"/>
        <v>75000</v>
      </c>
    </row>
    <row r="21" spans="2:10" x14ac:dyDescent="0.35">
      <c r="B21" s="26" t="s">
        <v>169</v>
      </c>
      <c r="C21" s="299">
        <v>15000</v>
      </c>
      <c r="D21" s="28"/>
      <c r="E21" s="29">
        <f t="shared" si="2"/>
        <v>15000</v>
      </c>
      <c r="F21" s="60"/>
      <c r="G21" s="264" t="s">
        <v>169</v>
      </c>
      <c r="H21" s="100"/>
      <c r="I21" s="265"/>
      <c r="J21" s="102">
        <f t="shared" si="3"/>
        <v>0</v>
      </c>
    </row>
    <row r="22" spans="2:10" ht="31" x14ac:dyDescent="0.35">
      <c r="B22" s="26" t="s">
        <v>170</v>
      </c>
      <c r="C22" s="27">
        <v>0</v>
      </c>
      <c r="D22" s="27"/>
      <c r="E22" s="29">
        <f t="shared" si="2"/>
        <v>0</v>
      </c>
      <c r="F22" s="60"/>
      <c r="G22" s="264" t="s">
        <v>170</v>
      </c>
      <c r="H22" s="100">
        <v>0</v>
      </c>
      <c r="I22" s="100"/>
      <c r="J22" s="102">
        <f t="shared" si="3"/>
        <v>0</v>
      </c>
    </row>
    <row r="23" spans="2:10" x14ac:dyDescent="0.35">
      <c r="B23" s="30" t="s">
        <v>171</v>
      </c>
      <c r="C23" s="27"/>
      <c r="D23" s="27"/>
      <c r="E23" s="29">
        <f t="shared" si="2"/>
        <v>0</v>
      </c>
      <c r="F23" s="60"/>
      <c r="G23" s="266" t="s">
        <v>171</v>
      </c>
      <c r="H23" s="467">
        <f>+'1)Tableau budgétaire 1'!O31+'1)Tableau budgétaire 1'!O38+'1)Tableau budgétaire 1'!O39+'1)Tableau budgétaire 1'!O40+'1)Tableau budgétaire 1'!O41</f>
        <v>90599</v>
      </c>
      <c r="I23" s="100"/>
      <c r="J23" s="102">
        <f t="shared" si="3"/>
        <v>90599</v>
      </c>
    </row>
    <row r="24" spans="2:10" x14ac:dyDescent="0.35">
      <c r="B24" s="26" t="s">
        <v>172</v>
      </c>
      <c r="C24" s="27"/>
      <c r="D24" s="27"/>
      <c r="E24" s="29">
        <f t="shared" si="2"/>
        <v>0</v>
      </c>
      <c r="F24" s="60"/>
      <c r="G24" s="264" t="s">
        <v>172</v>
      </c>
      <c r="H24" s="467"/>
      <c r="I24" s="100"/>
      <c r="J24" s="102">
        <f t="shared" si="3"/>
        <v>0</v>
      </c>
    </row>
    <row r="25" spans="2:10" ht="31" x14ac:dyDescent="0.35">
      <c r="B25" s="26" t="s">
        <v>173</v>
      </c>
      <c r="C25" s="27">
        <v>0</v>
      </c>
      <c r="D25" s="27"/>
      <c r="E25" s="29">
        <f t="shared" si="2"/>
        <v>0</v>
      </c>
      <c r="F25" s="60"/>
      <c r="G25" s="264" t="s">
        <v>173</v>
      </c>
      <c r="H25" s="100">
        <v>0</v>
      </c>
      <c r="I25" s="100"/>
      <c r="J25" s="102">
        <f t="shared" si="3"/>
        <v>0</v>
      </c>
    </row>
    <row r="26" spans="2:10" ht="31" x14ac:dyDescent="0.35">
      <c r="B26" s="26" t="s">
        <v>174</v>
      </c>
      <c r="C26" s="27">
        <v>0</v>
      </c>
      <c r="D26" s="27"/>
      <c r="E26" s="29">
        <f t="shared" si="2"/>
        <v>0</v>
      </c>
      <c r="F26" s="60"/>
      <c r="G26" s="264" t="s">
        <v>174</v>
      </c>
      <c r="H26" s="100">
        <v>0</v>
      </c>
      <c r="I26" s="100"/>
      <c r="J26" s="102">
        <f t="shared" si="3"/>
        <v>0</v>
      </c>
    </row>
    <row r="27" spans="2:10" ht="16" thickBot="1" x14ac:dyDescent="0.4">
      <c r="B27" s="31" t="s">
        <v>175</v>
      </c>
      <c r="C27" s="29">
        <f>SUM(C20:C26)</f>
        <v>15000</v>
      </c>
      <c r="D27" s="29">
        <f>SUM(D20:D26)</f>
        <v>75000</v>
      </c>
      <c r="E27" s="29">
        <f>SUM(E20:E26)</f>
        <v>90000</v>
      </c>
      <c r="F27" s="60"/>
      <c r="G27" s="267" t="s">
        <v>175</v>
      </c>
      <c r="H27" s="470">
        <f>SUM(H20:H26)</f>
        <v>90599</v>
      </c>
      <c r="I27" s="259">
        <f>SUM(I20:I26)</f>
        <v>75000</v>
      </c>
      <c r="J27" s="102">
        <f t="shared" si="3"/>
        <v>165599</v>
      </c>
    </row>
    <row r="28" spans="2:10" s="34" customFormat="1" x14ac:dyDescent="0.35">
      <c r="B28" s="35"/>
      <c r="C28" s="36"/>
      <c r="D28" s="36"/>
      <c r="E28" s="38"/>
      <c r="F28" s="60"/>
      <c r="G28" s="268"/>
      <c r="H28" s="269"/>
      <c r="I28" s="269"/>
      <c r="J28" s="271"/>
    </row>
    <row r="29" spans="2:10" ht="15.75" customHeight="1" x14ac:dyDescent="0.35">
      <c r="B29" s="635" t="s">
        <v>178</v>
      </c>
      <c r="C29" s="636"/>
      <c r="D29" s="636"/>
      <c r="E29" s="637"/>
      <c r="F29" s="60"/>
      <c r="G29" s="645" t="s">
        <v>178</v>
      </c>
      <c r="H29" s="646"/>
      <c r="I29" s="646"/>
      <c r="J29" s="647"/>
    </row>
    <row r="30" spans="2:10" ht="21.75" customHeight="1" thickBot="1" x14ac:dyDescent="0.4">
      <c r="B30" s="20" t="s">
        <v>179</v>
      </c>
      <c r="C30" s="21">
        <v>25000</v>
      </c>
      <c r="D30" s="21">
        <f>'[1]1) Tableau budgétaire 1'!E36</f>
        <v>0</v>
      </c>
      <c r="E30" s="22">
        <f t="shared" ref="E30:E37" si="4">SUM(C30:D30)</f>
        <v>25000</v>
      </c>
      <c r="F30" s="60"/>
      <c r="G30" s="261" t="s">
        <v>179</v>
      </c>
      <c r="H30" s="259">
        <f>'1)Tableau budgétaire 1'!R69</f>
        <v>25000</v>
      </c>
      <c r="I30" s="259">
        <f>'[2]1) Tableau budgétaire 1'!E36</f>
        <v>0</v>
      </c>
      <c r="J30" s="103">
        <f t="shared" ref="J30:J38" si="5">SUM(H30:I30)</f>
        <v>25000</v>
      </c>
    </row>
    <row r="31" spans="2:10" x14ac:dyDescent="0.35">
      <c r="B31" s="23" t="s">
        <v>168</v>
      </c>
      <c r="C31" s="24"/>
      <c r="D31" s="24"/>
      <c r="E31" s="25">
        <f t="shared" si="4"/>
        <v>0</v>
      </c>
      <c r="F31" s="60"/>
      <c r="G31" s="262" t="s">
        <v>168</v>
      </c>
      <c r="H31" s="99">
        <v>0</v>
      </c>
      <c r="I31" s="263"/>
      <c r="J31" s="101">
        <f t="shared" si="5"/>
        <v>0</v>
      </c>
    </row>
    <row r="32" spans="2:10" s="34" customFormat="1" ht="15.75" customHeight="1" x14ac:dyDescent="0.35">
      <c r="B32" s="26" t="s">
        <v>169</v>
      </c>
      <c r="C32" s="299">
        <v>190183.63</v>
      </c>
      <c r="D32" s="28"/>
      <c r="E32" s="29">
        <f t="shared" si="4"/>
        <v>190183.63</v>
      </c>
      <c r="F32" s="60"/>
      <c r="G32" s="264" t="s">
        <v>169</v>
      </c>
      <c r="H32" s="467">
        <v>0</v>
      </c>
      <c r="I32" s="265"/>
      <c r="J32" s="102">
        <f t="shared" si="5"/>
        <v>0</v>
      </c>
    </row>
    <row r="33" spans="2:10" s="34" customFormat="1" ht="31" x14ac:dyDescent="0.35">
      <c r="B33" s="26" t="s">
        <v>170</v>
      </c>
      <c r="C33" s="27">
        <v>0</v>
      </c>
      <c r="D33" s="27"/>
      <c r="E33" s="29">
        <f t="shared" si="4"/>
        <v>0</v>
      </c>
      <c r="F33" s="60"/>
      <c r="G33" s="264" t="s">
        <v>170</v>
      </c>
      <c r="H33" s="467">
        <v>0</v>
      </c>
      <c r="I33" s="100"/>
      <c r="J33" s="102">
        <f t="shared" si="5"/>
        <v>0</v>
      </c>
    </row>
    <row r="34" spans="2:10" s="34" customFormat="1" x14ac:dyDescent="0.35">
      <c r="B34" s="30" t="s">
        <v>171</v>
      </c>
      <c r="C34" s="27">
        <v>35000</v>
      </c>
      <c r="D34" s="27"/>
      <c r="E34" s="29">
        <f t="shared" si="4"/>
        <v>35000</v>
      </c>
      <c r="F34" s="60"/>
      <c r="G34" s="266" t="s">
        <v>171</v>
      </c>
      <c r="H34" s="467">
        <f>+'1)Tableau budgétaire 1'!O61+'1)Tableau budgétaire 1'!O62+'1)Tableau budgétaire 1'!O48+'1)Tableau budgétaire 1'!O51+'1)Tableau budgétaire 1'!O52+'1)Tableau budgétaire 1'!O56+'1)Tableau budgétaire 1'!O58</f>
        <v>25000</v>
      </c>
      <c r="I34" s="100"/>
      <c r="J34" s="102">
        <f t="shared" si="5"/>
        <v>25000</v>
      </c>
    </row>
    <row r="35" spans="2:10" x14ac:dyDescent="0.35">
      <c r="B35" s="26" t="s">
        <v>172</v>
      </c>
      <c r="C35" s="27">
        <v>35000</v>
      </c>
      <c r="D35" s="27"/>
      <c r="E35" s="29">
        <f t="shared" si="4"/>
        <v>35000</v>
      </c>
      <c r="F35" s="60"/>
      <c r="G35" s="264" t="s">
        <v>172</v>
      </c>
      <c r="H35" s="100">
        <f>+'1)Tableau budgétaire 1'!O46+'1)Tableau budgétaire 1'!O47+'1)Tableau budgétaire 1'!O57</f>
        <v>0</v>
      </c>
      <c r="I35" s="100"/>
      <c r="J35" s="102">
        <f t="shared" si="5"/>
        <v>0</v>
      </c>
    </row>
    <row r="36" spans="2:10" ht="31" x14ac:dyDescent="0.35">
      <c r="B36" s="26" t="s">
        <v>173</v>
      </c>
      <c r="C36" s="27">
        <v>0</v>
      </c>
      <c r="D36" s="27"/>
      <c r="E36" s="29">
        <f t="shared" si="4"/>
        <v>0</v>
      </c>
      <c r="F36" s="60"/>
      <c r="G36" s="264" t="s">
        <v>173</v>
      </c>
      <c r="H36" s="100">
        <v>0</v>
      </c>
      <c r="I36" s="100"/>
      <c r="J36" s="102">
        <f t="shared" si="5"/>
        <v>0</v>
      </c>
    </row>
    <row r="37" spans="2:10" ht="31" x14ac:dyDescent="0.35">
      <c r="B37" s="26" t="s">
        <v>174</v>
      </c>
      <c r="C37" s="27">
        <v>0</v>
      </c>
      <c r="D37" s="27"/>
      <c r="E37" s="29">
        <f t="shared" si="4"/>
        <v>0</v>
      </c>
      <c r="F37" s="60"/>
      <c r="G37" s="264" t="s">
        <v>174</v>
      </c>
      <c r="H37" s="100">
        <v>0</v>
      </c>
      <c r="I37" s="100"/>
      <c r="J37" s="102">
        <f t="shared" si="5"/>
        <v>0</v>
      </c>
    </row>
    <row r="38" spans="2:10" ht="16" thickBot="1" x14ac:dyDescent="0.4">
      <c r="B38" s="39" t="s">
        <v>175</v>
      </c>
      <c r="C38" s="29">
        <f>SUM(C31:C37)</f>
        <v>260183.63</v>
      </c>
      <c r="D38" s="29">
        <f>SUM(D31:D37)</f>
        <v>0</v>
      </c>
      <c r="E38" s="29">
        <f>SUM(E31:E37)</f>
        <v>260183.63</v>
      </c>
      <c r="F38" s="60"/>
      <c r="G38" s="272" t="s">
        <v>175</v>
      </c>
      <c r="H38" s="470">
        <f>SUM(H31:H37)</f>
        <v>25000</v>
      </c>
      <c r="I38" s="259">
        <f>SUM(I31:I37)</f>
        <v>0</v>
      </c>
      <c r="J38" s="273">
        <f t="shared" si="5"/>
        <v>25000</v>
      </c>
    </row>
    <row r="39" spans="2:10" x14ac:dyDescent="0.35">
      <c r="B39" s="40"/>
      <c r="C39" s="41"/>
      <c r="D39" s="41"/>
      <c r="E39" s="42"/>
      <c r="F39" s="60"/>
      <c r="G39" s="274"/>
      <c r="H39" s="275"/>
      <c r="I39" s="275"/>
      <c r="J39" s="276"/>
    </row>
    <row r="40" spans="2:10" s="34" customFormat="1" ht="15.75" customHeight="1" x14ac:dyDescent="0.35">
      <c r="B40" s="638" t="s">
        <v>180</v>
      </c>
      <c r="C40" s="639"/>
      <c r="D40" s="639"/>
      <c r="E40" s="640"/>
      <c r="F40" s="60"/>
      <c r="G40" s="648" t="s">
        <v>180</v>
      </c>
      <c r="H40" s="649"/>
      <c r="I40" s="649"/>
      <c r="J40" s="650"/>
    </row>
    <row r="41" spans="2:10" ht="20.25" customHeight="1" thickBot="1" x14ac:dyDescent="0.4">
      <c r="B41" s="20" t="s">
        <v>181</v>
      </c>
      <c r="C41" s="21">
        <v>368528</v>
      </c>
      <c r="D41" s="21">
        <f>'[1]1) Tableau budgétaire 1'!E46</f>
        <v>0</v>
      </c>
      <c r="E41" s="22">
        <f t="shared" ref="E41:E48" si="6">SUM(C41:D41)</f>
        <v>368528</v>
      </c>
      <c r="F41" s="60"/>
      <c r="G41" s="261" t="s">
        <v>181</v>
      </c>
      <c r="H41" s="259">
        <v>368528</v>
      </c>
      <c r="I41" s="259">
        <v>0</v>
      </c>
      <c r="J41" s="259">
        <f>H41+I41</f>
        <v>368528</v>
      </c>
    </row>
    <row r="42" spans="2:10" ht="16" thickBot="1" x14ac:dyDescent="0.4">
      <c r="B42" s="23" t="s">
        <v>168</v>
      </c>
      <c r="C42" s="27"/>
      <c r="D42" s="24"/>
      <c r="E42" s="25">
        <f t="shared" si="6"/>
        <v>0</v>
      </c>
      <c r="F42" s="60"/>
      <c r="G42" s="262" t="s">
        <v>168</v>
      </c>
      <c r="H42" s="99"/>
      <c r="I42" s="263"/>
      <c r="J42" s="259">
        <f t="shared" ref="J42:J48" si="7">H42+I42</f>
        <v>0</v>
      </c>
    </row>
    <row r="43" spans="2:10" ht="15.75" customHeight="1" thickBot="1" x14ac:dyDescent="0.4">
      <c r="B43" s="26" t="s">
        <v>169</v>
      </c>
      <c r="C43" s="27">
        <v>0</v>
      </c>
      <c r="D43" s="28"/>
      <c r="E43" s="29">
        <f t="shared" si="6"/>
        <v>0</v>
      </c>
      <c r="F43" s="60"/>
      <c r="G43" s="264" t="s">
        <v>169</v>
      </c>
      <c r="H43" s="467"/>
      <c r="I43" s="265"/>
      <c r="J43" s="259">
        <f t="shared" si="7"/>
        <v>0</v>
      </c>
    </row>
    <row r="44" spans="2:10" ht="32.25" customHeight="1" thickBot="1" x14ac:dyDescent="0.4">
      <c r="B44" s="26" t="s">
        <v>170</v>
      </c>
      <c r="C44" s="27"/>
      <c r="D44" s="27"/>
      <c r="E44" s="29">
        <f t="shared" si="6"/>
        <v>0</v>
      </c>
      <c r="F44" s="60"/>
      <c r="G44" s="264" t="s">
        <v>170</v>
      </c>
      <c r="H44" s="100"/>
      <c r="I44" s="100"/>
      <c r="J44" s="259">
        <f t="shared" si="7"/>
        <v>0</v>
      </c>
    </row>
    <row r="45" spans="2:10" s="34" customFormat="1" ht="16" thickBot="1" x14ac:dyDescent="0.4">
      <c r="B45" s="30" t="s">
        <v>171</v>
      </c>
      <c r="C45" s="27">
        <v>0</v>
      </c>
      <c r="D45" s="27"/>
      <c r="E45" s="29">
        <f t="shared" si="6"/>
        <v>0</v>
      </c>
      <c r="F45" s="60"/>
      <c r="G45" s="266" t="s">
        <v>171</v>
      </c>
      <c r="H45" s="467">
        <f>+'1)Tableau budgétaire 1'!O71+'1)Tableau budgétaire 1'!O72+'1)Tableau budgétaire 1'!O73+'1)Tableau budgétaire 1'!O74+'1)Tableau budgétaire 1'!O76+'1)Tableau budgétaire 1'!O77+'1)Tableau budgétaire 1'!O79+'1)Tableau budgétaire 1'!O80+'1)Tableau budgétaire 1'!O81+'1)Tableau budgétaire 1'!O83+'1)Tableau budgétaire 1'!O84+'1)Tableau budgétaire 1'!O85+'1)Tableau budgétaire 1'!O86+'1)Tableau budgétaire 1'!O87+'1)Tableau budgétaire 1'!O88+'1)Tableau budgétaire 1'!O89+'1)Tableau budgétaire 1'!O90+'1)Tableau budgétaire 1'!O92+'1)Tableau budgétaire 1'!O94+'1)Tableau budgétaire 1'!O95+'1)Tableau budgétaire 1'!O97+'1)Tableau budgétaire 1'!O98+'1)Tableau budgétaire 1'!O99+'1)Tableau budgétaire 1'!O100+'1)Tableau budgétaire 1'!O102+'1)Tableau budgétaire 1'!O103+'1)Tableau budgétaire 1'!O104+'1)Tableau budgétaire 1'!O107+'1)Tableau budgétaire 1'!O108+'1)Tableau budgétaire 1'!O110+'1)Tableau budgétaire 1'!O111+'1)Tableau budgétaire 1'!O112+'1)Tableau budgétaire 1'!O113+'1)Tableau budgétaire 1'!O114+'1)Tableau budgétaire 1'!O115+'1)Tableau budgétaire 1'!O116+'1)Tableau budgétaire 1'!O117+'1)Tableau budgétaire 1'!O119+'1)Tableau budgétaire 1'!O120</f>
        <v>294252</v>
      </c>
      <c r="I45" s="100"/>
      <c r="J45" s="259">
        <f t="shared" si="7"/>
        <v>294252</v>
      </c>
    </row>
    <row r="46" spans="2:10" ht="16" thickBot="1" x14ac:dyDescent="0.4">
      <c r="B46" s="26" t="s">
        <v>172</v>
      </c>
      <c r="C46" s="27">
        <v>0</v>
      </c>
      <c r="D46" s="27"/>
      <c r="E46" s="29">
        <f t="shared" si="6"/>
        <v>0</v>
      </c>
      <c r="F46" s="60"/>
      <c r="G46" s="264" t="s">
        <v>172</v>
      </c>
      <c r="H46" s="467">
        <f>+'1)Tableau budgétaire 1'!O75+'1)Tableau budgétaire 1'!O78+'1)Tableau budgétaire 1'!O82+'1)Tableau budgétaire 1'!O91+'1)Tableau budgétaire 1'!O93+'1)Tableau budgétaire 1'!O96+'1)Tableau budgétaire 1'!O101+'1)Tableau budgétaire 1'!O105+'1)Tableau budgétaire 1'!O106+'1)Tableau budgétaire 1'!O109+'1)Tableau budgétaire 1'!O118</f>
        <v>74276</v>
      </c>
      <c r="I46" s="100"/>
      <c r="J46" s="259">
        <f t="shared" si="7"/>
        <v>74276</v>
      </c>
    </row>
    <row r="47" spans="2:10" ht="31.5" thickBot="1" x14ac:dyDescent="0.4">
      <c r="B47" s="26" t="s">
        <v>173</v>
      </c>
      <c r="C47" s="27"/>
      <c r="D47" s="27"/>
      <c r="E47" s="29">
        <f t="shared" si="6"/>
        <v>0</v>
      </c>
      <c r="F47" s="60"/>
      <c r="G47" s="264" t="s">
        <v>173</v>
      </c>
      <c r="H47" s="100"/>
      <c r="I47" s="100"/>
      <c r="J47" s="259">
        <f t="shared" si="7"/>
        <v>0</v>
      </c>
    </row>
    <row r="48" spans="2:10" ht="31.5" thickBot="1" x14ac:dyDescent="0.4">
      <c r="B48" s="26" t="s">
        <v>174</v>
      </c>
      <c r="C48" s="27"/>
      <c r="D48" s="27"/>
      <c r="E48" s="29">
        <f t="shared" si="6"/>
        <v>0</v>
      </c>
      <c r="F48" s="60"/>
      <c r="G48" s="264" t="s">
        <v>174</v>
      </c>
      <c r="H48" s="100"/>
      <c r="I48" s="100"/>
      <c r="J48" s="259">
        <f t="shared" si="7"/>
        <v>0</v>
      </c>
    </row>
    <row r="49" spans="1:10" ht="21" customHeight="1" thickBot="1" x14ac:dyDescent="0.4">
      <c r="B49" s="31" t="s">
        <v>175</v>
      </c>
      <c r="C49" s="29">
        <f>SUM(C42:C48)</f>
        <v>0</v>
      </c>
      <c r="D49" s="29">
        <f>SUM(D42:D48)</f>
        <v>0</v>
      </c>
      <c r="E49" s="29">
        <f>SUM(E42:E48)</f>
        <v>0</v>
      </c>
      <c r="F49" s="60"/>
      <c r="G49" s="267" t="s">
        <v>175</v>
      </c>
      <c r="H49" s="470">
        <f>SUM(H42:H48)</f>
        <v>368528</v>
      </c>
      <c r="I49" s="259">
        <f>SUM(I42:I48)</f>
        <v>0</v>
      </c>
      <c r="J49" s="102">
        <f>SUM(H49:I49)</f>
        <v>368528</v>
      </c>
    </row>
    <row r="50" spans="1:10" s="34" customFormat="1" ht="22.5" customHeight="1" x14ac:dyDescent="0.35">
      <c r="B50" s="43"/>
      <c r="C50" s="36"/>
      <c r="D50" s="36"/>
      <c r="E50" s="38"/>
      <c r="F50" s="60"/>
      <c r="G50" s="277"/>
      <c r="H50" s="269"/>
      <c r="I50" s="269"/>
      <c r="J50" s="271"/>
    </row>
    <row r="51" spans="1:10" ht="15.75" customHeight="1" x14ac:dyDescent="0.35">
      <c r="A51" s="635" t="s">
        <v>182</v>
      </c>
      <c r="B51" s="636"/>
      <c r="C51" s="636"/>
      <c r="D51" s="636"/>
      <c r="E51" s="637"/>
      <c r="F51" s="60"/>
      <c r="G51" s="646"/>
      <c r="H51" s="646"/>
      <c r="I51" s="646"/>
      <c r="J51" s="647"/>
    </row>
    <row r="52" spans="1:10" ht="24.75" customHeight="1" x14ac:dyDescent="0.35">
      <c r="B52" s="635" t="s">
        <v>41</v>
      </c>
      <c r="C52" s="636"/>
      <c r="D52" s="636"/>
      <c r="E52" s="637"/>
      <c r="F52" s="60"/>
      <c r="G52" s="645" t="s">
        <v>41</v>
      </c>
      <c r="H52" s="646"/>
      <c r="I52" s="646"/>
      <c r="J52" s="647"/>
    </row>
    <row r="53" spans="1:10" ht="33.75" customHeight="1" thickBot="1" x14ac:dyDescent="0.4">
      <c r="B53" s="20" t="s">
        <v>183</v>
      </c>
      <c r="C53" s="21">
        <v>40800</v>
      </c>
      <c r="D53" s="21">
        <f>'[1]1) Tableau budgétaire 1'!E58</f>
        <v>0</v>
      </c>
      <c r="E53" s="22">
        <f t="shared" ref="E53:E60" si="8">SUM(C53:D53)</f>
        <v>40800</v>
      </c>
      <c r="F53" s="60"/>
      <c r="G53" s="261" t="s">
        <v>183</v>
      </c>
      <c r="H53" s="259">
        <f>'1)Tableau budgétaire 1'!R141</f>
        <v>40800</v>
      </c>
      <c r="I53" s="259">
        <f>'[2]1) Tableau budgétaire 1'!E58</f>
        <v>0</v>
      </c>
      <c r="J53" s="103">
        <f t="shared" ref="J53:J61" si="9">SUM(H53:I53)</f>
        <v>40800</v>
      </c>
    </row>
    <row r="54" spans="1:10" ht="15.75" customHeight="1" x14ac:dyDescent="0.35">
      <c r="B54" s="23" t="s">
        <v>168</v>
      </c>
      <c r="C54" s="298">
        <v>0</v>
      </c>
      <c r="D54" s="24"/>
      <c r="E54" s="25">
        <f t="shared" si="8"/>
        <v>0</v>
      </c>
      <c r="F54" s="60"/>
      <c r="G54" s="262" t="s">
        <v>168</v>
      </c>
      <c r="H54" s="99">
        <v>0</v>
      </c>
      <c r="I54" s="263"/>
      <c r="J54" s="101">
        <f t="shared" si="9"/>
        <v>0</v>
      </c>
    </row>
    <row r="55" spans="1:10" ht="15.75" customHeight="1" x14ac:dyDescent="0.35">
      <c r="B55" s="26" t="s">
        <v>169</v>
      </c>
      <c r="C55" s="299">
        <v>25000</v>
      </c>
      <c r="D55" s="28"/>
      <c r="E55" s="29">
        <f t="shared" si="8"/>
        <v>25000</v>
      </c>
      <c r="F55" s="60"/>
      <c r="G55" s="264" t="s">
        <v>169</v>
      </c>
      <c r="H55" s="469">
        <v>0</v>
      </c>
      <c r="I55" s="265"/>
      <c r="J55" s="102">
        <f t="shared" si="9"/>
        <v>0</v>
      </c>
    </row>
    <row r="56" spans="1:10" ht="15.75" customHeight="1" x14ac:dyDescent="0.35">
      <c r="B56" s="26" t="s">
        <v>170</v>
      </c>
      <c r="C56" s="27">
        <v>0</v>
      </c>
      <c r="D56" s="27"/>
      <c r="E56" s="29">
        <f t="shared" si="8"/>
        <v>0</v>
      </c>
      <c r="F56" s="60"/>
      <c r="G56" s="264" t="s">
        <v>170</v>
      </c>
      <c r="H56" s="99"/>
      <c r="I56" s="100"/>
      <c r="J56" s="102">
        <f t="shared" si="9"/>
        <v>0</v>
      </c>
    </row>
    <row r="57" spans="1:10" ht="18.75" customHeight="1" x14ac:dyDescent="0.35">
      <c r="B57" s="30" t="s">
        <v>171</v>
      </c>
      <c r="C57" s="27">
        <v>25800</v>
      </c>
      <c r="D57" s="27"/>
      <c r="E57" s="29">
        <f t="shared" si="8"/>
        <v>25800</v>
      </c>
      <c r="F57" s="60"/>
      <c r="G57" s="266" t="s">
        <v>171</v>
      </c>
      <c r="H57" s="467">
        <f>+'1)Tableau budgétaire 1'!O126+'1)Tableau budgétaire 1'!O127+'1)Tableau budgétaire 1'!O128+'1)Tableau budgétaire 1'!O130+'1)Tableau budgétaire 1'!O131</f>
        <v>35800</v>
      </c>
      <c r="I57" s="100"/>
      <c r="J57" s="102">
        <f t="shared" si="9"/>
        <v>35800</v>
      </c>
    </row>
    <row r="58" spans="1:10" x14ac:dyDescent="0.35">
      <c r="B58" s="26" t="s">
        <v>172</v>
      </c>
      <c r="C58" s="27">
        <v>5000</v>
      </c>
      <c r="D58" s="27"/>
      <c r="E58" s="29">
        <f t="shared" si="8"/>
        <v>5000</v>
      </c>
      <c r="F58" s="60"/>
      <c r="G58" s="264" t="s">
        <v>172</v>
      </c>
      <c r="H58" s="100">
        <f>+'1)Tableau budgétaire 1'!O132</f>
        <v>5000</v>
      </c>
      <c r="I58" s="100"/>
      <c r="J58" s="102">
        <f t="shared" si="9"/>
        <v>5000</v>
      </c>
    </row>
    <row r="59" spans="1:10" s="34" customFormat="1" ht="30" customHeight="1" x14ac:dyDescent="0.35">
      <c r="A59" s="16"/>
      <c r="B59" s="26" t="s">
        <v>173</v>
      </c>
      <c r="C59" s="27">
        <v>0</v>
      </c>
      <c r="D59" s="27"/>
      <c r="E59" s="29">
        <f t="shared" si="8"/>
        <v>0</v>
      </c>
      <c r="F59" s="60"/>
      <c r="G59" s="264" t="s">
        <v>173</v>
      </c>
      <c r="H59" s="100">
        <v>0</v>
      </c>
      <c r="I59" s="100"/>
      <c r="J59" s="102">
        <f t="shared" si="9"/>
        <v>0</v>
      </c>
    </row>
    <row r="60" spans="1:10" s="34" customFormat="1" ht="32.25" customHeight="1" x14ac:dyDescent="0.35">
      <c r="A60" s="16"/>
      <c r="B60" s="26" t="s">
        <v>174</v>
      </c>
      <c r="C60" s="27">
        <v>0</v>
      </c>
      <c r="D60" s="27"/>
      <c r="E60" s="29">
        <f t="shared" si="8"/>
        <v>0</v>
      </c>
      <c r="F60" s="60"/>
      <c r="G60" s="264" t="s">
        <v>174</v>
      </c>
      <c r="H60" s="100">
        <v>0</v>
      </c>
      <c r="I60" s="100"/>
      <c r="J60" s="102">
        <f t="shared" si="9"/>
        <v>0</v>
      </c>
    </row>
    <row r="61" spans="1:10" ht="16" thickBot="1" x14ac:dyDescent="0.4">
      <c r="B61" s="31" t="s">
        <v>175</v>
      </c>
      <c r="C61" s="29">
        <f>SUM(C54:C60)</f>
        <v>55800</v>
      </c>
      <c r="D61" s="29">
        <f>SUM(D54:D60)</f>
        <v>0</v>
      </c>
      <c r="E61" s="29">
        <f>SUM(E54:E60)</f>
        <v>55800</v>
      </c>
      <c r="F61" s="60"/>
      <c r="G61" s="267" t="s">
        <v>175</v>
      </c>
      <c r="H61" s="470">
        <f>SUM(H54:H60)</f>
        <v>40800</v>
      </c>
      <c r="I61" s="259">
        <f>SUM(I54:I60)</f>
        <v>0</v>
      </c>
      <c r="J61" s="102">
        <f t="shared" si="9"/>
        <v>40800</v>
      </c>
    </row>
    <row r="62" spans="1:10" s="34" customFormat="1" x14ac:dyDescent="0.35">
      <c r="B62" s="35"/>
      <c r="C62" s="36"/>
      <c r="D62" s="36"/>
      <c r="E62" s="38"/>
      <c r="F62" s="60"/>
      <c r="G62" s="268"/>
      <c r="H62" s="269"/>
      <c r="I62" s="269"/>
      <c r="J62" s="271"/>
    </row>
    <row r="63" spans="1:10" ht="15.75" customHeight="1" x14ac:dyDescent="0.35">
      <c r="A63" s="34"/>
      <c r="B63" s="635" t="s">
        <v>48</v>
      </c>
      <c r="C63" s="636"/>
      <c r="D63" s="636"/>
      <c r="E63" s="637"/>
      <c r="F63" s="60"/>
      <c r="G63" s="645" t="s">
        <v>48</v>
      </c>
      <c r="H63" s="646"/>
      <c r="I63" s="646"/>
      <c r="J63" s="647"/>
    </row>
    <row r="64" spans="1:10" ht="21.75" customHeight="1" thickBot="1" x14ac:dyDescent="0.4">
      <c r="B64" s="20" t="s">
        <v>184</v>
      </c>
      <c r="C64" s="21">
        <v>205000</v>
      </c>
      <c r="D64" s="21">
        <f>'[1]1) Tableau budgétaire 1'!E68</f>
        <v>0</v>
      </c>
      <c r="E64" s="22">
        <f t="shared" ref="E64:E71" si="10">SUM(C64:D64)</f>
        <v>205000</v>
      </c>
      <c r="F64" s="60"/>
      <c r="G64" s="261" t="s">
        <v>184</v>
      </c>
      <c r="H64" s="259">
        <f>'1)Tableau budgétaire 1'!R163</f>
        <v>205000</v>
      </c>
      <c r="I64" s="259">
        <f>'[2]1) Tableau budgétaire 1'!E68</f>
        <v>0</v>
      </c>
      <c r="J64" s="103">
        <f t="shared" ref="J64:J72" si="11">SUM(H64:I64)</f>
        <v>205000</v>
      </c>
    </row>
    <row r="65" spans="1:10" ht="15.75" customHeight="1" x14ac:dyDescent="0.35">
      <c r="B65" s="23" t="s">
        <v>168</v>
      </c>
      <c r="C65" s="298">
        <v>0</v>
      </c>
      <c r="D65" s="24"/>
      <c r="E65" s="25">
        <f t="shared" si="10"/>
        <v>0</v>
      </c>
      <c r="F65" s="60"/>
      <c r="G65" s="262" t="s">
        <v>168</v>
      </c>
      <c r="H65" s="99">
        <v>0</v>
      </c>
      <c r="I65" s="263"/>
      <c r="J65" s="101">
        <f t="shared" si="11"/>
        <v>0</v>
      </c>
    </row>
    <row r="66" spans="1:10" ht="15.75" customHeight="1" x14ac:dyDescent="0.35">
      <c r="B66" s="26" t="s">
        <v>169</v>
      </c>
      <c r="C66" s="299">
        <v>100000</v>
      </c>
      <c r="D66" s="28"/>
      <c r="E66" s="29">
        <f t="shared" si="10"/>
        <v>100000</v>
      </c>
      <c r="F66" s="60"/>
      <c r="G66" s="264" t="s">
        <v>169</v>
      </c>
      <c r="H66" s="467">
        <v>0</v>
      </c>
      <c r="I66" s="265"/>
      <c r="J66" s="102">
        <f t="shared" si="11"/>
        <v>0</v>
      </c>
    </row>
    <row r="67" spans="1:10" ht="15.75" customHeight="1" x14ac:dyDescent="0.35">
      <c r="B67" s="26" t="s">
        <v>170</v>
      </c>
      <c r="C67" s="27"/>
      <c r="D67" s="27"/>
      <c r="E67" s="29">
        <f t="shared" si="10"/>
        <v>0</v>
      </c>
      <c r="F67" s="60"/>
      <c r="G67" s="264" t="s">
        <v>170</v>
      </c>
      <c r="H67" s="100"/>
      <c r="I67" s="100"/>
      <c r="J67" s="102">
        <f t="shared" si="11"/>
        <v>0</v>
      </c>
    </row>
    <row r="68" spans="1:10" x14ac:dyDescent="0.35">
      <c r="B68" s="30" t="s">
        <v>171</v>
      </c>
      <c r="C68" s="27">
        <v>60000</v>
      </c>
      <c r="D68" s="27"/>
      <c r="E68" s="29">
        <f t="shared" si="10"/>
        <v>60000</v>
      </c>
      <c r="F68" s="60"/>
      <c r="G68" s="266" t="s">
        <v>171</v>
      </c>
      <c r="H68" s="467">
        <f>+'1)Tableau budgétaire 1'!O143+'1)Tableau budgétaire 1'!O144+'1)Tableau budgétaire 1'!O145+'1)Tableau budgétaire 1'!O146+'1)Tableau budgétaire 1'!O148+'1)Tableau budgétaire 1'!O149+'1)Tableau budgétaire 1'!O153+'1)Tableau budgétaire 1'!O154+'1)Tableau budgétaire 1'!O155</f>
        <v>205000</v>
      </c>
      <c r="I68" s="100"/>
      <c r="J68" s="102">
        <f t="shared" si="11"/>
        <v>205000</v>
      </c>
    </row>
    <row r="69" spans="1:10" x14ac:dyDescent="0.35">
      <c r="B69" s="26" t="s">
        <v>172</v>
      </c>
      <c r="C69" s="27"/>
      <c r="D69" s="27"/>
      <c r="E69" s="29">
        <f t="shared" si="10"/>
        <v>0</v>
      </c>
      <c r="F69" s="60"/>
      <c r="G69" s="264" t="s">
        <v>172</v>
      </c>
      <c r="H69" s="100"/>
      <c r="I69" s="100"/>
      <c r="J69" s="102">
        <f t="shared" si="11"/>
        <v>0</v>
      </c>
    </row>
    <row r="70" spans="1:10" ht="31" x14ac:dyDescent="0.35">
      <c r="B70" s="26" t="s">
        <v>173</v>
      </c>
      <c r="C70" s="27">
        <v>150000</v>
      </c>
      <c r="D70" s="27"/>
      <c r="E70" s="29">
        <f t="shared" si="10"/>
        <v>150000</v>
      </c>
      <c r="F70" s="60"/>
      <c r="G70" s="264" t="s">
        <v>173</v>
      </c>
      <c r="H70" s="467">
        <v>0</v>
      </c>
      <c r="I70" s="100"/>
      <c r="J70" s="102">
        <f t="shared" si="11"/>
        <v>0</v>
      </c>
    </row>
    <row r="71" spans="1:10" ht="31" x14ac:dyDescent="0.35">
      <c r="B71" s="26" t="s">
        <v>174</v>
      </c>
      <c r="C71" s="27">
        <v>0</v>
      </c>
      <c r="D71" s="27"/>
      <c r="E71" s="29">
        <f t="shared" si="10"/>
        <v>0</v>
      </c>
      <c r="F71" s="60"/>
      <c r="G71" s="264" t="s">
        <v>174</v>
      </c>
      <c r="H71" s="100">
        <v>0</v>
      </c>
      <c r="I71" s="100"/>
      <c r="J71" s="102">
        <f t="shared" si="11"/>
        <v>0</v>
      </c>
    </row>
    <row r="72" spans="1:10" ht="16" thickBot="1" x14ac:dyDescent="0.4">
      <c r="B72" s="31" t="s">
        <v>175</v>
      </c>
      <c r="C72" s="29">
        <f>SUM(C65:C71)</f>
        <v>310000</v>
      </c>
      <c r="D72" s="29">
        <f>SUM(D65:D71)</f>
        <v>0</v>
      </c>
      <c r="E72" s="29">
        <f>SUM(E65:E71)</f>
        <v>310000</v>
      </c>
      <c r="F72" s="60"/>
      <c r="G72" s="267" t="s">
        <v>175</v>
      </c>
      <c r="H72" s="470">
        <f>SUM(H65:H71)</f>
        <v>205000</v>
      </c>
      <c r="I72" s="259">
        <f>SUM(I65:I71)</f>
        <v>0</v>
      </c>
      <c r="J72" s="102">
        <f t="shared" si="11"/>
        <v>205000</v>
      </c>
    </row>
    <row r="73" spans="1:10" s="34" customFormat="1" x14ac:dyDescent="0.35">
      <c r="B73" s="35"/>
      <c r="C73" s="36"/>
      <c r="D73" s="36"/>
      <c r="E73" s="38"/>
      <c r="F73" s="60"/>
      <c r="G73" s="268"/>
      <c r="H73" s="269"/>
      <c r="I73" s="269"/>
      <c r="J73" s="271"/>
    </row>
    <row r="74" spans="1:10" ht="15.75" customHeight="1" x14ac:dyDescent="0.35">
      <c r="B74" s="635" t="s">
        <v>54</v>
      </c>
      <c r="C74" s="636"/>
      <c r="D74" s="636"/>
      <c r="E74" s="637"/>
      <c r="F74" s="60"/>
      <c r="G74" s="645" t="s">
        <v>54</v>
      </c>
      <c r="H74" s="646"/>
      <c r="I74" s="646"/>
      <c r="J74" s="647"/>
    </row>
    <row r="75" spans="1:10" ht="21.75" customHeight="1" thickBot="1" x14ac:dyDescent="0.4">
      <c r="A75" s="34"/>
      <c r="B75" s="20" t="s">
        <v>185</v>
      </c>
      <c r="C75" s="21">
        <v>160000</v>
      </c>
      <c r="D75" s="21">
        <v>0</v>
      </c>
      <c r="E75" s="22">
        <f t="shared" ref="E75:E83" si="12">SUM(C75:D75)</f>
        <v>160000</v>
      </c>
      <c r="F75" s="60"/>
      <c r="G75" s="261" t="s">
        <v>185</v>
      </c>
      <c r="H75" s="259">
        <v>160000</v>
      </c>
      <c r="I75" s="259">
        <f>'[2]1) Tableau budgétaire 1'!E78</f>
        <v>0</v>
      </c>
      <c r="J75" s="103">
        <f t="shared" ref="J75:J83" si="13">SUM(H75:I75)</f>
        <v>160000</v>
      </c>
    </row>
    <row r="76" spans="1:10" ht="18" customHeight="1" x14ac:dyDescent="0.35">
      <c r="B76" s="23" t="s">
        <v>168</v>
      </c>
      <c r="C76" s="24"/>
      <c r="D76" s="24"/>
      <c r="E76" s="25">
        <f t="shared" si="12"/>
        <v>0</v>
      </c>
      <c r="F76" s="60"/>
      <c r="G76" s="262" t="s">
        <v>168</v>
      </c>
      <c r="H76" s="99"/>
      <c r="I76" s="263"/>
      <c r="J76" s="101">
        <f t="shared" si="13"/>
        <v>0</v>
      </c>
    </row>
    <row r="77" spans="1:10" ht="15.75" customHeight="1" x14ac:dyDescent="0.35">
      <c r="B77" s="26" t="s">
        <v>169</v>
      </c>
      <c r="C77" s="27">
        <v>115000</v>
      </c>
      <c r="D77" s="28"/>
      <c r="E77" s="29">
        <f t="shared" si="12"/>
        <v>115000</v>
      </c>
      <c r="F77" s="60"/>
      <c r="G77" s="264" t="s">
        <v>169</v>
      </c>
      <c r="H77" s="467">
        <v>0</v>
      </c>
      <c r="I77" s="265"/>
      <c r="J77" s="102">
        <f t="shared" si="13"/>
        <v>0</v>
      </c>
    </row>
    <row r="78" spans="1:10" s="34" customFormat="1" ht="15.75" customHeight="1" x14ac:dyDescent="0.35">
      <c r="A78" s="16"/>
      <c r="B78" s="26" t="s">
        <v>170</v>
      </c>
      <c r="C78" s="27"/>
      <c r="D78" s="27"/>
      <c r="E78" s="29">
        <f t="shared" si="12"/>
        <v>0</v>
      </c>
      <c r="F78" s="60"/>
      <c r="G78" s="264" t="s">
        <v>170</v>
      </c>
      <c r="H78" s="100"/>
      <c r="I78" s="100"/>
      <c r="J78" s="102">
        <f t="shared" si="13"/>
        <v>0</v>
      </c>
    </row>
    <row r="79" spans="1:10" x14ac:dyDescent="0.35">
      <c r="A79" s="34"/>
      <c r="B79" s="30" t="s">
        <v>171</v>
      </c>
      <c r="C79" s="27">
        <v>60000</v>
      </c>
      <c r="D79" s="27"/>
      <c r="E79" s="29">
        <f t="shared" si="12"/>
        <v>60000</v>
      </c>
      <c r="F79" s="60"/>
      <c r="G79" s="266" t="s">
        <v>171</v>
      </c>
      <c r="H79" s="467">
        <f>+'1)Tableau budgétaire 1'!O165+'1)Tableau budgétaire 1'!O170+'1)Tableau budgétaire 1'!O175+'1)Tableau budgétaire 1'!O177+'1)Tableau budgétaire 1'!O179+'1)Tableau budgétaire 1'!O180+'1)Tableau budgétaire 1'!O181+'1)Tableau budgétaire 1'!O183</f>
        <v>112500</v>
      </c>
      <c r="I79" s="100"/>
      <c r="J79" s="102">
        <f t="shared" si="13"/>
        <v>112500</v>
      </c>
    </row>
    <row r="80" spans="1:10" x14ac:dyDescent="0.35">
      <c r="A80" s="34"/>
      <c r="B80" s="26" t="s">
        <v>172</v>
      </c>
      <c r="C80" s="27"/>
      <c r="D80" s="27"/>
      <c r="E80" s="29">
        <f t="shared" si="12"/>
        <v>0</v>
      </c>
      <c r="F80" s="60"/>
      <c r="G80" s="264" t="s">
        <v>172</v>
      </c>
      <c r="H80" s="467">
        <f>+'1)Tableau budgétaire 1'!O176+'1)Tableau budgétaire 1'!O178+'1)Tableau budgétaire 1'!O182+'1)Tableau budgétaire 1'!O184</f>
        <v>47500</v>
      </c>
      <c r="I80" s="100"/>
      <c r="J80" s="102">
        <f t="shared" si="13"/>
        <v>47500</v>
      </c>
    </row>
    <row r="81" spans="1:10" ht="31" x14ac:dyDescent="0.35">
      <c r="A81" s="34"/>
      <c r="B81" s="26" t="s">
        <v>173</v>
      </c>
      <c r="C81" s="27"/>
      <c r="D81" s="27"/>
      <c r="E81" s="29">
        <f t="shared" si="12"/>
        <v>0</v>
      </c>
      <c r="F81" s="60"/>
      <c r="G81" s="264" t="s">
        <v>173</v>
      </c>
      <c r="H81" s="100"/>
      <c r="I81" s="100"/>
      <c r="J81" s="102">
        <f t="shared" si="13"/>
        <v>0</v>
      </c>
    </row>
    <row r="82" spans="1:10" ht="31" x14ac:dyDescent="0.35">
      <c r="B82" s="26" t="s">
        <v>174</v>
      </c>
      <c r="C82" s="27"/>
      <c r="D82" s="27"/>
      <c r="E82" s="29">
        <f t="shared" si="12"/>
        <v>0</v>
      </c>
      <c r="F82" s="60"/>
      <c r="G82" s="264" t="s">
        <v>174</v>
      </c>
      <c r="H82" s="100"/>
      <c r="I82" s="100"/>
      <c r="J82" s="102">
        <f t="shared" si="13"/>
        <v>0</v>
      </c>
    </row>
    <row r="83" spans="1:10" ht="16" thickBot="1" x14ac:dyDescent="0.4">
      <c r="B83" s="31" t="s">
        <v>175</v>
      </c>
      <c r="C83" s="29">
        <f>SUM(C76:C82)</f>
        <v>175000</v>
      </c>
      <c r="D83" s="29">
        <v>0</v>
      </c>
      <c r="E83" s="29">
        <f t="shared" si="12"/>
        <v>175000</v>
      </c>
      <c r="F83" s="60"/>
      <c r="G83" s="267" t="s">
        <v>175</v>
      </c>
      <c r="H83" s="470">
        <f>SUM(H76:H82)</f>
        <v>160000</v>
      </c>
      <c r="I83" s="259">
        <f>SUM(I76:I82)</f>
        <v>0</v>
      </c>
      <c r="J83" s="102">
        <f t="shared" si="13"/>
        <v>160000</v>
      </c>
    </row>
    <row r="84" spans="1:10" s="34" customFormat="1" x14ac:dyDescent="0.35">
      <c r="B84" s="35"/>
      <c r="C84" s="36"/>
      <c r="D84" s="36"/>
      <c r="E84" s="38"/>
      <c r="F84" s="60"/>
      <c r="G84" s="268"/>
      <c r="H84" s="269"/>
      <c r="I84" s="269"/>
      <c r="J84" s="271"/>
    </row>
    <row r="85" spans="1:10" ht="15.75" customHeight="1" x14ac:dyDescent="0.35">
      <c r="B85" s="635" t="s">
        <v>59</v>
      </c>
      <c r="C85" s="636"/>
      <c r="D85" s="636"/>
      <c r="E85" s="637"/>
      <c r="F85" s="60"/>
      <c r="G85" s="645" t="s">
        <v>59</v>
      </c>
      <c r="H85" s="646"/>
      <c r="I85" s="646"/>
      <c r="J85" s="647"/>
    </row>
    <row r="86" spans="1:10" ht="21.75" customHeight="1" thickBot="1" x14ac:dyDescent="0.4">
      <c r="B86" s="20" t="s">
        <v>186</v>
      </c>
      <c r="C86" s="21">
        <f>'[1]1) Tableau budgétaire 1'!D88</f>
        <v>0</v>
      </c>
      <c r="D86" s="21">
        <f>'[1]1) Tableau budgétaire 1'!E88</f>
        <v>0</v>
      </c>
      <c r="E86" s="22">
        <f t="shared" ref="E86:E94" si="14">SUM(C86:D86)</f>
        <v>0</v>
      </c>
      <c r="F86" s="60"/>
      <c r="G86" s="261" t="s">
        <v>186</v>
      </c>
      <c r="H86" s="259">
        <f>'[2]1) Tableau budgétaire 1'!D88</f>
        <v>0</v>
      </c>
      <c r="I86" s="259">
        <f>'[2]1) Tableau budgétaire 1'!E88</f>
        <v>0</v>
      </c>
      <c r="J86" s="103">
        <f t="shared" ref="J86:J94" si="15">SUM(H86:I86)</f>
        <v>0</v>
      </c>
    </row>
    <row r="87" spans="1:10" ht="15.75" customHeight="1" x14ac:dyDescent="0.35">
      <c r="B87" s="23" t="s">
        <v>168</v>
      </c>
      <c r="C87" s="24"/>
      <c r="D87" s="24"/>
      <c r="E87" s="25">
        <f t="shared" si="14"/>
        <v>0</v>
      </c>
      <c r="F87" s="60"/>
      <c r="G87" s="262" t="s">
        <v>168</v>
      </c>
      <c r="H87" s="99"/>
      <c r="I87" s="263"/>
      <c r="J87" s="101">
        <f t="shared" si="15"/>
        <v>0</v>
      </c>
    </row>
    <row r="88" spans="1:10" ht="15.75" customHeight="1" x14ac:dyDescent="0.35">
      <c r="A88" s="34"/>
      <c r="B88" s="26" t="s">
        <v>169</v>
      </c>
      <c r="C88" s="28"/>
      <c r="D88" s="28"/>
      <c r="E88" s="29">
        <f t="shared" si="14"/>
        <v>0</v>
      </c>
      <c r="F88" s="60"/>
      <c r="G88" s="264" t="s">
        <v>169</v>
      </c>
      <c r="H88" s="100"/>
      <c r="I88" s="265"/>
      <c r="J88" s="102">
        <f t="shared" si="15"/>
        <v>0</v>
      </c>
    </row>
    <row r="89" spans="1:10" ht="15.75" customHeight="1" x14ac:dyDescent="0.35">
      <c r="B89" s="26" t="s">
        <v>170</v>
      </c>
      <c r="C89" s="27"/>
      <c r="D89" s="27"/>
      <c r="E89" s="29">
        <f t="shared" si="14"/>
        <v>0</v>
      </c>
      <c r="F89" s="60"/>
      <c r="G89" s="264" t="s">
        <v>170</v>
      </c>
      <c r="H89" s="100"/>
      <c r="I89" s="100"/>
      <c r="J89" s="102">
        <f t="shared" si="15"/>
        <v>0</v>
      </c>
    </row>
    <row r="90" spans="1:10" x14ac:dyDescent="0.35">
      <c r="B90" s="30" t="s">
        <v>171</v>
      </c>
      <c r="C90" s="27"/>
      <c r="D90" s="27"/>
      <c r="E90" s="29">
        <f t="shared" si="14"/>
        <v>0</v>
      </c>
      <c r="F90" s="60"/>
      <c r="G90" s="266" t="s">
        <v>171</v>
      </c>
      <c r="H90" s="100"/>
      <c r="I90" s="100"/>
      <c r="J90" s="102">
        <f t="shared" si="15"/>
        <v>0</v>
      </c>
    </row>
    <row r="91" spans="1:10" x14ac:dyDescent="0.35">
      <c r="B91" s="26" t="s">
        <v>172</v>
      </c>
      <c r="C91" s="27"/>
      <c r="D91" s="27"/>
      <c r="E91" s="29">
        <f t="shared" si="14"/>
        <v>0</v>
      </c>
      <c r="F91" s="60"/>
      <c r="G91" s="264" t="s">
        <v>172</v>
      </c>
      <c r="H91" s="100"/>
      <c r="I91" s="100"/>
      <c r="J91" s="102">
        <f t="shared" si="15"/>
        <v>0</v>
      </c>
    </row>
    <row r="92" spans="1:10" ht="25.5" customHeight="1" x14ac:dyDescent="0.35">
      <c r="B92" s="26" t="s">
        <v>173</v>
      </c>
      <c r="C92" s="27"/>
      <c r="D92" s="27"/>
      <c r="E92" s="29">
        <f t="shared" si="14"/>
        <v>0</v>
      </c>
      <c r="F92" s="60"/>
      <c r="G92" s="264" t="s">
        <v>173</v>
      </c>
      <c r="H92" s="100"/>
      <c r="I92" s="100"/>
      <c r="J92" s="102">
        <f t="shared" si="15"/>
        <v>0</v>
      </c>
    </row>
    <row r="93" spans="1:10" ht="31" x14ac:dyDescent="0.35">
      <c r="A93" s="34"/>
      <c r="B93" s="26" t="s">
        <v>174</v>
      </c>
      <c r="C93" s="27"/>
      <c r="D93" s="27"/>
      <c r="E93" s="29">
        <f t="shared" si="14"/>
        <v>0</v>
      </c>
      <c r="F93" s="60"/>
      <c r="G93" s="264" t="s">
        <v>174</v>
      </c>
      <c r="H93" s="100"/>
      <c r="I93" s="100"/>
      <c r="J93" s="102">
        <f t="shared" si="15"/>
        <v>0</v>
      </c>
    </row>
    <row r="94" spans="1:10" ht="15.75" customHeight="1" thickBot="1" x14ac:dyDescent="0.4">
      <c r="B94" s="31" t="s">
        <v>175</v>
      </c>
      <c r="C94" s="29">
        <f>SUM(C87:C93)</f>
        <v>0</v>
      </c>
      <c r="D94" s="29">
        <f>SUM(D87:D93)</f>
        <v>0</v>
      </c>
      <c r="E94" s="29">
        <f t="shared" si="14"/>
        <v>0</v>
      </c>
      <c r="F94" s="60"/>
      <c r="G94" s="267" t="s">
        <v>175</v>
      </c>
      <c r="H94" s="259">
        <f>SUM(H87:H93)</f>
        <v>0</v>
      </c>
      <c r="I94" s="259">
        <f>SUM(I87:I93)</f>
        <v>0</v>
      </c>
      <c r="J94" s="102">
        <f t="shared" si="15"/>
        <v>0</v>
      </c>
    </row>
    <row r="95" spans="1:10" ht="25.5" customHeight="1" x14ac:dyDescent="0.35">
      <c r="F95" s="60"/>
      <c r="G95" s="278"/>
      <c r="H95" s="278"/>
      <c r="I95" s="278"/>
      <c r="J95" s="278"/>
    </row>
    <row r="96" spans="1:10" ht="15.75" customHeight="1" x14ac:dyDescent="0.35">
      <c r="A96" s="635" t="s">
        <v>187</v>
      </c>
      <c r="B96" s="636"/>
      <c r="C96" s="636"/>
      <c r="D96" s="636"/>
      <c r="E96" s="637"/>
      <c r="F96" s="60"/>
      <c r="G96" s="646"/>
      <c r="H96" s="646"/>
      <c r="I96" s="646"/>
      <c r="J96" s="647"/>
    </row>
    <row r="97" spans="2:10" ht="15.75" customHeight="1" x14ac:dyDescent="0.35">
      <c r="B97" s="635" t="s">
        <v>69</v>
      </c>
      <c r="C97" s="636"/>
      <c r="D97" s="636"/>
      <c r="E97" s="637"/>
      <c r="F97" s="60"/>
      <c r="G97" s="645" t="s">
        <v>69</v>
      </c>
      <c r="H97" s="646"/>
      <c r="I97" s="646"/>
      <c r="J97" s="647"/>
    </row>
    <row r="98" spans="2:10" ht="22.5" customHeight="1" thickBot="1" x14ac:dyDescent="0.4">
      <c r="B98" s="20" t="s">
        <v>188</v>
      </c>
      <c r="C98" s="21">
        <f>'[1]1) Tableau budgétaire 1'!D100</f>
        <v>0</v>
      </c>
      <c r="D98" s="21">
        <f>'[1]1) Tableau budgétaire 1'!E100</f>
        <v>0</v>
      </c>
      <c r="E98" s="22">
        <f t="shared" ref="E98:E106" si="16">SUM(C98:D98)</f>
        <v>0</v>
      </c>
      <c r="F98" s="60"/>
      <c r="G98" s="261" t="s">
        <v>188</v>
      </c>
      <c r="H98" s="259">
        <f>'[2]1) Tableau budgétaire 1'!D100</f>
        <v>0</v>
      </c>
      <c r="I98" s="259">
        <f>'[2]1) Tableau budgétaire 1'!E100</f>
        <v>0</v>
      </c>
      <c r="J98" s="103">
        <f t="shared" ref="J98:J106" si="17">SUM(H98:I98)</f>
        <v>0</v>
      </c>
    </row>
    <row r="99" spans="2:10" x14ac:dyDescent="0.35">
      <c r="B99" s="23" t="s">
        <v>168</v>
      </c>
      <c r="C99" s="24"/>
      <c r="D99" s="24"/>
      <c r="E99" s="25">
        <f t="shared" si="16"/>
        <v>0</v>
      </c>
      <c r="F99" s="60"/>
      <c r="G99" s="262" t="s">
        <v>168</v>
      </c>
      <c r="H99" s="99"/>
      <c r="I99" s="263"/>
      <c r="J99" s="101">
        <f t="shared" si="17"/>
        <v>0</v>
      </c>
    </row>
    <row r="100" spans="2:10" x14ac:dyDescent="0.35">
      <c r="B100" s="26" t="s">
        <v>169</v>
      </c>
      <c r="C100" s="28"/>
      <c r="D100" s="28"/>
      <c r="E100" s="29">
        <f t="shared" si="16"/>
        <v>0</v>
      </c>
      <c r="F100" s="60"/>
      <c r="G100" s="264" t="s">
        <v>169</v>
      </c>
      <c r="H100" s="100"/>
      <c r="I100" s="265"/>
      <c r="J100" s="102">
        <f t="shared" si="17"/>
        <v>0</v>
      </c>
    </row>
    <row r="101" spans="2:10" ht="15.75" customHeight="1" x14ac:dyDescent="0.35">
      <c r="B101" s="26" t="s">
        <v>170</v>
      </c>
      <c r="C101" s="27"/>
      <c r="D101" s="27"/>
      <c r="E101" s="29">
        <f t="shared" si="16"/>
        <v>0</v>
      </c>
      <c r="F101" s="60"/>
      <c r="G101" s="264" t="s">
        <v>170</v>
      </c>
      <c r="H101" s="100"/>
      <c r="I101" s="100"/>
      <c r="J101" s="102">
        <f t="shared" si="17"/>
        <v>0</v>
      </c>
    </row>
    <row r="102" spans="2:10" x14ac:dyDescent="0.35">
      <c r="B102" s="30" t="s">
        <v>171</v>
      </c>
      <c r="C102" s="27"/>
      <c r="D102" s="27"/>
      <c r="E102" s="29">
        <f t="shared" si="16"/>
        <v>0</v>
      </c>
      <c r="F102" s="60"/>
      <c r="G102" s="266" t="s">
        <v>171</v>
      </c>
      <c r="H102" s="100"/>
      <c r="I102" s="100"/>
      <c r="J102" s="102">
        <f t="shared" si="17"/>
        <v>0</v>
      </c>
    </row>
    <row r="103" spans="2:10" x14ac:dyDescent="0.35">
      <c r="B103" s="26" t="s">
        <v>172</v>
      </c>
      <c r="C103" s="27"/>
      <c r="D103" s="27"/>
      <c r="E103" s="29">
        <f t="shared" si="16"/>
        <v>0</v>
      </c>
      <c r="F103" s="60"/>
      <c r="G103" s="264" t="s">
        <v>172</v>
      </c>
      <c r="H103" s="100"/>
      <c r="I103" s="100"/>
      <c r="J103" s="102">
        <f t="shared" si="17"/>
        <v>0</v>
      </c>
    </row>
    <row r="104" spans="2:10" ht="31" x14ac:dyDescent="0.35">
      <c r="B104" s="26" t="s">
        <v>173</v>
      </c>
      <c r="C104" s="27"/>
      <c r="D104" s="27"/>
      <c r="E104" s="29">
        <f t="shared" si="16"/>
        <v>0</v>
      </c>
      <c r="F104" s="60"/>
      <c r="G104" s="264" t="s">
        <v>173</v>
      </c>
      <c r="H104" s="100"/>
      <c r="I104" s="100"/>
      <c r="J104" s="102">
        <f t="shared" si="17"/>
        <v>0</v>
      </c>
    </row>
    <row r="105" spans="2:10" ht="31" x14ac:dyDescent="0.35">
      <c r="B105" s="26" t="s">
        <v>174</v>
      </c>
      <c r="C105" s="27"/>
      <c r="D105" s="27"/>
      <c r="E105" s="29">
        <f t="shared" si="16"/>
        <v>0</v>
      </c>
      <c r="F105" s="60"/>
      <c r="G105" s="264" t="s">
        <v>174</v>
      </c>
      <c r="H105" s="100"/>
      <c r="I105" s="100"/>
      <c r="J105" s="102">
        <f t="shared" si="17"/>
        <v>0</v>
      </c>
    </row>
    <row r="106" spans="2:10" ht="16" thickBot="1" x14ac:dyDescent="0.4">
      <c r="B106" s="31" t="s">
        <v>175</v>
      </c>
      <c r="C106" s="29">
        <f>SUM(C99:C105)</f>
        <v>0</v>
      </c>
      <c r="D106" s="29">
        <f>SUM(D99:D105)</f>
        <v>0</v>
      </c>
      <c r="E106" s="29">
        <f t="shared" si="16"/>
        <v>0</v>
      </c>
      <c r="F106" s="60"/>
      <c r="G106" s="267" t="s">
        <v>175</v>
      </c>
      <c r="H106" s="259">
        <f>SUM(H99:H105)</f>
        <v>0</v>
      </c>
      <c r="I106" s="259">
        <f>SUM(I99:I105)</f>
        <v>0</v>
      </c>
      <c r="J106" s="102">
        <f t="shared" si="17"/>
        <v>0</v>
      </c>
    </row>
    <row r="107" spans="2:10" s="34" customFormat="1" x14ac:dyDescent="0.35">
      <c r="B107" s="35"/>
      <c r="C107" s="36"/>
      <c r="D107" s="36"/>
      <c r="E107" s="38"/>
      <c r="F107" s="60"/>
      <c r="G107" s="268"/>
      <c r="H107" s="269"/>
      <c r="I107" s="269"/>
      <c r="J107" s="271"/>
    </row>
    <row r="108" spans="2:10" ht="15.75" customHeight="1" x14ac:dyDescent="0.35">
      <c r="B108" s="635" t="s">
        <v>189</v>
      </c>
      <c r="C108" s="636"/>
      <c r="D108" s="636"/>
      <c r="E108" s="637"/>
      <c r="F108" s="60"/>
      <c r="G108" s="645" t="s">
        <v>189</v>
      </c>
      <c r="H108" s="646"/>
      <c r="I108" s="646"/>
      <c r="J108" s="647"/>
    </row>
    <row r="109" spans="2:10" ht="21.75" customHeight="1" thickBot="1" x14ac:dyDescent="0.4">
      <c r="B109" s="20" t="s">
        <v>190</v>
      </c>
      <c r="C109" s="21">
        <f>'[1]1) Tableau budgétaire 1'!D110</f>
        <v>0</v>
      </c>
      <c r="D109" s="21">
        <f>'[1]1) Tableau budgétaire 1'!E110</f>
        <v>0</v>
      </c>
      <c r="E109" s="22">
        <f t="shared" ref="E109:E117" si="18">SUM(C109:D109)</f>
        <v>0</v>
      </c>
      <c r="F109" s="60"/>
      <c r="G109" s="261" t="s">
        <v>190</v>
      </c>
      <c r="H109" s="259">
        <f>'[2]1) Tableau budgétaire 1'!D110</f>
        <v>0</v>
      </c>
      <c r="I109" s="259">
        <f>'[2]1) Tableau budgétaire 1'!E110</f>
        <v>0</v>
      </c>
      <c r="J109" s="103">
        <f t="shared" ref="J109:J117" si="19">SUM(H109:I109)</f>
        <v>0</v>
      </c>
    </row>
    <row r="110" spans="2:10" x14ac:dyDescent="0.35">
      <c r="B110" s="23" t="s">
        <v>168</v>
      </c>
      <c r="C110" s="24"/>
      <c r="D110" s="24"/>
      <c r="E110" s="25">
        <f t="shared" si="18"/>
        <v>0</v>
      </c>
      <c r="F110" s="60"/>
      <c r="G110" s="262" t="s">
        <v>168</v>
      </c>
      <c r="H110" s="99"/>
      <c r="I110" s="263"/>
      <c r="J110" s="101">
        <f t="shared" si="19"/>
        <v>0</v>
      </c>
    </row>
    <row r="111" spans="2:10" x14ac:dyDescent="0.35">
      <c r="B111" s="26" t="s">
        <v>169</v>
      </c>
      <c r="C111" s="28"/>
      <c r="D111" s="28"/>
      <c r="E111" s="29">
        <f t="shared" si="18"/>
        <v>0</v>
      </c>
      <c r="F111" s="60"/>
      <c r="G111" s="264" t="s">
        <v>169</v>
      </c>
      <c r="H111" s="100"/>
      <c r="I111" s="265"/>
      <c r="J111" s="102">
        <f t="shared" si="19"/>
        <v>0</v>
      </c>
    </row>
    <row r="112" spans="2:10" ht="31" x14ac:dyDescent="0.35">
      <c r="B112" s="26" t="s">
        <v>170</v>
      </c>
      <c r="C112" s="27"/>
      <c r="D112" s="27"/>
      <c r="E112" s="29">
        <f t="shared" si="18"/>
        <v>0</v>
      </c>
      <c r="F112" s="60"/>
      <c r="G112" s="264" t="s">
        <v>170</v>
      </c>
      <c r="H112" s="100"/>
      <c r="I112" s="100"/>
      <c r="J112" s="102">
        <f t="shared" si="19"/>
        <v>0</v>
      </c>
    </row>
    <row r="113" spans="2:10" x14ac:dyDescent="0.35">
      <c r="B113" s="30" t="s">
        <v>171</v>
      </c>
      <c r="C113" s="27"/>
      <c r="D113" s="27"/>
      <c r="E113" s="29">
        <f t="shared" si="18"/>
        <v>0</v>
      </c>
      <c r="F113" s="60"/>
      <c r="G113" s="266" t="s">
        <v>171</v>
      </c>
      <c r="H113" s="100"/>
      <c r="I113" s="100"/>
      <c r="J113" s="102">
        <f t="shared" si="19"/>
        <v>0</v>
      </c>
    </row>
    <row r="114" spans="2:10" x14ac:dyDescent="0.35">
      <c r="B114" s="26" t="s">
        <v>172</v>
      </c>
      <c r="C114" s="27"/>
      <c r="D114" s="27"/>
      <c r="E114" s="29">
        <f t="shared" si="18"/>
        <v>0</v>
      </c>
      <c r="F114" s="60"/>
      <c r="G114" s="264" t="s">
        <v>172</v>
      </c>
      <c r="H114" s="100"/>
      <c r="I114" s="100"/>
      <c r="J114" s="102">
        <f t="shared" si="19"/>
        <v>0</v>
      </c>
    </row>
    <row r="115" spans="2:10" ht="31" x14ac:dyDescent="0.35">
      <c r="B115" s="26" t="s">
        <v>173</v>
      </c>
      <c r="C115" s="27"/>
      <c r="D115" s="27"/>
      <c r="E115" s="29">
        <f t="shared" si="18"/>
        <v>0</v>
      </c>
      <c r="F115" s="60"/>
      <c r="G115" s="264" t="s">
        <v>173</v>
      </c>
      <c r="H115" s="100"/>
      <c r="I115" s="100"/>
      <c r="J115" s="102">
        <f t="shared" si="19"/>
        <v>0</v>
      </c>
    </row>
    <row r="116" spans="2:10" ht="31" x14ac:dyDescent="0.35">
      <c r="B116" s="26" t="s">
        <v>174</v>
      </c>
      <c r="C116" s="27"/>
      <c r="D116" s="27"/>
      <c r="E116" s="29">
        <f t="shared" si="18"/>
        <v>0</v>
      </c>
      <c r="F116" s="60"/>
      <c r="G116" s="264" t="s">
        <v>174</v>
      </c>
      <c r="H116" s="100"/>
      <c r="I116" s="100"/>
      <c r="J116" s="102">
        <f t="shared" si="19"/>
        <v>0</v>
      </c>
    </row>
    <row r="117" spans="2:10" ht="16" thickBot="1" x14ac:dyDescent="0.4">
      <c r="B117" s="31" t="s">
        <v>175</v>
      </c>
      <c r="C117" s="29">
        <f>SUM(C110:C116)</f>
        <v>0</v>
      </c>
      <c r="D117" s="29">
        <f>SUM(D110:D116)</f>
        <v>0</v>
      </c>
      <c r="E117" s="29">
        <f t="shared" si="18"/>
        <v>0</v>
      </c>
      <c r="F117" s="60"/>
      <c r="G117" s="267" t="s">
        <v>175</v>
      </c>
      <c r="H117" s="259">
        <f>SUM(H110:H116)</f>
        <v>0</v>
      </c>
      <c r="I117" s="259">
        <f>SUM(I110:I116)</f>
        <v>0</v>
      </c>
      <c r="J117" s="102">
        <f t="shared" si="19"/>
        <v>0</v>
      </c>
    </row>
    <row r="118" spans="2:10" s="34" customFormat="1" x14ac:dyDescent="0.35">
      <c r="B118" s="35"/>
      <c r="C118" s="36"/>
      <c r="D118" s="36"/>
      <c r="E118" s="38"/>
      <c r="F118" s="60"/>
      <c r="G118" s="268"/>
      <c r="H118" s="269"/>
      <c r="I118" s="269"/>
      <c r="J118" s="271"/>
    </row>
    <row r="119" spans="2:10" ht="15.75" customHeight="1" x14ac:dyDescent="0.35">
      <c r="B119" s="635" t="s">
        <v>87</v>
      </c>
      <c r="C119" s="636"/>
      <c r="D119" s="636"/>
      <c r="E119" s="637"/>
      <c r="F119" s="60"/>
      <c r="G119" s="645" t="s">
        <v>87</v>
      </c>
      <c r="H119" s="646"/>
      <c r="I119" s="646"/>
      <c r="J119" s="647"/>
    </row>
    <row r="120" spans="2:10" ht="21" customHeight="1" thickBot="1" x14ac:dyDescent="0.4">
      <c r="B120" s="20" t="s">
        <v>191</v>
      </c>
      <c r="C120" s="21">
        <f>'[1]1) Tableau budgétaire 1'!D120</f>
        <v>0</v>
      </c>
      <c r="D120" s="21">
        <f>'[1]1) Tableau budgétaire 1'!E120</f>
        <v>0</v>
      </c>
      <c r="E120" s="22">
        <f t="shared" ref="E120:E128" si="20">SUM(C120:D120)</f>
        <v>0</v>
      </c>
      <c r="F120" s="60"/>
      <c r="G120" s="261" t="s">
        <v>191</v>
      </c>
      <c r="H120" s="259">
        <f>'[2]1) Tableau budgétaire 1'!D120</f>
        <v>0</v>
      </c>
      <c r="I120" s="259">
        <f>'[2]1) Tableau budgétaire 1'!E120</f>
        <v>0</v>
      </c>
      <c r="J120" s="103">
        <f t="shared" ref="J120:J128" si="21">SUM(H120:I120)</f>
        <v>0</v>
      </c>
    </row>
    <row r="121" spans="2:10" x14ac:dyDescent="0.35">
      <c r="B121" s="23" t="s">
        <v>168</v>
      </c>
      <c r="C121" s="24"/>
      <c r="D121" s="24"/>
      <c r="E121" s="25">
        <f t="shared" si="20"/>
        <v>0</v>
      </c>
      <c r="F121" s="60"/>
      <c r="G121" s="262" t="s">
        <v>168</v>
      </c>
      <c r="H121" s="99"/>
      <c r="I121" s="263"/>
      <c r="J121" s="101">
        <f t="shared" si="21"/>
        <v>0</v>
      </c>
    </row>
    <row r="122" spans="2:10" x14ac:dyDescent="0.35">
      <c r="B122" s="26" t="s">
        <v>169</v>
      </c>
      <c r="C122" s="28"/>
      <c r="D122" s="28"/>
      <c r="E122" s="29">
        <f t="shared" si="20"/>
        <v>0</v>
      </c>
      <c r="F122" s="60"/>
      <c r="G122" s="264" t="s">
        <v>169</v>
      </c>
      <c r="H122" s="100"/>
      <c r="I122" s="265"/>
      <c r="J122" s="102">
        <f t="shared" si="21"/>
        <v>0</v>
      </c>
    </row>
    <row r="123" spans="2:10" ht="31" x14ac:dyDescent="0.35">
      <c r="B123" s="26" t="s">
        <v>170</v>
      </c>
      <c r="C123" s="27"/>
      <c r="D123" s="27"/>
      <c r="E123" s="29">
        <f t="shared" si="20"/>
        <v>0</v>
      </c>
      <c r="F123" s="60"/>
      <c r="G123" s="264" t="s">
        <v>170</v>
      </c>
      <c r="H123" s="100"/>
      <c r="I123" s="100"/>
      <c r="J123" s="102">
        <f t="shared" si="21"/>
        <v>0</v>
      </c>
    </row>
    <row r="124" spans="2:10" x14ac:dyDescent="0.35">
      <c r="B124" s="30" t="s">
        <v>171</v>
      </c>
      <c r="C124" s="27"/>
      <c r="D124" s="27"/>
      <c r="E124" s="29">
        <f t="shared" si="20"/>
        <v>0</v>
      </c>
      <c r="F124" s="60"/>
      <c r="G124" s="266" t="s">
        <v>171</v>
      </c>
      <c r="H124" s="100"/>
      <c r="I124" s="100"/>
      <c r="J124" s="102">
        <f t="shared" si="21"/>
        <v>0</v>
      </c>
    </row>
    <row r="125" spans="2:10" x14ac:dyDescent="0.35">
      <c r="B125" s="26" t="s">
        <v>172</v>
      </c>
      <c r="C125" s="27"/>
      <c r="D125" s="27"/>
      <c r="E125" s="29">
        <f t="shared" si="20"/>
        <v>0</v>
      </c>
      <c r="F125" s="60"/>
      <c r="G125" s="264" t="s">
        <v>172</v>
      </c>
      <c r="H125" s="100"/>
      <c r="I125" s="100"/>
      <c r="J125" s="102">
        <f t="shared" si="21"/>
        <v>0</v>
      </c>
    </row>
    <row r="126" spans="2:10" ht="31" x14ac:dyDescent="0.35">
      <c r="B126" s="26" t="s">
        <v>173</v>
      </c>
      <c r="C126" s="27"/>
      <c r="D126" s="27"/>
      <c r="E126" s="29">
        <f t="shared" si="20"/>
        <v>0</v>
      </c>
      <c r="F126" s="60"/>
      <c r="G126" s="264" t="s">
        <v>173</v>
      </c>
      <c r="H126" s="100"/>
      <c r="I126" s="100"/>
      <c r="J126" s="102">
        <f t="shared" si="21"/>
        <v>0</v>
      </c>
    </row>
    <row r="127" spans="2:10" ht="31" x14ac:dyDescent="0.35">
      <c r="B127" s="26" t="s">
        <v>174</v>
      </c>
      <c r="C127" s="27"/>
      <c r="D127" s="27"/>
      <c r="E127" s="29">
        <f t="shared" si="20"/>
        <v>0</v>
      </c>
      <c r="F127" s="60"/>
      <c r="G127" s="264" t="s">
        <v>174</v>
      </c>
      <c r="H127" s="100"/>
      <c r="I127" s="100"/>
      <c r="J127" s="102">
        <f t="shared" si="21"/>
        <v>0</v>
      </c>
    </row>
    <row r="128" spans="2:10" ht="16" thickBot="1" x14ac:dyDescent="0.4">
      <c r="B128" s="31" t="s">
        <v>175</v>
      </c>
      <c r="C128" s="29">
        <f>SUM(C121:C127)</f>
        <v>0</v>
      </c>
      <c r="D128" s="29">
        <f>SUM(D121:D127)</f>
        <v>0</v>
      </c>
      <c r="E128" s="29">
        <f t="shared" si="20"/>
        <v>0</v>
      </c>
      <c r="F128" s="60"/>
      <c r="G128" s="267" t="s">
        <v>175</v>
      </c>
      <c r="H128" s="259">
        <f>SUM(H121:H127)</f>
        <v>0</v>
      </c>
      <c r="I128" s="259">
        <f>SUM(I121:I127)</f>
        <v>0</v>
      </c>
      <c r="J128" s="102">
        <f t="shared" si="21"/>
        <v>0</v>
      </c>
    </row>
    <row r="129" spans="1:10" s="34" customFormat="1" x14ac:dyDescent="0.35">
      <c r="B129" s="35"/>
      <c r="C129" s="36"/>
      <c r="D129" s="36"/>
      <c r="E129" s="38"/>
      <c r="F129" s="60"/>
      <c r="G129" s="268"/>
      <c r="H129" s="269"/>
      <c r="I129" s="269"/>
      <c r="J129" s="271"/>
    </row>
    <row r="130" spans="1:10" ht="15.75" customHeight="1" x14ac:dyDescent="0.35">
      <c r="B130" s="635" t="s">
        <v>96</v>
      </c>
      <c r="C130" s="636"/>
      <c r="D130" s="636"/>
      <c r="E130" s="637"/>
      <c r="F130" s="60"/>
      <c r="G130" s="645" t="s">
        <v>96</v>
      </c>
      <c r="H130" s="646"/>
      <c r="I130" s="646"/>
      <c r="J130" s="647"/>
    </row>
    <row r="131" spans="1:10" ht="24" customHeight="1" thickBot="1" x14ac:dyDescent="0.4">
      <c r="B131" s="20" t="s">
        <v>192</v>
      </c>
      <c r="C131" s="21">
        <f>'[1]1) Tableau budgétaire 1'!D130</f>
        <v>0</v>
      </c>
      <c r="D131" s="21">
        <f>'[1]1) Tableau budgétaire 1'!E130</f>
        <v>0</v>
      </c>
      <c r="E131" s="22">
        <f t="shared" ref="E131:E139" si="22">SUM(C131:D131)</f>
        <v>0</v>
      </c>
      <c r="F131" s="60"/>
      <c r="G131" s="261" t="s">
        <v>192</v>
      </c>
      <c r="H131" s="259">
        <f>'[2]1) Tableau budgétaire 1'!D130</f>
        <v>0</v>
      </c>
      <c r="I131" s="259">
        <f>'[2]1) Tableau budgétaire 1'!E130</f>
        <v>0</v>
      </c>
      <c r="J131" s="103">
        <f t="shared" ref="J131:J139" si="23">SUM(H131:I131)</f>
        <v>0</v>
      </c>
    </row>
    <row r="132" spans="1:10" ht="15.75" customHeight="1" x14ac:dyDescent="0.35">
      <c r="B132" s="23" t="s">
        <v>168</v>
      </c>
      <c r="C132" s="24"/>
      <c r="D132" s="24"/>
      <c r="E132" s="25">
        <f t="shared" si="22"/>
        <v>0</v>
      </c>
      <c r="F132" s="60"/>
      <c r="G132" s="262" t="s">
        <v>168</v>
      </c>
      <c r="H132" s="99"/>
      <c r="I132" s="263"/>
      <c r="J132" s="101">
        <f t="shared" si="23"/>
        <v>0</v>
      </c>
    </row>
    <row r="133" spans="1:10" x14ac:dyDescent="0.35">
      <c r="B133" s="26" t="s">
        <v>169</v>
      </c>
      <c r="C133" s="28"/>
      <c r="D133" s="28"/>
      <c r="E133" s="29">
        <f t="shared" si="22"/>
        <v>0</v>
      </c>
      <c r="F133" s="60"/>
      <c r="G133" s="264" t="s">
        <v>169</v>
      </c>
      <c r="H133" s="100"/>
      <c r="I133" s="265"/>
      <c r="J133" s="102">
        <f t="shared" si="23"/>
        <v>0</v>
      </c>
    </row>
    <row r="134" spans="1:10" ht="15.75" customHeight="1" x14ac:dyDescent="0.35">
      <c r="B134" s="26" t="s">
        <v>170</v>
      </c>
      <c r="C134" s="27"/>
      <c r="D134" s="27"/>
      <c r="E134" s="29">
        <f t="shared" si="22"/>
        <v>0</v>
      </c>
      <c r="F134" s="60"/>
      <c r="G134" s="264" t="s">
        <v>170</v>
      </c>
      <c r="H134" s="100"/>
      <c r="I134" s="100"/>
      <c r="J134" s="102">
        <f t="shared" si="23"/>
        <v>0</v>
      </c>
    </row>
    <row r="135" spans="1:10" x14ac:dyDescent="0.35">
      <c r="B135" s="30" t="s">
        <v>171</v>
      </c>
      <c r="C135" s="27"/>
      <c r="D135" s="27"/>
      <c r="E135" s="29">
        <f t="shared" si="22"/>
        <v>0</v>
      </c>
      <c r="F135" s="60"/>
      <c r="G135" s="266" t="s">
        <v>171</v>
      </c>
      <c r="H135" s="100"/>
      <c r="I135" s="100"/>
      <c r="J135" s="102">
        <f t="shared" si="23"/>
        <v>0</v>
      </c>
    </row>
    <row r="136" spans="1:10" x14ac:dyDescent="0.35">
      <c r="B136" s="26" t="s">
        <v>172</v>
      </c>
      <c r="C136" s="27"/>
      <c r="D136" s="27"/>
      <c r="E136" s="29">
        <f t="shared" si="22"/>
        <v>0</v>
      </c>
      <c r="F136" s="60"/>
      <c r="G136" s="264" t="s">
        <v>172</v>
      </c>
      <c r="H136" s="100"/>
      <c r="I136" s="100"/>
      <c r="J136" s="102">
        <f t="shared" si="23"/>
        <v>0</v>
      </c>
    </row>
    <row r="137" spans="1:10" ht="15.75" customHeight="1" x14ac:dyDescent="0.35">
      <c r="B137" s="26" t="s">
        <v>173</v>
      </c>
      <c r="C137" s="27"/>
      <c r="D137" s="27"/>
      <c r="E137" s="29">
        <f t="shared" si="22"/>
        <v>0</v>
      </c>
      <c r="F137" s="60"/>
      <c r="G137" s="264" t="s">
        <v>173</v>
      </c>
      <c r="H137" s="100"/>
      <c r="I137" s="100"/>
      <c r="J137" s="102">
        <f t="shared" si="23"/>
        <v>0</v>
      </c>
    </row>
    <row r="138" spans="1:10" ht="31" x14ac:dyDescent="0.35">
      <c r="B138" s="26" t="s">
        <v>174</v>
      </c>
      <c r="C138" s="27"/>
      <c r="D138" s="27"/>
      <c r="E138" s="29">
        <f t="shared" si="22"/>
        <v>0</v>
      </c>
      <c r="F138" s="60"/>
      <c r="G138" s="264" t="s">
        <v>174</v>
      </c>
      <c r="H138" s="100"/>
      <c r="I138" s="100"/>
      <c r="J138" s="102">
        <f t="shared" si="23"/>
        <v>0</v>
      </c>
    </row>
    <row r="139" spans="1:10" ht="16" thickBot="1" x14ac:dyDescent="0.4">
      <c r="B139" s="31" t="s">
        <v>175</v>
      </c>
      <c r="C139" s="29">
        <f>SUM(C132:C138)</f>
        <v>0</v>
      </c>
      <c r="D139" s="29">
        <f>SUM(D132:D138)</f>
        <v>0</v>
      </c>
      <c r="E139" s="29">
        <f t="shared" si="22"/>
        <v>0</v>
      </c>
      <c r="F139" s="60"/>
      <c r="G139" s="267" t="s">
        <v>175</v>
      </c>
      <c r="H139" s="259">
        <f>SUM(H132:H138)</f>
        <v>0</v>
      </c>
      <c r="I139" s="259">
        <f>SUM(I132:I138)</f>
        <v>0</v>
      </c>
      <c r="J139" s="102">
        <f t="shared" si="23"/>
        <v>0</v>
      </c>
    </row>
    <row r="140" spans="1:10" x14ac:dyDescent="0.35">
      <c r="C140" s="34"/>
      <c r="D140" s="34"/>
      <c r="F140" s="60"/>
      <c r="G140" s="278"/>
      <c r="H140" s="279"/>
      <c r="I140" s="279"/>
      <c r="J140" s="278"/>
    </row>
    <row r="141" spans="1:10" ht="15.75" customHeight="1" x14ac:dyDescent="0.35">
      <c r="A141" s="635" t="s">
        <v>193</v>
      </c>
      <c r="B141" s="636"/>
      <c r="C141" s="636"/>
      <c r="D141" s="636"/>
      <c r="E141" s="637"/>
      <c r="F141" s="60"/>
      <c r="G141" s="646"/>
      <c r="H141" s="646"/>
      <c r="I141" s="646"/>
      <c r="J141" s="647"/>
    </row>
    <row r="142" spans="1:10" ht="15.75" customHeight="1" x14ac:dyDescent="0.35">
      <c r="B142" s="635" t="s">
        <v>106</v>
      </c>
      <c r="C142" s="636"/>
      <c r="D142" s="636"/>
      <c r="E142" s="637"/>
      <c r="F142" s="60"/>
      <c r="G142" s="645" t="s">
        <v>106</v>
      </c>
      <c r="H142" s="646"/>
      <c r="I142" s="646"/>
      <c r="J142" s="647"/>
    </row>
    <row r="143" spans="1:10" ht="24" customHeight="1" thickBot="1" x14ac:dyDescent="0.4">
      <c r="B143" s="20" t="s">
        <v>194</v>
      </c>
      <c r="C143" s="21">
        <f>'[1]1) Tableau budgétaire 1'!D142</f>
        <v>0</v>
      </c>
      <c r="D143" s="21">
        <f>'[1]1) Tableau budgétaire 1'!E142</f>
        <v>0</v>
      </c>
      <c r="E143" s="22">
        <f t="shared" ref="E143:E151" si="24">SUM(C143:D143)</f>
        <v>0</v>
      </c>
      <c r="F143" s="60"/>
      <c r="G143" s="261" t="s">
        <v>194</v>
      </c>
      <c r="H143" s="259">
        <f>'[2]1) Tableau budgétaire 1'!D142</f>
        <v>0</v>
      </c>
      <c r="I143" s="259">
        <f>'[2]1) Tableau budgétaire 1'!E142</f>
        <v>0</v>
      </c>
      <c r="J143" s="103">
        <f t="shared" ref="J143:J151" si="25">SUM(H143:I143)</f>
        <v>0</v>
      </c>
    </row>
    <row r="144" spans="1:10" ht="24.75" customHeight="1" x14ac:dyDescent="0.35">
      <c r="B144" s="23" t="s">
        <v>168</v>
      </c>
      <c r="C144" s="24"/>
      <c r="D144" s="24"/>
      <c r="E144" s="25">
        <f t="shared" si="24"/>
        <v>0</v>
      </c>
      <c r="F144" s="60"/>
      <c r="G144" s="262" t="s">
        <v>168</v>
      </c>
      <c r="H144" s="99"/>
      <c r="I144" s="263"/>
      <c r="J144" s="101">
        <f t="shared" si="25"/>
        <v>0</v>
      </c>
    </row>
    <row r="145" spans="2:10" ht="15.75" customHeight="1" x14ac:dyDescent="0.35">
      <c r="B145" s="26" t="s">
        <v>169</v>
      </c>
      <c r="C145" s="28"/>
      <c r="D145" s="28"/>
      <c r="E145" s="29">
        <f t="shared" si="24"/>
        <v>0</v>
      </c>
      <c r="F145" s="60"/>
      <c r="G145" s="264" t="s">
        <v>169</v>
      </c>
      <c r="H145" s="100"/>
      <c r="I145" s="265"/>
      <c r="J145" s="102">
        <f t="shared" si="25"/>
        <v>0</v>
      </c>
    </row>
    <row r="146" spans="2:10" ht="15.75" customHeight="1" x14ac:dyDescent="0.35">
      <c r="B146" s="26" t="s">
        <v>170</v>
      </c>
      <c r="C146" s="27"/>
      <c r="D146" s="27"/>
      <c r="E146" s="29">
        <f t="shared" si="24"/>
        <v>0</v>
      </c>
      <c r="F146" s="60"/>
      <c r="G146" s="264" t="s">
        <v>170</v>
      </c>
      <c r="H146" s="100"/>
      <c r="I146" s="100"/>
      <c r="J146" s="102">
        <f t="shared" si="25"/>
        <v>0</v>
      </c>
    </row>
    <row r="147" spans="2:10" ht="15.75" customHeight="1" x14ac:dyDescent="0.35">
      <c r="B147" s="30" t="s">
        <v>171</v>
      </c>
      <c r="C147" s="27"/>
      <c r="D147" s="27"/>
      <c r="E147" s="29">
        <f t="shared" si="24"/>
        <v>0</v>
      </c>
      <c r="F147" s="60"/>
      <c r="G147" s="266" t="s">
        <v>171</v>
      </c>
      <c r="H147" s="100"/>
      <c r="I147" s="100"/>
      <c r="J147" s="102">
        <f t="shared" si="25"/>
        <v>0</v>
      </c>
    </row>
    <row r="148" spans="2:10" ht="15.75" customHeight="1" x14ac:dyDescent="0.35">
      <c r="B148" s="26" t="s">
        <v>172</v>
      </c>
      <c r="C148" s="27"/>
      <c r="D148" s="27"/>
      <c r="E148" s="29">
        <f t="shared" si="24"/>
        <v>0</v>
      </c>
      <c r="F148" s="60"/>
      <c r="G148" s="264" t="s">
        <v>172</v>
      </c>
      <c r="H148" s="100"/>
      <c r="I148" s="100"/>
      <c r="J148" s="102">
        <f t="shared" si="25"/>
        <v>0</v>
      </c>
    </row>
    <row r="149" spans="2:10" ht="15.75" customHeight="1" x14ac:dyDescent="0.35">
      <c r="B149" s="26" t="s">
        <v>173</v>
      </c>
      <c r="C149" s="27"/>
      <c r="D149" s="27"/>
      <c r="E149" s="29">
        <f t="shared" si="24"/>
        <v>0</v>
      </c>
      <c r="F149" s="60"/>
      <c r="G149" s="264" t="s">
        <v>173</v>
      </c>
      <c r="H149" s="100"/>
      <c r="I149" s="100"/>
      <c r="J149" s="102">
        <f t="shared" si="25"/>
        <v>0</v>
      </c>
    </row>
    <row r="150" spans="2:10" ht="15.75" customHeight="1" x14ac:dyDescent="0.35">
      <c r="B150" s="26" t="s">
        <v>174</v>
      </c>
      <c r="C150" s="27"/>
      <c r="D150" s="27"/>
      <c r="E150" s="29">
        <f t="shared" si="24"/>
        <v>0</v>
      </c>
      <c r="F150" s="60"/>
      <c r="G150" s="264" t="s">
        <v>174</v>
      </c>
      <c r="H150" s="100"/>
      <c r="I150" s="100"/>
      <c r="J150" s="102">
        <f t="shared" si="25"/>
        <v>0</v>
      </c>
    </row>
    <row r="151" spans="2:10" ht="15.75" customHeight="1" thickBot="1" x14ac:dyDescent="0.4">
      <c r="B151" s="31" t="s">
        <v>175</v>
      </c>
      <c r="C151" s="29">
        <f>SUM(C144:C150)</f>
        <v>0</v>
      </c>
      <c r="D151" s="29">
        <f>SUM(D144:D150)</f>
        <v>0</v>
      </c>
      <c r="E151" s="29">
        <f t="shared" si="24"/>
        <v>0</v>
      </c>
      <c r="F151" s="60"/>
      <c r="G151" s="267" t="s">
        <v>175</v>
      </c>
      <c r="H151" s="259">
        <f>SUM(H144:H150)</f>
        <v>0</v>
      </c>
      <c r="I151" s="259">
        <f>SUM(I144:I150)</f>
        <v>0</v>
      </c>
      <c r="J151" s="102">
        <f t="shared" si="25"/>
        <v>0</v>
      </c>
    </row>
    <row r="152" spans="2:10" s="34" customFormat="1" ht="15.75" customHeight="1" x14ac:dyDescent="0.35">
      <c r="B152" s="35"/>
      <c r="C152" s="36"/>
      <c r="D152" s="36"/>
      <c r="E152" s="38"/>
      <c r="F152" s="60"/>
      <c r="G152" s="268"/>
      <c r="H152" s="269"/>
      <c r="I152" s="269"/>
      <c r="J152" s="271"/>
    </row>
    <row r="153" spans="2:10" ht="15.75" customHeight="1" x14ac:dyDescent="0.35">
      <c r="B153" s="635" t="s">
        <v>115</v>
      </c>
      <c r="C153" s="636"/>
      <c r="D153" s="636"/>
      <c r="E153" s="637"/>
      <c r="F153" s="60"/>
      <c r="G153" s="645" t="s">
        <v>115</v>
      </c>
      <c r="H153" s="646"/>
      <c r="I153" s="646"/>
      <c r="J153" s="647"/>
    </row>
    <row r="154" spans="2:10" ht="21" customHeight="1" thickBot="1" x14ac:dyDescent="0.4">
      <c r="B154" s="20" t="s">
        <v>195</v>
      </c>
      <c r="C154" s="21">
        <f>'[1]1) Tableau budgétaire 1'!D152</f>
        <v>0</v>
      </c>
      <c r="D154" s="21">
        <f>'[1]1) Tableau budgétaire 1'!E152</f>
        <v>0</v>
      </c>
      <c r="E154" s="22">
        <f t="shared" ref="E154:E162" si="26">SUM(C154:D154)</f>
        <v>0</v>
      </c>
      <c r="F154" s="60"/>
      <c r="G154" s="261" t="s">
        <v>195</v>
      </c>
      <c r="H154" s="259">
        <f>'[2]1) Tableau budgétaire 1'!D152</f>
        <v>0</v>
      </c>
      <c r="I154" s="259">
        <f>'[2]1) Tableau budgétaire 1'!E152</f>
        <v>0</v>
      </c>
      <c r="J154" s="103">
        <f t="shared" ref="J154:J162" si="27">SUM(H154:I154)</f>
        <v>0</v>
      </c>
    </row>
    <row r="155" spans="2:10" ht="15.75" customHeight="1" x14ac:dyDescent="0.35">
      <c r="B155" s="23" t="s">
        <v>168</v>
      </c>
      <c r="C155" s="24"/>
      <c r="D155" s="24"/>
      <c r="E155" s="25">
        <f t="shared" si="26"/>
        <v>0</v>
      </c>
      <c r="F155" s="60"/>
      <c r="G155" s="262" t="s">
        <v>168</v>
      </c>
      <c r="H155" s="99"/>
      <c r="I155" s="263"/>
      <c r="J155" s="101">
        <f t="shared" si="27"/>
        <v>0</v>
      </c>
    </row>
    <row r="156" spans="2:10" ht="15.75" customHeight="1" x14ac:dyDescent="0.35">
      <c r="B156" s="26" t="s">
        <v>169</v>
      </c>
      <c r="C156" s="28"/>
      <c r="D156" s="28"/>
      <c r="E156" s="29">
        <f t="shared" si="26"/>
        <v>0</v>
      </c>
      <c r="F156" s="60"/>
      <c r="G156" s="264" t="s">
        <v>169</v>
      </c>
      <c r="H156" s="100"/>
      <c r="I156" s="265"/>
      <c r="J156" s="102">
        <f t="shared" si="27"/>
        <v>0</v>
      </c>
    </row>
    <row r="157" spans="2:10" ht="15.75" customHeight="1" x14ac:dyDescent="0.35">
      <c r="B157" s="26" t="s">
        <v>170</v>
      </c>
      <c r="C157" s="27"/>
      <c r="D157" s="27"/>
      <c r="E157" s="29">
        <f t="shared" si="26"/>
        <v>0</v>
      </c>
      <c r="F157" s="60"/>
      <c r="G157" s="264" t="s">
        <v>170</v>
      </c>
      <c r="H157" s="100"/>
      <c r="I157" s="100"/>
      <c r="J157" s="102">
        <f t="shared" si="27"/>
        <v>0</v>
      </c>
    </row>
    <row r="158" spans="2:10" ht="15.75" customHeight="1" x14ac:dyDescent="0.35">
      <c r="B158" s="30" t="s">
        <v>171</v>
      </c>
      <c r="C158" s="27"/>
      <c r="D158" s="27"/>
      <c r="E158" s="29">
        <f t="shared" si="26"/>
        <v>0</v>
      </c>
      <c r="F158" s="60"/>
      <c r="G158" s="266" t="s">
        <v>171</v>
      </c>
      <c r="H158" s="100"/>
      <c r="I158" s="100"/>
      <c r="J158" s="102">
        <f t="shared" si="27"/>
        <v>0</v>
      </c>
    </row>
    <row r="159" spans="2:10" ht="15.75" customHeight="1" x14ac:dyDescent="0.35">
      <c r="B159" s="26" t="s">
        <v>172</v>
      </c>
      <c r="C159" s="27"/>
      <c r="D159" s="27"/>
      <c r="E159" s="29">
        <f t="shared" si="26"/>
        <v>0</v>
      </c>
      <c r="F159" s="60"/>
      <c r="G159" s="264" t="s">
        <v>172</v>
      </c>
      <c r="H159" s="100"/>
      <c r="I159" s="100"/>
      <c r="J159" s="102">
        <f t="shared" si="27"/>
        <v>0</v>
      </c>
    </row>
    <row r="160" spans="2:10" ht="15.75" customHeight="1" x14ac:dyDescent="0.35">
      <c r="B160" s="26" t="s">
        <v>173</v>
      </c>
      <c r="C160" s="27"/>
      <c r="D160" s="27"/>
      <c r="E160" s="29">
        <f t="shared" si="26"/>
        <v>0</v>
      </c>
      <c r="F160" s="60"/>
      <c r="G160" s="264" t="s">
        <v>173</v>
      </c>
      <c r="H160" s="100"/>
      <c r="I160" s="100"/>
      <c r="J160" s="102">
        <f t="shared" si="27"/>
        <v>0</v>
      </c>
    </row>
    <row r="161" spans="2:10" ht="15.75" customHeight="1" x14ac:dyDescent="0.35">
      <c r="B161" s="26" t="s">
        <v>174</v>
      </c>
      <c r="C161" s="27"/>
      <c r="D161" s="27"/>
      <c r="E161" s="29">
        <f t="shared" si="26"/>
        <v>0</v>
      </c>
      <c r="F161" s="60"/>
      <c r="G161" s="264" t="s">
        <v>174</v>
      </c>
      <c r="H161" s="100"/>
      <c r="I161" s="100"/>
      <c r="J161" s="102">
        <f t="shared" si="27"/>
        <v>0</v>
      </c>
    </row>
    <row r="162" spans="2:10" ht="15.75" customHeight="1" thickBot="1" x14ac:dyDescent="0.4">
      <c r="B162" s="31" t="s">
        <v>175</v>
      </c>
      <c r="C162" s="29">
        <f>SUM(C155:C161)</f>
        <v>0</v>
      </c>
      <c r="D162" s="29">
        <f>SUM(D155:D161)</f>
        <v>0</v>
      </c>
      <c r="E162" s="29">
        <f t="shared" si="26"/>
        <v>0</v>
      </c>
      <c r="F162" s="60"/>
      <c r="G162" s="267" t="s">
        <v>175</v>
      </c>
      <c r="H162" s="259">
        <f>SUM(H155:H161)</f>
        <v>0</v>
      </c>
      <c r="I162" s="259">
        <f>SUM(I155:I161)</f>
        <v>0</v>
      </c>
      <c r="J162" s="102">
        <f t="shared" si="27"/>
        <v>0</v>
      </c>
    </row>
    <row r="163" spans="2:10" s="34" customFormat="1" ht="15.75" customHeight="1" x14ac:dyDescent="0.35">
      <c r="B163" s="35"/>
      <c r="C163" s="36"/>
      <c r="D163" s="36"/>
      <c r="E163" s="38"/>
      <c r="F163" s="60"/>
      <c r="G163" s="268"/>
      <c r="H163" s="269"/>
      <c r="I163" s="269"/>
      <c r="J163" s="271"/>
    </row>
    <row r="164" spans="2:10" ht="15.75" customHeight="1" x14ac:dyDescent="0.35">
      <c r="B164" s="635" t="s">
        <v>124</v>
      </c>
      <c r="C164" s="636"/>
      <c r="D164" s="636"/>
      <c r="E164" s="637"/>
      <c r="F164" s="60"/>
      <c r="G164" s="645" t="s">
        <v>124</v>
      </c>
      <c r="H164" s="646"/>
      <c r="I164" s="646"/>
      <c r="J164" s="647"/>
    </row>
    <row r="165" spans="2:10" ht="19.5" customHeight="1" thickBot="1" x14ac:dyDescent="0.4">
      <c r="B165" s="20" t="s">
        <v>196</v>
      </c>
      <c r="C165" s="21">
        <f>'[1]1) Tableau budgétaire 1'!D162</f>
        <v>0</v>
      </c>
      <c r="D165" s="21">
        <f>'[1]1) Tableau budgétaire 1'!E162</f>
        <v>0</v>
      </c>
      <c r="E165" s="22">
        <f t="shared" ref="E165:E173" si="28">SUM(C165:D165)</f>
        <v>0</v>
      </c>
      <c r="F165" s="60"/>
      <c r="G165" s="261" t="s">
        <v>196</v>
      </c>
      <c r="H165" s="259">
        <f>'[2]1) Tableau budgétaire 1'!D162</f>
        <v>0</v>
      </c>
      <c r="I165" s="259">
        <f>'[2]1) Tableau budgétaire 1'!E162</f>
        <v>0</v>
      </c>
      <c r="J165" s="103">
        <f t="shared" ref="J165:J173" si="29">SUM(H165:I165)</f>
        <v>0</v>
      </c>
    </row>
    <row r="166" spans="2:10" ht="15.75" customHeight="1" x14ac:dyDescent="0.35">
      <c r="B166" s="23" t="s">
        <v>168</v>
      </c>
      <c r="C166" s="24"/>
      <c r="D166" s="24"/>
      <c r="E166" s="25">
        <f t="shared" si="28"/>
        <v>0</v>
      </c>
      <c r="F166" s="60"/>
      <c r="G166" s="262" t="s">
        <v>168</v>
      </c>
      <c r="H166" s="99"/>
      <c r="I166" s="263"/>
      <c r="J166" s="101">
        <f t="shared" si="29"/>
        <v>0</v>
      </c>
    </row>
    <row r="167" spans="2:10" ht="15.75" customHeight="1" x14ac:dyDescent="0.35">
      <c r="B167" s="26" t="s">
        <v>169</v>
      </c>
      <c r="C167" s="28"/>
      <c r="D167" s="28"/>
      <c r="E167" s="29">
        <f t="shared" si="28"/>
        <v>0</v>
      </c>
      <c r="F167" s="60"/>
      <c r="G167" s="264" t="s">
        <v>169</v>
      </c>
      <c r="H167" s="100"/>
      <c r="I167" s="265"/>
      <c r="J167" s="102">
        <f t="shared" si="29"/>
        <v>0</v>
      </c>
    </row>
    <row r="168" spans="2:10" ht="15.75" customHeight="1" x14ac:dyDescent="0.35">
      <c r="B168" s="26" t="s">
        <v>170</v>
      </c>
      <c r="C168" s="27"/>
      <c r="D168" s="27"/>
      <c r="E168" s="29">
        <f t="shared" si="28"/>
        <v>0</v>
      </c>
      <c r="F168" s="60"/>
      <c r="G168" s="264" t="s">
        <v>170</v>
      </c>
      <c r="H168" s="100"/>
      <c r="I168" s="100"/>
      <c r="J168" s="102">
        <f t="shared" si="29"/>
        <v>0</v>
      </c>
    </row>
    <row r="169" spans="2:10" ht="15.75" customHeight="1" x14ac:dyDescent="0.35">
      <c r="B169" s="30" t="s">
        <v>171</v>
      </c>
      <c r="C169" s="27"/>
      <c r="D169" s="27"/>
      <c r="E169" s="29">
        <f t="shared" si="28"/>
        <v>0</v>
      </c>
      <c r="F169" s="60"/>
      <c r="G169" s="266" t="s">
        <v>171</v>
      </c>
      <c r="H169" s="100"/>
      <c r="I169" s="100"/>
      <c r="J169" s="102">
        <f t="shared" si="29"/>
        <v>0</v>
      </c>
    </row>
    <row r="170" spans="2:10" ht="15.75" customHeight="1" x14ac:dyDescent="0.35">
      <c r="B170" s="26" t="s">
        <v>172</v>
      </c>
      <c r="C170" s="27"/>
      <c r="D170" s="27"/>
      <c r="E170" s="29">
        <f t="shared" si="28"/>
        <v>0</v>
      </c>
      <c r="F170" s="60"/>
      <c r="G170" s="264" t="s">
        <v>172</v>
      </c>
      <c r="H170" s="100"/>
      <c r="I170" s="100"/>
      <c r="J170" s="102">
        <f t="shared" si="29"/>
        <v>0</v>
      </c>
    </row>
    <row r="171" spans="2:10" ht="15.75" customHeight="1" x14ac:dyDescent="0.35">
      <c r="B171" s="26" t="s">
        <v>173</v>
      </c>
      <c r="C171" s="27"/>
      <c r="D171" s="27"/>
      <c r="E171" s="29">
        <f t="shared" si="28"/>
        <v>0</v>
      </c>
      <c r="F171" s="60"/>
      <c r="G171" s="264" t="s">
        <v>173</v>
      </c>
      <c r="H171" s="100"/>
      <c r="I171" s="100"/>
      <c r="J171" s="102">
        <f t="shared" si="29"/>
        <v>0</v>
      </c>
    </row>
    <row r="172" spans="2:10" ht="15.75" customHeight="1" x14ac:dyDescent="0.35">
      <c r="B172" s="26" t="s">
        <v>174</v>
      </c>
      <c r="C172" s="27"/>
      <c r="D172" s="27"/>
      <c r="E172" s="29">
        <f t="shared" si="28"/>
        <v>0</v>
      </c>
      <c r="F172" s="60"/>
      <c r="G172" s="264" t="s">
        <v>174</v>
      </c>
      <c r="H172" s="100"/>
      <c r="I172" s="100"/>
      <c r="J172" s="102">
        <f t="shared" si="29"/>
        <v>0</v>
      </c>
    </row>
    <row r="173" spans="2:10" ht="15.75" customHeight="1" thickBot="1" x14ac:dyDescent="0.4">
      <c r="B173" s="31" t="s">
        <v>175</v>
      </c>
      <c r="C173" s="29">
        <f>SUM(C166:C172)</f>
        <v>0</v>
      </c>
      <c r="D173" s="29">
        <f>SUM(D166:D172)</f>
        <v>0</v>
      </c>
      <c r="E173" s="29">
        <f t="shared" si="28"/>
        <v>0</v>
      </c>
      <c r="F173" s="60"/>
      <c r="G173" s="267" t="s">
        <v>175</v>
      </c>
      <c r="H173" s="259">
        <f>SUM(H166:H172)</f>
        <v>0</v>
      </c>
      <c r="I173" s="259">
        <f>SUM(I166:I172)</f>
        <v>0</v>
      </c>
      <c r="J173" s="102">
        <f t="shared" si="29"/>
        <v>0</v>
      </c>
    </row>
    <row r="174" spans="2:10" s="34" customFormat="1" ht="15.75" customHeight="1" x14ac:dyDescent="0.35">
      <c r="B174" s="35"/>
      <c r="C174" s="36"/>
      <c r="D174" s="36"/>
      <c r="E174" s="38"/>
      <c r="F174" s="60"/>
      <c r="G174" s="268"/>
      <c r="H174" s="269"/>
      <c r="I174" s="269"/>
      <c r="J174" s="271"/>
    </row>
    <row r="175" spans="2:10" ht="15.75" customHeight="1" x14ac:dyDescent="0.35">
      <c r="B175" s="635" t="s">
        <v>133</v>
      </c>
      <c r="C175" s="636"/>
      <c r="D175" s="636"/>
      <c r="E175" s="637"/>
      <c r="F175" s="60"/>
      <c r="G175" s="645" t="s">
        <v>133</v>
      </c>
      <c r="H175" s="646"/>
      <c r="I175" s="646"/>
      <c r="J175" s="647"/>
    </row>
    <row r="176" spans="2:10" ht="22.5" customHeight="1" thickBot="1" x14ac:dyDescent="0.4">
      <c r="B176" s="20" t="s">
        <v>197</v>
      </c>
      <c r="C176" s="21">
        <f>'[1]1) Tableau budgétaire 1'!D172</f>
        <v>0</v>
      </c>
      <c r="D176" s="21">
        <f>'[1]1) Tableau budgétaire 1'!E172</f>
        <v>0</v>
      </c>
      <c r="E176" s="22">
        <f t="shared" ref="E176:E184" si="30">SUM(C176:D176)</f>
        <v>0</v>
      </c>
      <c r="F176" s="60"/>
      <c r="G176" s="261" t="s">
        <v>197</v>
      </c>
      <c r="H176" s="259">
        <f>'[2]1) Tableau budgétaire 1'!D172</f>
        <v>0</v>
      </c>
      <c r="I176" s="259">
        <f>'[2]1) Tableau budgétaire 1'!E172</f>
        <v>0</v>
      </c>
      <c r="J176" s="103">
        <f t="shared" ref="J176:J184" si="31">SUM(H176:I176)</f>
        <v>0</v>
      </c>
    </row>
    <row r="177" spans="2:10" ht="15.75" customHeight="1" x14ac:dyDescent="0.35">
      <c r="B177" s="23" t="s">
        <v>168</v>
      </c>
      <c r="C177" s="24"/>
      <c r="D177" s="24"/>
      <c r="E177" s="25">
        <f t="shared" si="30"/>
        <v>0</v>
      </c>
      <c r="F177" s="60"/>
      <c r="G177" s="262" t="s">
        <v>168</v>
      </c>
      <c r="H177" s="99"/>
      <c r="I177" s="263"/>
      <c r="J177" s="101">
        <f t="shared" si="31"/>
        <v>0</v>
      </c>
    </row>
    <row r="178" spans="2:10" ht="15.75" customHeight="1" x14ac:dyDescent="0.35">
      <c r="B178" s="26" t="s">
        <v>169</v>
      </c>
      <c r="C178" s="28"/>
      <c r="D178" s="28"/>
      <c r="E178" s="29">
        <f t="shared" si="30"/>
        <v>0</v>
      </c>
      <c r="F178" s="60"/>
      <c r="G178" s="264" t="s">
        <v>169</v>
      </c>
      <c r="H178" s="100"/>
      <c r="I178" s="265"/>
      <c r="J178" s="102">
        <f t="shared" si="31"/>
        <v>0</v>
      </c>
    </row>
    <row r="179" spans="2:10" ht="15.75" customHeight="1" x14ac:dyDescent="0.35">
      <c r="B179" s="26" t="s">
        <v>170</v>
      </c>
      <c r="C179" s="27"/>
      <c r="D179" s="27"/>
      <c r="E179" s="29">
        <f t="shared" si="30"/>
        <v>0</v>
      </c>
      <c r="F179" s="60"/>
      <c r="G179" s="264" t="s">
        <v>170</v>
      </c>
      <c r="H179" s="100"/>
      <c r="I179" s="100"/>
      <c r="J179" s="102">
        <f t="shared" si="31"/>
        <v>0</v>
      </c>
    </row>
    <row r="180" spans="2:10" ht="15.75" customHeight="1" x14ac:dyDescent="0.35">
      <c r="B180" s="30" t="s">
        <v>171</v>
      </c>
      <c r="C180" s="27"/>
      <c r="D180" s="27"/>
      <c r="E180" s="29">
        <f t="shared" si="30"/>
        <v>0</v>
      </c>
      <c r="F180" s="60"/>
      <c r="G180" s="266" t="s">
        <v>171</v>
      </c>
      <c r="H180" s="100"/>
      <c r="I180" s="100"/>
      <c r="J180" s="102">
        <f t="shared" si="31"/>
        <v>0</v>
      </c>
    </row>
    <row r="181" spans="2:10" ht="15.75" customHeight="1" x14ac:dyDescent="0.35">
      <c r="B181" s="26" t="s">
        <v>172</v>
      </c>
      <c r="C181" s="27"/>
      <c r="D181" s="27"/>
      <c r="E181" s="29">
        <f t="shared" si="30"/>
        <v>0</v>
      </c>
      <c r="F181" s="60"/>
      <c r="G181" s="264" t="s">
        <v>172</v>
      </c>
      <c r="H181" s="100"/>
      <c r="I181" s="100"/>
      <c r="J181" s="102">
        <f t="shared" si="31"/>
        <v>0</v>
      </c>
    </row>
    <row r="182" spans="2:10" ht="15.75" customHeight="1" x14ac:dyDescent="0.35">
      <c r="B182" s="26" t="s">
        <v>173</v>
      </c>
      <c r="C182" s="27"/>
      <c r="D182" s="27"/>
      <c r="E182" s="29">
        <f t="shared" si="30"/>
        <v>0</v>
      </c>
      <c r="F182" s="60"/>
      <c r="G182" s="264" t="s">
        <v>173</v>
      </c>
      <c r="H182" s="100"/>
      <c r="I182" s="100"/>
      <c r="J182" s="102">
        <f t="shared" si="31"/>
        <v>0</v>
      </c>
    </row>
    <row r="183" spans="2:10" ht="15.75" customHeight="1" x14ac:dyDescent="0.35">
      <c r="B183" s="26" t="s">
        <v>174</v>
      </c>
      <c r="C183" s="27"/>
      <c r="D183" s="27"/>
      <c r="E183" s="29">
        <f t="shared" si="30"/>
        <v>0</v>
      </c>
      <c r="F183" s="60"/>
      <c r="G183" s="264" t="s">
        <v>174</v>
      </c>
      <c r="H183" s="100"/>
      <c r="I183" s="100"/>
      <c r="J183" s="102">
        <f t="shared" si="31"/>
        <v>0</v>
      </c>
    </row>
    <row r="184" spans="2:10" ht="15.75" customHeight="1" thickBot="1" x14ac:dyDescent="0.4">
      <c r="B184" s="31" t="s">
        <v>175</v>
      </c>
      <c r="C184" s="29">
        <f>SUM(C177:C183)</f>
        <v>0</v>
      </c>
      <c r="D184" s="29">
        <f>SUM(D177:D183)</f>
        <v>0</v>
      </c>
      <c r="E184" s="29">
        <f t="shared" si="30"/>
        <v>0</v>
      </c>
      <c r="F184" s="60"/>
      <c r="G184" s="267" t="s">
        <v>175</v>
      </c>
      <c r="H184" s="259">
        <f>SUM(H177:H183)</f>
        <v>0</v>
      </c>
      <c r="I184" s="259">
        <f>SUM(I177:I183)</f>
        <v>0</v>
      </c>
      <c r="J184" s="102">
        <f t="shared" si="31"/>
        <v>0</v>
      </c>
    </row>
    <row r="185" spans="2:10" ht="15.75" customHeight="1" x14ac:dyDescent="0.35">
      <c r="C185" s="34"/>
      <c r="D185" s="34"/>
      <c r="F185" s="60"/>
      <c r="G185" s="278"/>
      <c r="H185" s="279"/>
      <c r="I185" s="279"/>
      <c r="J185" s="278"/>
    </row>
    <row r="186" spans="2:10" ht="15.75" customHeight="1" x14ac:dyDescent="0.35">
      <c r="B186" s="635" t="s">
        <v>198</v>
      </c>
      <c r="C186" s="636"/>
      <c r="D186" s="636"/>
      <c r="E186" s="637"/>
      <c r="F186" s="60"/>
      <c r="G186" s="645" t="s">
        <v>198</v>
      </c>
      <c r="H186" s="646"/>
      <c r="I186" s="646"/>
      <c r="J186" s="647"/>
    </row>
    <row r="187" spans="2:10" ht="36" customHeight="1" thickBot="1" x14ac:dyDescent="0.4">
      <c r="B187" s="20" t="s">
        <v>199</v>
      </c>
      <c r="C187" s="21">
        <v>568971</v>
      </c>
      <c r="D187" s="21">
        <f>'[1]1) Tableau budgétaire 1'!E179</f>
        <v>0</v>
      </c>
      <c r="E187" s="103">
        <f t="shared" ref="E187:E194" si="32">SUM(C187:D187)</f>
        <v>568971</v>
      </c>
      <c r="F187" s="60"/>
      <c r="G187" s="261" t="s">
        <v>199</v>
      </c>
      <c r="H187" s="259">
        <v>568971</v>
      </c>
      <c r="I187" s="259">
        <f>'[2]1) Tableau budgétaire 1'!E179</f>
        <v>0</v>
      </c>
      <c r="J187" s="103">
        <f t="shared" ref="J187:J195" si="33">SUM(H187:I187)</f>
        <v>568971</v>
      </c>
    </row>
    <row r="188" spans="2:10" ht="15.75" customHeight="1" x14ac:dyDescent="0.35">
      <c r="B188" s="23" t="s">
        <v>168</v>
      </c>
      <c r="C188" s="298">
        <v>133076</v>
      </c>
      <c r="D188" s="24"/>
      <c r="E188" s="101">
        <f t="shared" si="32"/>
        <v>133076</v>
      </c>
      <c r="F188" s="60"/>
      <c r="G188" s="262" t="s">
        <v>168</v>
      </c>
      <c r="H188" s="469">
        <f>+'1)Tableau budgétaire 1'!O282+'1)Tableau budgétaire 1'!O283+'1)Tableau budgétaire 1'!O288</f>
        <v>123076</v>
      </c>
      <c r="I188" s="263"/>
      <c r="J188" s="101">
        <f t="shared" si="33"/>
        <v>123076</v>
      </c>
    </row>
    <row r="189" spans="2:10" ht="15.75" customHeight="1" x14ac:dyDescent="0.35">
      <c r="B189" s="26" t="s">
        <v>169</v>
      </c>
      <c r="C189" s="299"/>
      <c r="D189" s="28"/>
      <c r="E189" s="102">
        <f t="shared" si="32"/>
        <v>0</v>
      </c>
      <c r="F189" s="60"/>
      <c r="G189" s="264" t="s">
        <v>169</v>
      </c>
      <c r="H189" s="100">
        <f>'1)Tableau budgétaire 1'!O292</f>
        <v>30000</v>
      </c>
      <c r="I189" s="265"/>
      <c r="J189" s="102">
        <f t="shared" si="33"/>
        <v>30000</v>
      </c>
    </row>
    <row r="190" spans="2:10" ht="15.75" customHeight="1" x14ac:dyDescent="0.35">
      <c r="B190" s="26" t="s">
        <v>170</v>
      </c>
      <c r="C190" s="27">
        <v>85000</v>
      </c>
      <c r="D190" s="27"/>
      <c r="E190" s="102">
        <f t="shared" si="32"/>
        <v>85000</v>
      </c>
      <c r="F190" s="60"/>
      <c r="G190" s="264" t="s">
        <v>170</v>
      </c>
      <c r="H190" s="467">
        <f>+'1)Tableau budgétaire 1'!O291</f>
        <v>55000</v>
      </c>
      <c r="I190" s="100"/>
      <c r="J190" s="102">
        <f t="shared" si="33"/>
        <v>55000</v>
      </c>
    </row>
    <row r="191" spans="2:10" ht="15.75" customHeight="1" x14ac:dyDescent="0.35">
      <c r="B191" s="30" t="s">
        <v>171</v>
      </c>
      <c r="C191" s="27">
        <v>368183.36</v>
      </c>
      <c r="D191" s="27"/>
      <c r="E191" s="102">
        <f t="shared" si="32"/>
        <v>368183.36</v>
      </c>
      <c r="F191" s="60"/>
      <c r="G191" s="266" t="s">
        <v>171</v>
      </c>
      <c r="H191" s="467">
        <f>+'1)Tableau budgétaire 1'!O284+'1)Tableau budgétaire 1'!O285+'1)Tableau budgétaire 1'!O286+'1)Tableau budgétaire 1'!O287+'1)Tableau budgétaire 1'!O296+'1)Tableau budgétaire 1'!O300</f>
        <v>295895</v>
      </c>
      <c r="I191" s="100"/>
      <c r="J191" s="102">
        <f t="shared" si="33"/>
        <v>295895</v>
      </c>
    </row>
    <row r="192" spans="2:10" ht="15.75" customHeight="1" x14ac:dyDescent="0.35">
      <c r="B192" s="26" t="s">
        <v>172</v>
      </c>
      <c r="C192" s="27">
        <v>15000</v>
      </c>
      <c r="D192" s="27"/>
      <c r="E192" s="102">
        <f t="shared" si="32"/>
        <v>15000</v>
      </c>
      <c r="F192" s="60"/>
      <c r="G192" s="264" t="s">
        <v>172</v>
      </c>
      <c r="H192" s="467">
        <f>+'1)Tableau budgétaire 1'!O297</f>
        <v>15000</v>
      </c>
      <c r="I192" s="100"/>
      <c r="J192" s="102">
        <f t="shared" si="33"/>
        <v>15000</v>
      </c>
    </row>
    <row r="193" spans="2:14" ht="15.75" customHeight="1" x14ac:dyDescent="0.35">
      <c r="B193" s="26" t="s">
        <v>173</v>
      </c>
      <c r="C193" s="27"/>
      <c r="D193" s="27"/>
      <c r="E193" s="102">
        <f t="shared" si="32"/>
        <v>0</v>
      </c>
      <c r="F193" s="60"/>
      <c r="G193" s="264" t="s">
        <v>173</v>
      </c>
      <c r="H193" s="100"/>
      <c r="I193" s="100"/>
      <c r="J193" s="102">
        <f t="shared" si="33"/>
        <v>0</v>
      </c>
    </row>
    <row r="194" spans="2:14" ht="15.75" customHeight="1" x14ac:dyDescent="0.35">
      <c r="B194" s="26" t="s">
        <v>174</v>
      </c>
      <c r="C194" s="27">
        <v>55000</v>
      </c>
      <c r="D194" s="27"/>
      <c r="E194" s="102">
        <f t="shared" si="32"/>
        <v>55000</v>
      </c>
      <c r="F194" s="60"/>
      <c r="G194" s="264" t="s">
        <v>174</v>
      </c>
      <c r="H194" s="467">
        <f>+'1)Tableau budgétaire 1'!O293</f>
        <v>50000</v>
      </c>
      <c r="I194" s="100"/>
      <c r="J194" s="102">
        <f t="shared" si="33"/>
        <v>50000</v>
      </c>
    </row>
    <row r="195" spans="2:14" ht="15.75" customHeight="1" thickBot="1" x14ac:dyDescent="0.4">
      <c r="B195" s="31" t="s">
        <v>175</v>
      </c>
      <c r="C195" s="102">
        <f>SUM(C188:C194)</f>
        <v>656259.36</v>
      </c>
      <c r="D195" s="102">
        <f>SUM(D188:D194)</f>
        <v>0</v>
      </c>
      <c r="E195" s="102">
        <f>SUM(E188:E194)</f>
        <v>656259.36</v>
      </c>
      <c r="F195" s="60"/>
      <c r="G195" s="267" t="s">
        <v>175</v>
      </c>
      <c r="H195" s="470">
        <f>SUM(H188:H194)</f>
        <v>568971</v>
      </c>
      <c r="I195" s="259">
        <f>SUM(I188:I194)</f>
        <v>0</v>
      </c>
      <c r="J195" s="102">
        <f t="shared" si="33"/>
        <v>568971</v>
      </c>
      <c r="L195" s="278"/>
    </row>
    <row r="196" spans="2:14" ht="15.75" customHeight="1" thickBot="1" x14ac:dyDescent="0.4">
      <c r="C196" s="34"/>
      <c r="D196" s="34"/>
      <c r="F196" s="60"/>
      <c r="G196" s="278"/>
      <c r="H196" s="279"/>
      <c r="I196" s="279"/>
      <c r="J196" s="278"/>
    </row>
    <row r="197" spans="2:14" ht="19.5" customHeight="1" thickBot="1" x14ac:dyDescent="0.4">
      <c r="B197" s="642" t="s">
        <v>147</v>
      </c>
      <c r="C197" s="643"/>
      <c r="D197" s="643"/>
      <c r="E197" s="644"/>
      <c r="F197" s="60"/>
      <c r="G197" s="651" t="s">
        <v>147</v>
      </c>
      <c r="H197" s="652"/>
      <c r="I197" s="652"/>
      <c r="J197" s="653"/>
    </row>
    <row r="198" spans="2:14" ht="51.75" customHeight="1" x14ac:dyDescent="0.35">
      <c r="B198" s="310"/>
      <c r="C198" s="18" t="str">
        <f>C5</f>
        <v>PNUD(budget en USD)</v>
      </c>
      <c r="D198" s="18" t="s">
        <v>244</v>
      </c>
      <c r="E198" s="45" t="s">
        <v>147</v>
      </c>
      <c r="F198" s="60"/>
      <c r="G198" s="297"/>
      <c r="H198" s="280" t="str">
        <f>H5</f>
        <v>PNUD(budget en USD)</v>
      </c>
      <c r="I198" s="18" t="s">
        <v>244</v>
      </c>
      <c r="J198" s="281" t="s">
        <v>147</v>
      </c>
    </row>
    <row r="199" spans="2:14" ht="19.5" customHeight="1" x14ac:dyDescent="0.35">
      <c r="B199" s="46" t="s">
        <v>168</v>
      </c>
      <c r="C199" s="47">
        <f>SUM(C177,C166,C155,C144,C132,C121,C110,C99,C87,C76,C65,C54,C42,C31,C20,C9,C188)</f>
        <v>133076</v>
      </c>
      <c r="D199" s="47">
        <f t="shared" ref="C199:D205" si="34">SUM(D177,D166,D155,D144,D132,D121,D110,D99,D87,D76,D65,D54,D42,D31,D20,D9,D188)</f>
        <v>150000</v>
      </c>
      <c r="E199" s="48">
        <f t="shared" ref="E199:E206" si="35">SUM(C199:D199)</f>
        <v>283076</v>
      </c>
      <c r="F199" s="60"/>
      <c r="G199" s="282" t="s">
        <v>168</v>
      </c>
      <c r="H199" s="471">
        <f t="shared" ref="H199:I205" si="36">SUM(H177,H166,H155,H144,H132,H121,H110,H99,H87,H76,H65,H54,H42,H31,H20,H9,H188)</f>
        <v>123076</v>
      </c>
      <c r="I199" s="283">
        <f t="shared" si="36"/>
        <v>150000</v>
      </c>
      <c r="J199" s="284">
        <f t="shared" ref="J199:J206" si="37">SUM(H199:I199)</f>
        <v>273076</v>
      </c>
      <c r="N199" s="489"/>
    </row>
    <row r="200" spans="2:14" ht="23.15" customHeight="1" x14ac:dyDescent="0.35">
      <c r="B200" s="49" t="s">
        <v>169</v>
      </c>
      <c r="C200" s="50">
        <f t="shared" si="34"/>
        <v>570183.63</v>
      </c>
      <c r="D200" s="50">
        <f t="shared" si="34"/>
        <v>0</v>
      </c>
      <c r="E200" s="51">
        <f t="shared" si="35"/>
        <v>570183.63</v>
      </c>
      <c r="F200" s="60"/>
      <c r="G200" s="285" t="s">
        <v>169</v>
      </c>
      <c r="H200" s="472">
        <f t="shared" si="36"/>
        <v>30000</v>
      </c>
      <c r="I200" s="286">
        <f t="shared" si="36"/>
        <v>0</v>
      </c>
      <c r="J200" s="287">
        <f t="shared" si="37"/>
        <v>30000</v>
      </c>
    </row>
    <row r="201" spans="2:14" ht="33.65" customHeight="1" x14ac:dyDescent="0.35">
      <c r="B201" s="49" t="s">
        <v>170</v>
      </c>
      <c r="C201" s="50">
        <f t="shared" si="34"/>
        <v>85000</v>
      </c>
      <c r="D201" s="50">
        <f t="shared" si="34"/>
        <v>0</v>
      </c>
      <c r="E201" s="51">
        <f t="shared" si="35"/>
        <v>85000</v>
      </c>
      <c r="F201" s="60"/>
      <c r="G201" s="285" t="s">
        <v>170</v>
      </c>
      <c r="H201" s="286">
        <f t="shared" si="36"/>
        <v>55000</v>
      </c>
      <c r="I201" s="286">
        <f t="shared" si="36"/>
        <v>0</v>
      </c>
      <c r="J201" s="287">
        <f t="shared" si="37"/>
        <v>55000</v>
      </c>
    </row>
    <row r="202" spans="2:14" ht="33" customHeight="1" x14ac:dyDescent="0.35">
      <c r="B202" s="52" t="s">
        <v>171</v>
      </c>
      <c r="C202" s="50">
        <f t="shared" si="34"/>
        <v>623983.35999999999</v>
      </c>
      <c r="D202" s="50">
        <f t="shared" si="34"/>
        <v>0</v>
      </c>
      <c r="E202" s="51">
        <f t="shared" si="35"/>
        <v>623983.35999999999</v>
      </c>
      <c r="F202" s="60"/>
      <c r="G202" s="288" t="s">
        <v>171</v>
      </c>
      <c r="H202" s="472">
        <f t="shared" si="36"/>
        <v>1272391</v>
      </c>
      <c r="I202" s="286">
        <f t="shared" si="36"/>
        <v>0</v>
      </c>
      <c r="J202" s="287">
        <f t="shared" si="37"/>
        <v>1272391</v>
      </c>
    </row>
    <row r="203" spans="2:14" ht="21" customHeight="1" x14ac:dyDescent="0.35">
      <c r="B203" s="49" t="s">
        <v>172</v>
      </c>
      <c r="C203" s="50">
        <f t="shared" si="34"/>
        <v>65000</v>
      </c>
      <c r="D203" s="50">
        <f t="shared" si="34"/>
        <v>36915.89</v>
      </c>
      <c r="E203" s="51">
        <f t="shared" si="35"/>
        <v>101915.89</v>
      </c>
      <c r="F203" s="60"/>
      <c r="G203" s="285" t="s">
        <v>172</v>
      </c>
      <c r="H203" s="472">
        <f t="shared" si="36"/>
        <v>151776</v>
      </c>
      <c r="I203" s="286">
        <f t="shared" si="36"/>
        <v>36915.89</v>
      </c>
      <c r="J203" s="287">
        <f t="shared" si="37"/>
        <v>188691.89</v>
      </c>
    </row>
    <row r="204" spans="2:14" ht="32.15" customHeight="1" x14ac:dyDescent="0.35">
      <c r="B204" s="49" t="s">
        <v>173</v>
      </c>
      <c r="C204" s="50">
        <f t="shared" si="34"/>
        <v>150000</v>
      </c>
      <c r="D204" s="50">
        <f t="shared" si="34"/>
        <v>0</v>
      </c>
      <c r="E204" s="51">
        <f t="shared" si="35"/>
        <v>150000</v>
      </c>
      <c r="F204" s="60"/>
      <c r="G204" s="285" t="s">
        <v>173</v>
      </c>
      <c r="H204" s="286">
        <f t="shared" si="36"/>
        <v>0</v>
      </c>
      <c r="I204" s="286">
        <f t="shared" si="36"/>
        <v>0</v>
      </c>
      <c r="J204" s="287">
        <f t="shared" si="37"/>
        <v>0</v>
      </c>
    </row>
    <row r="205" spans="2:14" ht="33.9" customHeight="1" x14ac:dyDescent="0.35">
      <c r="B205" s="49" t="s">
        <v>174</v>
      </c>
      <c r="C205" s="47">
        <f t="shared" si="34"/>
        <v>55000</v>
      </c>
      <c r="D205" s="47">
        <f t="shared" si="34"/>
        <v>0</v>
      </c>
      <c r="E205" s="51">
        <f t="shared" si="35"/>
        <v>55000</v>
      </c>
      <c r="F205" s="60"/>
      <c r="G205" s="285" t="s">
        <v>174</v>
      </c>
      <c r="H205" s="471">
        <f t="shared" si="36"/>
        <v>50000</v>
      </c>
      <c r="I205" s="283">
        <f t="shared" si="36"/>
        <v>0</v>
      </c>
      <c r="J205" s="287">
        <f t="shared" si="37"/>
        <v>50000</v>
      </c>
    </row>
    <row r="206" spans="2:14" ht="19.5" customHeight="1" x14ac:dyDescent="0.35">
      <c r="B206" s="53" t="s">
        <v>148</v>
      </c>
      <c r="C206" s="61">
        <f>SUM(C199:C205)</f>
        <v>1682242.99</v>
      </c>
      <c r="D206" s="61">
        <f>SUM(D199:D205)</f>
        <v>186915.89</v>
      </c>
      <c r="E206" s="54">
        <f t="shared" si="35"/>
        <v>1869158.88</v>
      </c>
      <c r="F206" s="60"/>
      <c r="G206" s="289" t="s">
        <v>148</v>
      </c>
      <c r="H206" s="290">
        <f>SUM(H199:H205)</f>
        <v>1682243</v>
      </c>
      <c r="I206" s="290">
        <f>SUM(I199:I205)</f>
        <v>186915.89</v>
      </c>
      <c r="J206" s="291">
        <f t="shared" si="37"/>
        <v>1869158.8900000001</v>
      </c>
    </row>
    <row r="207" spans="2:14" ht="22.5" customHeight="1" thickBot="1" x14ac:dyDescent="0.4">
      <c r="B207" s="53" t="s">
        <v>149</v>
      </c>
      <c r="C207" s="55">
        <f t="shared" ref="C207:E207" si="38">C206*0.07</f>
        <v>117757.00930000001</v>
      </c>
      <c r="D207" s="55">
        <f t="shared" si="38"/>
        <v>13084.112300000003</v>
      </c>
      <c r="E207" s="56">
        <f t="shared" si="38"/>
        <v>130841.1216</v>
      </c>
      <c r="F207" s="60"/>
      <c r="G207" s="289" t="s">
        <v>149</v>
      </c>
      <c r="H207" s="292">
        <f>H206*0.07</f>
        <v>117757.01000000001</v>
      </c>
      <c r="I207" s="292">
        <f t="shared" ref="I207:J207" si="39">I206*0.07</f>
        <v>13084.112300000003</v>
      </c>
      <c r="J207" s="293">
        <f t="shared" si="39"/>
        <v>130841.12230000002</v>
      </c>
    </row>
    <row r="208" spans="2:14" ht="18.649999999999999" customHeight="1" thickBot="1" x14ac:dyDescent="0.4">
      <c r="B208" s="57" t="s">
        <v>200</v>
      </c>
      <c r="C208" s="58">
        <f t="shared" ref="C208:E208" si="40">SUM(C206:C207)</f>
        <v>1799999.9993</v>
      </c>
      <c r="D208" s="58">
        <f t="shared" si="40"/>
        <v>200000.00230000002</v>
      </c>
      <c r="E208" s="59">
        <f t="shared" si="40"/>
        <v>2000000.0015999998</v>
      </c>
      <c r="F208" s="60"/>
      <c r="G208" s="294" t="s">
        <v>200</v>
      </c>
      <c r="H208" s="295">
        <f>SUM(H206:H207)</f>
        <v>1800000.01</v>
      </c>
      <c r="I208" s="295">
        <f t="shared" ref="I208:J208" si="41">SUM(I206:I207)</f>
        <v>200000.00230000002</v>
      </c>
      <c r="J208" s="296">
        <f t="shared" si="41"/>
        <v>2000000.0123000001</v>
      </c>
    </row>
    <row r="209" spans="7:10" ht="15.75" customHeight="1" x14ac:dyDescent="0.35"/>
    <row r="210" spans="7:10" ht="15.75" customHeight="1" x14ac:dyDescent="0.35"/>
    <row r="211" spans="7:10" ht="15.75" customHeight="1" x14ac:dyDescent="0.35"/>
    <row r="212" spans="7:10" ht="40.5" customHeight="1" x14ac:dyDescent="0.35"/>
    <row r="213" spans="7:10" ht="24.75" customHeight="1" x14ac:dyDescent="0.35"/>
    <row r="214" spans="7:10" ht="41.25" customHeight="1" x14ac:dyDescent="0.35"/>
    <row r="215" spans="7:10" ht="51.75" customHeight="1" x14ac:dyDescent="0.35"/>
    <row r="216" spans="7:10" ht="42" customHeight="1" x14ac:dyDescent="0.35"/>
    <row r="217" spans="7:10" s="34" customFormat="1" ht="42" customHeight="1" x14ac:dyDescent="0.35">
      <c r="G217" s="16"/>
      <c r="J217" s="16"/>
    </row>
    <row r="218" spans="7:10" s="34" customFormat="1" ht="42" customHeight="1" x14ac:dyDescent="0.35">
      <c r="G218" s="16"/>
      <c r="J218" s="16"/>
    </row>
    <row r="219" spans="7:10" s="34" customFormat="1" ht="63.75" customHeight="1" x14ac:dyDescent="0.35">
      <c r="G219" s="16"/>
      <c r="J219" s="16"/>
    </row>
    <row r="220" spans="7:10" s="34" customFormat="1" ht="42" customHeight="1" x14ac:dyDescent="0.35">
      <c r="G220" s="16"/>
      <c r="J220" s="16"/>
    </row>
    <row r="221" spans="7:10" ht="23.25" customHeight="1" x14ac:dyDescent="0.35"/>
    <row r="222" spans="7:10" ht="27.75" customHeight="1" x14ac:dyDescent="0.35"/>
    <row r="223" spans="7:10" ht="55.5" customHeight="1" x14ac:dyDescent="0.35"/>
    <row r="224" spans="7:10" ht="57.75" customHeight="1" x14ac:dyDescent="0.35"/>
    <row r="225" ht="21.75" customHeight="1" x14ac:dyDescent="0.35"/>
    <row r="226" ht="49.5" customHeight="1" x14ac:dyDescent="0.35"/>
    <row r="227" ht="28.5" customHeight="1" x14ac:dyDescent="0.35"/>
    <row r="228" ht="28.5" customHeight="1" x14ac:dyDescent="0.35"/>
    <row r="229" ht="28.5" customHeight="1" x14ac:dyDescent="0.35"/>
    <row r="230" ht="23.25" customHeight="1" x14ac:dyDescent="0.35"/>
    <row r="231" ht="43.5" customHeight="1" x14ac:dyDescent="0.35"/>
    <row r="232" ht="55.5" customHeight="1" x14ac:dyDescent="0.35"/>
    <row r="233" ht="42.75" customHeight="1" x14ac:dyDescent="0.35"/>
    <row r="234" ht="21.75" customHeight="1" x14ac:dyDescent="0.35"/>
    <row r="235" ht="21.75" customHeight="1" x14ac:dyDescent="0.35"/>
    <row r="236" ht="23.25" customHeight="1" x14ac:dyDescent="0.35"/>
    <row r="237" ht="23.25" customHeight="1" x14ac:dyDescent="0.35"/>
    <row r="238" ht="21.75" customHeight="1" x14ac:dyDescent="0.35"/>
    <row r="239" ht="16.5" customHeight="1" x14ac:dyDescent="0.35"/>
    <row r="240" ht="29.25" customHeight="1" x14ac:dyDescent="0.35"/>
    <row r="241" ht="24.75" customHeight="1" x14ac:dyDescent="0.35"/>
    <row r="242" ht="33" customHeight="1" x14ac:dyDescent="0.35"/>
    <row r="244" ht="15" customHeight="1" x14ac:dyDescent="0.35"/>
    <row r="245" ht="25.5" customHeight="1" x14ac:dyDescent="0.35"/>
  </sheetData>
  <mergeCells count="50">
    <mergeCell ref="G2:I2"/>
    <mergeCell ref="G3:I3"/>
    <mergeCell ref="G6:J6"/>
    <mergeCell ref="G7:J7"/>
    <mergeCell ref="G18:J18"/>
    <mergeCell ref="G186:J186"/>
    <mergeCell ref="G197:J197"/>
    <mergeCell ref="G96:J96"/>
    <mergeCell ref="G97:J97"/>
    <mergeCell ref="G108:J108"/>
    <mergeCell ref="G119:J119"/>
    <mergeCell ref="G130:J130"/>
    <mergeCell ref="G141:J141"/>
    <mergeCell ref="B29:E29"/>
    <mergeCell ref="G142:J142"/>
    <mergeCell ref="G153:J153"/>
    <mergeCell ref="G164:J164"/>
    <mergeCell ref="G175:J175"/>
    <mergeCell ref="G40:J40"/>
    <mergeCell ref="G51:J51"/>
    <mergeCell ref="G52:J52"/>
    <mergeCell ref="G63:J63"/>
    <mergeCell ref="G74:J74"/>
    <mergeCell ref="G85:J85"/>
    <mergeCell ref="G29:J29"/>
    <mergeCell ref="B175:E175"/>
    <mergeCell ref="B186:E186"/>
    <mergeCell ref="B197:E197"/>
    <mergeCell ref="A96:E96"/>
    <mergeCell ref="B97:E97"/>
    <mergeCell ref="B108:E108"/>
    <mergeCell ref="B119:E119"/>
    <mergeCell ref="B130:E130"/>
    <mergeCell ref="A141:E141"/>
    <mergeCell ref="A1:E1"/>
    <mergeCell ref="G1:J1"/>
    <mergeCell ref="B142:E142"/>
    <mergeCell ref="B153:E153"/>
    <mergeCell ref="B164:E164"/>
    <mergeCell ref="B40:E40"/>
    <mergeCell ref="A51:E51"/>
    <mergeCell ref="B52:E52"/>
    <mergeCell ref="B63:E63"/>
    <mergeCell ref="B74:E74"/>
    <mergeCell ref="B85:E85"/>
    <mergeCell ref="B2:D2"/>
    <mergeCell ref="B3:D3"/>
    <mergeCell ref="A6:E6"/>
    <mergeCell ref="B7:E7"/>
    <mergeCell ref="B18:E18"/>
  </mergeCells>
  <conditionalFormatting sqref="E94">
    <cfRule type="cellIs" dxfId="55" priority="11" operator="notEqual">
      <formula>$F$86</formula>
    </cfRule>
  </conditionalFormatting>
  <conditionalFormatting sqref="E106">
    <cfRule type="cellIs" dxfId="54" priority="10" operator="notEqual">
      <formula>$F$98</formula>
    </cfRule>
  </conditionalFormatting>
  <conditionalFormatting sqref="E117">
    <cfRule type="cellIs" dxfId="53" priority="9" operator="notEqual">
      <formula>$F$109</formula>
    </cfRule>
  </conditionalFormatting>
  <conditionalFormatting sqref="E128">
    <cfRule type="cellIs" dxfId="52" priority="8" operator="notEqual">
      <formula>$F$120</formula>
    </cfRule>
  </conditionalFormatting>
  <conditionalFormatting sqref="E139">
    <cfRule type="cellIs" dxfId="51" priority="7" operator="notEqual">
      <formula>$F$131</formula>
    </cfRule>
  </conditionalFormatting>
  <conditionalFormatting sqref="E151">
    <cfRule type="cellIs" dxfId="50" priority="6" operator="notEqual">
      <formula>$F$143</formula>
    </cfRule>
  </conditionalFormatting>
  <conditionalFormatting sqref="E162">
    <cfRule type="cellIs" dxfId="49" priority="5" operator="notEqual">
      <formula>$F$154</formula>
    </cfRule>
  </conditionalFormatting>
  <conditionalFormatting sqref="E173">
    <cfRule type="cellIs" dxfId="48" priority="4" operator="notEqual">
      <formula>$F$154</formula>
    </cfRule>
  </conditionalFormatting>
  <conditionalFormatting sqref="E184">
    <cfRule type="cellIs" dxfId="47" priority="3" operator="notEqual">
      <formula>$F$176</formula>
    </cfRule>
  </conditionalFormatting>
  <conditionalFormatting sqref="J16">
    <cfRule type="cellIs" dxfId="46" priority="36" operator="notEqual">
      <formula>$J$16</formula>
    </cfRule>
  </conditionalFormatting>
  <conditionalFormatting sqref="J27">
    <cfRule type="cellIs" dxfId="45" priority="35" operator="notEqual">
      <formula>$J$19</formula>
    </cfRule>
  </conditionalFormatting>
  <conditionalFormatting sqref="J38">
    <cfRule type="cellIs" dxfId="44" priority="34" operator="notEqual">
      <formula>$J$30</formula>
    </cfRule>
  </conditionalFormatting>
  <conditionalFormatting sqref="J49">
    <cfRule type="cellIs" dxfId="43" priority="33" operator="notEqual">
      <formula>$J$41</formula>
    </cfRule>
  </conditionalFormatting>
  <conditionalFormatting sqref="J61">
    <cfRule type="cellIs" dxfId="42" priority="32" operator="notEqual">
      <formula>$J$53</formula>
    </cfRule>
  </conditionalFormatting>
  <conditionalFormatting sqref="J72">
    <cfRule type="cellIs" dxfId="41" priority="31" operator="notEqual">
      <formula>$J$64</formula>
    </cfRule>
  </conditionalFormatting>
  <conditionalFormatting sqref="J83">
    <cfRule type="cellIs" dxfId="40" priority="30" operator="notEqual">
      <formula>$J$75</formula>
    </cfRule>
  </conditionalFormatting>
  <conditionalFormatting sqref="J94">
    <cfRule type="cellIs" dxfId="39" priority="29" operator="notEqual">
      <formula>$J$86</formula>
    </cfRule>
  </conditionalFormatting>
  <conditionalFormatting sqref="J106">
    <cfRule type="cellIs" dxfId="38" priority="28" operator="notEqual">
      <formula>$J$98</formula>
    </cfRule>
  </conditionalFormatting>
  <conditionalFormatting sqref="J117">
    <cfRule type="cellIs" dxfId="37" priority="27" operator="notEqual">
      <formula>$J$109</formula>
    </cfRule>
  </conditionalFormatting>
  <conditionalFormatting sqref="J128">
    <cfRule type="cellIs" dxfId="36" priority="26" operator="notEqual">
      <formula>$J$120</formula>
    </cfRule>
  </conditionalFormatting>
  <conditionalFormatting sqref="J139">
    <cfRule type="cellIs" dxfId="35" priority="25" operator="notEqual">
      <formula>$J$131</formula>
    </cfRule>
  </conditionalFormatting>
  <conditionalFormatting sqref="J151">
    <cfRule type="cellIs" dxfId="34" priority="24" operator="notEqual">
      <formula>$J$143</formula>
    </cfRule>
  </conditionalFormatting>
  <conditionalFormatting sqref="J162 J173">
    <cfRule type="cellIs" dxfId="33" priority="23" operator="notEqual">
      <formula>$J$154</formula>
    </cfRule>
  </conditionalFormatting>
  <conditionalFormatting sqref="J184">
    <cfRule type="cellIs" dxfId="32" priority="21" operator="notEqual">
      <formula>$J$176</formula>
    </cfRule>
  </conditionalFormatting>
  <conditionalFormatting sqref="J195">
    <cfRule type="cellIs" dxfId="31" priority="20" operator="notEqual">
      <formula>$J$187</formula>
    </cfRule>
  </conditionalFormatting>
  <dataValidations count="8">
    <dataValidation allowBlank="1" showInputMessage="1" showErrorMessage="1" prompt="Includes all related staff and temporary staff costs including base salary, post adjustment and all staff entitlements." sqref="G177 G9 G20 G31 G42 G54 G65 G76 G87 G99 G110 G121 G132 G144 G155 G166 G188 G199 B177 B9 B20 B31 B42 B54 B65 B76 B87 B99 B110 B121 B132 B144 B155 B166 B188 B199" xr:uid="{94D17243-E3A5-4F02-ABF7-F13FBECD1992}"/>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G178 G10 G21 G32 G43 G55 G66 G77 G88 G100 G111 G122 G133 G145 G156 G167 G189 G200 B178 B10 B21 B32 B43 B55 B66 B77 B88 B100 B111 B122 B133 B145 B156 B167 B189 B200" xr:uid="{879F2F58-C62C-4774-8B36-1B013DE314AA}"/>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G179 G11 G22 G33 G44 G56 G67 G78 G89 G101 G112 G123 G134 G146 G157 G168 G190 G201 B179 B11 B22 B33 B44 B56 B67 B78 B89 B101 B112 B123 B134 B146 B157 B168 B190 B201" xr:uid="{F76FB99B-8EC6-4B61-A0BF-97576E988890}"/>
    <dataValidation allowBlank="1" showInputMessage="1" showErrorMessage="1" prompt="Includes staff and non-staff travel paid for by the organization directly related to a project." sqref="G181 G13 G24 G35 G46 G58 G69 G80 G91 G103 G114 G125 G136 G148 G159 G170 G192 G203 B181 B13 B24 B35 B46 B58 B69 B80 B91 B103 B114 B125 B136 B148 B159 B170 B192 B203" xr:uid="{ABD56102-766F-4707-9793-9B51137C0516}"/>
    <dataValidation allowBlank="1" showInputMessage="1" showErrorMessage="1" prompt="Services contracted by an organization which follow the normal procurement processes." sqref="G180 G12 G23 G34 G45 G57 G68 G79 G90 G102 G113 G124 G135 G147 G158 G169 G191 G202 B180 B12 B23 B34 B45 B57 B68 B79 B90 B102 B113 B124 B135 B147 B158 B169 B191 B202" xr:uid="{5C67E4F8-1B2E-40B2-9FEE-1A53EBD70F8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G182 G14 G25 G36 G47 G59 G70 G81 G92 G104 G115 G126 G137 G149 G160 G171 G193 G204 B182 B14 B25 B36 B47 B59 B70 B81 B92 B104 B115 B126 B137 B149 B160 B171 B193 B204" xr:uid="{48273640-8ADA-4E76-95BF-20F1ECB03C17}"/>
    <dataValidation allowBlank="1" showInputMessage="1" showErrorMessage="1" prompt=" Includes all general operating costs for running an office. Examples include telecommunication, rents, finance charges and other costs which cannot be mapped to other expense categories." sqref="G183 G15 G26 G37 G48 G60 G71 G82 G93 G105 G116 G127 G138 G150 G161 G172 G194 G205 B183 B15 B26 B37 B48 B60 B71 B82 B93 B105 B116 B127 B138 B150 B161 B172 B194 B205" xr:uid="{241F6F7F-A672-4C04-A233-1B8E1E1B0D29}"/>
    <dataValidation allowBlank="1" showInputMessage="1" showErrorMessage="1" prompt="Output totals must match the original total from Table 1, and will show as red if not. " sqref="J16" xr:uid="{78C6CCB3-E6F1-47A6-9A9B-6F32C59CE596}"/>
  </dataValidations>
  <pageMargins left="0.7" right="0.7" top="0.75" bottom="0.75" header="0.3" footer="0.3"/>
  <pageSetup paperSize="9" scale="55"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cellIs" priority="1" operator="notEqual" id="{CA45111C-B093-4599-8C88-B9ED4CF57D05}">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E208</xm:sqref>
        </x14:conditionalFormatting>
        <x14:conditionalFormatting xmlns:xm="http://schemas.microsoft.com/office/excel/2006/main">
          <x14:cfRule type="cellIs" priority="19" operator="notEqual" id="{46764B77-9E71-41BF-BC99-65471E116BC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J208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8D64-A423-4CCB-9965-E12669616B24}">
  <dimension ref="C2:C15"/>
  <sheetViews>
    <sheetView topLeftCell="A3" zoomScale="62" workbookViewId="0">
      <selection activeCell="C39" sqref="C39"/>
    </sheetView>
  </sheetViews>
  <sheetFormatPr defaultColWidth="10.90625" defaultRowHeight="14.5" x14ac:dyDescent="0.35"/>
  <cols>
    <col min="3" max="3" width="104.453125" customWidth="1"/>
  </cols>
  <sheetData>
    <row r="2" spans="3:3" ht="15" thickBot="1" x14ac:dyDescent="0.4"/>
    <row r="3" spans="3:3" ht="15" thickBot="1" x14ac:dyDescent="0.4">
      <c r="C3" s="66" t="s">
        <v>201</v>
      </c>
    </row>
    <row r="4" spans="3:3" ht="41.25" customHeight="1" x14ac:dyDescent="0.35">
      <c r="C4" s="62" t="s">
        <v>202</v>
      </c>
    </row>
    <row r="5" spans="3:3" ht="43.5" x14ac:dyDescent="0.35">
      <c r="C5" s="63" t="s">
        <v>203</v>
      </c>
    </row>
    <row r="6" spans="3:3" x14ac:dyDescent="0.35">
      <c r="C6" s="63"/>
    </row>
    <row r="7" spans="3:3" ht="86.75" customHeight="1" x14ac:dyDescent="0.35">
      <c r="C7" s="64" t="s">
        <v>204</v>
      </c>
    </row>
    <row r="8" spans="3:3" x14ac:dyDescent="0.35">
      <c r="C8" s="63"/>
    </row>
    <row r="9" spans="3:3" ht="86.4" customHeight="1" x14ac:dyDescent="0.35">
      <c r="C9" s="64" t="s">
        <v>205</v>
      </c>
    </row>
    <row r="10" spans="3:3" x14ac:dyDescent="0.35">
      <c r="C10" s="63"/>
    </row>
    <row r="11" spans="3:3" ht="58.25" customHeight="1" x14ac:dyDescent="0.35">
      <c r="C11" s="63" t="s">
        <v>206</v>
      </c>
    </row>
    <row r="12" spans="3:3" x14ac:dyDescent="0.35">
      <c r="C12" s="63"/>
    </row>
    <row r="13" spans="3:3" ht="65.75" customHeight="1" x14ac:dyDescent="0.35">
      <c r="C13" s="64" t="s">
        <v>207</v>
      </c>
    </row>
    <row r="14" spans="3:3" x14ac:dyDescent="0.35">
      <c r="C14" s="63"/>
    </row>
    <row r="15" spans="3:3" ht="93.5" customHeight="1" thickBot="1" x14ac:dyDescent="0.4">
      <c r="C15" s="65"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A3E8-2F7E-4B0B-862E-D6A5ED1260E8}">
  <sheetPr>
    <pageSetUpPr fitToPage="1"/>
  </sheetPr>
  <dimension ref="B1:I47"/>
  <sheetViews>
    <sheetView topLeftCell="A13" workbookViewId="0">
      <selection activeCell="J12" sqref="J12"/>
    </sheetView>
  </sheetViews>
  <sheetFormatPr defaultColWidth="10.90625" defaultRowHeight="14.5" x14ac:dyDescent="0.35"/>
  <cols>
    <col min="4" max="4" width="40.453125" customWidth="1"/>
    <col min="8" max="8" width="26.453125" customWidth="1"/>
  </cols>
  <sheetData>
    <row r="1" spans="2:8" ht="15" thickBot="1" x14ac:dyDescent="0.4">
      <c r="B1" s="97"/>
      <c r="C1" s="97"/>
      <c r="D1" s="97" t="s">
        <v>209</v>
      </c>
      <c r="E1" s="97"/>
      <c r="F1" s="309"/>
      <c r="G1" s="309" t="s">
        <v>210</v>
      </c>
      <c r="H1" s="309"/>
    </row>
    <row r="2" spans="2:8" x14ac:dyDescent="0.35">
      <c r="B2" s="664" t="s">
        <v>211</v>
      </c>
      <c r="C2" s="665"/>
      <c r="D2" s="666"/>
      <c r="E2" s="97"/>
      <c r="F2" s="664" t="s">
        <v>211</v>
      </c>
      <c r="G2" s="665"/>
      <c r="H2" s="666"/>
    </row>
    <row r="3" spans="2:8" ht="15" thickBot="1" x14ac:dyDescent="0.4">
      <c r="B3" s="667"/>
      <c r="C3" s="668"/>
      <c r="D3" s="669"/>
      <c r="E3" s="97"/>
      <c r="F3" s="667"/>
      <c r="G3" s="668"/>
      <c r="H3" s="669"/>
    </row>
    <row r="4" spans="2:8" ht="15" thickBot="1" x14ac:dyDescent="0.4">
      <c r="E4" s="97"/>
    </row>
    <row r="5" spans="2:8" x14ac:dyDescent="0.35">
      <c r="B5" s="658" t="s">
        <v>212</v>
      </c>
      <c r="C5" s="659"/>
      <c r="D5" s="660"/>
      <c r="E5" s="97"/>
      <c r="F5" s="658" t="s">
        <v>212</v>
      </c>
      <c r="G5" s="659"/>
      <c r="H5" s="660"/>
    </row>
    <row r="6" spans="2:8" ht="15" thickBot="1" x14ac:dyDescent="0.4">
      <c r="B6" s="661"/>
      <c r="C6" s="662"/>
      <c r="D6" s="663"/>
      <c r="E6" s="97"/>
      <c r="F6" s="661"/>
      <c r="G6" s="662"/>
      <c r="H6" s="663"/>
    </row>
    <row r="7" spans="2:8" x14ac:dyDescent="0.35">
      <c r="B7" s="77" t="s">
        <v>213</v>
      </c>
      <c r="C7" s="670">
        <f>'1)Tableau budgétaire 1'!G25+'1)Tableau budgétaire 1'!G44+'1)Tableau budgétaire 1'!G69</f>
        <v>672099.52</v>
      </c>
      <c r="D7" s="671"/>
      <c r="E7" s="300"/>
      <c r="F7" s="301" t="s">
        <v>213</v>
      </c>
      <c r="G7" s="670">
        <f>'1)Tableau budgétaire 1'!R25+'1)Tableau budgétaire 1'!R44+'1)Tableau budgétaire 1'!R69</f>
        <v>525859.89</v>
      </c>
      <c r="H7" s="671"/>
    </row>
    <row r="8" spans="2:8" x14ac:dyDescent="0.35">
      <c r="B8" s="77" t="s">
        <v>214</v>
      </c>
      <c r="C8" s="654">
        <v>0</v>
      </c>
      <c r="D8" s="655"/>
      <c r="E8" s="97"/>
      <c r="F8" s="77" t="s">
        <v>214</v>
      </c>
      <c r="G8" s="654">
        <v>0</v>
      </c>
      <c r="H8" s="655"/>
    </row>
    <row r="9" spans="2:8" x14ac:dyDescent="0.35">
      <c r="B9" s="78" t="s">
        <v>215</v>
      </c>
      <c r="C9" s="79" t="s">
        <v>216</v>
      </c>
      <c r="D9" s="80" t="s">
        <v>217</v>
      </c>
      <c r="E9" s="97"/>
      <c r="F9" s="78" t="s">
        <v>215</v>
      </c>
      <c r="G9" s="79" t="s">
        <v>216</v>
      </c>
      <c r="H9" s="80" t="s">
        <v>217</v>
      </c>
    </row>
    <row r="10" spans="2:8" x14ac:dyDescent="0.35">
      <c r="B10" s="88"/>
      <c r="C10" s="82"/>
      <c r="D10" s="83">
        <v>0</v>
      </c>
      <c r="E10" s="97"/>
      <c r="F10" s="88"/>
      <c r="G10" s="82"/>
      <c r="H10" s="83">
        <v>0</v>
      </c>
    </row>
    <row r="11" spans="2:8" x14ac:dyDescent="0.35">
      <c r="B11" s="88"/>
      <c r="C11" s="82"/>
      <c r="D11" s="83">
        <v>0</v>
      </c>
      <c r="E11" s="97"/>
      <c r="F11" s="88"/>
      <c r="G11" s="82"/>
      <c r="H11" s="83">
        <v>0</v>
      </c>
    </row>
    <row r="12" spans="2:8" x14ac:dyDescent="0.35">
      <c r="B12" s="89"/>
      <c r="C12" s="82"/>
      <c r="D12" s="83">
        <v>0</v>
      </c>
      <c r="E12" s="97"/>
      <c r="F12" s="89"/>
      <c r="G12" s="82"/>
      <c r="H12" s="83">
        <v>0</v>
      </c>
    </row>
    <row r="13" spans="2:8" x14ac:dyDescent="0.35">
      <c r="B13" s="89"/>
      <c r="C13" s="82"/>
      <c r="D13" s="83">
        <v>0</v>
      </c>
      <c r="E13" s="97"/>
      <c r="F13" s="89"/>
      <c r="G13" s="82"/>
      <c r="H13" s="83">
        <v>0</v>
      </c>
    </row>
    <row r="14" spans="2:8" ht="15" thickBot="1" x14ac:dyDescent="0.4">
      <c r="B14" s="90"/>
      <c r="C14" s="82"/>
      <c r="D14" s="87">
        <v>0</v>
      </c>
      <c r="E14" s="97"/>
      <c r="F14" s="90"/>
      <c r="G14" s="82"/>
      <c r="H14" s="87">
        <v>0</v>
      </c>
    </row>
    <row r="15" spans="2:8" ht="15" thickBot="1" x14ac:dyDescent="0.4">
      <c r="E15" s="97"/>
    </row>
    <row r="16" spans="2:8" x14ac:dyDescent="0.35">
      <c r="B16" s="658" t="s">
        <v>218</v>
      </c>
      <c r="C16" s="659"/>
      <c r="D16" s="660"/>
      <c r="E16" s="97"/>
      <c r="F16" s="658" t="s">
        <v>218</v>
      </c>
      <c r="G16" s="659"/>
      <c r="H16" s="660"/>
    </row>
    <row r="17" spans="2:9" ht="15" thickBot="1" x14ac:dyDescent="0.4">
      <c r="B17" s="672"/>
      <c r="C17" s="673"/>
      <c r="D17" s="674"/>
      <c r="E17" s="97"/>
      <c r="F17" s="672"/>
      <c r="G17" s="673"/>
      <c r="H17" s="674"/>
    </row>
    <row r="18" spans="2:9" x14ac:dyDescent="0.35">
      <c r="B18" s="77" t="s">
        <v>213</v>
      </c>
      <c r="C18" s="656">
        <f>'1)Tableau budgétaire 1'!G141+'1)Tableau budgétaire 1'!G163</f>
        <v>365800</v>
      </c>
      <c r="D18" s="657"/>
      <c r="E18" s="97"/>
      <c r="F18" s="77" t="s">
        <v>213</v>
      </c>
      <c r="G18" s="670">
        <f>'1)Tableau budgétaire 1'!R141+'1)Tableau budgétaire 1'!R163</f>
        <v>245800</v>
      </c>
      <c r="H18" s="671"/>
      <c r="I18" s="303"/>
    </row>
    <row r="19" spans="2:9" x14ac:dyDescent="0.35">
      <c r="B19" s="77" t="s">
        <v>214</v>
      </c>
      <c r="C19" s="654">
        <v>0</v>
      </c>
      <c r="D19" s="655"/>
      <c r="E19" s="97"/>
      <c r="F19" s="77" t="s">
        <v>214</v>
      </c>
      <c r="G19" s="654">
        <v>0</v>
      </c>
      <c r="H19" s="655"/>
    </row>
    <row r="20" spans="2:9" x14ac:dyDescent="0.35">
      <c r="B20" s="78" t="s">
        <v>215</v>
      </c>
      <c r="C20" s="79" t="s">
        <v>216</v>
      </c>
      <c r="D20" s="80" t="s">
        <v>217</v>
      </c>
      <c r="E20" s="97"/>
      <c r="F20" s="78" t="s">
        <v>215</v>
      </c>
      <c r="G20" s="79" t="s">
        <v>216</v>
      </c>
      <c r="H20" s="80" t="s">
        <v>217</v>
      </c>
    </row>
    <row r="21" spans="2:9" x14ac:dyDescent="0.35">
      <c r="B21" s="81"/>
      <c r="C21" s="82"/>
      <c r="D21" s="83">
        <v>0</v>
      </c>
      <c r="E21" s="97"/>
      <c r="F21" s="81"/>
      <c r="G21" s="82"/>
      <c r="H21" s="83">
        <v>0</v>
      </c>
    </row>
    <row r="22" spans="2:9" x14ac:dyDescent="0.35">
      <c r="B22" s="84"/>
      <c r="C22" s="82"/>
      <c r="D22" s="83">
        <v>0</v>
      </c>
      <c r="E22" s="97"/>
      <c r="F22" s="84"/>
      <c r="G22" s="82"/>
      <c r="H22" s="83">
        <v>0</v>
      </c>
    </row>
    <row r="23" spans="2:9" x14ac:dyDescent="0.35">
      <c r="B23" s="85"/>
      <c r="C23" s="82"/>
      <c r="D23" s="83">
        <v>0</v>
      </c>
      <c r="E23" s="97"/>
      <c r="F23" s="85"/>
      <c r="G23" s="82"/>
      <c r="H23" s="83">
        <v>0</v>
      </c>
    </row>
    <row r="24" spans="2:9" x14ac:dyDescent="0.35">
      <c r="B24" s="85"/>
      <c r="C24" s="82"/>
      <c r="D24" s="83">
        <v>0</v>
      </c>
      <c r="E24" s="97"/>
      <c r="F24" s="85"/>
      <c r="G24" s="82"/>
      <c r="H24" s="83">
        <v>0</v>
      </c>
    </row>
    <row r="25" spans="2:9" ht="15" thickBot="1" x14ac:dyDescent="0.4">
      <c r="B25" s="86"/>
      <c r="C25" s="82"/>
      <c r="D25" s="83">
        <v>0</v>
      </c>
      <c r="E25" s="97"/>
      <c r="F25" s="86"/>
      <c r="G25" s="82"/>
      <c r="H25" s="83">
        <v>0</v>
      </c>
    </row>
    <row r="26" spans="2:9" ht="15" thickBot="1" x14ac:dyDescent="0.4">
      <c r="E26" s="97"/>
    </row>
    <row r="27" spans="2:9" x14ac:dyDescent="0.35">
      <c r="B27" s="658" t="s">
        <v>219</v>
      </c>
      <c r="C27" s="659"/>
      <c r="D27" s="660"/>
      <c r="E27" s="97"/>
      <c r="F27" s="658" t="s">
        <v>219</v>
      </c>
      <c r="G27" s="659"/>
      <c r="H27" s="660"/>
    </row>
    <row r="28" spans="2:9" ht="15" thickBot="1" x14ac:dyDescent="0.4">
      <c r="B28" s="661"/>
      <c r="C28" s="662"/>
      <c r="D28" s="663"/>
      <c r="E28" s="97"/>
      <c r="F28" s="661"/>
      <c r="G28" s="662"/>
      <c r="H28" s="663"/>
    </row>
    <row r="29" spans="2:9" x14ac:dyDescent="0.35">
      <c r="B29" s="77" t="s">
        <v>213</v>
      </c>
      <c r="C29" s="656">
        <v>0</v>
      </c>
      <c r="D29" s="657"/>
      <c r="E29" s="97"/>
      <c r="F29" s="77" t="s">
        <v>213</v>
      </c>
      <c r="G29" s="656">
        <v>0</v>
      </c>
      <c r="H29" s="657"/>
    </row>
    <row r="30" spans="2:9" x14ac:dyDescent="0.35">
      <c r="B30" s="77" t="s">
        <v>214</v>
      </c>
      <c r="C30" s="654">
        <v>0</v>
      </c>
      <c r="D30" s="655"/>
      <c r="E30" s="97"/>
      <c r="F30" s="77" t="s">
        <v>214</v>
      </c>
      <c r="G30" s="654">
        <v>0</v>
      </c>
      <c r="H30" s="655"/>
    </row>
    <row r="31" spans="2:9" x14ac:dyDescent="0.35">
      <c r="B31" s="78" t="s">
        <v>215</v>
      </c>
      <c r="C31" s="79" t="s">
        <v>216</v>
      </c>
      <c r="D31" s="80" t="s">
        <v>217</v>
      </c>
      <c r="E31" s="97"/>
      <c r="F31" s="78" t="s">
        <v>215</v>
      </c>
      <c r="G31" s="79" t="s">
        <v>216</v>
      </c>
      <c r="H31" s="80" t="s">
        <v>217</v>
      </c>
    </row>
    <row r="32" spans="2:9" x14ac:dyDescent="0.35">
      <c r="B32" s="81"/>
      <c r="C32" s="82"/>
      <c r="D32" s="83">
        <v>0</v>
      </c>
      <c r="E32" s="97"/>
      <c r="F32" s="81"/>
      <c r="G32" s="82"/>
      <c r="H32" s="83">
        <v>0</v>
      </c>
    </row>
    <row r="33" spans="2:8" x14ac:dyDescent="0.35">
      <c r="B33" s="84"/>
      <c r="C33" s="82"/>
      <c r="D33" s="83">
        <v>0</v>
      </c>
      <c r="E33" s="97"/>
      <c r="F33" s="84"/>
      <c r="G33" s="82"/>
      <c r="H33" s="83">
        <v>0</v>
      </c>
    </row>
    <row r="34" spans="2:8" x14ac:dyDescent="0.35">
      <c r="B34" s="85"/>
      <c r="C34" s="82"/>
      <c r="D34" s="83">
        <v>0</v>
      </c>
      <c r="E34" s="97"/>
      <c r="F34" s="85"/>
      <c r="G34" s="82"/>
      <c r="H34" s="83">
        <v>0</v>
      </c>
    </row>
    <row r="35" spans="2:8" x14ac:dyDescent="0.35">
      <c r="B35" s="85"/>
      <c r="C35" s="82"/>
      <c r="D35" s="83">
        <v>0</v>
      </c>
      <c r="E35" s="97"/>
      <c r="F35" s="85"/>
      <c r="G35" s="82"/>
      <c r="H35" s="83">
        <v>0</v>
      </c>
    </row>
    <row r="36" spans="2:8" ht="15" thickBot="1" x14ac:dyDescent="0.4">
      <c r="B36" s="86"/>
      <c r="C36" s="82"/>
      <c r="D36" s="83">
        <v>0</v>
      </c>
      <c r="E36" s="97"/>
      <c r="F36" s="86"/>
      <c r="G36" s="82"/>
      <c r="H36" s="83">
        <v>0</v>
      </c>
    </row>
    <row r="37" spans="2:8" ht="15" thickBot="1" x14ac:dyDescent="0.4">
      <c r="E37" s="97"/>
    </row>
    <row r="38" spans="2:8" x14ac:dyDescent="0.35">
      <c r="B38" s="658" t="s">
        <v>220</v>
      </c>
      <c r="C38" s="659"/>
      <c r="D38" s="660"/>
      <c r="E38" s="97"/>
      <c r="F38" s="658" t="s">
        <v>220</v>
      </c>
      <c r="G38" s="659"/>
      <c r="H38" s="660"/>
    </row>
    <row r="39" spans="2:8" ht="15" thickBot="1" x14ac:dyDescent="0.4">
      <c r="B39" s="661"/>
      <c r="C39" s="662"/>
      <c r="D39" s="663"/>
      <c r="E39" s="97"/>
      <c r="F39" s="661"/>
      <c r="G39" s="662"/>
      <c r="H39" s="663"/>
    </row>
    <row r="40" spans="2:8" x14ac:dyDescent="0.35">
      <c r="B40" s="77" t="s">
        <v>213</v>
      </c>
      <c r="C40" s="656">
        <v>0</v>
      </c>
      <c r="D40" s="657"/>
      <c r="E40" s="97"/>
      <c r="F40" s="77" t="s">
        <v>213</v>
      </c>
      <c r="G40" s="656">
        <v>0</v>
      </c>
      <c r="H40" s="657"/>
    </row>
    <row r="41" spans="2:8" x14ac:dyDescent="0.35">
      <c r="B41" s="77" t="s">
        <v>214</v>
      </c>
      <c r="C41" s="654">
        <v>0</v>
      </c>
      <c r="D41" s="655"/>
      <c r="E41" s="97"/>
      <c r="F41" s="77" t="s">
        <v>214</v>
      </c>
      <c r="G41" s="654">
        <v>0</v>
      </c>
      <c r="H41" s="655"/>
    </row>
    <row r="42" spans="2:8" x14ac:dyDescent="0.35">
      <c r="B42" s="78" t="s">
        <v>215</v>
      </c>
      <c r="C42" s="79" t="s">
        <v>216</v>
      </c>
      <c r="D42" s="80" t="s">
        <v>217</v>
      </c>
      <c r="E42" s="97"/>
      <c r="F42" s="78" t="s">
        <v>215</v>
      </c>
      <c r="G42" s="79" t="s">
        <v>216</v>
      </c>
      <c r="H42" s="80" t="s">
        <v>217</v>
      </c>
    </row>
    <row r="43" spans="2:8" x14ac:dyDescent="0.35">
      <c r="B43" s="81"/>
      <c r="C43" s="82"/>
      <c r="D43" s="83">
        <v>0</v>
      </c>
      <c r="E43" s="97"/>
      <c r="F43" s="81"/>
      <c r="G43" s="82"/>
      <c r="H43" s="83">
        <v>0</v>
      </c>
    </row>
    <row r="44" spans="2:8" x14ac:dyDescent="0.35">
      <c r="B44" s="84"/>
      <c r="C44" s="82"/>
      <c r="D44" s="83">
        <v>0</v>
      </c>
      <c r="E44" s="97"/>
      <c r="F44" s="84"/>
      <c r="G44" s="82"/>
      <c r="H44" s="83">
        <v>0</v>
      </c>
    </row>
    <row r="45" spans="2:8" x14ac:dyDescent="0.35">
      <c r="B45" s="85"/>
      <c r="C45" s="82"/>
      <c r="D45" s="83">
        <v>0</v>
      </c>
      <c r="E45" s="97"/>
      <c r="F45" s="85"/>
      <c r="G45" s="82"/>
      <c r="H45" s="83">
        <v>0</v>
      </c>
    </row>
    <row r="46" spans="2:8" x14ac:dyDescent="0.35">
      <c r="B46" s="85"/>
      <c r="C46" s="82"/>
      <c r="D46" s="83">
        <v>0</v>
      </c>
      <c r="E46" s="97"/>
      <c r="F46" s="85"/>
      <c r="G46" s="82"/>
      <c r="H46" s="83">
        <v>0</v>
      </c>
    </row>
    <row r="47" spans="2:8" ht="15" thickBot="1" x14ac:dyDescent="0.4">
      <c r="B47" s="86"/>
      <c r="C47" s="82"/>
      <c r="D47" s="87">
        <v>0</v>
      </c>
      <c r="E47" s="97"/>
      <c r="F47" s="86"/>
      <c r="G47" s="82"/>
      <c r="H47" s="87">
        <v>0</v>
      </c>
    </row>
  </sheetData>
  <mergeCells count="34">
    <mergeCell ref="G40:H40"/>
    <mergeCell ref="G41:H41"/>
    <mergeCell ref="F28:H28"/>
    <mergeCell ref="G29:H29"/>
    <mergeCell ref="G30:H30"/>
    <mergeCell ref="F38:H38"/>
    <mergeCell ref="F39:H39"/>
    <mergeCell ref="F16:H16"/>
    <mergeCell ref="F17:H17"/>
    <mergeCell ref="G18:H18"/>
    <mergeCell ref="G19:H19"/>
    <mergeCell ref="F27:H27"/>
    <mergeCell ref="F2:H3"/>
    <mergeCell ref="F5:H5"/>
    <mergeCell ref="F6:H6"/>
    <mergeCell ref="G7:H7"/>
    <mergeCell ref="G8:H8"/>
    <mergeCell ref="B2:D3"/>
    <mergeCell ref="C7:D7"/>
    <mergeCell ref="B6:D6"/>
    <mergeCell ref="B5:D5"/>
    <mergeCell ref="B28:D28"/>
    <mergeCell ref="C8:D8"/>
    <mergeCell ref="C19:D19"/>
    <mergeCell ref="B16:D16"/>
    <mergeCell ref="B17:D17"/>
    <mergeCell ref="C18:D18"/>
    <mergeCell ref="B27:D27"/>
    <mergeCell ref="C41:D41"/>
    <mergeCell ref="C29:D29"/>
    <mergeCell ref="B38:D38"/>
    <mergeCell ref="B39:D39"/>
    <mergeCell ref="C40:D40"/>
    <mergeCell ref="C30:D30"/>
  </mergeCells>
  <pageMargins left="0.70866141732283472" right="0.70866141732283472" top="0.74803149606299213" bottom="0.74803149606299213" header="0.31496062992125984" footer="0.31496062992125984"/>
  <pageSetup paperSize="9" scale="98"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A205-2DEB-4586-9BCC-F2F453D95EAE}">
  <dimension ref="B1:S26"/>
  <sheetViews>
    <sheetView topLeftCell="B1" zoomScale="60" zoomScaleNormal="60" workbookViewId="0">
      <selection activeCell="Q13" sqref="Q13"/>
    </sheetView>
  </sheetViews>
  <sheetFormatPr defaultColWidth="10.90625" defaultRowHeight="14.5" x14ac:dyDescent="0.35"/>
  <cols>
    <col min="1" max="1" width="11"/>
    <col min="2" max="2" width="25" customWidth="1"/>
    <col min="3" max="3" width="15.6328125" customWidth="1"/>
    <col min="4" max="4" width="17" customWidth="1"/>
    <col min="5" max="5" width="15.08984375" customWidth="1"/>
    <col min="6" max="6" width="17" customWidth="1"/>
    <col min="7" max="7" width="9.453125" customWidth="1"/>
    <col min="8" max="9" width="17" customWidth="1"/>
    <col min="10" max="10" width="8.7265625" style="98" customWidth="1"/>
    <col min="11" max="11" width="22.90625" customWidth="1"/>
    <col min="12" max="12" width="17.54296875" customWidth="1"/>
    <col min="13" max="13" width="13.90625" customWidth="1"/>
    <col min="14" max="14" width="14.08984375" customWidth="1"/>
    <col min="15" max="15" width="20.54296875" customWidth="1"/>
    <col min="16" max="16" width="4.90625" customWidth="1"/>
    <col min="19" max="19" width="15.08984375" bestFit="1" customWidth="1"/>
  </cols>
  <sheetData>
    <row r="1" spans="2:19" ht="15" thickBot="1" x14ac:dyDescent="0.4">
      <c r="B1" s="677" t="s">
        <v>221</v>
      </c>
      <c r="C1" s="677"/>
      <c r="D1" s="677"/>
      <c r="E1" s="677"/>
      <c r="F1" s="677"/>
      <c r="G1" s="473"/>
      <c r="H1" s="473"/>
      <c r="I1" s="473"/>
      <c r="J1" s="97"/>
      <c r="K1" s="678" t="s">
        <v>222</v>
      </c>
      <c r="L1" s="678"/>
      <c r="M1" s="678"/>
      <c r="N1" s="678"/>
      <c r="O1" s="678"/>
    </row>
    <row r="2" spans="2:19" ht="15.5" x14ac:dyDescent="0.35">
      <c r="B2" s="679" t="s">
        <v>223</v>
      </c>
      <c r="C2" s="680"/>
      <c r="D2" s="680"/>
      <c r="E2" s="680"/>
      <c r="F2" s="681"/>
      <c r="G2" s="474"/>
      <c r="H2" s="474"/>
      <c r="I2" s="474"/>
      <c r="J2" s="97"/>
      <c r="K2" s="679" t="s">
        <v>223</v>
      </c>
      <c r="L2" s="680"/>
      <c r="M2" s="680"/>
      <c r="N2" s="680"/>
      <c r="O2" s="681"/>
      <c r="P2" s="76"/>
    </row>
    <row r="3" spans="2:19" ht="16" thickBot="1" x14ac:dyDescent="0.4">
      <c r="B3" s="682"/>
      <c r="C3" s="683"/>
      <c r="D3" s="683"/>
      <c r="E3" s="683"/>
      <c r="F3" s="684"/>
      <c r="G3" s="474"/>
      <c r="H3" s="474"/>
      <c r="I3" s="474"/>
      <c r="J3" s="97"/>
      <c r="K3" s="682"/>
      <c r="L3" s="683"/>
      <c r="M3" s="683"/>
      <c r="N3" s="683"/>
      <c r="O3" s="684"/>
      <c r="P3" s="76"/>
    </row>
    <row r="4" spans="2:19" ht="16" thickBot="1" x14ac:dyDescent="0.4">
      <c r="B4" s="76"/>
      <c r="C4" s="76"/>
      <c r="D4" s="76"/>
      <c r="E4" s="76"/>
      <c r="F4" s="76"/>
      <c r="G4" s="76"/>
      <c r="H4" s="76"/>
      <c r="I4" s="76"/>
      <c r="J4" s="97"/>
      <c r="K4" s="76"/>
      <c r="L4" s="76"/>
      <c r="M4" s="76"/>
      <c r="N4" s="76"/>
      <c r="O4" s="76"/>
      <c r="P4" s="76"/>
    </row>
    <row r="5" spans="2:19" ht="18.5" thickBot="1" x14ac:dyDescent="0.4">
      <c r="B5" s="691" t="s">
        <v>224</v>
      </c>
      <c r="C5" s="643"/>
      <c r="D5" s="643"/>
      <c r="E5" s="643"/>
      <c r="F5" s="692"/>
      <c r="G5" s="97"/>
      <c r="H5" s="693" t="s">
        <v>393</v>
      </c>
      <c r="I5" s="693"/>
      <c r="J5" s="97"/>
      <c r="K5" s="685" t="s">
        <v>224</v>
      </c>
      <c r="L5" s="686"/>
      <c r="M5" s="686"/>
      <c r="N5" s="686"/>
      <c r="O5" s="687"/>
      <c r="P5" s="76"/>
      <c r="Q5" s="675" t="s">
        <v>16</v>
      </c>
    </row>
    <row r="6" spans="2:19" ht="62" x14ac:dyDescent="0.35">
      <c r="B6" s="44"/>
      <c r="C6" s="75" t="str">
        <f>'1)Tableau budgétaire 1'!O310</f>
        <v>PNUD(budget en USD)</v>
      </c>
      <c r="D6" s="18" t="s">
        <v>244</v>
      </c>
      <c r="E6" s="75" t="s">
        <v>9</v>
      </c>
      <c r="F6" s="486" t="s">
        <v>224</v>
      </c>
      <c r="G6" s="97"/>
      <c r="H6" s="478" t="s">
        <v>394</v>
      </c>
      <c r="I6" s="478" t="s">
        <v>395</v>
      </c>
      <c r="J6" s="97"/>
      <c r="K6" s="311"/>
      <c r="L6" s="312" t="str">
        <f>C6</f>
        <v>PNUD(budget en USD)</v>
      </c>
      <c r="M6" s="18" t="s">
        <v>244</v>
      </c>
      <c r="N6" s="312" t="s">
        <v>9</v>
      </c>
      <c r="O6" s="313" t="s">
        <v>224</v>
      </c>
      <c r="P6" s="76"/>
      <c r="Q6" s="676"/>
    </row>
    <row r="7" spans="2:19" ht="31" x14ac:dyDescent="0.35">
      <c r="B7" s="68" t="s">
        <v>225</v>
      </c>
      <c r="C7" s="50">
        <f>+'2)Tableau Budgétaire 2'!C199</f>
        <v>133076</v>
      </c>
      <c r="D7" s="50">
        <f>'2)Tableau Budgétaire 2'!D199</f>
        <v>150000</v>
      </c>
      <c r="E7" s="50">
        <f>'[1]2) Tableau budgétaire 2'!F198</f>
        <v>0</v>
      </c>
      <c r="F7" s="479">
        <f t="shared" ref="F7:F14" si="0">SUM(C7:E7)</f>
        <v>283076</v>
      </c>
      <c r="G7" s="97"/>
      <c r="H7" s="484">
        <f>L7-C7</f>
        <v>-10000</v>
      </c>
      <c r="I7" s="478">
        <f>M7-D7</f>
        <v>0</v>
      </c>
      <c r="J7" s="97"/>
      <c r="K7" s="314" t="s">
        <v>225</v>
      </c>
      <c r="L7" s="315">
        <f>'2)Tableau Budgétaire 2'!H199</f>
        <v>123076</v>
      </c>
      <c r="M7" s="315">
        <f>'2)Tableau Budgétaire 2'!I199</f>
        <v>150000</v>
      </c>
      <c r="N7" s="315">
        <f>'[2]2) Tableau budgétaire 2'!F198</f>
        <v>0</v>
      </c>
      <c r="O7" s="316">
        <f t="shared" ref="O7:O14" si="1">SUM(L7:N7)</f>
        <v>273076</v>
      </c>
      <c r="P7" s="76"/>
      <c r="Q7" s="341">
        <f>(O7-F7)/F7</f>
        <v>-3.5326202150659188E-2</v>
      </c>
      <c r="S7" s="485"/>
    </row>
    <row r="8" spans="2:19" ht="46.5" x14ac:dyDescent="0.35">
      <c r="B8" s="68" t="s">
        <v>226</v>
      </c>
      <c r="C8" s="50">
        <f>+'2)Tableau Budgétaire 2'!C200</f>
        <v>570183.63</v>
      </c>
      <c r="D8" s="50">
        <f>+'2)Tableau Budgétaire 2'!D200</f>
        <v>0</v>
      </c>
      <c r="E8" s="50">
        <f>'[1]2) Tableau budgétaire 2'!F199</f>
        <v>0</v>
      </c>
      <c r="F8" s="480">
        <f t="shared" si="0"/>
        <v>570183.63</v>
      </c>
      <c r="G8" s="97"/>
      <c r="H8" s="484">
        <f t="shared" ref="H8:H13" si="2">L8-C8</f>
        <v>-540183.63</v>
      </c>
      <c r="I8" s="478">
        <f t="shared" ref="I8:I13" si="3">M8-D8</f>
        <v>0</v>
      </c>
      <c r="J8" s="97"/>
      <c r="K8" s="314" t="s">
        <v>226</v>
      </c>
      <c r="L8" s="315">
        <f>'2)Tableau Budgétaire 2'!H200</f>
        <v>30000</v>
      </c>
      <c r="M8" s="315">
        <f>'2)Tableau Budgétaire 2'!I200</f>
        <v>0</v>
      </c>
      <c r="N8" s="315">
        <f>'[2]2) Tableau budgétaire 2'!F199</f>
        <v>0</v>
      </c>
      <c r="O8" s="317">
        <f t="shared" si="1"/>
        <v>30000</v>
      </c>
      <c r="P8" s="76"/>
      <c r="Q8" s="341">
        <f t="shared" ref="Q8:Q13" si="4">(O8-F8)/F8</f>
        <v>-0.94738537127065536</v>
      </c>
    </row>
    <row r="9" spans="2:19" ht="46.5" x14ac:dyDescent="0.35">
      <c r="B9" s="68" t="s">
        <v>227</v>
      </c>
      <c r="C9" s="50">
        <f>'2)Tableau Budgétaire 2'!C201</f>
        <v>85000</v>
      </c>
      <c r="D9" s="50">
        <f>'2)Tableau Budgétaire 2'!D201</f>
        <v>0</v>
      </c>
      <c r="E9" s="50">
        <f>'[1]2) Tableau budgétaire 2'!F200</f>
        <v>0</v>
      </c>
      <c r="F9" s="480">
        <f t="shared" si="0"/>
        <v>85000</v>
      </c>
      <c r="G9" s="97"/>
      <c r="H9" s="478">
        <f t="shared" si="2"/>
        <v>-30000</v>
      </c>
      <c r="I9" s="478">
        <f t="shared" si="3"/>
        <v>0</v>
      </c>
      <c r="J9" s="97"/>
      <c r="K9" s="314" t="s">
        <v>227</v>
      </c>
      <c r="L9" s="315">
        <f>'2)Tableau Budgétaire 2'!H201</f>
        <v>55000</v>
      </c>
      <c r="M9" s="315">
        <f>'2)Tableau Budgétaire 2'!I201</f>
        <v>0</v>
      </c>
      <c r="N9" s="315">
        <f>'[2]2) Tableau budgétaire 2'!F200</f>
        <v>0</v>
      </c>
      <c r="O9" s="317">
        <f t="shared" si="1"/>
        <v>55000</v>
      </c>
      <c r="P9" s="76"/>
      <c r="Q9" s="341">
        <f t="shared" si="4"/>
        <v>-0.35294117647058826</v>
      </c>
    </row>
    <row r="10" spans="2:19" ht="15.5" x14ac:dyDescent="0.35">
      <c r="B10" s="74" t="s">
        <v>228</v>
      </c>
      <c r="C10" s="50">
        <f>'2)Tableau Budgétaire 2'!C202</f>
        <v>623983.35999999999</v>
      </c>
      <c r="D10" s="50">
        <f>'2)Tableau Budgétaire 2'!D202</f>
        <v>0</v>
      </c>
      <c r="E10" s="50">
        <f>'[1]2) Tableau budgétaire 2'!F201</f>
        <v>0</v>
      </c>
      <c r="F10" s="480">
        <f t="shared" si="0"/>
        <v>623983.35999999999</v>
      </c>
      <c r="G10" s="97"/>
      <c r="H10" s="484">
        <f t="shared" si="2"/>
        <v>648407.64</v>
      </c>
      <c r="I10" s="478">
        <f t="shared" si="3"/>
        <v>0</v>
      </c>
      <c r="J10" s="97"/>
      <c r="K10" s="318" t="s">
        <v>228</v>
      </c>
      <c r="L10" s="315">
        <f>'2)Tableau Budgétaire 2'!H202</f>
        <v>1272391</v>
      </c>
      <c r="M10" s="315">
        <f>'2)Tableau Budgétaire 2'!I202</f>
        <v>0</v>
      </c>
      <c r="N10" s="315">
        <f>'[2]2) Tableau budgétaire 2'!F201</f>
        <v>0</v>
      </c>
      <c r="O10" s="317">
        <f t="shared" si="1"/>
        <v>1272391</v>
      </c>
      <c r="P10" s="76"/>
      <c r="Q10" s="341">
        <f t="shared" si="4"/>
        <v>1.0391425181594587</v>
      </c>
    </row>
    <row r="11" spans="2:19" ht="15.5" x14ac:dyDescent="0.35">
      <c r="B11" s="68" t="s">
        <v>229</v>
      </c>
      <c r="C11" s="50">
        <f>'2)Tableau Budgétaire 2'!C203</f>
        <v>65000</v>
      </c>
      <c r="D11" s="50">
        <f>'2)Tableau Budgétaire 2'!D203</f>
        <v>36915.89</v>
      </c>
      <c r="E11" s="50">
        <f>'[1]2) Tableau budgétaire 2'!F202</f>
        <v>0</v>
      </c>
      <c r="F11" s="480">
        <f t="shared" si="0"/>
        <v>101915.89</v>
      </c>
      <c r="G11" s="97"/>
      <c r="H11" s="484">
        <f t="shared" si="2"/>
        <v>86776</v>
      </c>
      <c r="I11" s="478">
        <f t="shared" si="3"/>
        <v>0</v>
      </c>
      <c r="J11" s="97"/>
      <c r="K11" s="314" t="s">
        <v>229</v>
      </c>
      <c r="L11" s="315">
        <f>'2)Tableau Budgétaire 2'!H203</f>
        <v>151776</v>
      </c>
      <c r="M11" s="315">
        <f>'2)Tableau Budgétaire 2'!I203</f>
        <v>36915.89</v>
      </c>
      <c r="N11" s="315">
        <f>'[2]2) Tableau budgétaire 2'!F202</f>
        <v>0</v>
      </c>
      <c r="O11" s="317">
        <f t="shared" si="1"/>
        <v>188691.89</v>
      </c>
      <c r="P11" s="76"/>
      <c r="Q11" s="341">
        <f t="shared" si="4"/>
        <v>0.85144720808502006</v>
      </c>
      <c r="S11" s="485"/>
    </row>
    <row r="12" spans="2:19" ht="31" x14ac:dyDescent="0.35">
      <c r="B12" s="68" t="s">
        <v>230</v>
      </c>
      <c r="C12" s="50">
        <f>'2)Tableau Budgétaire 2'!C204</f>
        <v>150000</v>
      </c>
      <c r="D12" s="50">
        <f>'2)Tableau Budgétaire 2'!D204</f>
        <v>0</v>
      </c>
      <c r="E12" s="50">
        <f>'[1]2) Tableau budgétaire 2'!F203</f>
        <v>0</v>
      </c>
      <c r="F12" s="480">
        <f t="shared" si="0"/>
        <v>150000</v>
      </c>
      <c r="G12" s="97"/>
      <c r="H12" s="484">
        <f t="shared" si="2"/>
        <v>-150000</v>
      </c>
      <c r="I12" s="478">
        <f t="shared" si="3"/>
        <v>0</v>
      </c>
      <c r="J12" s="97"/>
      <c r="K12" s="314" t="s">
        <v>230</v>
      </c>
      <c r="L12" s="315">
        <f>'2)Tableau Budgétaire 2'!H204</f>
        <v>0</v>
      </c>
      <c r="M12" s="315">
        <f>'2)Tableau Budgétaire 2'!I204</f>
        <v>0</v>
      </c>
      <c r="N12" s="315">
        <f>'[2]2) Tableau budgétaire 2'!F203</f>
        <v>0</v>
      </c>
      <c r="O12" s="317">
        <f t="shared" si="1"/>
        <v>0</v>
      </c>
      <c r="P12" s="76"/>
      <c r="Q12" s="341">
        <f t="shared" si="4"/>
        <v>-1</v>
      </c>
    </row>
    <row r="13" spans="2:19" ht="31.5" thickBot="1" x14ac:dyDescent="0.4">
      <c r="B13" s="93" t="s">
        <v>231</v>
      </c>
      <c r="C13" s="94">
        <f>'2)Tableau Budgétaire 2'!C205</f>
        <v>55000</v>
      </c>
      <c r="D13" s="94">
        <f>'2)Tableau Budgétaire 2'!D205</f>
        <v>0</v>
      </c>
      <c r="E13" s="94">
        <f>'[1]2) Tableau budgétaire 2'!F204</f>
        <v>0</v>
      </c>
      <c r="F13" s="481">
        <f t="shared" si="0"/>
        <v>55000</v>
      </c>
      <c r="G13" s="97"/>
      <c r="H13" s="484">
        <f t="shared" si="2"/>
        <v>-5000</v>
      </c>
      <c r="I13" s="478">
        <f t="shared" si="3"/>
        <v>0</v>
      </c>
      <c r="J13" s="97"/>
      <c r="K13" s="319" t="s">
        <v>231</v>
      </c>
      <c r="L13" s="315">
        <f>'2)Tableau Budgétaire 2'!H205</f>
        <v>50000</v>
      </c>
      <c r="M13" s="315">
        <f>'2)Tableau Budgétaire 2'!I205</f>
        <v>0</v>
      </c>
      <c r="N13" s="320">
        <f>'[2]2) Tableau budgétaire 2'!F204</f>
        <v>0</v>
      </c>
      <c r="O13" s="321">
        <f t="shared" si="1"/>
        <v>50000</v>
      </c>
      <c r="P13" s="76"/>
      <c r="Q13" s="341">
        <f t="shared" si="4"/>
        <v>-9.0909090909090912E-2</v>
      </c>
    </row>
    <row r="14" spans="2:19" ht="15.5" x14ac:dyDescent="0.35">
      <c r="B14" s="95" t="s">
        <v>232</v>
      </c>
      <c r="C14" s="306">
        <f>SUM(C7:C13)</f>
        <v>1682242.99</v>
      </c>
      <c r="D14" s="306">
        <f>SUM(D7:D13)</f>
        <v>186915.89</v>
      </c>
      <c r="E14" s="306">
        <f>SUM(E7:E13)</f>
        <v>0</v>
      </c>
      <c r="F14" s="487">
        <f t="shared" si="0"/>
        <v>1869158.88</v>
      </c>
      <c r="G14" s="97"/>
      <c r="H14" s="306">
        <f>SUM(H7:H13)</f>
        <v>1.0000000009313226E-2</v>
      </c>
      <c r="I14" s="306">
        <f>SUM(I7:I13)</f>
        <v>0</v>
      </c>
      <c r="J14" s="97"/>
      <c r="K14" s="322" t="s">
        <v>232</v>
      </c>
      <c r="L14" s="323">
        <f>SUM(L7:L13)</f>
        <v>1682243</v>
      </c>
      <c r="M14" s="323">
        <f>SUM(M7:M13)</f>
        <v>186915.89</v>
      </c>
      <c r="N14" s="323">
        <f>SUM(N7:N13)</f>
        <v>0</v>
      </c>
      <c r="O14" s="324">
        <f t="shared" si="1"/>
        <v>1869158.8900000001</v>
      </c>
      <c r="P14" s="76"/>
      <c r="Q14" s="341">
        <f>(L14-C14)/C14</f>
        <v>5.9444444522923685E-9</v>
      </c>
    </row>
    <row r="15" spans="2:19" ht="15.5" x14ac:dyDescent="0.35">
      <c r="B15" s="91" t="s">
        <v>233</v>
      </c>
      <c r="C15" s="307">
        <f>C14*0.07</f>
        <v>117757.00930000001</v>
      </c>
      <c r="D15" s="307">
        <f t="shared" ref="D15:F15" si="5">D14*0.07</f>
        <v>13084.112300000003</v>
      </c>
      <c r="E15" s="307">
        <f t="shared" si="5"/>
        <v>0</v>
      </c>
      <c r="F15" s="482">
        <f t="shared" si="5"/>
        <v>130841.1216</v>
      </c>
      <c r="G15" s="97"/>
      <c r="H15" s="307">
        <f>H14*0.07</f>
        <v>7.0000000065192588E-4</v>
      </c>
      <c r="I15" s="307">
        <f>I14*0.07</f>
        <v>0</v>
      </c>
      <c r="J15" s="97"/>
      <c r="K15" s="325" t="s">
        <v>233</v>
      </c>
      <c r="L15" s="326">
        <f>L14*0.07</f>
        <v>117757.01000000001</v>
      </c>
      <c r="M15" s="326">
        <f t="shared" ref="M15:O15" si="6">M14*0.07</f>
        <v>13084.112300000003</v>
      </c>
      <c r="N15" s="326">
        <f t="shared" si="6"/>
        <v>0</v>
      </c>
      <c r="O15" s="327">
        <f t="shared" si="6"/>
        <v>130841.12230000002</v>
      </c>
      <c r="P15" s="76"/>
      <c r="Q15" s="341">
        <f>(L15-C15)/C15</f>
        <v>5.9444444819505571E-9</v>
      </c>
    </row>
    <row r="16" spans="2:19" ht="16" thickBot="1" x14ac:dyDescent="0.4">
      <c r="B16" s="92" t="s">
        <v>10</v>
      </c>
      <c r="C16" s="308">
        <f>C14+C15</f>
        <v>1799999.9993</v>
      </c>
      <c r="D16" s="308">
        <f t="shared" ref="D16:F16" si="7">D14+D15</f>
        <v>200000.00230000002</v>
      </c>
      <c r="E16" s="308">
        <f t="shared" si="7"/>
        <v>0</v>
      </c>
      <c r="F16" s="488">
        <f t="shared" si="7"/>
        <v>2000000.0015999998</v>
      </c>
      <c r="G16" s="97"/>
      <c r="H16" s="308">
        <f>H14+H15</f>
        <v>1.0700000009965151E-2</v>
      </c>
      <c r="I16" s="308">
        <f>I14+I15</f>
        <v>0</v>
      </c>
      <c r="J16" s="97"/>
      <c r="K16" s="328" t="s">
        <v>10</v>
      </c>
      <c r="L16" s="329">
        <f>L14+L15</f>
        <v>1800000.01</v>
      </c>
      <c r="M16" s="329">
        <f t="shared" ref="M16:N16" si="8">M14+M15</f>
        <v>200000.00230000002</v>
      </c>
      <c r="N16" s="329">
        <f t="shared" si="8"/>
        <v>0</v>
      </c>
      <c r="O16" s="330">
        <f>O14+O15</f>
        <v>2000000.0123000001</v>
      </c>
      <c r="P16" s="76"/>
      <c r="Q16" s="342">
        <f>(L16-C16)/C16</f>
        <v>5.9444444380638288E-9</v>
      </c>
    </row>
    <row r="17" spans="2:16" ht="16" thickBot="1" x14ac:dyDescent="0.4">
      <c r="B17" s="76"/>
      <c r="C17" s="76"/>
      <c r="D17" s="76"/>
      <c r="E17" s="76"/>
      <c r="F17" s="76"/>
      <c r="G17" s="76"/>
      <c r="H17" s="483"/>
      <c r="I17" s="483"/>
      <c r="J17"/>
      <c r="K17" s="76"/>
      <c r="L17" s="76"/>
      <c r="M17" s="76"/>
      <c r="N17" s="76"/>
      <c r="O17" s="76"/>
      <c r="P17" s="76"/>
    </row>
    <row r="18" spans="2:16" ht="15.5" x14ac:dyDescent="0.35">
      <c r="B18" s="688" t="s">
        <v>234</v>
      </c>
      <c r="C18" s="689"/>
      <c r="D18" s="689"/>
      <c r="E18" s="689"/>
      <c r="F18" s="690"/>
      <c r="G18" s="475"/>
      <c r="H18" s="475"/>
      <c r="I18" s="475"/>
      <c r="J18" s="97"/>
      <c r="K18" s="688" t="s">
        <v>234</v>
      </c>
      <c r="L18" s="689"/>
      <c r="M18" s="689"/>
      <c r="N18" s="689"/>
      <c r="O18" s="690"/>
      <c r="P18" s="76"/>
    </row>
    <row r="19" spans="2:16" ht="62" x14ac:dyDescent="0.35">
      <c r="B19" s="72"/>
      <c r="C19" s="70" t="str">
        <f>C6</f>
        <v>PNUD(budget en USD)</v>
      </c>
      <c r="D19" s="18" t="s">
        <v>244</v>
      </c>
      <c r="E19" s="70" t="str">
        <f>'[1]1) Tableau budgétaire 1'!F5</f>
        <v>Organisation recipiendiaire 3 (budget en USD)</v>
      </c>
      <c r="F19" s="73" t="s">
        <v>200</v>
      </c>
      <c r="G19" s="475"/>
      <c r="H19" s="475"/>
      <c r="I19" s="475"/>
      <c r="J19" s="97"/>
      <c r="K19" s="72"/>
      <c r="L19" s="70" t="str">
        <f>C19</f>
        <v>PNUD(budget en USD)</v>
      </c>
      <c r="M19" s="18" t="s">
        <v>244</v>
      </c>
      <c r="N19" s="70" t="str">
        <f>'[2]1) Tableau budgétaire 1'!F5</f>
        <v>Organisation recipiendiaire 3 (budget en USD)</v>
      </c>
      <c r="O19" s="73" t="s">
        <v>200</v>
      </c>
      <c r="P19" s="96"/>
    </row>
    <row r="20" spans="2:16" ht="15.5" x14ac:dyDescent="0.35">
      <c r="B20" s="71" t="s">
        <v>235</v>
      </c>
      <c r="C20" s="302">
        <f>'1)Tableau budgétaire 1'!D318</f>
        <v>1259999.7298699999</v>
      </c>
      <c r="D20" s="69">
        <v>100000</v>
      </c>
      <c r="E20" s="69">
        <f>'[1]1) Tableau budgétaire 1'!F196</f>
        <v>0</v>
      </c>
      <c r="F20" s="305">
        <f>SUM(C20:E20)</f>
        <v>1359999.7298699999</v>
      </c>
      <c r="G20" s="476"/>
      <c r="H20" s="476"/>
      <c r="I20" s="476"/>
      <c r="J20" s="97"/>
      <c r="K20" s="71" t="s">
        <v>235</v>
      </c>
      <c r="L20" s="302">
        <f>C20</f>
        <v>1259999.7298699999</v>
      </c>
      <c r="M20" s="69">
        <v>100000</v>
      </c>
      <c r="N20" s="69">
        <f>'[2]1) Tableau budgétaire 1'!F196</f>
        <v>0</v>
      </c>
      <c r="O20" s="305">
        <f>SUM(L20:N20)</f>
        <v>1359999.7298699999</v>
      </c>
      <c r="P20" s="334"/>
    </row>
    <row r="21" spans="2:16" ht="15.5" x14ac:dyDescent="0.35">
      <c r="B21" s="71" t="s">
        <v>236</v>
      </c>
      <c r="C21" s="302">
        <f>'1)Tableau budgétaire 1'!D319</f>
        <v>539999.88422999997</v>
      </c>
      <c r="D21" s="69">
        <v>100000</v>
      </c>
      <c r="E21" s="69">
        <f>'[1]1) Tableau budgétaire 1'!F197</f>
        <v>0</v>
      </c>
      <c r="F21" s="305">
        <f t="shared" ref="F21:F23" si="9">SUM(C21:E21)</f>
        <v>639999.88422999997</v>
      </c>
      <c r="G21" s="476"/>
      <c r="H21" s="476"/>
      <c r="I21" s="476"/>
      <c r="J21" s="97"/>
      <c r="K21" s="71" t="s">
        <v>236</v>
      </c>
      <c r="L21" s="331">
        <f>'1)Tableau budgétaire 1'!O319</f>
        <v>540000.00300000003</v>
      </c>
      <c r="M21" s="332">
        <v>100000</v>
      </c>
      <c r="N21" s="332">
        <f>'[2]1) Tableau budgétaire 1'!F197</f>
        <v>0</v>
      </c>
      <c r="O21" s="333">
        <f t="shared" ref="O21:O23" si="10">SUM(L21:N21)</f>
        <v>640000.00300000003</v>
      </c>
      <c r="P21" s="334"/>
    </row>
    <row r="22" spans="2:16" ht="16" thickBot="1" x14ac:dyDescent="0.4">
      <c r="B22" s="71" t="s">
        <v>237</v>
      </c>
      <c r="C22" s="302"/>
      <c r="D22" s="69"/>
      <c r="E22" s="69">
        <f>'[1]1) Tableau budgétaire 1'!F198</f>
        <v>0</v>
      </c>
      <c r="F22" s="305">
        <f t="shared" si="9"/>
        <v>0</v>
      </c>
      <c r="G22" s="476"/>
      <c r="H22" s="476"/>
      <c r="I22" s="476"/>
      <c r="J22" s="97"/>
      <c r="K22" s="71" t="s">
        <v>237</v>
      </c>
      <c r="L22" s="331">
        <f>L16-(L20+L21)</f>
        <v>0.27713000006042421</v>
      </c>
      <c r="M22" s="332">
        <f>'[2]1) Tableau budgétaire 1'!E198</f>
        <v>0</v>
      </c>
      <c r="N22" s="332">
        <f>'[2]1) Tableau budgétaire 1'!F198</f>
        <v>0</v>
      </c>
      <c r="O22" s="333">
        <f t="shared" si="10"/>
        <v>0.27713000006042421</v>
      </c>
      <c r="P22" s="335"/>
    </row>
    <row r="23" spans="2:16" ht="16" thickBot="1" x14ac:dyDescent="0.4">
      <c r="B23" s="67" t="s">
        <v>200</v>
      </c>
      <c r="C23" s="304">
        <f>SUM(C20:C22)</f>
        <v>1799999.6140999999</v>
      </c>
      <c r="D23" s="304">
        <f t="shared" ref="D23:E23" si="11">SUM(D20:D22)</f>
        <v>200000</v>
      </c>
      <c r="E23" s="304">
        <f t="shared" si="11"/>
        <v>0</v>
      </c>
      <c r="F23" s="338">
        <f t="shared" si="9"/>
        <v>1999999.6140999999</v>
      </c>
      <c r="G23" s="477"/>
      <c r="H23" s="477"/>
      <c r="I23" s="477"/>
      <c r="J23" s="97"/>
      <c r="K23" s="67" t="s">
        <v>200</v>
      </c>
      <c r="L23" s="336">
        <f>SUM(L20:L22)</f>
        <v>1800000.01</v>
      </c>
      <c r="M23" s="336">
        <f t="shared" ref="M23:N23" si="12">SUM(M20:M22)</f>
        <v>200000</v>
      </c>
      <c r="N23" s="336">
        <f t="shared" si="12"/>
        <v>0</v>
      </c>
      <c r="O23" s="339">
        <f t="shared" si="10"/>
        <v>2000000.01</v>
      </c>
      <c r="P23" s="337"/>
    </row>
    <row r="24" spans="2:16" x14ac:dyDescent="0.35">
      <c r="C24" s="303"/>
    </row>
    <row r="26" spans="2:16" x14ac:dyDescent="0.35">
      <c r="K26">
        <v>0</v>
      </c>
    </row>
  </sheetData>
  <mergeCells count="10">
    <mergeCell ref="K18:O18"/>
    <mergeCell ref="B2:F3"/>
    <mergeCell ref="B5:F5"/>
    <mergeCell ref="B18:F18"/>
    <mergeCell ref="H5:I5"/>
    <mergeCell ref="Q5:Q6"/>
    <mergeCell ref="B1:F1"/>
    <mergeCell ref="K1:O1"/>
    <mergeCell ref="K2:O3"/>
    <mergeCell ref="K5:O5"/>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K13 B13" xr:uid="{E0FC2FF4-505C-4324-BC14-F82F4ADE0DC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K12 B12" xr:uid="{0D9C7044-3C1F-474E-A260-D45DB22BB0C4}"/>
    <dataValidation allowBlank="1" showInputMessage="1" showErrorMessage="1" prompt="Services contracted by an organization which follow the normal procurement processes." sqref="K10 B10" xr:uid="{A953F343-7483-4AFF-8D6F-5F73774FA30E}"/>
    <dataValidation allowBlank="1" showInputMessage="1" showErrorMessage="1" prompt="Includes staff and non-staff travel paid for by the organization directly related to a project." sqref="K11 B11" xr:uid="{FDCC43AB-303B-463A-B58E-B2E63765FEEE}"/>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K9 B9" xr:uid="{B1C4F63D-E020-4DBF-8950-840362D5CA7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K8 B8" xr:uid="{EC4FC255-E777-4C6F-A685-12010B88163D}"/>
    <dataValidation allowBlank="1" showInputMessage="1" showErrorMessage="1" prompt="Includes all related staff and temporary staff costs including base salary, post adjustment and all staff entitlements." sqref="K7 B7" xr:uid="{D1C259D2-0D38-4DF8-8724-B5C4D1BD9944}"/>
  </dataValidations>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cellIs" priority="2" operator="notEqual" id="{FFE1623B-EA7F-487A-8EE4-2B64276601D7}">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F16</xm:sqref>
        </x14:conditionalFormatting>
        <x14:conditionalFormatting xmlns:xm="http://schemas.microsoft.com/office/excel/2006/main">
          <x14:cfRule type="cellIs" priority="3" operator="notEqual" id="{3053EC37-85CB-4473-B942-B15ADADBC49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O16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E9C2-CF23-4E47-8E4D-EFFAA2CD72E7}">
  <dimension ref="A1:J245"/>
  <sheetViews>
    <sheetView topLeftCell="A198" zoomScale="70" zoomScaleNormal="70" zoomScalePageLayoutView="66" workbookViewId="0">
      <selection activeCell="H188" sqref="H188"/>
    </sheetView>
  </sheetViews>
  <sheetFormatPr defaultColWidth="9.08984375" defaultRowHeight="15.5" x14ac:dyDescent="0.35"/>
  <cols>
    <col min="1" max="1" width="9.08984375" style="16"/>
    <col min="2" max="2" width="40.54296875" style="16" customWidth="1"/>
    <col min="3" max="3" width="19.453125" style="16" customWidth="1"/>
    <col min="4" max="4" width="24.6328125" style="16" customWidth="1"/>
    <col min="5" max="5" width="18.6328125" style="16" customWidth="1"/>
    <col min="6" max="6" width="18" style="34" customWidth="1"/>
    <col min="7" max="7" width="44.6328125" style="16" customWidth="1"/>
    <col min="8" max="8" width="20.90625" style="34" customWidth="1"/>
    <col min="9" max="9" width="14.08984375" style="34" customWidth="1"/>
    <col min="10" max="10" width="20.90625" style="16" customWidth="1"/>
    <col min="11" max="16384" width="9.08984375" style="16"/>
  </cols>
  <sheetData>
    <row r="1" spans="1:10" x14ac:dyDescent="0.35">
      <c r="A1" s="633" t="s">
        <v>2</v>
      </c>
      <c r="B1" s="633"/>
      <c r="C1" s="633"/>
      <c r="D1" s="633"/>
      <c r="E1" s="633"/>
      <c r="F1" s="60"/>
      <c r="G1" s="634" t="s">
        <v>163</v>
      </c>
      <c r="H1" s="634"/>
      <c r="I1" s="634"/>
      <c r="J1" s="634"/>
    </row>
    <row r="2" spans="1:10" ht="33.75" customHeight="1" x14ac:dyDescent="1">
      <c r="B2" s="548" t="s">
        <v>4</v>
      </c>
      <c r="C2" s="548"/>
      <c r="D2" s="548"/>
      <c r="E2" s="32"/>
      <c r="F2" s="60"/>
      <c r="G2" s="548" t="s">
        <v>4</v>
      </c>
      <c r="H2" s="548"/>
      <c r="I2" s="548"/>
      <c r="J2" s="32"/>
    </row>
    <row r="3" spans="1:10" ht="25.5" customHeight="1" x14ac:dyDescent="0.45">
      <c r="B3" s="641" t="s">
        <v>164</v>
      </c>
      <c r="C3" s="641"/>
      <c r="D3" s="641"/>
      <c r="F3" s="60"/>
      <c r="G3" s="641" t="s">
        <v>164</v>
      </c>
      <c r="H3" s="641"/>
      <c r="I3" s="641"/>
    </row>
    <row r="4" spans="1:10" ht="9.75" customHeight="1" x14ac:dyDescent="0.35">
      <c r="B4" s="17"/>
      <c r="C4" s="17"/>
      <c r="D4" s="17"/>
      <c r="F4" s="60"/>
      <c r="G4" s="17"/>
      <c r="H4" s="17"/>
      <c r="I4" s="17"/>
    </row>
    <row r="5" spans="1:10" ht="57.9" customHeight="1" x14ac:dyDescent="0.35">
      <c r="B5" s="17"/>
      <c r="C5" s="18" t="str">
        <f>'1)Tableau budgétaire 1'!O5</f>
        <v>PNUD(budget en USD)</v>
      </c>
      <c r="D5" s="18" t="str">
        <f>'[1]1) Tableau budgétaire 1'!E5</f>
        <v>Organisation recipiendiaire 2 (budget en USD)</v>
      </c>
      <c r="E5" s="19" t="s">
        <v>10</v>
      </c>
      <c r="F5" s="60"/>
      <c r="G5" s="17"/>
      <c r="H5" s="18" t="str">
        <f>'1)Tableau budgétaire 1'!O5</f>
        <v>PNUD(budget en USD)</v>
      </c>
      <c r="I5" s="18" t="s">
        <v>8</v>
      </c>
      <c r="J5" s="19" t="s">
        <v>10</v>
      </c>
    </row>
    <row r="6" spans="1:10" ht="50.15" customHeight="1" x14ac:dyDescent="0.35">
      <c r="A6" s="635" t="s">
        <v>165</v>
      </c>
      <c r="B6" s="636"/>
      <c r="C6" s="636"/>
      <c r="D6" s="636"/>
      <c r="E6" s="637"/>
      <c r="F6" s="60"/>
      <c r="G6" s="636"/>
      <c r="H6" s="636"/>
      <c r="I6" s="636"/>
      <c r="J6" s="637"/>
    </row>
    <row r="7" spans="1:10" ht="30.75" customHeight="1" x14ac:dyDescent="0.35">
      <c r="B7" s="635" t="s">
        <v>166</v>
      </c>
      <c r="C7" s="636"/>
      <c r="D7" s="636"/>
      <c r="E7" s="637"/>
      <c r="F7" s="60"/>
      <c r="G7" s="635" t="s">
        <v>166</v>
      </c>
      <c r="H7" s="636"/>
      <c r="I7" s="636"/>
      <c r="J7" s="637"/>
    </row>
    <row r="8" spans="1:10" ht="30.75" customHeight="1" thickBot="1" x14ac:dyDescent="0.4">
      <c r="B8" s="20" t="s">
        <v>167</v>
      </c>
      <c r="C8" s="21">
        <v>223345</v>
      </c>
      <c r="D8" s="21">
        <v>111916</v>
      </c>
      <c r="E8" s="22">
        <f t="shared" ref="E8:E15" si="0">SUM(C8:D8)</f>
        <v>335261</v>
      </c>
      <c r="F8" s="60"/>
      <c r="G8" s="261" t="s">
        <v>167</v>
      </c>
      <c r="H8" s="259">
        <f>SUM(H9:H15)</f>
        <v>223345</v>
      </c>
      <c r="I8" s="259">
        <v>111916</v>
      </c>
      <c r="J8" s="103">
        <f t="shared" ref="J8:J16" si="1">SUM(H8:I8)</f>
        <v>335261</v>
      </c>
    </row>
    <row r="9" spans="1:10" ht="21.75" customHeight="1" x14ac:dyDescent="0.35">
      <c r="B9" s="23" t="s">
        <v>168</v>
      </c>
      <c r="C9" s="298">
        <v>0</v>
      </c>
      <c r="D9" s="24">
        <v>111916</v>
      </c>
      <c r="E9" s="101">
        <f t="shared" si="0"/>
        <v>111916</v>
      </c>
      <c r="F9" s="60"/>
      <c r="G9" s="262" t="s">
        <v>168</v>
      </c>
      <c r="H9" s="99">
        <v>0</v>
      </c>
      <c r="I9" s="263">
        <v>111916</v>
      </c>
      <c r="J9" s="101">
        <f t="shared" si="1"/>
        <v>111916</v>
      </c>
    </row>
    <row r="10" spans="1:10" x14ac:dyDescent="0.35">
      <c r="B10" s="26" t="s">
        <v>169</v>
      </c>
      <c r="C10" s="299">
        <v>0</v>
      </c>
      <c r="D10" s="28"/>
      <c r="E10" s="102">
        <f t="shared" si="0"/>
        <v>0</v>
      </c>
      <c r="F10" s="60"/>
      <c r="G10" s="264" t="s">
        <v>169</v>
      </c>
      <c r="H10" s="100">
        <v>0</v>
      </c>
      <c r="I10" s="265"/>
      <c r="J10" s="102">
        <f t="shared" si="1"/>
        <v>0</v>
      </c>
    </row>
    <row r="11" spans="1:10" ht="15.75" customHeight="1" x14ac:dyDescent="0.35">
      <c r="B11" s="26" t="s">
        <v>170</v>
      </c>
      <c r="C11" s="27">
        <v>0</v>
      </c>
      <c r="D11" s="27"/>
      <c r="E11" s="102">
        <f t="shared" si="0"/>
        <v>0</v>
      </c>
      <c r="F11" s="60"/>
      <c r="G11" s="264" t="s">
        <v>170</v>
      </c>
      <c r="H11" s="100">
        <v>0</v>
      </c>
      <c r="I11" s="100"/>
      <c r="J11" s="102">
        <f t="shared" si="1"/>
        <v>0</v>
      </c>
    </row>
    <row r="12" spans="1:10" x14ac:dyDescent="0.35">
      <c r="B12" s="30" t="s">
        <v>171</v>
      </c>
      <c r="C12" s="27">
        <v>223345</v>
      </c>
      <c r="D12" s="27"/>
      <c r="E12" s="102">
        <f t="shared" si="0"/>
        <v>223345</v>
      </c>
      <c r="F12" s="60"/>
      <c r="G12" s="266" t="s">
        <v>171</v>
      </c>
      <c r="H12" s="100">
        <v>223345</v>
      </c>
      <c r="I12" s="100"/>
      <c r="J12" s="102">
        <f t="shared" si="1"/>
        <v>223345</v>
      </c>
    </row>
    <row r="13" spans="1:10" x14ac:dyDescent="0.35">
      <c r="B13" s="26" t="s">
        <v>172</v>
      </c>
      <c r="C13" s="27">
        <v>0</v>
      </c>
      <c r="D13" s="27"/>
      <c r="E13" s="29">
        <f t="shared" si="0"/>
        <v>0</v>
      </c>
      <c r="F13" s="60"/>
      <c r="G13" s="264" t="s">
        <v>172</v>
      </c>
      <c r="H13" s="100">
        <v>0</v>
      </c>
      <c r="I13" s="100"/>
      <c r="J13" s="102">
        <f t="shared" si="1"/>
        <v>0</v>
      </c>
    </row>
    <row r="14" spans="1:10" ht="29.25" customHeight="1" x14ac:dyDescent="0.35">
      <c r="B14" s="26" t="s">
        <v>173</v>
      </c>
      <c r="C14" s="27">
        <v>0</v>
      </c>
      <c r="D14" s="27"/>
      <c r="E14" s="29">
        <f t="shared" si="0"/>
        <v>0</v>
      </c>
      <c r="F14" s="60"/>
      <c r="G14" s="264" t="s">
        <v>173</v>
      </c>
      <c r="H14" s="100">
        <v>0</v>
      </c>
      <c r="I14" s="100"/>
      <c r="J14" s="102">
        <f t="shared" si="1"/>
        <v>0</v>
      </c>
    </row>
    <row r="15" spans="1:10" ht="36.75" customHeight="1" x14ac:dyDescent="0.35">
      <c r="B15" s="26" t="s">
        <v>174</v>
      </c>
      <c r="C15" s="27">
        <v>0</v>
      </c>
      <c r="D15" s="27"/>
      <c r="E15" s="29">
        <f t="shared" si="0"/>
        <v>0</v>
      </c>
      <c r="F15" s="60"/>
      <c r="G15" s="264" t="s">
        <v>174</v>
      </c>
      <c r="H15" s="100">
        <v>0</v>
      </c>
      <c r="I15" s="100"/>
      <c r="J15" s="102">
        <f t="shared" si="1"/>
        <v>0</v>
      </c>
    </row>
    <row r="16" spans="1:10" ht="21.75" customHeight="1" thickBot="1" x14ac:dyDescent="0.4">
      <c r="B16" s="31" t="s">
        <v>175</v>
      </c>
      <c r="C16" s="102">
        <f>SUM(C9:C15)</f>
        <v>223345</v>
      </c>
      <c r="D16" s="102">
        <f>SUM(D9:D15)</f>
        <v>111916</v>
      </c>
      <c r="E16" s="102">
        <f>SUM(E9:E15)</f>
        <v>335261</v>
      </c>
      <c r="F16" s="60"/>
      <c r="G16" s="267" t="s">
        <v>175</v>
      </c>
      <c r="H16" s="259">
        <f>SUM(H9:H15)</f>
        <v>223345</v>
      </c>
      <c r="I16" s="259">
        <f>SUM(I9:I15)</f>
        <v>111916</v>
      </c>
      <c r="J16" s="260">
        <f t="shared" si="1"/>
        <v>335261</v>
      </c>
    </row>
    <row r="17" spans="2:10" s="34" customFormat="1" x14ac:dyDescent="0.35">
      <c r="B17" s="35"/>
      <c r="C17" s="36"/>
      <c r="D17" s="36"/>
      <c r="E17" s="37"/>
      <c r="F17" s="60"/>
      <c r="G17" s="268"/>
      <c r="H17" s="269"/>
      <c r="I17" s="269"/>
      <c r="J17" s="270"/>
    </row>
    <row r="18" spans="2:10" ht="15.75" customHeight="1" x14ac:dyDescent="0.35">
      <c r="B18" s="635" t="s">
        <v>176</v>
      </c>
      <c r="C18" s="636"/>
      <c r="D18" s="636"/>
      <c r="E18" s="637"/>
      <c r="F18" s="60"/>
      <c r="G18" s="645" t="s">
        <v>176</v>
      </c>
      <c r="H18" s="646"/>
      <c r="I18" s="646"/>
      <c r="J18" s="647"/>
    </row>
    <row r="19" spans="2:10" ht="27" customHeight="1" thickBot="1" x14ac:dyDescent="0.4">
      <c r="B19" s="20" t="s">
        <v>177</v>
      </c>
      <c r="C19" s="21">
        <v>90599</v>
      </c>
      <c r="D19" s="21">
        <v>75000</v>
      </c>
      <c r="E19" s="22">
        <f t="shared" ref="E19:E26" si="2">SUM(C19:D19)</f>
        <v>165599</v>
      </c>
      <c r="F19" s="60"/>
      <c r="G19" s="261" t="s">
        <v>177</v>
      </c>
      <c r="H19" s="259">
        <v>90599</v>
      </c>
      <c r="I19" s="259">
        <v>75000</v>
      </c>
      <c r="J19" s="103">
        <f t="shared" ref="J19:J27" si="3">SUM(H19:I19)</f>
        <v>165599</v>
      </c>
    </row>
    <row r="20" spans="2:10" x14ac:dyDescent="0.35">
      <c r="B20" s="23" t="s">
        <v>168</v>
      </c>
      <c r="C20" s="298">
        <v>0</v>
      </c>
      <c r="D20" s="24">
        <v>75000</v>
      </c>
      <c r="E20" s="25">
        <f t="shared" si="2"/>
        <v>75000</v>
      </c>
      <c r="F20" s="60"/>
      <c r="G20" s="262" t="s">
        <v>168</v>
      </c>
      <c r="H20" s="99">
        <v>0</v>
      </c>
      <c r="I20" s="263">
        <v>75000</v>
      </c>
      <c r="J20" s="101">
        <f t="shared" si="3"/>
        <v>75000</v>
      </c>
    </row>
    <row r="21" spans="2:10" x14ac:dyDescent="0.35">
      <c r="B21" s="26" t="s">
        <v>169</v>
      </c>
      <c r="C21" s="299">
        <v>0</v>
      </c>
      <c r="D21" s="28"/>
      <c r="E21" s="29">
        <f t="shared" si="2"/>
        <v>0</v>
      </c>
      <c r="F21" s="60"/>
      <c r="G21" s="264" t="s">
        <v>169</v>
      </c>
      <c r="H21" s="100">
        <v>0</v>
      </c>
      <c r="I21" s="265"/>
      <c r="J21" s="102">
        <f t="shared" si="3"/>
        <v>0</v>
      </c>
    </row>
    <row r="22" spans="2:10" ht="31" x14ac:dyDescent="0.35">
      <c r="B22" s="26" t="s">
        <v>170</v>
      </c>
      <c r="C22" s="27">
        <v>0</v>
      </c>
      <c r="D22" s="27"/>
      <c r="E22" s="29">
        <f t="shared" si="2"/>
        <v>0</v>
      </c>
      <c r="F22" s="60"/>
      <c r="G22" s="264" t="s">
        <v>170</v>
      </c>
      <c r="H22" s="100">
        <v>0</v>
      </c>
      <c r="I22" s="100"/>
      <c r="J22" s="102">
        <f t="shared" si="3"/>
        <v>0</v>
      </c>
    </row>
    <row r="23" spans="2:10" x14ac:dyDescent="0.35">
      <c r="B23" s="30" t="s">
        <v>171</v>
      </c>
      <c r="C23" s="27">
        <v>90599</v>
      </c>
      <c r="D23" s="27"/>
      <c r="E23" s="29">
        <f t="shared" si="2"/>
        <v>90599</v>
      </c>
      <c r="F23" s="60"/>
      <c r="G23" s="266" t="s">
        <v>171</v>
      </c>
      <c r="H23" s="100">
        <v>90599</v>
      </c>
      <c r="I23" s="100"/>
      <c r="J23" s="102">
        <f t="shared" si="3"/>
        <v>90599</v>
      </c>
    </row>
    <row r="24" spans="2:10" x14ac:dyDescent="0.35">
      <c r="B24" s="26" t="s">
        <v>172</v>
      </c>
      <c r="C24" s="27">
        <v>0</v>
      </c>
      <c r="D24" s="27"/>
      <c r="E24" s="29">
        <f t="shared" si="2"/>
        <v>0</v>
      </c>
      <c r="F24" s="60"/>
      <c r="G24" s="264" t="s">
        <v>172</v>
      </c>
      <c r="H24" s="100">
        <v>0</v>
      </c>
      <c r="I24" s="100"/>
      <c r="J24" s="102">
        <f t="shared" si="3"/>
        <v>0</v>
      </c>
    </row>
    <row r="25" spans="2:10" ht="31" x14ac:dyDescent="0.35">
      <c r="B25" s="26" t="s">
        <v>173</v>
      </c>
      <c r="C25" s="27">
        <v>0</v>
      </c>
      <c r="D25" s="27"/>
      <c r="E25" s="29">
        <f t="shared" si="2"/>
        <v>0</v>
      </c>
      <c r="F25" s="60"/>
      <c r="G25" s="264" t="s">
        <v>173</v>
      </c>
      <c r="H25" s="100">
        <v>0</v>
      </c>
      <c r="I25" s="100"/>
      <c r="J25" s="102">
        <f t="shared" si="3"/>
        <v>0</v>
      </c>
    </row>
    <row r="26" spans="2:10" ht="31" x14ac:dyDescent="0.35">
      <c r="B26" s="26" t="s">
        <v>174</v>
      </c>
      <c r="C26" s="27">
        <v>0</v>
      </c>
      <c r="D26" s="27"/>
      <c r="E26" s="29">
        <f t="shared" si="2"/>
        <v>0</v>
      </c>
      <c r="F26" s="60"/>
      <c r="G26" s="264" t="s">
        <v>174</v>
      </c>
      <c r="H26" s="100">
        <v>0</v>
      </c>
      <c r="I26" s="100"/>
      <c r="J26" s="102">
        <f t="shared" si="3"/>
        <v>0</v>
      </c>
    </row>
    <row r="27" spans="2:10" ht="16" thickBot="1" x14ac:dyDescent="0.4">
      <c r="B27" s="31" t="s">
        <v>175</v>
      </c>
      <c r="C27" s="29">
        <f>SUM(C20:C26)</f>
        <v>90599</v>
      </c>
      <c r="D27" s="29">
        <f>SUM(D20:D26)</f>
        <v>75000</v>
      </c>
      <c r="E27" s="29">
        <f>SUM(E20:E26)</f>
        <v>165599</v>
      </c>
      <c r="F27" s="60"/>
      <c r="G27" s="267" t="s">
        <v>175</v>
      </c>
      <c r="H27" s="259">
        <f>SUM(H20:H26)</f>
        <v>90599</v>
      </c>
      <c r="I27" s="259">
        <f>SUM(I20:I26)</f>
        <v>75000</v>
      </c>
      <c r="J27" s="102">
        <f t="shared" si="3"/>
        <v>165599</v>
      </c>
    </row>
    <row r="28" spans="2:10" s="34" customFormat="1" x14ac:dyDescent="0.35">
      <c r="B28" s="35"/>
      <c r="C28" s="36"/>
      <c r="D28" s="36"/>
      <c r="E28" s="38"/>
      <c r="F28" s="60"/>
      <c r="G28" s="268"/>
      <c r="H28" s="269"/>
      <c r="I28" s="269"/>
      <c r="J28" s="271"/>
    </row>
    <row r="29" spans="2:10" ht="15.75" customHeight="1" x14ac:dyDescent="0.35">
      <c r="B29" s="635" t="s">
        <v>178</v>
      </c>
      <c r="C29" s="636"/>
      <c r="D29" s="636"/>
      <c r="E29" s="637"/>
      <c r="F29" s="60"/>
      <c r="G29" s="645" t="s">
        <v>178</v>
      </c>
      <c r="H29" s="646"/>
      <c r="I29" s="646"/>
      <c r="J29" s="647"/>
    </row>
    <row r="30" spans="2:10" ht="21.75" customHeight="1" thickBot="1" x14ac:dyDescent="0.4">
      <c r="B30" s="20" t="s">
        <v>179</v>
      </c>
      <c r="C30" s="21">
        <v>25000</v>
      </c>
      <c r="D30" s="21">
        <f>'[1]1) Tableau budgétaire 1'!E36</f>
        <v>0</v>
      </c>
      <c r="E30" s="22">
        <f t="shared" ref="E30:E37" si="4">SUM(C30:D30)</f>
        <v>25000</v>
      </c>
      <c r="F30" s="60"/>
      <c r="G30" s="261" t="s">
        <v>179</v>
      </c>
      <c r="H30" s="259">
        <f>'1)Tableau budgétaire 1'!R69</f>
        <v>25000</v>
      </c>
      <c r="I30" s="259">
        <f>'[2]1) Tableau budgétaire 1'!E36</f>
        <v>0</v>
      </c>
      <c r="J30" s="103">
        <f t="shared" ref="J30:J38" si="5">SUM(H30:I30)</f>
        <v>25000</v>
      </c>
    </row>
    <row r="31" spans="2:10" x14ac:dyDescent="0.35">
      <c r="B31" s="23" t="s">
        <v>168</v>
      </c>
      <c r="C31" s="24"/>
      <c r="D31" s="24"/>
      <c r="E31" s="25">
        <f t="shared" si="4"/>
        <v>0</v>
      </c>
      <c r="F31" s="60"/>
      <c r="G31" s="262" t="s">
        <v>168</v>
      </c>
      <c r="H31" s="99">
        <v>0</v>
      </c>
      <c r="I31" s="263"/>
      <c r="J31" s="101">
        <f t="shared" si="5"/>
        <v>0</v>
      </c>
    </row>
    <row r="32" spans="2:10" s="34" customFormat="1" ht="15.75" customHeight="1" x14ac:dyDescent="0.35">
      <c r="B32" s="26" t="s">
        <v>169</v>
      </c>
      <c r="C32" s="299">
        <v>0</v>
      </c>
      <c r="D32" s="28"/>
      <c r="E32" s="29">
        <f t="shared" si="4"/>
        <v>0</v>
      </c>
      <c r="F32" s="60"/>
      <c r="G32" s="264" t="s">
        <v>169</v>
      </c>
      <c r="H32" s="100">
        <v>0</v>
      </c>
      <c r="I32" s="265"/>
      <c r="J32" s="102">
        <f t="shared" si="5"/>
        <v>0</v>
      </c>
    </row>
    <row r="33" spans="2:10" s="34" customFormat="1" ht="31" x14ac:dyDescent="0.35">
      <c r="B33" s="26" t="s">
        <v>170</v>
      </c>
      <c r="C33" s="27">
        <v>0</v>
      </c>
      <c r="D33" s="27"/>
      <c r="E33" s="29">
        <f t="shared" si="4"/>
        <v>0</v>
      </c>
      <c r="F33" s="60"/>
      <c r="G33" s="264" t="s">
        <v>170</v>
      </c>
      <c r="H33" s="100">
        <v>0</v>
      </c>
      <c r="I33" s="100"/>
      <c r="J33" s="102">
        <f t="shared" si="5"/>
        <v>0</v>
      </c>
    </row>
    <row r="34" spans="2:10" s="34" customFormat="1" x14ac:dyDescent="0.35">
      <c r="B34" s="30" t="s">
        <v>171</v>
      </c>
      <c r="C34" s="27">
        <v>25000</v>
      </c>
      <c r="D34" s="27"/>
      <c r="E34" s="29">
        <f t="shared" si="4"/>
        <v>25000</v>
      </c>
      <c r="F34" s="60"/>
      <c r="G34" s="266" t="s">
        <v>171</v>
      </c>
      <c r="H34" s="100">
        <v>25000</v>
      </c>
      <c r="I34" s="100"/>
      <c r="J34" s="102">
        <f t="shared" si="5"/>
        <v>25000</v>
      </c>
    </row>
    <row r="35" spans="2:10" x14ac:dyDescent="0.35">
      <c r="B35" s="26" t="s">
        <v>172</v>
      </c>
      <c r="C35" s="27">
        <v>0</v>
      </c>
      <c r="D35" s="27"/>
      <c r="E35" s="29">
        <f t="shared" si="4"/>
        <v>0</v>
      </c>
      <c r="F35" s="60"/>
      <c r="G35" s="264" t="s">
        <v>172</v>
      </c>
      <c r="H35" s="100">
        <v>0</v>
      </c>
      <c r="I35" s="100"/>
      <c r="J35" s="102">
        <f t="shared" si="5"/>
        <v>0</v>
      </c>
    </row>
    <row r="36" spans="2:10" ht="31" x14ac:dyDescent="0.35">
      <c r="B36" s="26" t="s">
        <v>173</v>
      </c>
      <c r="C36" s="27">
        <v>0</v>
      </c>
      <c r="D36" s="27"/>
      <c r="E36" s="29">
        <f t="shared" si="4"/>
        <v>0</v>
      </c>
      <c r="F36" s="60"/>
      <c r="G36" s="264" t="s">
        <v>173</v>
      </c>
      <c r="H36" s="100">
        <v>0</v>
      </c>
      <c r="I36" s="100"/>
      <c r="J36" s="102">
        <f t="shared" si="5"/>
        <v>0</v>
      </c>
    </row>
    <row r="37" spans="2:10" ht="31" x14ac:dyDescent="0.35">
      <c r="B37" s="26" t="s">
        <v>174</v>
      </c>
      <c r="C37" s="27">
        <v>0</v>
      </c>
      <c r="D37" s="27"/>
      <c r="E37" s="29">
        <f t="shared" si="4"/>
        <v>0</v>
      </c>
      <c r="F37" s="60"/>
      <c r="G37" s="264" t="s">
        <v>174</v>
      </c>
      <c r="H37" s="100">
        <v>0</v>
      </c>
      <c r="I37" s="100"/>
      <c r="J37" s="102">
        <f t="shared" si="5"/>
        <v>0</v>
      </c>
    </row>
    <row r="38" spans="2:10" ht="16" thickBot="1" x14ac:dyDescent="0.4">
      <c r="B38" s="39" t="s">
        <v>175</v>
      </c>
      <c r="C38" s="29">
        <f>SUM(C31:C37)</f>
        <v>25000</v>
      </c>
      <c r="D38" s="29">
        <f>SUM(D31:D37)</f>
        <v>0</v>
      </c>
      <c r="E38" s="29">
        <f>SUM(E31:E37)</f>
        <v>25000</v>
      </c>
      <c r="F38" s="60"/>
      <c r="G38" s="272" t="s">
        <v>175</v>
      </c>
      <c r="H38" s="259">
        <f>SUM(H31:H37)</f>
        <v>25000</v>
      </c>
      <c r="I38" s="259">
        <f>SUM(I31:I37)</f>
        <v>0</v>
      </c>
      <c r="J38" s="273">
        <f t="shared" si="5"/>
        <v>25000</v>
      </c>
    </row>
    <row r="39" spans="2:10" x14ac:dyDescent="0.35">
      <c r="B39" s="40"/>
      <c r="C39" s="41"/>
      <c r="D39" s="41"/>
      <c r="E39" s="42"/>
      <c r="F39" s="60"/>
      <c r="G39" s="274"/>
      <c r="H39" s="275"/>
      <c r="I39" s="275"/>
      <c r="J39" s="276"/>
    </row>
    <row r="40" spans="2:10" s="34" customFormat="1" ht="15.75" customHeight="1" x14ac:dyDescent="0.35">
      <c r="B40" s="638" t="s">
        <v>180</v>
      </c>
      <c r="C40" s="639"/>
      <c r="D40" s="639"/>
      <c r="E40" s="640"/>
      <c r="F40" s="60"/>
      <c r="G40" s="648" t="s">
        <v>180</v>
      </c>
      <c r="H40" s="649"/>
      <c r="I40" s="649"/>
      <c r="J40" s="650"/>
    </row>
    <row r="41" spans="2:10" ht="20.25" customHeight="1" thickBot="1" x14ac:dyDescent="0.4">
      <c r="B41" s="20" t="s">
        <v>181</v>
      </c>
      <c r="C41" s="21">
        <v>368528</v>
      </c>
      <c r="D41" s="21">
        <f>'[1]1) Tableau budgétaire 1'!E46</f>
        <v>0</v>
      </c>
      <c r="E41" s="22">
        <f t="shared" ref="E41:E48" si="6">SUM(C41:D41)</f>
        <v>368528</v>
      </c>
      <c r="F41" s="60"/>
      <c r="G41" s="261" t="s">
        <v>181</v>
      </c>
      <c r="H41" s="259">
        <v>368528</v>
      </c>
      <c r="I41" s="259">
        <v>0</v>
      </c>
      <c r="J41" s="259">
        <v>368528</v>
      </c>
    </row>
    <row r="42" spans="2:10" x14ac:dyDescent="0.35">
      <c r="B42" s="23" t="s">
        <v>168</v>
      </c>
      <c r="C42" s="24"/>
      <c r="D42" s="24"/>
      <c r="E42" s="25">
        <f t="shared" si="6"/>
        <v>0</v>
      </c>
      <c r="F42" s="60"/>
      <c r="G42" s="262" t="s">
        <v>168</v>
      </c>
      <c r="H42" s="99"/>
      <c r="I42" s="263"/>
      <c r="J42" s="101"/>
    </row>
    <row r="43" spans="2:10" ht="15.75" customHeight="1" x14ac:dyDescent="0.35">
      <c r="B43" s="26" t="s">
        <v>169</v>
      </c>
      <c r="C43" s="28"/>
      <c r="D43" s="28"/>
      <c r="E43" s="29">
        <f t="shared" si="6"/>
        <v>0</v>
      </c>
      <c r="F43" s="60"/>
      <c r="G43" s="264" t="s">
        <v>169</v>
      </c>
      <c r="H43" s="100"/>
      <c r="I43" s="265"/>
      <c r="J43" s="102"/>
    </row>
    <row r="44" spans="2:10" ht="32.25" customHeight="1" x14ac:dyDescent="0.35">
      <c r="B44" s="26" t="s">
        <v>170</v>
      </c>
      <c r="C44" s="27"/>
      <c r="D44" s="27"/>
      <c r="E44" s="29">
        <f t="shared" si="6"/>
        <v>0</v>
      </c>
      <c r="F44" s="60"/>
      <c r="G44" s="264" t="s">
        <v>170</v>
      </c>
      <c r="H44" s="100"/>
      <c r="I44" s="100"/>
      <c r="J44" s="102"/>
    </row>
    <row r="45" spans="2:10" s="34" customFormat="1" x14ac:dyDescent="0.35">
      <c r="B45" s="30" t="s">
        <v>171</v>
      </c>
      <c r="C45" s="27">
        <v>368528</v>
      </c>
      <c r="D45" s="27"/>
      <c r="E45" s="29">
        <f t="shared" si="6"/>
        <v>368528</v>
      </c>
      <c r="F45" s="60"/>
      <c r="G45" s="266" t="s">
        <v>171</v>
      </c>
      <c r="H45" s="100">
        <v>368528</v>
      </c>
      <c r="I45" s="100"/>
      <c r="J45" s="102"/>
    </row>
    <row r="46" spans="2:10" x14ac:dyDescent="0.35">
      <c r="B46" s="26" t="s">
        <v>172</v>
      </c>
      <c r="C46" s="27"/>
      <c r="D46" s="27"/>
      <c r="E46" s="29">
        <f t="shared" si="6"/>
        <v>0</v>
      </c>
      <c r="F46" s="60"/>
      <c r="G46" s="264" t="s">
        <v>172</v>
      </c>
      <c r="H46" s="100"/>
      <c r="I46" s="100"/>
      <c r="J46" s="102"/>
    </row>
    <row r="47" spans="2:10" ht="31" x14ac:dyDescent="0.35">
      <c r="B47" s="26" t="s">
        <v>173</v>
      </c>
      <c r="C47" s="27"/>
      <c r="D47" s="27"/>
      <c r="E47" s="29">
        <f t="shared" si="6"/>
        <v>0</v>
      </c>
      <c r="F47" s="60"/>
      <c r="G47" s="264" t="s">
        <v>173</v>
      </c>
      <c r="H47" s="100"/>
      <c r="I47" s="100"/>
      <c r="J47" s="102"/>
    </row>
    <row r="48" spans="2:10" ht="31" x14ac:dyDescent="0.35">
      <c r="B48" s="26" t="s">
        <v>174</v>
      </c>
      <c r="C48" s="27"/>
      <c r="D48" s="27"/>
      <c r="E48" s="29">
        <f t="shared" si="6"/>
        <v>0</v>
      </c>
      <c r="F48" s="60"/>
      <c r="G48" s="264" t="s">
        <v>174</v>
      </c>
      <c r="H48" s="100"/>
      <c r="I48" s="100"/>
      <c r="J48" s="102"/>
    </row>
    <row r="49" spans="1:10" ht="21" customHeight="1" thickBot="1" x14ac:dyDescent="0.4">
      <c r="B49" s="31" t="s">
        <v>175</v>
      </c>
      <c r="C49" s="29">
        <f>SUM(C42:C48)</f>
        <v>368528</v>
      </c>
      <c r="D49" s="29">
        <f>SUM(D42:D48)</f>
        <v>0</v>
      </c>
      <c r="E49" s="29">
        <f>SUM(E42:E48)</f>
        <v>368528</v>
      </c>
      <c r="F49" s="60"/>
      <c r="G49" s="267" t="s">
        <v>175</v>
      </c>
      <c r="H49" s="259">
        <f>SUM(H42:H48)</f>
        <v>368528</v>
      </c>
      <c r="I49" s="259">
        <f>SUM(I42:I48)</f>
        <v>0</v>
      </c>
      <c r="J49" s="102">
        <f>SUM(H49:I49)</f>
        <v>368528</v>
      </c>
    </row>
    <row r="50" spans="1:10" s="34" customFormat="1" ht="22.5" customHeight="1" x14ac:dyDescent="0.35">
      <c r="B50" s="43"/>
      <c r="C50" s="36"/>
      <c r="D50" s="36"/>
      <c r="E50" s="38"/>
      <c r="F50" s="60"/>
      <c r="G50" s="277"/>
      <c r="H50" s="269"/>
      <c r="I50" s="269"/>
      <c r="J50" s="271"/>
    </row>
    <row r="51" spans="1:10" ht="15.75" customHeight="1" x14ac:dyDescent="0.35">
      <c r="A51" s="635" t="s">
        <v>182</v>
      </c>
      <c r="B51" s="636"/>
      <c r="C51" s="636"/>
      <c r="D51" s="636"/>
      <c r="E51" s="637"/>
      <c r="F51" s="60"/>
      <c r="G51" s="646"/>
      <c r="H51" s="646"/>
      <c r="I51" s="646"/>
      <c r="J51" s="647"/>
    </row>
    <row r="52" spans="1:10" ht="24.75" customHeight="1" x14ac:dyDescent="0.35">
      <c r="B52" s="635" t="s">
        <v>41</v>
      </c>
      <c r="C52" s="636"/>
      <c r="D52" s="636"/>
      <c r="E52" s="637"/>
      <c r="F52" s="60"/>
      <c r="G52" s="645" t="s">
        <v>41</v>
      </c>
      <c r="H52" s="646"/>
      <c r="I52" s="646"/>
      <c r="J52" s="647"/>
    </row>
    <row r="53" spans="1:10" ht="33.75" customHeight="1" thickBot="1" x14ac:dyDescent="0.4">
      <c r="B53" s="20" t="s">
        <v>183</v>
      </c>
      <c r="C53" s="21">
        <v>40800</v>
      </c>
      <c r="D53" s="21">
        <f>'[1]1) Tableau budgétaire 1'!E58</f>
        <v>0</v>
      </c>
      <c r="E53" s="22">
        <f t="shared" ref="E53:E60" si="7">SUM(C53:D53)</f>
        <v>40800</v>
      </c>
      <c r="F53" s="60"/>
      <c r="G53" s="261" t="s">
        <v>183</v>
      </c>
      <c r="H53" s="259">
        <f>'1)Tableau budgétaire 1'!R141</f>
        <v>40800</v>
      </c>
      <c r="I53" s="259">
        <f>'[2]1) Tableau budgétaire 1'!E58</f>
        <v>0</v>
      </c>
      <c r="J53" s="103">
        <f t="shared" ref="J53:J61" si="8">SUM(H53:I53)</f>
        <v>40800</v>
      </c>
    </row>
    <row r="54" spans="1:10" ht="15.75" customHeight="1" x14ac:dyDescent="0.35">
      <c r="B54" s="23" t="s">
        <v>168</v>
      </c>
      <c r="C54" s="298">
        <v>0</v>
      </c>
      <c r="D54" s="24"/>
      <c r="E54" s="25">
        <f t="shared" si="7"/>
        <v>0</v>
      </c>
      <c r="F54" s="60"/>
      <c r="G54" s="262" t="s">
        <v>168</v>
      </c>
      <c r="H54" s="99">
        <v>0</v>
      </c>
      <c r="I54" s="263"/>
      <c r="J54" s="101">
        <f t="shared" si="8"/>
        <v>0</v>
      </c>
    </row>
    <row r="55" spans="1:10" ht="15.75" customHeight="1" x14ac:dyDescent="0.35">
      <c r="B55" s="26" t="s">
        <v>169</v>
      </c>
      <c r="C55" s="299">
        <v>0</v>
      </c>
      <c r="D55" s="28"/>
      <c r="E55" s="29">
        <f t="shared" si="7"/>
        <v>0</v>
      </c>
      <c r="F55" s="60"/>
      <c r="G55" s="264" t="s">
        <v>169</v>
      </c>
      <c r="H55" s="100"/>
      <c r="I55" s="265"/>
      <c r="J55" s="102">
        <f t="shared" si="8"/>
        <v>0</v>
      </c>
    </row>
    <row r="56" spans="1:10" ht="15.75" customHeight="1" x14ac:dyDescent="0.35">
      <c r="B56" s="26" t="s">
        <v>170</v>
      </c>
      <c r="C56" s="27">
        <v>0</v>
      </c>
      <c r="D56" s="27"/>
      <c r="E56" s="29">
        <f t="shared" si="7"/>
        <v>0</v>
      </c>
      <c r="F56" s="60"/>
      <c r="G56" s="264" t="s">
        <v>170</v>
      </c>
      <c r="H56" s="100"/>
      <c r="I56" s="100"/>
      <c r="J56" s="102">
        <f t="shared" si="8"/>
        <v>0</v>
      </c>
    </row>
    <row r="57" spans="1:10" ht="18.75" customHeight="1" x14ac:dyDescent="0.35">
      <c r="B57" s="30" t="s">
        <v>171</v>
      </c>
      <c r="C57" s="27">
        <v>40800</v>
      </c>
      <c r="D57" s="27"/>
      <c r="E57" s="29">
        <f t="shared" si="7"/>
        <v>40800</v>
      </c>
      <c r="F57" s="60"/>
      <c r="G57" s="266" t="s">
        <v>171</v>
      </c>
      <c r="H57" s="100">
        <v>40800</v>
      </c>
      <c r="I57" s="100"/>
      <c r="J57" s="102">
        <f t="shared" si="8"/>
        <v>40800</v>
      </c>
    </row>
    <row r="58" spans="1:10" x14ac:dyDescent="0.35">
      <c r="B58" s="26" t="s">
        <v>172</v>
      </c>
      <c r="C58" s="27">
        <v>0</v>
      </c>
      <c r="D58" s="27"/>
      <c r="E58" s="29">
        <f t="shared" si="7"/>
        <v>0</v>
      </c>
      <c r="F58" s="60"/>
      <c r="G58" s="264" t="s">
        <v>172</v>
      </c>
      <c r="H58" s="100"/>
      <c r="I58" s="100"/>
      <c r="J58" s="102">
        <f t="shared" si="8"/>
        <v>0</v>
      </c>
    </row>
    <row r="59" spans="1:10" s="34" customFormat="1" ht="30" customHeight="1" x14ac:dyDescent="0.35">
      <c r="A59" s="16"/>
      <c r="B59" s="26" t="s">
        <v>173</v>
      </c>
      <c r="C59" s="27">
        <v>0</v>
      </c>
      <c r="D59" s="27"/>
      <c r="E59" s="29">
        <f t="shared" si="7"/>
        <v>0</v>
      </c>
      <c r="F59" s="60"/>
      <c r="G59" s="264" t="s">
        <v>173</v>
      </c>
      <c r="H59" s="100">
        <v>0</v>
      </c>
      <c r="I59" s="100"/>
      <c r="J59" s="102">
        <f t="shared" si="8"/>
        <v>0</v>
      </c>
    </row>
    <row r="60" spans="1:10" s="34" customFormat="1" ht="32.25" customHeight="1" x14ac:dyDescent="0.35">
      <c r="A60" s="16"/>
      <c r="B60" s="26" t="s">
        <v>174</v>
      </c>
      <c r="C60" s="27">
        <v>0</v>
      </c>
      <c r="D60" s="27"/>
      <c r="E60" s="29">
        <f t="shared" si="7"/>
        <v>0</v>
      </c>
      <c r="F60" s="60"/>
      <c r="G60" s="264" t="s">
        <v>174</v>
      </c>
      <c r="H60" s="100">
        <v>0</v>
      </c>
      <c r="I60" s="100"/>
      <c r="J60" s="102">
        <f t="shared" si="8"/>
        <v>0</v>
      </c>
    </row>
    <row r="61" spans="1:10" ht="16" thickBot="1" x14ac:dyDescent="0.4">
      <c r="B61" s="31" t="s">
        <v>175</v>
      </c>
      <c r="C61" s="29">
        <f>SUM(C54:C60)</f>
        <v>40800</v>
      </c>
      <c r="D61" s="29">
        <f>SUM(D54:D60)</f>
        <v>0</v>
      </c>
      <c r="E61" s="29">
        <f>SUM(E54:E60)</f>
        <v>40800</v>
      </c>
      <c r="F61" s="60"/>
      <c r="G61" s="267" t="s">
        <v>175</v>
      </c>
      <c r="H61" s="259">
        <f>SUM(H54:H60)</f>
        <v>40800</v>
      </c>
      <c r="I61" s="259">
        <f>SUM(I54:I60)</f>
        <v>0</v>
      </c>
      <c r="J61" s="102">
        <f t="shared" si="8"/>
        <v>40800</v>
      </c>
    </row>
    <row r="62" spans="1:10" s="34" customFormat="1" x14ac:dyDescent="0.35">
      <c r="B62" s="35"/>
      <c r="C62" s="36"/>
      <c r="D62" s="36"/>
      <c r="E62" s="38"/>
      <c r="F62" s="60"/>
      <c r="G62" s="268"/>
      <c r="H62" s="269"/>
      <c r="I62" s="269"/>
      <c r="J62" s="271"/>
    </row>
    <row r="63" spans="1:10" ht="15.75" customHeight="1" x14ac:dyDescent="0.35">
      <c r="A63" s="34"/>
      <c r="B63" s="635" t="s">
        <v>48</v>
      </c>
      <c r="C63" s="636"/>
      <c r="D63" s="636"/>
      <c r="E63" s="637"/>
      <c r="F63" s="60"/>
      <c r="G63" s="645" t="s">
        <v>48</v>
      </c>
      <c r="H63" s="646"/>
      <c r="I63" s="646"/>
      <c r="J63" s="647"/>
    </row>
    <row r="64" spans="1:10" ht="21.75" customHeight="1" thickBot="1" x14ac:dyDescent="0.4">
      <c r="B64" s="20" t="s">
        <v>184</v>
      </c>
      <c r="C64" s="21">
        <v>205000</v>
      </c>
      <c r="D64" s="21">
        <f>'[1]1) Tableau budgétaire 1'!E68</f>
        <v>0</v>
      </c>
      <c r="E64" s="22">
        <f t="shared" ref="E64:E71" si="9">SUM(C64:D64)</f>
        <v>205000</v>
      </c>
      <c r="F64" s="60"/>
      <c r="G64" s="261" t="s">
        <v>184</v>
      </c>
      <c r="H64" s="259">
        <f>'1)Tableau budgétaire 1'!R163</f>
        <v>205000</v>
      </c>
      <c r="I64" s="259">
        <f>'[2]1) Tableau budgétaire 1'!E68</f>
        <v>0</v>
      </c>
      <c r="J64" s="103">
        <f t="shared" ref="J64:J72" si="10">SUM(H64:I64)</f>
        <v>205000</v>
      </c>
    </row>
    <row r="65" spans="1:10" ht="15.75" customHeight="1" x14ac:dyDescent="0.35">
      <c r="B65" s="23" t="s">
        <v>168</v>
      </c>
      <c r="C65" s="298">
        <v>0</v>
      </c>
      <c r="D65" s="24"/>
      <c r="E65" s="25">
        <f t="shared" si="9"/>
        <v>0</v>
      </c>
      <c r="F65" s="60"/>
      <c r="G65" s="262" t="s">
        <v>168</v>
      </c>
      <c r="H65" s="99">
        <v>0</v>
      </c>
      <c r="I65" s="263"/>
      <c r="J65" s="101">
        <f t="shared" si="10"/>
        <v>0</v>
      </c>
    </row>
    <row r="66" spans="1:10" ht="15.75" customHeight="1" x14ac:dyDescent="0.35">
      <c r="B66" s="26" t="s">
        <v>169</v>
      </c>
      <c r="C66" s="299"/>
      <c r="D66" s="28"/>
      <c r="E66" s="29">
        <f t="shared" si="9"/>
        <v>0</v>
      </c>
      <c r="F66" s="60"/>
      <c r="G66" s="264" t="s">
        <v>169</v>
      </c>
      <c r="H66" s="100"/>
      <c r="I66" s="265"/>
      <c r="J66" s="102">
        <f t="shared" si="10"/>
        <v>0</v>
      </c>
    </row>
    <row r="67" spans="1:10" ht="15.75" customHeight="1" x14ac:dyDescent="0.35">
      <c r="B67" s="26" t="s">
        <v>170</v>
      </c>
      <c r="C67" s="27"/>
      <c r="D67" s="27"/>
      <c r="E67" s="29">
        <f t="shared" si="9"/>
        <v>0</v>
      </c>
      <c r="F67" s="60"/>
      <c r="G67" s="264" t="s">
        <v>170</v>
      </c>
      <c r="H67" s="100"/>
      <c r="I67" s="100"/>
      <c r="J67" s="102">
        <f t="shared" si="10"/>
        <v>0</v>
      </c>
    </row>
    <row r="68" spans="1:10" x14ac:dyDescent="0.35">
      <c r="B68" s="30" t="s">
        <v>171</v>
      </c>
      <c r="C68" s="27">
        <v>205000</v>
      </c>
      <c r="D68" s="27"/>
      <c r="E68" s="29">
        <f t="shared" si="9"/>
        <v>205000</v>
      </c>
      <c r="F68" s="60"/>
      <c r="G68" s="266" t="s">
        <v>171</v>
      </c>
      <c r="H68" s="100">
        <v>205000</v>
      </c>
      <c r="I68" s="100"/>
      <c r="J68" s="102">
        <f t="shared" si="10"/>
        <v>205000</v>
      </c>
    </row>
    <row r="69" spans="1:10" x14ac:dyDescent="0.35">
      <c r="B69" s="26" t="s">
        <v>172</v>
      </c>
      <c r="C69" s="27"/>
      <c r="D69" s="27"/>
      <c r="E69" s="29">
        <f t="shared" si="9"/>
        <v>0</v>
      </c>
      <c r="F69" s="60"/>
      <c r="G69" s="264" t="s">
        <v>172</v>
      </c>
      <c r="H69" s="100"/>
      <c r="I69" s="100"/>
      <c r="J69" s="102">
        <f t="shared" si="10"/>
        <v>0</v>
      </c>
    </row>
    <row r="70" spans="1:10" ht="31" x14ac:dyDescent="0.35">
      <c r="B70" s="26" t="s">
        <v>173</v>
      </c>
      <c r="C70" s="27">
        <v>0</v>
      </c>
      <c r="D70" s="27"/>
      <c r="E70" s="29">
        <f t="shared" si="9"/>
        <v>0</v>
      </c>
      <c r="F70" s="60"/>
      <c r="G70" s="264" t="s">
        <v>173</v>
      </c>
      <c r="H70" s="100">
        <v>0</v>
      </c>
      <c r="I70" s="100"/>
      <c r="J70" s="102">
        <f t="shared" si="10"/>
        <v>0</v>
      </c>
    </row>
    <row r="71" spans="1:10" ht="31" x14ac:dyDescent="0.35">
      <c r="B71" s="26" t="s">
        <v>174</v>
      </c>
      <c r="C71" s="27">
        <v>0</v>
      </c>
      <c r="D71" s="27"/>
      <c r="E71" s="29">
        <f t="shared" si="9"/>
        <v>0</v>
      </c>
      <c r="F71" s="60"/>
      <c r="G71" s="264" t="s">
        <v>174</v>
      </c>
      <c r="H71" s="100">
        <v>0</v>
      </c>
      <c r="I71" s="100"/>
      <c r="J71" s="102">
        <f t="shared" si="10"/>
        <v>0</v>
      </c>
    </row>
    <row r="72" spans="1:10" ht="16" thickBot="1" x14ac:dyDescent="0.4">
      <c r="B72" s="31" t="s">
        <v>175</v>
      </c>
      <c r="C72" s="29">
        <f>SUM(C65:C71)</f>
        <v>205000</v>
      </c>
      <c r="D72" s="29">
        <f>SUM(D65:D71)</f>
        <v>0</v>
      </c>
      <c r="E72" s="29">
        <f>SUM(E65:E71)</f>
        <v>205000</v>
      </c>
      <c r="F72" s="60"/>
      <c r="G72" s="267" t="s">
        <v>175</v>
      </c>
      <c r="H72" s="259">
        <f>SUM(H65:H71)</f>
        <v>205000</v>
      </c>
      <c r="I72" s="259">
        <f>SUM(I65:I71)</f>
        <v>0</v>
      </c>
      <c r="J72" s="102">
        <f t="shared" si="10"/>
        <v>205000</v>
      </c>
    </row>
    <row r="73" spans="1:10" s="34" customFormat="1" x14ac:dyDescent="0.35">
      <c r="B73" s="35"/>
      <c r="C73" s="36"/>
      <c r="D73" s="36"/>
      <c r="E73" s="38"/>
      <c r="F73" s="60"/>
      <c r="G73" s="268"/>
      <c r="H73" s="269"/>
      <c r="I73" s="269"/>
      <c r="J73" s="271"/>
    </row>
    <row r="74" spans="1:10" ht="15.75" customHeight="1" x14ac:dyDescent="0.35">
      <c r="B74" s="635" t="s">
        <v>54</v>
      </c>
      <c r="C74" s="636"/>
      <c r="D74" s="636"/>
      <c r="E74" s="637"/>
      <c r="F74" s="60"/>
      <c r="G74" s="645" t="s">
        <v>54</v>
      </c>
      <c r="H74" s="646"/>
      <c r="I74" s="646"/>
      <c r="J74" s="647"/>
    </row>
    <row r="75" spans="1:10" ht="21.75" customHeight="1" thickBot="1" x14ac:dyDescent="0.4">
      <c r="A75" s="34"/>
      <c r="B75" s="20" t="s">
        <v>185</v>
      </c>
      <c r="C75" s="21">
        <v>160000</v>
      </c>
      <c r="D75" s="21">
        <v>0</v>
      </c>
      <c r="E75" s="22">
        <f t="shared" ref="E75:E83" si="11">SUM(C75:D75)</f>
        <v>160000</v>
      </c>
      <c r="F75" s="60"/>
      <c r="G75" s="261" t="s">
        <v>185</v>
      </c>
      <c r="H75" s="259">
        <v>160000</v>
      </c>
      <c r="I75" s="259">
        <f>'[2]1) Tableau budgétaire 1'!E78</f>
        <v>0</v>
      </c>
      <c r="J75" s="103">
        <f t="shared" ref="J75:J83" si="12">SUM(H75:I75)</f>
        <v>160000</v>
      </c>
    </row>
    <row r="76" spans="1:10" ht="18" customHeight="1" x14ac:dyDescent="0.35">
      <c r="B76" s="23" t="s">
        <v>168</v>
      </c>
      <c r="C76" s="24"/>
      <c r="D76" s="24"/>
      <c r="E76" s="25">
        <f t="shared" si="11"/>
        <v>0</v>
      </c>
      <c r="F76" s="60"/>
      <c r="G76" s="262" t="s">
        <v>168</v>
      </c>
      <c r="H76" s="99"/>
      <c r="I76" s="263"/>
      <c r="J76" s="101">
        <f t="shared" si="12"/>
        <v>0</v>
      </c>
    </row>
    <row r="77" spans="1:10" ht="15.75" customHeight="1" x14ac:dyDescent="0.35">
      <c r="B77" s="26" t="s">
        <v>169</v>
      </c>
      <c r="C77" s="28"/>
      <c r="D77" s="28"/>
      <c r="E77" s="29">
        <f t="shared" si="11"/>
        <v>0</v>
      </c>
      <c r="F77" s="60"/>
      <c r="G77" s="264" t="s">
        <v>169</v>
      </c>
      <c r="H77" s="100"/>
      <c r="I77" s="265"/>
      <c r="J77" s="102">
        <f t="shared" si="12"/>
        <v>0</v>
      </c>
    </row>
    <row r="78" spans="1:10" s="34" customFormat="1" ht="15.75" customHeight="1" x14ac:dyDescent="0.35">
      <c r="A78" s="16"/>
      <c r="B78" s="26" t="s">
        <v>170</v>
      </c>
      <c r="C78" s="27"/>
      <c r="D78" s="27"/>
      <c r="E78" s="29">
        <f t="shared" si="11"/>
        <v>0</v>
      </c>
      <c r="F78" s="60"/>
      <c r="G78" s="264" t="s">
        <v>170</v>
      </c>
      <c r="H78" s="100"/>
      <c r="I78" s="100"/>
      <c r="J78" s="102">
        <f t="shared" si="12"/>
        <v>0</v>
      </c>
    </row>
    <row r="79" spans="1:10" x14ac:dyDescent="0.35">
      <c r="A79" s="34"/>
      <c r="B79" s="30" t="s">
        <v>171</v>
      </c>
      <c r="C79" s="27">
        <v>160000</v>
      </c>
      <c r="D79" s="27"/>
      <c r="E79" s="29">
        <f t="shared" si="11"/>
        <v>160000</v>
      </c>
      <c r="F79" s="60"/>
      <c r="G79" s="266" t="s">
        <v>171</v>
      </c>
      <c r="H79" s="100">
        <v>160000</v>
      </c>
      <c r="I79" s="100"/>
      <c r="J79" s="102">
        <f t="shared" si="12"/>
        <v>160000</v>
      </c>
    </row>
    <row r="80" spans="1:10" x14ac:dyDescent="0.35">
      <c r="A80" s="34"/>
      <c r="B80" s="26" t="s">
        <v>172</v>
      </c>
      <c r="C80" s="27"/>
      <c r="D80" s="27"/>
      <c r="E80" s="29">
        <f t="shared" si="11"/>
        <v>0</v>
      </c>
      <c r="F80" s="60"/>
      <c r="G80" s="264" t="s">
        <v>172</v>
      </c>
      <c r="H80" s="100"/>
      <c r="I80" s="100"/>
      <c r="J80" s="102">
        <f t="shared" si="12"/>
        <v>0</v>
      </c>
    </row>
    <row r="81" spans="1:10" ht="31" x14ac:dyDescent="0.35">
      <c r="A81" s="34"/>
      <c r="B81" s="26" t="s">
        <v>173</v>
      </c>
      <c r="C81" s="27"/>
      <c r="D81" s="27"/>
      <c r="E81" s="29">
        <f t="shared" si="11"/>
        <v>0</v>
      </c>
      <c r="F81" s="60"/>
      <c r="G81" s="264" t="s">
        <v>173</v>
      </c>
      <c r="H81" s="100"/>
      <c r="I81" s="100"/>
      <c r="J81" s="102">
        <f t="shared" si="12"/>
        <v>0</v>
      </c>
    </row>
    <row r="82" spans="1:10" ht="31" x14ac:dyDescent="0.35">
      <c r="B82" s="26" t="s">
        <v>174</v>
      </c>
      <c r="C82" s="27"/>
      <c r="D82" s="27"/>
      <c r="E82" s="29">
        <f t="shared" si="11"/>
        <v>0</v>
      </c>
      <c r="F82" s="60"/>
      <c r="G82" s="264" t="s">
        <v>174</v>
      </c>
      <c r="H82" s="100"/>
      <c r="I82" s="100"/>
      <c r="J82" s="102">
        <f t="shared" si="12"/>
        <v>0</v>
      </c>
    </row>
    <row r="83" spans="1:10" ht="16" thickBot="1" x14ac:dyDescent="0.4">
      <c r="B83" s="31" t="s">
        <v>175</v>
      </c>
      <c r="C83" s="29">
        <f>SUM(C76:C82)</f>
        <v>160000</v>
      </c>
      <c r="D83" s="29">
        <v>0</v>
      </c>
      <c r="E83" s="29">
        <f t="shared" si="11"/>
        <v>160000</v>
      </c>
      <c r="F83" s="60"/>
      <c r="G83" s="267" t="s">
        <v>175</v>
      </c>
      <c r="H83" s="259">
        <f>SUM(H76:H82)</f>
        <v>160000</v>
      </c>
      <c r="I83" s="259">
        <f>SUM(I76:I82)</f>
        <v>0</v>
      </c>
      <c r="J83" s="102">
        <f t="shared" si="12"/>
        <v>160000</v>
      </c>
    </row>
    <row r="84" spans="1:10" s="34" customFormat="1" x14ac:dyDescent="0.35">
      <c r="B84" s="35"/>
      <c r="C84" s="36"/>
      <c r="D84" s="36"/>
      <c r="E84" s="38"/>
      <c r="F84" s="60"/>
      <c r="G84" s="268"/>
      <c r="H84" s="269"/>
      <c r="I84" s="269"/>
      <c r="J84" s="271"/>
    </row>
    <row r="85" spans="1:10" ht="15.75" customHeight="1" x14ac:dyDescent="0.35">
      <c r="B85" s="635" t="s">
        <v>59</v>
      </c>
      <c r="C85" s="636"/>
      <c r="D85" s="636"/>
      <c r="E85" s="637"/>
      <c r="F85" s="60"/>
      <c r="G85" s="645" t="s">
        <v>59</v>
      </c>
      <c r="H85" s="646"/>
      <c r="I85" s="646"/>
      <c r="J85" s="647"/>
    </row>
    <row r="86" spans="1:10" ht="21.75" customHeight="1" thickBot="1" x14ac:dyDescent="0.4">
      <c r="B86" s="20" t="s">
        <v>186</v>
      </c>
      <c r="C86" s="21">
        <f>'[1]1) Tableau budgétaire 1'!D88</f>
        <v>0</v>
      </c>
      <c r="D86" s="21">
        <f>'[1]1) Tableau budgétaire 1'!E88</f>
        <v>0</v>
      </c>
      <c r="E86" s="22">
        <f t="shared" ref="E86:E94" si="13">SUM(C86:D86)</f>
        <v>0</v>
      </c>
      <c r="F86" s="60"/>
      <c r="G86" s="261" t="s">
        <v>186</v>
      </c>
      <c r="H86" s="259">
        <f>'[2]1) Tableau budgétaire 1'!D88</f>
        <v>0</v>
      </c>
      <c r="I86" s="259">
        <f>'[2]1) Tableau budgétaire 1'!E88</f>
        <v>0</v>
      </c>
      <c r="J86" s="103">
        <f t="shared" ref="J86:J94" si="14">SUM(H86:I86)</f>
        <v>0</v>
      </c>
    </row>
    <row r="87" spans="1:10" ht="15.75" customHeight="1" x14ac:dyDescent="0.35">
      <c r="B87" s="23" t="s">
        <v>168</v>
      </c>
      <c r="C87" s="24"/>
      <c r="D87" s="24"/>
      <c r="E87" s="25">
        <f t="shared" si="13"/>
        <v>0</v>
      </c>
      <c r="F87" s="60"/>
      <c r="G87" s="262" t="s">
        <v>168</v>
      </c>
      <c r="H87" s="99"/>
      <c r="I87" s="263"/>
      <c r="J87" s="101">
        <f t="shared" si="14"/>
        <v>0</v>
      </c>
    </row>
    <row r="88" spans="1:10" ht="15.75" customHeight="1" x14ac:dyDescent="0.35">
      <c r="A88" s="34"/>
      <c r="B88" s="26" t="s">
        <v>169</v>
      </c>
      <c r="C88" s="28"/>
      <c r="D88" s="28"/>
      <c r="E88" s="29">
        <f t="shared" si="13"/>
        <v>0</v>
      </c>
      <c r="F88" s="60"/>
      <c r="G88" s="264" t="s">
        <v>169</v>
      </c>
      <c r="H88" s="100"/>
      <c r="I88" s="265"/>
      <c r="J88" s="102">
        <f t="shared" si="14"/>
        <v>0</v>
      </c>
    </row>
    <row r="89" spans="1:10" ht="15.75" customHeight="1" x14ac:dyDescent="0.35">
      <c r="B89" s="26" t="s">
        <v>170</v>
      </c>
      <c r="C89" s="27"/>
      <c r="D89" s="27"/>
      <c r="E89" s="29">
        <f t="shared" si="13"/>
        <v>0</v>
      </c>
      <c r="F89" s="60"/>
      <c r="G89" s="264" t="s">
        <v>170</v>
      </c>
      <c r="H89" s="100"/>
      <c r="I89" s="100"/>
      <c r="J89" s="102">
        <f t="shared" si="14"/>
        <v>0</v>
      </c>
    </row>
    <row r="90" spans="1:10" x14ac:dyDescent="0.35">
      <c r="B90" s="30" t="s">
        <v>171</v>
      </c>
      <c r="C90" s="27"/>
      <c r="D90" s="27"/>
      <c r="E90" s="29">
        <f t="shared" si="13"/>
        <v>0</v>
      </c>
      <c r="F90" s="60"/>
      <c r="G90" s="266" t="s">
        <v>171</v>
      </c>
      <c r="H90" s="100"/>
      <c r="I90" s="100"/>
      <c r="J90" s="102">
        <f t="shared" si="14"/>
        <v>0</v>
      </c>
    </row>
    <row r="91" spans="1:10" x14ac:dyDescent="0.35">
      <c r="B91" s="26" t="s">
        <v>172</v>
      </c>
      <c r="C91" s="27"/>
      <c r="D91" s="27"/>
      <c r="E91" s="29">
        <f t="shared" si="13"/>
        <v>0</v>
      </c>
      <c r="F91" s="60"/>
      <c r="G91" s="264" t="s">
        <v>172</v>
      </c>
      <c r="H91" s="100"/>
      <c r="I91" s="100"/>
      <c r="J91" s="102">
        <f t="shared" si="14"/>
        <v>0</v>
      </c>
    </row>
    <row r="92" spans="1:10" ht="25.5" customHeight="1" x14ac:dyDescent="0.35">
      <c r="B92" s="26" t="s">
        <v>173</v>
      </c>
      <c r="C92" s="27"/>
      <c r="D92" s="27"/>
      <c r="E92" s="29">
        <f t="shared" si="13"/>
        <v>0</v>
      </c>
      <c r="F92" s="60"/>
      <c r="G92" s="264" t="s">
        <v>173</v>
      </c>
      <c r="H92" s="100"/>
      <c r="I92" s="100"/>
      <c r="J92" s="102">
        <f t="shared" si="14"/>
        <v>0</v>
      </c>
    </row>
    <row r="93" spans="1:10" ht="31" x14ac:dyDescent="0.35">
      <c r="A93" s="34"/>
      <c r="B93" s="26" t="s">
        <v>174</v>
      </c>
      <c r="C93" s="27"/>
      <c r="D93" s="27"/>
      <c r="E93" s="29">
        <f t="shared" si="13"/>
        <v>0</v>
      </c>
      <c r="F93" s="60"/>
      <c r="G93" s="264" t="s">
        <v>174</v>
      </c>
      <c r="H93" s="100"/>
      <c r="I93" s="100"/>
      <c r="J93" s="102">
        <f t="shared" si="14"/>
        <v>0</v>
      </c>
    </row>
    <row r="94" spans="1:10" ht="15.75" customHeight="1" thickBot="1" x14ac:dyDescent="0.4">
      <c r="B94" s="31" t="s">
        <v>175</v>
      </c>
      <c r="C94" s="29">
        <f>SUM(C87:C93)</f>
        <v>0</v>
      </c>
      <c r="D94" s="29">
        <f>SUM(D87:D93)</f>
        <v>0</v>
      </c>
      <c r="E94" s="29">
        <f t="shared" si="13"/>
        <v>0</v>
      </c>
      <c r="F94" s="60"/>
      <c r="G94" s="267" t="s">
        <v>175</v>
      </c>
      <c r="H94" s="259">
        <f>SUM(H87:H93)</f>
        <v>0</v>
      </c>
      <c r="I94" s="259">
        <f>SUM(I87:I93)</f>
        <v>0</v>
      </c>
      <c r="J94" s="102">
        <f t="shared" si="14"/>
        <v>0</v>
      </c>
    </row>
    <row r="95" spans="1:10" ht="25.5" customHeight="1" x14ac:dyDescent="0.35">
      <c r="F95" s="60"/>
      <c r="G95" s="278"/>
      <c r="H95" s="278"/>
      <c r="I95" s="278"/>
      <c r="J95" s="278"/>
    </row>
    <row r="96" spans="1:10" ht="15.75" customHeight="1" x14ac:dyDescent="0.35">
      <c r="A96" s="635" t="s">
        <v>187</v>
      </c>
      <c r="B96" s="636"/>
      <c r="C96" s="636"/>
      <c r="D96" s="636"/>
      <c r="E96" s="637"/>
      <c r="F96" s="60"/>
      <c r="G96" s="646"/>
      <c r="H96" s="646"/>
      <c r="I96" s="646"/>
      <c r="J96" s="647"/>
    </row>
    <row r="97" spans="2:10" ht="15.75" customHeight="1" x14ac:dyDescent="0.35">
      <c r="B97" s="635" t="s">
        <v>69</v>
      </c>
      <c r="C97" s="636"/>
      <c r="D97" s="636"/>
      <c r="E97" s="637"/>
      <c r="F97" s="60"/>
      <c r="G97" s="645" t="s">
        <v>69</v>
      </c>
      <c r="H97" s="646"/>
      <c r="I97" s="646"/>
      <c r="J97" s="647"/>
    </row>
    <row r="98" spans="2:10" ht="22.5" customHeight="1" thickBot="1" x14ac:dyDescent="0.4">
      <c r="B98" s="20" t="s">
        <v>188</v>
      </c>
      <c r="C98" s="21">
        <f>'[1]1) Tableau budgétaire 1'!D100</f>
        <v>0</v>
      </c>
      <c r="D98" s="21">
        <f>'[1]1) Tableau budgétaire 1'!E100</f>
        <v>0</v>
      </c>
      <c r="E98" s="22">
        <f t="shared" ref="E98:E106" si="15">SUM(C98:D98)</f>
        <v>0</v>
      </c>
      <c r="F98" s="60"/>
      <c r="G98" s="261" t="s">
        <v>188</v>
      </c>
      <c r="H98" s="259">
        <f>'[2]1) Tableau budgétaire 1'!D100</f>
        <v>0</v>
      </c>
      <c r="I98" s="259">
        <f>'[2]1) Tableau budgétaire 1'!E100</f>
        <v>0</v>
      </c>
      <c r="J98" s="103">
        <f t="shared" ref="J98:J106" si="16">SUM(H98:I98)</f>
        <v>0</v>
      </c>
    </row>
    <row r="99" spans="2:10" x14ac:dyDescent="0.35">
      <c r="B99" s="23" t="s">
        <v>168</v>
      </c>
      <c r="C99" s="24"/>
      <c r="D99" s="24"/>
      <c r="E99" s="25">
        <f t="shared" si="15"/>
        <v>0</v>
      </c>
      <c r="F99" s="60"/>
      <c r="G99" s="262" t="s">
        <v>168</v>
      </c>
      <c r="H99" s="99"/>
      <c r="I99" s="263"/>
      <c r="J99" s="101">
        <f t="shared" si="16"/>
        <v>0</v>
      </c>
    </row>
    <row r="100" spans="2:10" x14ac:dyDescent="0.35">
      <c r="B100" s="26" t="s">
        <v>169</v>
      </c>
      <c r="C100" s="28"/>
      <c r="D100" s="28"/>
      <c r="E100" s="29">
        <f t="shared" si="15"/>
        <v>0</v>
      </c>
      <c r="F100" s="60"/>
      <c r="G100" s="264" t="s">
        <v>169</v>
      </c>
      <c r="H100" s="100"/>
      <c r="I100" s="265"/>
      <c r="J100" s="102">
        <f t="shared" si="16"/>
        <v>0</v>
      </c>
    </row>
    <row r="101" spans="2:10" ht="15.75" customHeight="1" x14ac:dyDescent="0.35">
      <c r="B101" s="26" t="s">
        <v>170</v>
      </c>
      <c r="C101" s="27"/>
      <c r="D101" s="27"/>
      <c r="E101" s="29">
        <f t="shared" si="15"/>
        <v>0</v>
      </c>
      <c r="F101" s="60"/>
      <c r="G101" s="264" t="s">
        <v>170</v>
      </c>
      <c r="H101" s="100"/>
      <c r="I101" s="100"/>
      <c r="J101" s="102">
        <f t="shared" si="16"/>
        <v>0</v>
      </c>
    </row>
    <row r="102" spans="2:10" x14ac:dyDescent="0.35">
      <c r="B102" s="30" t="s">
        <v>171</v>
      </c>
      <c r="C102" s="27"/>
      <c r="D102" s="27"/>
      <c r="E102" s="29">
        <f t="shared" si="15"/>
        <v>0</v>
      </c>
      <c r="F102" s="60"/>
      <c r="G102" s="266" t="s">
        <v>171</v>
      </c>
      <c r="H102" s="100"/>
      <c r="I102" s="100"/>
      <c r="J102" s="102">
        <f t="shared" si="16"/>
        <v>0</v>
      </c>
    </row>
    <row r="103" spans="2:10" x14ac:dyDescent="0.35">
      <c r="B103" s="26" t="s">
        <v>172</v>
      </c>
      <c r="C103" s="27"/>
      <c r="D103" s="27"/>
      <c r="E103" s="29">
        <f t="shared" si="15"/>
        <v>0</v>
      </c>
      <c r="F103" s="60"/>
      <c r="G103" s="264" t="s">
        <v>172</v>
      </c>
      <c r="H103" s="100"/>
      <c r="I103" s="100"/>
      <c r="J103" s="102">
        <f t="shared" si="16"/>
        <v>0</v>
      </c>
    </row>
    <row r="104" spans="2:10" ht="31" x14ac:dyDescent="0.35">
      <c r="B104" s="26" t="s">
        <v>173</v>
      </c>
      <c r="C104" s="27"/>
      <c r="D104" s="27"/>
      <c r="E104" s="29">
        <f t="shared" si="15"/>
        <v>0</v>
      </c>
      <c r="F104" s="60"/>
      <c r="G104" s="264" t="s">
        <v>173</v>
      </c>
      <c r="H104" s="100"/>
      <c r="I104" s="100"/>
      <c r="J104" s="102">
        <f t="shared" si="16"/>
        <v>0</v>
      </c>
    </row>
    <row r="105" spans="2:10" ht="31" x14ac:dyDescent="0.35">
      <c r="B105" s="26" t="s">
        <v>174</v>
      </c>
      <c r="C105" s="27"/>
      <c r="D105" s="27"/>
      <c r="E105" s="29">
        <f t="shared" si="15"/>
        <v>0</v>
      </c>
      <c r="F105" s="60"/>
      <c r="G105" s="264" t="s">
        <v>174</v>
      </c>
      <c r="H105" s="100"/>
      <c r="I105" s="100"/>
      <c r="J105" s="102">
        <f t="shared" si="16"/>
        <v>0</v>
      </c>
    </row>
    <row r="106" spans="2:10" ht="16" thickBot="1" x14ac:dyDescent="0.4">
      <c r="B106" s="31" t="s">
        <v>175</v>
      </c>
      <c r="C106" s="29">
        <f>SUM(C99:C105)</f>
        <v>0</v>
      </c>
      <c r="D106" s="29">
        <f>SUM(D99:D105)</f>
        <v>0</v>
      </c>
      <c r="E106" s="29">
        <f t="shared" si="15"/>
        <v>0</v>
      </c>
      <c r="F106" s="60"/>
      <c r="G106" s="267" t="s">
        <v>175</v>
      </c>
      <c r="H106" s="259">
        <f>SUM(H99:H105)</f>
        <v>0</v>
      </c>
      <c r="I106" s="259">
        <f>SUM(I99:I105)</f>
        <v>0</v>
      </c>
      <c r="J106" s="102">
        <f t="shared" si="16"/>
        <v>0</v>
      </c>
    </row>
    <row r="107" spans="2:10" s="34" customFormat="1" x14ac:dyDescent="0.35">
      <c r="B107" s="35"/>
      <c r="C107" s="36"/>
      <c r="D107" s="36"/>
      <c r="E107" s="38"/>
      <c r="F107" s="60"/>
      <c r="G107" s="268"/>
      <c r="H107" s="269"/>
      <c r="I107" s="269"/>
      <c r="J107" s="271"/>
    </row>
    <row r="108" spans="2:10" ht="15.75" customHeight="1" x14ac:dyDescent="0.35">
      <c r="B108" s="635" t="s">
        <v>189</v>
      </c>
      <c r="C108" s="636"/>
      <c r="D108" s="636"/>
      <c r="E108" s="637"/>
      <c r="F108" s="60"/>
      <c r="G108" s="645" t="s">
        <v>189</v>
      </c>
      <c r="H108" s="646"/>
      <c r="I108" s="646"/>
      <c r="J108" s="647"/>
    </row>
    <row r="109" spans="2:10" ht="21.75" customHeight="1" thickBot="1" x14ac:dyDescent="0.4">
      <c r="B109" s="20" t="s">
        <v>190</v>
      </c>
      <c r="C109" s="21">
        <f>'[1]1) Tableau budgétaire 1'!D110</f>
        <v>0</v>
      </c>
      <c r="D109" s="21">
        <f>'[1]1) Tableau budgétaire 1'!E110</f>
        <v>0</v>
      </c>
      <c r="E109" s="22">
        <f t="shared" ref="E109:E117" si="17">SUM(C109:D109)</f>
        <v>0</v>
      </c>
      <c r="F109" s="60"/>
      <c r="G109" s="261" t="s">
        <v>190</v>
      </c>
      <c r="H109" s="259">
        <f>'[2]1) Tableau budgétaire 1'!D110</f>
        <v>0</v>
      </c>
      <c r="I109" s="259">
        <f>'[2]1) Tableau budgétaire 1'!E110</f>
        <v>0</v>
      </c>
      <c r="J109" s="103">
        <f t="shared" ref="J109:J117" si="18">SUM(H109:I109)</f>
        <v>0</v>
      </c>
    </row>
    <row r="110" spans="2:10" x14ac:dyDescent="0.35">
      <c r="B110" s="23" t="s">
        <v>168</v>
      </c>
      <c r="C110" s="24"/>
      <c r="D110" s="24"/>
      <c r="E110" s="25">
        <f t="shared" si="17"/>
        <v>0</v>
      </c>
      <c r="F110" s="60"/>
      <c r="G110" s="262" t="s">
        <v>168</v>
      </c>
      <c r="H110" s="99"/>
      <c r="I110" s="263"/>
      <c r="J110" s="101">
        <f t="shared" si="18"/>
        <v>0</v>
      </c>
    </row>
    <row r="111" spans="2:10" x14ac:dyDescent="0.35">
      <c r="B111" s="26" t="s">
        <v>169</v>
      </c>
      <c r="C111" s="28"/>
      <c r="D111" s="28"/>
      <c r="E111" s="29">
        <f t="shared" si="17"/>
        <v>0</v>
      </c>
      <c r="F111" s="60"/>
      <c r="G111" s="264" t="s">
        <v>169</v>
      </c>
      <c r="H111" s="100"/>
      <c r="I111" s="265"/>
      <c r="J111" s="102">
        <f t="shared" si="18"/>
        <v>0</v>
      </c>
    </row>
    <row r="112" spans="2:10" ht="31" x14ac:dyDescent="0.35">
      <c r="B112" s="26" t="s">
        <v>170</v>
      </c>
      <c r="C112" s="27"/>
      <c r="D112" s="27"/>
      <c r="E112" s="29">
        <f t="shared" si="17"/>
        <v>0</v>
      </c>
      <c r="F112" s="60"/>
      <c r="G112" s="264" t="s">
        <v>170</v>
      </c>
      <c r="H112" s="100"/>
      <c r="I112" s="100"/>
      <c r="J112" s="102">
        <f t="shared" si="18"/>
        <v>0</v>
      </c>
    </row>
    <row r="113" spans="2:10" x14ac:dyDescent="0.35">
      <c r="B113" s="30" t="s">
        <v>171</v>
      </c>
      <c r="C113" s="27"/>
      <c r="D113" s="27"/>
      <c r="E113" s="29">
        <f t="shared" si="17"/>
        <v>0</v>
      </c>
      <c r="F113" s="60"/>
      <c r="G113" s="266" t="s">
        <v>171</v>
      </c>
      <c r="H113" s="100"/>
      <c r="I113" s="100"/>
      <c r="J113" s="102">
        <f t="shared" si="18"/>
        <v>0</v>
      </c>
    </row>
    <row r="114" spans="2:10" x14ac:dyDescent="0.35">
      <c r="B114" s="26" t="s">
        <v>172</v>
      </c>
      <c r="C114" s="27"/>
      <c r="D114" s="27"/>
      <c r="E114" s="29">
        <f t="shared" si="17"/>
        <v>0</v>
      </c>
      <c r="F114" s="60"/>
      <c r="G114" s="264" t="s">
        <v>172</v>
      </c>
      <c r="H114" s="100"/>
      <c r="I114" s="100"/>
      <c r="J114" s="102">
        <f t="shared" si="18"/>
        <v>0</v>
      </c>
    </row>
    <row r="115" spans="2:10" ht="31" x14ac:dyDescent="0.35">
      <c r="B115" s="26" t="s">
        <v>173</v>
      </c>
      <c r="C115" s="27"/>
      <c r="D115" s="27"/>
      <c r="E115" s="29">
        <f t="shared" si="17"/>
        <v>0</v>
      </c>
      <c r="F115" s="60"/>
      <c r="G115" s="264" t="s">
        <v>173</v>
      </c>
      <c r="H115" s="100"/>
      <c r="I115" s="100"/>
      <c r="J115" s="102">
        <f t="shared" si="18"/>
        <v>0</v>
      </c>
    </row>
    <row r="116" spans="2:10" ht="31" x14ac:dyDescent="0.35">
      <c r="B116" s="26" t="s">
        <v>174</v>
      </c>
      <c r="C116" s="27"/>
      <c r="D116" s="27"/>
      <c r="E116" s="29">
        <f t="shared" si="17"/>
        <v>0</v>
      </c>
      <c r="F116" s="60"/>
      <c r="G116" s="264" t="s">
        <v>174</v>
      </c>
      <c r="H116" s="100"/>
      <c r="I116" s="100"/>
      <c r="J116" s="102">
        <f t="shared" si="18"/>
        <v>0</v>
      </c>
    </row>
    <row r="117" spans="2:10" ht="16" thickBot="1" x14ac:dyDescent="0.4">
      <c r="B117" s="31" t="s">
        <v>175</v>
      </c>
      <c r="C117" s="29">
        <f>SUM(C110:C116)</f>
        <v>0</v>
      </c>
      <c r="D117" s="29">
        <f>SUM(D110:D116)</f>
        <v>0</v>
      </c>
      <c r="E117" s="29">
        <f t="shared" si="17"/>
        <v>0</v>
      </c>
      <c r="F117" s="60"/>
      <c r="G117" s="267" t="s">
        <v>175</v>
      </c>
      <c r="H117" s="259">
        <f>SUM(H110:H116)</f>
        <v>0</v>
      </c>
      <c r="I117" s="259">
        <f>SUM(I110:I116)</f>
        <v>0</v>
      </c>
      <c r="J117" s="102">
        <f t="shared" si="18"/>
        <v>0</v>
      </c>
    </row>
    <row r="118" spans="2:10" s="34" customFormat="1" x14ac:dyDescent="0.35">
      <c r="B118" s="35"/>
      <c r="C118" s="36"/>
      <c r="D118" s="36"/>
      <c r="E118" s="38"/>
      <c r="F118" s="60"/>
      <c r="G118" s="268"/>
      <c r="H118" s="269"/>
      <c r="I118" s="269"/>
      <c r="J118" s="271"/>
    </row>
    <row r="119" spans="2:10" ht="15.75" customHeight="1" x14ac:dyDescent="0.35">
      <c r="B119" s="635" t="s">
        <v>87</v>
      </c>
      <c r="C119" s="636"/>
      <c r="D119" s="636"/>
      <c r="E119" s="637"/>
      <c r="F119" s="60"/>
      <c r="G119" s="645" t="s">
        <v>87</v>
      </c>
      <c r="H119" s="646"/>
      <c r="I119" s="646"/>
      <c r="J119" s="647"/>
    </row>
    <row r="120" spans="2:10" ht="21" customHeight="1" thickBot="1" x14ac:dyDescent="0.4">
      <c r="B120" s="20" t="s">
        <v>191</v>
      </c>
      <c r="C120" s="21">
        <f>'[1]1) Tableau budgétaire 1'!D120</f>
        <v>0</v>
      </c>
      <c r="D120" s="21">
        <f>'[1]1) Tableau budgétaire 1'!E120</f>
        <v>0</v>
      </c>
      <c r="E120" s="22">
        <f t="shared" ref="E120:E128" si="19">SUM(C120:D120)</f>
        <v>0</v>
      </c>
      <c r="F120" s="60"/>
      <c r="G120" s="261" t="s">
        <v>191</v>
      </c>
      <c r="H120" s="259">
        <f>'[2]1) Tableau budgétaire 1'!D120</f>
        <v>0</v>
      </c>
      <c r="I120" s="259">
        <f>'[2]1) Tableau budgétaire 1'!E120</f>
        <v>0</v>
      </c>
      <c r="J120" s="103">
        <f t="shared" ref="J120:J128" si="20">SUM(H120:I120)</f>
        <v>0</v>
      </c>
    </row>
    <row r="121" spans="2:10" x14ac:dyDescent="0.35">
      <c r="B121" s="23" t="s">
        <v>168</v>
      </c>
      <c r="C121" s="24"/>
      <c r="D121" s="24"/>
      <c r="E121" s="25">
        <f t="shared" si="19"/>
        <v>0</v>
      </c>
      <c r="F121" s="60"/>
      <c r="G121" s="262" t="s">
        <v>168</v>
      </c>
      <c r="H121" s="99"/>
      <c r="I121" s="263"/>
      <c r="J121" s="101">
        <f t="shared" si="20"/>
        <v>0</v>
      </c>
    </row>
    <row r="122" spans="2:10" x14ac:dyDescent="0.35">
      <c r="B122" s="26" t="s">
        <v>169</v>
      </c>
      <c r="C122" s="28"/>
      <c r="D122" s="28"/>
      <c r="E122" s="29">
        <f t="shared" si="19"/>
        <v>0</v>
      </c>
      <c r="F122" s="60"/>
      <c r="G122" s="264" t="s">
        <v>169</v>
      </c>
      <c r="H122" s="100"/>
      <c r="I122" s="265"/>
      <c r="J122" s="102">
        <f t="shared" si="20"/>
        <v>0</v>
      </c>
    </row>
    <row r="123" spans="2:10" ht="31" x14ac:dyDescent="0.35">
      <c r="B123" s="26" t="s">
        <v>170</v>
      </c>
      <c r="C123" s="27"/>
      <c r="D123" s="27"/>
      <c r="E123" s="29">
        <f t="shared" si="19"/>
        <v>0</v>
      </c>
      <c r="F123" s="60"/>
      <c r="G123" s="264" t="s">
        <v>170</v>
      </c>
      <c r="H123" s="100"/>
      <c r="I123" s="100"/>
      <c r="J123" s="102">
        <f t="shared" si="20"/>
        <v>0</v>
      </c>
    </row>
    <row r="124" spans="2:10" x14ac:dyDescent="0.35">
      <c r="B124" s="30" t="s">
        <v>171</v>
      </c>
      <c r="C124" s="27"/>
      <c r="D124" s="27"/>
      <c r="E124" s="29">
        <f t="shared" si="19"/>
        <v>0</v>
      </c>
      <c r="F124" s="60"/>
      <c r="G124" s="266" t="s">
        <v>171</v>
      </c>
      <c r="H124" s="100"/>
      <c r="I124" s="100"/>
      <c r="J124" s="102">
        <f t="shared" si="20"/>
        <v>0</v>
      </c>
    </row>
    <row r="125" spans="2:10" x14ac:dyDescent="0.35">
      <c r="B125" s="26" t="s">
        <v>172</v>
      </c>
      <c r="C125" s="27"/>
      <c r="D125" s="27"/>
      <c r="E125" s="29">
        <f t="shared" si="19"/>
        <v>0</v>
      </c>
      <c r="F125" s="60"/>
      <c r="G125" s="264" t="s">
        <v>172</v>
      </c>
      <c r="H125" s="100"/>
      <c r="I125" s="100"/>
      <c r="J125" s="102">
        <f t="shared" si="20"/>
        <v>0</v>
      </c>
    </row>
    <row r="126" spans="2:10" ht="31" x14ac:dyDescent="0.35">
      <c r="B126" s="26" t="s">
        <v>173</v>
      </c>
      <c r="C126" s="27"/>
      <c r="D126" s="27"/>
      <c r="E126" s="29">
        <f t="shared" si="19"/>
        <v>0</v>
      </c>
      <c r="F126" s="60"/>
      <c r="G126" s="264" t="s">
        <v>173</v>
      </c>
      <c r="H126" s="100"/>
      <c r="I126" s="100"/>
      <c r="J126" s="102">
        <f t="shared" si="20"/>
        <v>0</v>
      </c>
    </row>
    <row r="127" spans="2:10" ht="31" x14ac:dyDescent="0.35">
      <c r="B127" s="26" t="s">
        <v>174</v>
      </c>
      <c r="C127" s="27"/>
      <c r="D127" s="27"/>
      <c r="E127" s="29">
        <f t="shared" si="19"/>
        <v>0</v>
      </c>
      <c r="F127" s="60"/>
      <c r="G127" s="264" t="s">
        <v>174</v>
      </c>
      <c r="H127" s="100"/>
      <c r="I127" s="100"/>
      <c r="J127" s="102">
        <f t="shared" si="20"/>
        <v>0</v>
      </c>
    </row>
    <row r="128" spans="2:10" ht="16" thickBot="1" x14ac:dyDescent="0.4">
      <c r="B128" s="31" t="s">
        <v>175</v>
      </c>
      <c r="C128" s="29">
        <f>SUM(C121:C127)</f>
        <v>0</v>
      </c>
      <c r="D128" s="29">
        <f>SUM(D121:D127)</f>
        <v>0</v>
      </c>
      <c r="E128" s="29">
        <f t="shared" si="19"/>
        <v>0</v>
      </c>
      <c r="F128" s="60"/>
      <c r="G128" s="267" t="s">
        <v>175</v>
      </c>
      <c r="H128" s="259">
        <f>SUM(H121:H127)</f>
        <v>0</v>
      </c>
      <c r="I128" s="259">
        <f>SUM(I121:I127)</f>
        <v>0</v>
      </c>
      <c r="J128" s="102">
        <f t="shared" si="20"/>
        <v>0</v>
      </c>
    </row>
    <row r="129" spans="1:10" s="34" customFormat="1" x14ac:dyDescent="0.35">
      <c r="B129" s="35"/>
      <c r="C129" s="36"/>
      <c r="D129" s="36"/>
      <c r="E129" s="38"/>
      <c r="F129" s="60"/>
      <c r="G129" s="268"/>
      <c r="H129" s="269"/>
      <c r="I129" s="269"/>
      <c r="J129" s="271"/>
    </row>
    <row r="130" spans="1:10" ht="15.75" customHeight="1" x14ac:dyDescent="0.35">
      <c r="B130" s="635" t="s">
        <v>96</v>
      </c>
      <c r="C130" s="636"/>
      <c r="D130" s="636"/>
      <c r="E130" s="637"/>
      <c r="F130" s="60"/>
      <c r="G130" s="645" t="s">
        <v>96</v>
      </c>
      <c r="H130" s="646"/>
      <c r="I130" s="646"/>
      <c r="J130" s="647"/>
    </row>
    <row r="131" spans="1:10" ht="24" customHeight="1" thickBot="1" x14ac:dyDescent="0.4">
      <c r="B131" s="20" t="s">
        <v>192</v>
      </c>
      <c r="C131" s="21">
        <f>'[1]1) Tableau budgétaire 1'!D130</f>
        <v>0</v>
      </c>
      <c r="D131" s="21">
        <f>'[1]1) Tableau budgétaire 1'!E130</f>
        <v>0</v>
      </c>
      <c r="E131" s="22">
        <f t="shared" ref="E131:E139" si="21">SUM(C131:D131)</f>
        <v>0</v>
      </c>
      <c r="F131" s="60"/>
      <c r="G131" s="261" t="s">
        <v>192</v>
      </c>
      <c r="H131" s="259">
        <f>'[2]1) Tableau budgétaire 1'!D130</f>
        <v>0</v>
      </c>
      <c r="I131" s="259">
        <f>'[2]1) Tableau budgétaire 1'!E130</f>
        <v>0</v>
      </c>
      <c r="J131" s="103">
        <f t="shared" ref="J131:J139" si="22">SUM(H131:I131)</f>
        <v>0</v>
      </c>
    </row>
    <row r="132" spans="1:10" ht="15.75" customHeight="1" x14ac:dyDescent="0.35">
      <c r="B132" s="23" t="s">
        <v>168</v>
      </c>
      <c r="C132" s="24"/>
      <c r="D132" s="24"/>
      <c r="E132" s="25">
        <f t="shared" si="21"/>
        <v>0</v>
      </c>
      <c r="F132" s="60"/>
      <c r="G132" s="262" t="s">
        <v>168</v>
      </c>
      <c r="H132" s="99"/>
      <c r="I132" s="263"/>
      <c r="J132" s="101">
        <f t="shared" si="22"/>
        <v>0</v>
      </c>
    </row>
    <row r="133" spans="1:10" x14ac:dyDescent="0.35">
      <c r="B133" s="26" t="s">
        <v>169</v>
      </c>
      <c r="C133" s="28"/>
      <c r="D133" s="28"/>
      <c r="E133" s="29">
        <f t="shared" si="21"/>
        <v>0</v>
      </c>
      <c r="F133" s="60"/>
      <c r="G133" s="264" t="s">
        <v>169</v>
      </c>
      <c r="H133" s="100"/>
      <c r="I133" s="265"/>
      <c r="J133" s="102">
        <f t="shared" si="22"/>
        <v>0</v>
      </c>
    </row>
    <row r="134" spans="1:10" ht="15.75" customHeight="1" x14ac:dyDescent="0.35">
      <c r="B134" s="26" t="s">
        <v>170</v>
      </c>
      <c r="C134" s="27"/>
      <c r="D134" s="27"/>
      <c r="E134" s="29">
        <f t="shared" si="21"/>
        <v>0</v>
      </c>
      <c r="F134" s="60"/>
      <c r="G134" s="264" t="s">
        <v>170</v>
      </c>
      <c r="H134" s="100"/>
      <c r="I134" s="100"/>
      <c r="J134" s="102">
        <f t="shared" si="22"/>
        <v>0</v>
      </c>
    </row>
    <row r="135" spans="1:10" x14ac:dyDescent="0.35">
      <c r="B135" s="30" t="s">
        <v>171</v>
      </c>
      <c r="C135" s="27"/>
      <c r="D135" s="27"/>
      <c r="E135" s="29">
        <f t="shared" si="21"/>
        <v>0</v>
      </c>
      <c r="F135" s="60"/>
      <c r="G135" s="266" t="s">
        <v>171</v>
      </c>
      <c r="H135" s="100"/>
      <c r="I135" s="100"/>
      <c r="J135" s="102">
        <f t="shared" si="22"/>
        <v>0</v>
      </c>
    </row>
    <row r="136" spans="1:10" x14ac:dyDescent="0.35">
      <c r="B136" s="26" t="s">
        <v>172</v>
      </c>
      <c r="C136" s="27"/>
      <c r="D136" s="27"/>
      <c r="E136" s="29">
        <f t="shared" si="21"/>
        <v>0</v>
      </c>
      <c r="F136" s="60"/>
      <c r="G136" s="264" t="s">
        <v>172</v>
      </c>
      <c r="H136" s="100"/>
      <c r="I136" s="100"/>
      <c r="J136" s="102">
        <f t="shared" si="22"/>
        <v>0</v>
      </c>
    </row>
    <row r="137" spans="1:10" ht="15.75" customHeight="1" x14ac:dyDescent="0.35">
      <c r="B137" s="26" t="s">
        <v>173</v>
      </c>
      <c r="C137" s="27"/>
      <c r="D137" s="27"/>
      <c r="E137" s="29">
        <f t="shared" si="21"/>
        <v>0</v>
      </c>
      <c r="F137" s="60"/>
      <c r="G137" s="264" t="s">
        <v>173</v>
      </c>
      <c r="H137" s="100"/>
      <c r="I137" s="100"/>
      <c r="J137" s="102">
        <f t="shared" si="22"/>
        <v>0</v>
      </c>
    </row>
    <row r="138" spans="1:10" ht="31" x14ac:dyDescent="0.35">
      <c r="B138" s="26" t="s">
        <v>174</v>
      </c>
      <c r="C138" s="27"/>
      <c r="D138" s="27"/>
      <c r="E138" s="29">
        <f t="shared" si="21"/>
        <v>0</v>
      </c>
      <c r="F138" s="60"/>
      <c r="G138" s="264" t="s">
        <v>174</v>
      </c>
      <c r="H138" s="100"/>
      <c r="I138" s="100"/>
      <c r="J138" s="102">
        <f t="shared" si="22"/>
        <v>0</v>
      </c>
    </row>
    <row r="139" spans="1:10" ht="16" thickBot="1" x14ac:dyDescent="0.4">
      <c r="B139" s="31" t="s">
        <v>175</v>
      </c>
      <c r="C139" s="29">
        <f>SUM(C132:C138)</f>
        <v>0</v>
      </c>
      <c r="D139" s="29">
        <f>SUM(D132:D138)</f>
        <v>0</v>
      </c>
      <c r="E139" s="29">
        <f t="shared" si="21"/>
        <v>0</v>
      </c>
      <c r="F139" s="60"/>
      <c r="G139" s="267" t="s">
        <v>175</v>
      </c>
      <c r="H139" s="259">
        <f>SUM(H132:H138)</f>
        <v>0</v>
      </c>
      <c r="I139" s="259">
        <f>SUM(I132:I138)</f>
        <v>0</v>
      </c>
      <c r="J139" s="102">
        <f t="shared" si="22"/>
        <v>0</v>
      </c>
    </row>
    <row r="140" spans="1:10" x14ac:dyDescent="0.35">
      <c r="C140" s="34"/>
      <c r="D140" s="34"/>
      <c r="F140" s="60"/>
      <c r="G140" s="278"/>
      <c r="H140" s="279"/>
      <c r="I140" s="279"/>
      <c r="J140" s="278"/>
    </row>
    <row r="141" spans="1:10" ht="15.75" customHeight="1" x14ac:dyDescent="0.35">
      <c r="A141" s="635" t="s">
        <v>193</v>
      </c>
      <c r="B141" s="636"/>
      <c r="C141" s="636"/>
      <c r="D141" s="636"/>
      <c r="E141" s="637"/>
      <c r="F141" s="60"/>
      <c r="G141" s="646"/>
      <c r="H141" s="646"/>
      <c r="I141" s="646"/>
      <c r="J141" s="647"/>
    </row>
    <row r="142" spans="1:10" ht="15.75" customHeight="1" x14ac:dyDescent="0.35">
      <c r="B142" s="635" t="s">
        <v>106</v>
      </c>
      <c r="C142" s="636"/>
      <c r="D142" s="636"/>
      <c r="E142" s="637"/>
      <c r="F142" s="60"/>
      <c r="G142" s="645" t="s">
        <v>106</v>
      </c>
      <c r="H142" s="646"/>
      <c r="I142" s="646"/>
      <c r="J142" s="647"/>
    </row>
    <row r="143" spans="1:10" ht="24" customHeight="1" thickBot="1" x14ac:dyDescent="0.4">
      <c r="B143" s="20" t="s">
        <v>194</v>
      </c>
      <c r="C143" s="21">
        <f>'[1]1) Tableau budgétaire 1'!D142</f>
        <v>0</v>
      </c>
      <c r="D143" s="21">
        <f>'[1]1) Tableau budgétaire 1'!E142</f>
        <v>0</v>
      </c>
      <c r="E143" s="22">
        <f t="shared" ref="E143:E151" si="23">SUM(C143:D143)</f>
        <v>0</v>
      </c>
      <c r="F143" s="60"/>
      <c r="G143" s="261" t="s">
        <v>194</v>
      </c>
      <c r="H143" s="259">
        <f>'[2]1) Tableau budgétaire 1'!D142</f>
        <v>0</v>
      </c>
      <c r="I143" s="259">
        <f>'[2]1) Tableau budgétaire 1'!E142</f>
        <v>0</v>
      </c>
      <c r="J143" s="103">
        <f t="shared" ref="J143:J151" si="24">SUM(H143:I143)</f>
        <v>0</v>
      </c>
    </row>
    <row r="144" spans="1:10" ht="24.75" customHeight="1" x14ac:dyDescent="0.35">
      <c r="B144" s="23" t="s">
        <v>168</v>
      </c>
      <c r="C144" s="24"/>
      <c r="D144" s="24"/>
      <c r="E144" s="25">
        <f t="shared" si="23"/>
        <v>0</v>
      </c>
      <c r="F144" s="60"/>
      <c r="G144" s="262" t="s">
        <v>168</v>
      </c>
      <c r="H144" s="99"/>
      <c r="I144" s="263"/>
      <c r="J144" s="101">
        <f t="shared" si="24"/>
        <v>0</v>
      </c>
    </row>
    <row r="145" spans="2:10" ht="15.75" customHeight="1" x14ac:dyDescent="0.35">
      <c r="B145" s="26" t="s">
        <v>169</v>
      </c>
      <c r="C145" s="28"/>
      <c r="D145" s="28"/>
      <c r="E145" s="29">
        <f t="shared" si="23"/>
        <v>0</v>
      </c>
      <c r="F145" s="60"/>
      <c r="G145" s="264" t="s">
        <v>169</v>
      </c>
      <c r="H145" s="100"/>
      <c r="I145" s="265"/>
      <c r="J145" s="102">
        <f t="shared" si="24"/>
        <v>0</v>
      </c>
    </row>
    <row r="146" spans="2:10" ht="15.75" customHeight="1" x14ac:dyDescent="0.35">
      <c r="B146" s="26" t="s">
        <v>170</v>
      </c>
      <c r="C146" s="27"/>
      <c r="D146" s="27"/>
      <c r="E146" s="29">
        <f t="shared" si="23"/>
        <v>0</v>
      </c>
      <c r="F146" s="60"/>
      <c r="G146" s="264" t="s">
        <v>170</v>
      </c>
      <c r="H146" s="100"/>
      <c r="I146" s="100"/>
      <c r="J146" s="102">
        <f t="shared" si="24"/>
        <v>0</v>
      </c>
    </row>
    <row r="147" spans="2:10" ht="15.75" customHeight="1" x14ac:dyDescent="0.35">
      <c r="B147" s="30" t="s">
        <v>171</v>
      </c>
      <c r="C147" s="27"/>
      <c r="D147" s="27"/>
      <c r="E147" s="29">
        <f t="shared" si="23"/>
        <v>0</v>
      </c>
      <c r="F147" s="60"/>
      <c r="G147" s="266" t="s">
        <v>171</v>
      </c>
      <c r="H147" s="100"/>
      <c r="I147" s="100"/>
      <c r="J147" s="102">
        <f t="shared" si="24"/>
        <v>0</v>
      </c>
    </row>
    <row r="148" spans="2:10" ht="15.75" customHeight="1" x14ac:dyDescent="0.35">
      <c r="B148" s="26" t="s">
        <v>172</v>
      </c>
      <c r="C148" s="27"/>
      <c r="D148" s="27"/>
      <c r="E148" s="29">
        <f t="shared" si="23"/>
        <v>0</v>
      </c>
      <c r="F148" s="60"/>
      <c r="G148" s="264" t="s">
        <v>172</v>
      </c>
      <c r="H148" s="100"/>
      <c r="I148" s="100"/>
      <c r="J148" s="102">
        <f t="shared" si="24"/>
        <v>0</v>
      </c>
    </row>
    <row r="149" spans="2:10" ht="15.75" customHeight="1" x14ac:dyDescent="0.35">
      <c r="B149" s="26" t="s">
        <v>173</v>
      </c>
      <c r="C149" s="27"/>
      <c r="D149" s="27"/>
      <c r="E149" s="29">
        <f t="shared" si="23"/>
        <v>0</v>
      </c>
      <c r="F149" s="60"/>
      <c r="G149" s="264" t="s">
        <v>173</v>
      </c>
      <c r="H149" s="100"/>
      <c r="I149" s="100"/>
      <c r="J149" s="102">
        <f t="shared" si="24"/>
        <v>0</v>
      </c>
    </row>
    <row r="150" spans="2:10" ht="15.75" customHeight="1" x14ac:dyDescent="0.35">
      <c r="B150" s="26" t="s">
        <v>174</v>
      </c>
      <c r="C150" s="27"/>
      <c r="D150" s="27"/>
      <c r="E150" s="29">
        <f t="shared" si="23"/>
        <v>0</v>
      </c>
      <c r="F150" s="60"/>
      <c r="G150" s="264" t="s">
        <v>174</v>
      </c>
      <c r="H150" s="100"/>
      <c r="I150" s="100"/>
      <c r="J150" s="102">
        <f t="shared" si="24"/>
        <v>0</v>
      </c>
    </row>
    <row r="151" spans="2:10" ht="15.75" customHeight="1" thickBot="1" x14ac:dyDescent="0.4">
      <c r="B151" s="31" t="s">
        <v>175</v>
      </c>
      <c r="C151" s="29">
        <f>SUM(C144:C150)</f>
        <v>0</v>
      </c>
      <c r="D151" s="29">
        <f>SUM(D144:D150)</f>
        <v>0</v>
      </c>
      <c r="E151" s="29">
        <f t="shared" si="23"/>
        <v>0</v>
      </c>
      <c r="F151" s="60"/>
      <c r="G151" s="267" t="s">
        <v>175</v>
      </c>
      <c r="H151" s="259">
        <f>SUM(H144:H150)</f>
        <v>0</v>
      </c>
      <c r="I151" s="259">
        <f>SUM(I144:I150)</f>
        <v>0</v>
      </c>
      <c r="J151" s="102">
        <f t="shared" si="24"/>
        <v>0</v>
      </c>
    </row>
    <row r="152" spans="2:10" s="34" customFormat="1" ht="15.75" customHeight="1" x14ac:dyDescent="0.35">
      <c r="B152" s="35"/>
      <c r="C152" s="36"/>
      <c r="D152" s="36"/>
      <c r="E152" s="38"/>
      <c r="F152" s="60"/>
      <c r="G152" s="268"/>
      <c r="H152" s="269"/>
      <c r="I152" s="269"/>
      <c r="J152" s="271"/>
    </row>
    <row r="153" spans="2:10" ht="15.75" customHeight="1" x14ac:dyDescent="0.35">
      <c r="B153" s="635" t="s">
        <v>115</v>
      </c>
      <c r="C153" s="636"/>
      <c r="D153" s="636"/>
      <c r="E153" s="637"/>
      <c r="F153" s="60"/>
      <c r="G153" s="645" t="s">
        <v>115</v>
      </c>
      <c r="H153" s="646"/>
      <c r="I153" s="646"/>
      <c r="J153" s="647"/>
    </row>
    <row r="154" spans="2:10" ht="21" customHeight="1" thickBot="1" x14ac:dyDescent="0.4">
      <c r="B154" s="20" t="s">
        <v>195</v>
      </c>
      <c r="C154" s="21">
        <f>'[1]1) Tableau budgétaire 1'!D152</f>
        <v>0</v>
      </c>
      <c r="D154" s="21">
        <f>'[1]1) Tableau budgétaire 1'!E152</f>
        <v>0</v>
      </c>
      <c r="E154" s="22">
        <f t="shared" ref="E154:E162" si="25">SUM(C154:D154)</f>
        <v>0</v>
      </c>
      <c r="F154" s="60"/>
      <c r="G154" s="261" t="s">
        <v>195</v>
      </c>
      <c r="H154" s="259">
        <f>'[2]1) Tableau budgétaire 1'!D152</f>
        <v>0</v>
      </c>
      <c r="I154" s="259">
        <f>'[2]1) Tableau budgétaire 1'!E152</f>
        <v>0</v>
      </c>
      <c r="J154" s="103">
        <f t="shared" ref="J154:J162" si="26">SUM(H154:I154)</f>
        <v>0</v>
      </c>
    </row>
    <row r="155" spans="2:10" ht="15.75" customHeight="1" x14ac:dyDescent="0.35">
      <c r="B155" s="23" t="s">
        <v>168</v>
      </c>
      <c r="C155" s="24"/>
      <c r="D155" s="24"/>
      <c r="E155" s="25">
        <f t="shared" si="25"/>
        <v>0</v>
      </c>
      <c r="F155" s="60"/>
      <c r="G155" s="262" t="s">
        <v>168</v>
      </c>
      <c r="H155" s="99"/>
      <c r="I155" s="263"/>
      <c r="J155" s="101">
        <f t="shared" si="26"/>
        <v>0</v>
      </c>
    </row>
    <row r="156" spans="2:10" ht="15.75" customHeight="1" x14ac:dyDescent="0.35">
      <c r="B156" s="26" t="s">
        <v>169</v>
      </c>
      <c r="C156" s="28"/>
      <c r="D156" s="28"/>
      <c r="E156" s="29">
        <f t="shared" si="25"/>
        <v>0</v>
      </c>
      <c r="F156" s="60"/>
      <c r="G156" s="264" t="s">
        <v>169</v>
      </c>
      <c r="H156" s="100"/>
      <c r="I156" s="265"/>
      <c r="J156" s="102">
        <f t="shared" si="26"/>
        <v>0</v>
      </c>
    </row>
    <row r="157" spans="2:10" ht="15.75" customHeight="1" x14ac:dyDescent="0.35">
      <c r="B157" s="26" t="s">
        <v>170</v>
      </c>
      <c r="C157" s="27"/>
      <c r="D157" s="27"/>
      <c r="E157" s="29">
        <f t="shared" si="25"/>
        <v>0</v>
      </c>
      <c r="F157" s="60"/>
      <c r="G157" s="264" t="s">
        <v>170</v>
      </c>
      <c r="H157" s="100"/>
      <c r="I157" s="100"/>
      <c r="J157" s="102">
        <f t="shared" si="26"/>
        <v>0</v>
      </c>
    </row>
    <row r="158" spans="2:10" ht="15.75" customHeight="1" x14ac:dyDescent="0.35">
      <c r="B158" s="30" t="s">
        <v>171</v>
      </c>
      <c r="C158" s="27"/>
      <c r="D158" s="27"/>
      <c r="E158" s="29">
        <f t="shared" si="25"/>
        <v>0</v>
      </c>
      <c r="F158" s="60"/>
      <c r="G158" s="266" t="s">
        <v>171</v>
      </c>
      <c r="H158" s="100"/>
      <c r="I158" s="100"/>
      <c r="J158" s="102">
        <f t="shared" si="26"/>
        <v>0</v>
      </c>
    </row>
    <row r="159" spans="2:10" ht="15.75" customHeight="1" x14ac:dyDescent="0.35">
      <c r="B159" s="26" t="s">
        <v>172</v>
      </c>
      <c r="C159" s="27"/>
      <c r="D159" s="27"/>
      <c r="E159" s="29">
        <f t="shared" si="25"/>
        <v>0</v>
      </c>
      <c r="F159" s="60"/>
      <c r="G159" s="264" t="s">
        <v>172</v>
      </c>
      <c r="H159" s="100"/>
      <c r="I159" s="100"/>
      <c r="J159" s="102">
        <f t="shared" si="26"/>
        <v>0</v>
      </c>
    </row>
    <row r="160" spans="2:10" ht="15.75" customHeight="1" x14ac:dyDescent="0.35">
      <c r="B160" s="26" t="s">
        <v>173</v>
      </c>
      <c r="C160" s="27"/>
      <c r="D160" s="27"/>
      <c r="E160" s="29">
        <f t="shared" si="25"/>
        <v>0</v>
      </c>
      <c r="F160" s="60"/>
      <c r="G160" s="264" t="s">
        <v>173</v>
      </c>
      <c r="H160" s="100"/>
      <c r="I160" s="100"/>
      <c r="J160" s="102">
        <f t="shared" si="26"/>
        <v>0</v>
      </c>
    </row>
    <row r="161" spans="2:10" ht="15.75" customHeight="1" x14ac:dyDescent="0.35">
      <c r="B161" s="26" t="s">
        <v>174</v>
      </c>
      <c r="C161" s="27"/>
      <c r="D161" s="27"/>
      <c r="E161" s="29">
        <f t="shared" si="25"/>
        <v>0</v>
      </c>
      <c r="F161" s="60"/>
      <c r="G161" s="264" t="s">
        <v>174</v>
      </c>
      <c r="H161" s="100"/>
      <c r="I161" s="100"/>
      <c r="J161" s="102">
        <f t="shared" si="26"/>
        <v>0</v>
      </c>
    </row>
    <row r="162" spans="2:10" ht="15.75" customHeight="1" thickBot="1" x14ac:dyDescent="0.4">
      <c r="B162" s="31" t="s">
        <v>175</v>
      </c>
      <c r="C162" s="29">
        <f>SUM(C155:C161)</f>
        <v>0</v>
      </c>
      <c r="D162" s="29">
        <f>SUM(D155:D161)</f>
        <v>0</v>
      </c>
      <c r="E162" s="29">
        <f t="shared" si="25"/>
        <v>0</v>
      </c>
      <c r="F162" s="60"/>
      <c r="G162" s="267" t="s">
        <v>175</v>
      </c>
      <c r="H162" s="259">
        <f>SUM(H155:H161)</f>
        <v>0</v>
      </c>
      <c r="I162" s="259">
        <f>SUM(I155:I161)</f>
        <v>0</v>
      </c>
      <c r="J162" s="102">
        <f t="shared" si="26"/>
        <v>0</v>
      </c>
    </row>
    <row r="163" spans="2:10" s="34" customFormat="1" ht="15.75" customHeight="1" x14ac:dyDescent="0.35">
      <c r="B163" s="35"/>
      <c r="C163" s="36"/>
      <c r="D163" s="36"/>
      <c r="E163" s="38"/>
      <c r="F163" s="60"/>
      <c r="G163" s="268"/>
      <c r="H163" s="269"/>
      <c r="I163" s="269"/>
      <c r="J163" s="271"/>
    </row>
    <row r="164" spans="2:10" ht="15.75" customHeight="1" x14ac:dyDescent="0.35">
      <c r="B164" s="635" t="s">
        <v>124</v>
      </c>
      <c r="C164" s="636"/>
      <c r="D164" s="636"/>
      <c r="E164" s="637"/>
      <c r="F164" s="60"/>
      <c r="G164" s="645" t="s">
        <v>124</v>
      </c>
      <c r="H164" s="646"/>
      <c r="I164" s="646"/>
      <c r="J164" s="647"/>
    </row>
    <row r="165" spans="2:10" ht="19.5" customHeight="1" thickBot="1" x14ac:dyDescent="0.4">
      <c r="B165" s="20" t="s">
        <v>196</v>
      </c>
      <c r="C165" s="21">
        <f>'[1]1) Tableau budgétaire 1'!D162</f>
        <v>0</v>
      </c>
      <c r="D165" s="21">
        <f>'[1]1) Tableau budgétaire 1'!E162</f>
        <v>0</v>
      </c>
      <c r="E165" s="22">
        <f t="shared" ref="E165:E173" si="27">SUM(C165:D165)</f>
        <v>0</v>
      </c>
      <c r="F165" s="60"/>
      <c r="G165" s="261" t="s">
        <v>196</v>
      </c>
      <c r="H165" s="259">
        <f>'[2]1) Tableau budgétaire 1'!D162</f>
        <v>0</v>
      </c>
      <c r="I165" s="259">
        <f>'[2]1) Tableau budgétaire 1'!E162</f>
        <v>0</v>
      </c>
      <c r="J165" s="103">
        <f t="shared" ref="J165:J173" si="28">SUM(H165:I165)</f>
        <v>0</v>
      </c>
    </row>
    <row r="166" spans="2:10" ht="15.75" customHeight="1" x14ac:dyDescent="0.35">
      <c r="B166" s="23" t="s">
        <v>168</v>
      </c>
      <c r="C166" s="24"/>
      <c r="D166" s="24"/>
      <c r="E166" s="25">
        <f t="shared" si="27"/>
        <v>0</v>
      </c>
      <c r="F166" s="60"/>
      <c r="G166" s="262" t="s">
        <v>168</v>
      </c>
      <c r="H166" s="99"/>
      <c r="I166" s="263"/>
      <c r="J166" s="101">
        <f t="shared" si="28"/>
        <v>0</v>
      </c>
    </row>
    <row r="167" spans="2:10" ht="15.75" customHeight="1" x14ac:dyDescent="0.35">
      <c r="B167" s="26" t="s">
        <v>169</v>
      </c>
      <c r="C167" s="28"/>
      <c r="D167" s="28"/>
      <c r="E167" s="29">
        <f t="shared" si="27"/>
        <v>0</v>
      </c>
      <c r="F167" s="60"/>
      <c r="G167" s="264" t="s">
        <v>169</v>
      </c>
      <c r="H167" s="100"/>
      <c r="I167" s="265"/>
      <c r="J167" s="102">
        <f t="shared" si="28"/>
        <v>0</v>
      </c>
    </row>
    <row r="168" spans="2:10" ht="15.75" customHeight="1" x14ac:dyDescent="0.35">
      <c r="B168" s="26" t="s">
        <v>170</v>
      </c>
      <c r="C168" s="27"/>
      <c r="D168" s="27"/>
      <c r="E168" s="29">
        <f t="shared" si="27"/>
        <v>0</v>
      </c>
      <c r="F168" s="60"/>
      <c r="G168" s="264" t="s">
        <v>170</v>
      </c>
      <c r="H168" s="100"/>
      <c r="I168" s="100"/>
      <c r="J168" s="102">
        <f t="shared" si="28"/>
        <v>0</v>
      </c>
    </row>
    <row r="169" spans="2:10" ht="15.75" customHeight="1" x14ac:dyDescent="0.35">
      <c r="B169" s="30" t="s">
        <v>171</v>
      </c>
      <c r="C169" s="27"/>
      <c r="D169" s="27"/>
      <c r="E169" s="29">
        <f t="shared" si="27"/>
        <v>0</v>
      </c>
      <c r="F169" s="60"/>
      <c r="G169" s="266" t="s">
        <v>171</v>
      </c>
      <c r="H169" s="100"/>
      <c r="I169" s="100"/>
      <c r="J169" s="102">
        <f t="shared" si="28"/>
        <v>0</v>
      </c>
    </row>
    <row r="170" spans="2:10" ht="15.75" customHeight="1" x14ac:dyDescent="0.35">
      <c r="B170" s="26" t="s">
        <v>172</v>
      </c>
      <c r="C170" s="27"/>
      <c r="D170" s="27"/>
      <c r="E170" s="29">
        <f t="shared" si="27"/>
        <v>0</v>
      </c>
      <c r="F170" s="60"/>
      <c r="G170" s="264" t="s">
        <v>172</v>
      </c>
      <c r="H170" s="100"/>
      <c r="I170" s="100"/>
      <c r="J170" s="102">
        <f t="shared" si="28"/>
        <v>0</v>
      </c>
    </row>
    <row r="171" spans="2:10" ht="15.75" customHeight="1" x14ac:dyDescent="0.35">
      <c r="B171" s="26" t="s">
        <v>173</v>
      </c>
      <c r="C171" s="27"/>
      <c r="D171" s="27"/>
      <c r="E171" s="29">
        <f t="shared" si="27"/>
        <v>0</v>
      </c>
      <c r="F171" s="60"/>
      <c r="G171" s="264" t="s">
        <v>173</v>
      </c>
      <c r="H171" s="100"/>
      <c r="I171" s="100"/>
      <c r="J171" s="102">
        <f t="shared" si="28"/>
        <v>0</v>
      </c>
    </row>
    <row r="172" spans="2:10" ht="15.75" customHeight="1" x14ac:dyDescent="0.35">
      <c r="B172" s="26" t="s">
        <v>174</v>
      </c>
      <c r="C172" s="27"/>
      <c r="D172" s="27"/>
      <c r="E172" s="29">
        <f t="shared" si="27"/>
        <v>0</v>
      </c>
      <c r="F172" s="60"/>
      <c r="G172" s="264" t="s">
        <v>174</v>
      </c>
      <c r="H172" s="100"/>
      <c r="I172" s="100"/>
      <c r="J172" s="102">
        <f t="shared" si="28"/>
        <v>0</v>
      </c>
    </row>
    <row r="173" spans="2:10" ht="15.75" customHeight="1" thickBot="1" x14ac:dyDescent="0.4">
      <c r="B173" s="31" t="s">
        <v>175</v>
      </c>
      <c r="C173" s="29">
        <f>SUM(C166:C172)</f>
        <v>0</v>
      </c>
      <c r="D173" s="29">
        <f>SUM(D166:D172)</f>
        <v>0</v>
      </c>
      <c r="E173" s="29">
        <f t="shared" si="27"/>
        <v>0</v>
      </c>
      <c r="F173" s="60"/>
      <c r="G173" s="267" t="s">
        <v>175</v>
      </c>
      <c r="H173" s="259">
        <f>SUM(H166:H172)</f>
        <v>0</v>
      </c>
      <c r="I173" s="259">
        <f>SUM(I166:I172)</f>
        <v>0</v>
      </c>
      <c r="J173" s="102">
        <f t="shared" si="28"/>
        <v>0</v>
      </c>
    </row>
    <row r="174" spans="2:10" s="34" customFormat="1" ht="15.75" customHeight="1" x14ac:dyDescent="0.35">
      <c r="B174" s="35"/>
      <c r="C174" s="36"/>
      <c r="D174" s="36"/>
      <c r="E174" s="38"/>
      <c r="F174" s="60"/>
      <c r="G174" s="268"/>
      <c r="H174" s="269"/>
      <c r="I174" s="269"/>
      <c r="J174" s="271"/>
    </row>
    <row r="175" spans="2:10" ht="15.75" customHeight="1" x14ac:dyDescent="0.35">
      <c r="B175" s="635" t="s">
        <v>133</v>
      </c>
      <c r="C175" s="636"/>
      <c r="D175" s="636"/>
      <c r="E175" s="637"/>
      <c r="F175" s="60"/>
      <c r="G175" s="645" t="s">
        <v>133</v>
      </c>
      <c r="H175" s="646"/>
      <c r="I175" s="646"/>
      <c r="J175" s="647"/>
    </row>
    <row r="176" spans="2:10" ht="22.5" customHeight="1" thickBot="1" x14ac:dyDescent="0.4">
      <c r="B176" s="20" t="s">
        <v>197</v>
      </c>
      <c r="C176" s="21">
        <f>'[1]1) Tableau budgétaire 1'!D172</f>
        <v>0</v>
      </c>
      <c r="D176" s="21">
        <f>'[1]1) Tableau budgétaire 1'!E172</f>
        <v>0</v>
      </c>
      <c r="E176" s="22">
        <f t="shared" ref="E176:E184" si="29">SUM(C176:D176)</f>
        <v>0</v>
      </c>
      <c r="F176" s="60"/>
      <c r="G176" s="261" t="s">
        <v>197</v>
      </c>
      <c r="H176" s="259">
        <f>'[2]1) Tableau budgétaire 1'!D172</f>
        <v>0</v>
      </c>
      <c r="I176" s="259">
        <f>'[2]1) Tableau budgétaire 1'!E172</f>
        <v>0</v>
      </c>
      <c r="J176" s="103">
        <f t="shared" ref="J176:J184" si="30">SUM(H176:I176)</f>
        <v>0</v>
      </c>
    </row>
    <row r="177" spans="2:10" ht="15.75" customHeight="1" x14ac:dyDescent="0.35">
      <c r="B177" s="23" t="s">
        <v>168</v>
      </c>
      <c r="C177" s="24"/>
      <c r="D177" s="24"/>
      <c r="E177" s="25">
        <f t="shared" si="29"/>
        <v>0</v>
      </c>
      <c r="F177" s="60"/>
      <c r="G177" s="262" t="s">
        <v>168</v>
      </c>
      <c r="H177" s="99"/>
      <c r="I177" s="263"/>
      <c r="J177" s="101">
        <f t="shared" si="30"/>
        <v>0</v>
      </c>
    </row>
    <row r="178" spans="2:10" ht="15.75" customHeight="1" x14ac:dyDescent="0.35">
      <c r="B178" s="26" t="s">
        <v>169</v>
      </c>
      <c r="C178" s="28"/>
      <c r="D178" s="28"/>
      <c r="E178" s="29">
        <f t="shared" si="29"/>
        <v>0</v>
      </c>
      <c r="F178" s="60"/>
      <c r="G178" s="264" t="s">
        <v>169</v>
      </c>
      <c r="H178" s="100"/>
      <c r="I178" s="265"/>
      <c r="J178" s="102">
        <f t="shared" si="30"/>
        <v>0</v>
      </c>
    </row>
    <row r="179" spans="2:10" ht="15.75" customHeight="1" x14ac:dyDescent="0.35">
      <c r="B179" s="26" t="s">
        <v>170</v>
      </c>
      <c r="C179" s="27"/>
      <c r="D179" s="27"/>
      <c r="E179" s="29">
        <f t="shared" si="29"/>
        <v>0</v>
      </c>
      <c r="F179" s="60"/>
      <c r="G179" s="264" t="s">
        <v>170</v>
      </c>
      <c r="H179" s="100"/>
      <c r="I179" s="100"/>
      <c r="J179" s="102">
        <f t="shared" si="30"/>
        <v>0</v>
      </c>
    </row>
    <row r="180" spans="2:10" ht="15.75" customHeight="1" x14ac:dyDescent="0.35">
      <c r="B180" s="30" t="s">
        <v>171</v>
      </c>
      <c r="C180" s="27"/>
      <c r="D180" s="27"/>
      <c r="E180" s="29">
        <f t="shared" si="29"/>
        <v>0</v>
      </c>
      <c r="F180" s="60"/>
      <c r="G180" s="266" t="s">
        <v>171</v>
      </c>
      <c r="H180" s="100"/>
      <c r="I180" s="100"/>
      <c r="J180" s="102">
        <f t="shared" si="30"/>
        <v>0</v>
      </c>
    </row>
    <row r="181" spans="2:10" ht="15.75" customHeight="1" x14ac:dyDescent="0.35">
      <c r="B181" s="26" t="s">
        <v>172</v>
      </c>
      <c r="C181" s="27"/>
      <c r="D181" s="27"/>
      <c r="E181" s="29">
        <f t="shared" si="29"/>
        <v>0</v>
      </c>
      <c r="F181" s="60"/>
      <c r="G181" s="264" t="s">
        <v>172</v>
      </c>
      <c r="H181" s="100"/>
      <c r="I181" s="100"/>
      <c r="J181" s="102">
        <f t="shared" si="30"/>
        <v>0</v>
      </c>
    </row>
    <row r="182" spans="2:10" ht="15.75" customHeight="1" x14ac:dyDescent="0.35">
      <c r="B182" s="26" t="s">
        <v>173</v>
      </c>
      <c r="C182" s="27"/>
      <c r="D182" s="27"/>
      <c r="E182" s="29">
        <f t="shared" si="29"/>
        <v>0</v>
      </c>
      <c r="F182" s="60"/>
      <c r="G182" s="264" t="s">
        <v>173</v>
      </c>
      <c r="H182" s="100"/>
      <c r="I182" s="100"/>
      <c r="J182" s="102">
        <f t="shared" si="30"/>
        <v>0</v>
      </c>
    </row>
    <row r="183" spans="2:10" ht="15.75" customHeight="1" x14ac:dyDescent="0.35">
      <c r="B183" s="26" t="s">
        <v>174</v>
      </c>
      <c r="C183" s="27"/>
      <c r="D183" s="27"/>
      <c r="E183" s="29">
        <f t="shared" si="29"/>
        <v>0</v>
      </c>
      <c r="F183" s="60"/>
      <c r="G183" s="264" t="s">
        <v>174</v>
      </c>
      <c r="H183" s="100"/>
      <c r="I183" s="100"/>
      <c r="J183" s="102">
        <f t="shared" si="30"/>
        <v>0</v>
      </c>
    </row>
    <row r="184" spans="2:10" ht="15.75" customHeight="1" thickBot="1" x14ac:dyDescent="0.4">
      <c r="B184" s="31" t="s">
        <v>175</v>
      </c>
      <c r="C184" s="29">
        <f>SUM(C177:C183)</f>
        <v>0</v>
      </c>
      <c r="D184" s="29">
        <f>SUM(D177:D183)</f>
        <v>0</v>
      </c>
      <c r="E184" s="29">
        <f t="shared" si="29"/>
        <v>0</v>
      </c>
      <c r="F184" s="60"/>
      <c r="G184" s="267" t="s">
        <v>175</v>
      </c>
      <c r="H184" s="259">
        <f>SUM(H177:H183)</f>
        <v>0</v>
      </c>
      <c r="I184" s="259">
        <f>SUM(I177:I183)</f>
        <v>0</v>
      </c>
      <c r="J184" s="102">
        <f t="shared" si="30"/>
        <v>0</v>
      </c>
    </row>
    <row r="185" spans="2:10" ht="15.75" customHeight="1" x14ac:dyDescent="0.35">
      <c r="C185" s="34"/>
      <c r="D185" s="34"/>
      <c r="F185" s="60"/>
      <c r="G185" s="278"/>
      <c r="H185" s="279"/>
      <c r="I185" s="279"/>
      <c r="J185" s="278"/>
    </row>
    <row r="186" spans="2:10" ht="15.75" customHeight="1" x14ac:dyDescent="0.35">
      <c r="B186" s="635" t="s">
        <v>198</v>
      </c>
      <c r="C186" s="636"/>
      <c r="D186" s="636"/>
      <c r="E186" s="637"/>
      <c r="F186" s="60"/>
      <c r="G186" s="645" t="s">
        <v>198</v>
      </c>
      <c r="H186" s="646"/>
      <c r="I186" s="646"/>
      <c r="J186" s="647"/>
    </row>
    <row r="187" spans="2:10" ht="36" customHeight="1" thickBot="1" x14ac:dyDescent="0.4">
      <c r="B187" s="20" t="s">
        <v>199</v>
      </c>
      <c r="C187" s="21">
        <v>568971</v>
      </c>
      <c r="D187" s="21">
        <f>'[1]1) Tableau budgétaire 1'!E179</f>
        <v>0</v>
      </c>
      <c r="E187" s="103">
        <f t="shared" ref="E187:E194" si="31">SUM(C187:D187)</f>
        <v>568971</v>
      </c>
      <c r="F187" s="60"/>
      <c r="G187" s="261" t="s">
        <v>199</v>
      </c>
      <c r="H187" s="259">
        <v>568971</v>
      </c>
      <c r="I187" s="259">
        <f>'[2]1) Tableau budgétaire 1'!E179</f>
        <v>0</v>
      </c>
      <c r="J187" s="103">
        <f t="shared" ref="J187:J195" si="32">SUM(H187:I187)</f>
        <v>568971</v>
      </c>
    </row>
    <row r="188" spans="2:10" ht="15.75" customHeight="1" x14ac:dyDescent="0.35">
      <c r="B188" s="23" t="s">
        <v>168</v>
      </c>
      <c r="C188" s="298">
        <v>343971</v>
      </c>
      <c r="D188" s="24"/>
      <c r="E188" s="101">
        <f t="shared" si="31"/>
        <v>343971</v>
      </c>
      <c r="F188" s="60"/>
      <c r="G188" s="262" t="s">
        <v>168</v>
      </c>
      <c r="H188" s="99">
        <v>343971</v>
      </c>
      <c r="I188" s="263"/>
      <c r="J188" s="101">
        <f t="shared" si="32"/>
        <v>343971</v>
      </c>
    </row>
    <row r="189" spans="2:10" ht="15.75" customHeight="1" x14ac:dyDescent="0.35">
      <c r="B189" s="26" t="s">
        <v>169</v>
      </c>
      <c r="C189" s="299">
        <v>0</v>
      </c>
      <c r="D189" s="28"/>
      <c r="E189" s="102">
        <f t="shared" si="31"/>
        <v>0</v>
      </c>
      <c r="F189" s="60"/>
      <c r="G189" s="264" t="s">
        <v>169</v>
      </c>
      <c r="H189" s="100"/>
      <c r="I189" s="265"/>
      <c r="J189" s="102">
        <f t="shared" si="32"/>
        <v>0</v>
      </c>
    </row>
    <row r="190" spans="2:10" ht="15.75" customHeight="1" x14ac:dyDescent="0.35">
      <c r="B190" s="26" t="s">
        <v>170</v>
      </c>
      <c r="C190" s="27">
        <v>85000</v>
      </c>
      <c r="D190" s="27"/>
      <c r="E190" s="102">
        <f t="shared" si="31"/>
        <v>85000</v>
      </c>
      <c r="F190" s="60"/>
      <c r="G190" s="264" t="s">
        <v>170</v>
      </c>
      <c r="H190" s="100">
        <v>85000</v>
      </c>
      <c r="I190" s="100"/>
      <c r="J190" s="102">
        <f t="shared" si="32"/>
        <v>85000</v>
      </c>
    </row>
    <row r="191" spans="2:10" ht="15.75" customHeight="1" x14ac:dyDescent="0.35">
      <c r="B191" s="30" t="s">
        <v>171</v>
      </c>
      <c r="C191" s="27">
        <v>50000</v>
      </c>
      <c r="D191" s="27"/>
      <c r="E191" s="102">
        <f t="shared" si="31"/>
        <v>50000</v>
      </c>
      <c r="F191" s="60"/>
      <c r="G191" s="266" t="s">
        <v>171</v>
      </c>
      <c r="H191" s="100">
        <v>50000</v>
      </c>
      <c r="I191" s="100"/>
      <c r="J191" s="102">
        <f t="shared" si="32"/>
        <v>50000</v>
      </c>
    </row>
    <row r="192" spans="2:10" ht="15.75" customHeight="1" x14ac:dyDescent="0.35">
      <c r="B192" s="26" t="s">
        <v>172</v>
      </c>
      <c r="C192" s="27">
        <v>15000</v>
      </c>
      <c r="D192" s="27"/>
      <c r="E192" s="102">
        <f t="shared" si="31"/>
        <v>15000</v>
      </c>
      <c r="F192" s="60"/>
      <c r="G192" s="264" t="s">
        <v>172</v>
      </c>
      <c r="H192" s="100">
        <v>15000</v>
      </c>
      <c r="I192" s="100"/>
      <c r="J192" s="102">
        <f t="shared" si="32"/>
        <v>15000</v>
      </c>
    </row>
    <row r="193" spans="2:10" ht="15.75" customHeight="1" x14ac:dyDescent="0.35">
      <c r="B193" s="26" t="s">
        <v>173</v>
      </c>
      <c r="C193" s="27"/>
      <c r="D193" s="27"/>
      <c r="E193" s="102">
        <f t="shared" si="31"/>
        <v>0</v>
      </c>
      <c r="F193" s="60"/>
      <c r="G193" s="264" t="s">
        <v>173</v>
      </c>
      <c r="H193" s="100"/>
      <c r="I193" s="100"/>
      <c r="J193" s="102">
        <f t="shared" si="32"/>
        <v>0</v>
      </c>
    </row>
    <row r="194" spans="2:10" ht="15.75" customHeight="1" x14ac:dyDescent="0.35">
      <c r="B194" s="26" t="s">
        <v>174</v>
      </c>
      <c r="C194" s="27">
        <v>75000</v>
      </c>
      <c r="D194" s="27"/>
      <c r="E194" s="102">
        <f t="shared" si="31"/>
        <v>75000</v>
      </c>
      <c r="F194" s="60"/>
      <c r="G194" s="264" t="s">
        <v>174</v>
      </c>
      <c r="H194" s="100">
        <v>75000</v>
      </c>
      <c r="I194" s="100"/>
      <c r="J194" s="102">
        <f t="shared" si="32"/>
        <v>75000</v>
      </c>
    </row>
    <row r="195" spans="2:10" ht="15.75" customHeight="1" thickBot="1" x14ac:dyDescent="0.4">
      <c r="B195" s="31" t="s">
        <v>175</v>
      </c>
      <c r="C195" s="102">
        <f>SUM(C188:C194)</f>
        <v>568971</v>
      </c>
      <c r="D195" s="102">
        <f>SUM(D188:D194)</f>
        <v>0</v>
      </c>
      <c r="E195" s="102">
        <f>SUM(E188:E194)</f>
        <v>568971</v>
      </c>
      <c r="F195" s="60"/>
      <c r="G195" s="267" t="s">
        <v>175</v>
      </c>
      <c r="H195" s="259">
        <f>SUM(H188:H194)</f>
        <v>568971</v>
      </c>
      <c r="I195" s="259">
        <f>SUM(I188:I194)</f>
        <v>0</v>
      </c>
      <c r="J195" s="102">
        <f t="shared" si="32"/>
        <v>568971</v>
      </c>
    </row>
    <row r="196" spans="2:10" ht="15.75" customHeight="1" thickBot="1" x14ac:dyDescent="0.4">
      <c r="C196" s="34"/>
      <c r="D196" s="34"/>
      <c r="F196" s="60"/>
      <c r="G196" s="278"/>
      <c r="H196" s="279"/>
      <c r="I196" s="279"/>
      <c r="J196" s="278"/>
    </row>
    <row r="197" spans="2:10" ht="19.5" customHeight="1" thickBot="1" x14ac:dyDescent="0.4">
      <c r="B197" s="642" t="s">
        <v>147</v>
      </c>
      <c r="C197" s="643"/>
      <c r="D197" s="643"/>
      <c r="E197" s="644"/>
      <c r="F197" s="60"/>
      <c r="G197" s="651" t="s">
        <v>147</v>
      </c>
      <c r="H197" s="652"/>
      <c r="I197" s="652"/>
      <c r="J197" s="653"/>
    </row>
    <row r="198" spans="2:10" ht="51.75" customHeight="1" x14ac:dyDescent="0.35">
      <c r="B198" s="310"/>
      <c r="C198" s="18" t="str">
        <f>C5</f>
        <v>PNUD(budget en USD)</v>
      </c>
      <c r="D198" s="18" t="str">
        <f>'[1]1) Tableau budgétaire 1'!E5</f>
        <v>Organisation recipiendiaire 2 (budget en USD)</v>
      </c>
      <c r="E198" s="45" t="s">
        <v>147</v>
      </c>
      <c r="F198" s="60"/>
      <c r="G198" s="297"/>
      <c r="H198" s="280" t="str">
        <f>H5</f>
        <v>PNUD(budget en USD)</v>
      </c>
      <c r="I198" s="280" t="str">
        <f>'[2]1) Tableau budgétaire 1'!E5</f>
        <v>Organisation recipiendiaire 2 (budget en USD)</v>
      </c>
      <c r="J198" s="281" t="s">
        <v>147</v>
      </c>
    </row>
    <row r="199" spans="2:10" ht="19.5" customHeight="1" x14ac:dyDescent="0.35">
      <c r="B199" s="46" t="s">
        <v>168</v>
      </c>
      <c r="C199" s="47">
        <f t="shared" ref="C199:D205" si="33">SUM(C177,C166,C155,C144,C132,C121,C110,C99,C87,C76,C65,C54,C42,C31,C20,C9,C188)</f>
        <v>343971</v>
      </c>
      <c r="D199" s="47">
        <f t="shared" si="33"/>
        <v>186916</v>
      </c>
      <c r="E199" s="48">
        <f t="shared" ref="E199:E206" si="34">SUM(C199:D199)</f>
        <v>530887</v>
      </c>
      <c r="F199" s="60"/>
      <c r="G199" s="282" t="s">
        <v>168</v>
      </c>
      <c r="H199" s="283">
        <f t="shared" ref="H199:I205" si="35">SUM(H177,H166,H155,H144,H132,H121,H110,H99,H87,H76,H65,H54,H42,H31,H20,H9,H188)</f>
        <v>343971</v>
      </c>
      <c r="I199" s="283">
        <f t="shared" si="35"/>
        <v>186916</v>
      </c>
      <c r="J199" s="284">
        <f t="shared" ref="J199:J206" si="36">SUM(H199:I199)</f>
        <v>530887</v>
      </c>
    </row>
    <row r="200" spans="2:10" ht="23.15" customHeight="1" x14ac:dyDescent="0.35">
      <c r="B200" s="49" t="s">
        <v>169</v>
      </c>
      <c r="C200" s="50">
        <f t="shared" si="33"/>
        <v>0</v>
      </c>
      <c r="D200" s="50">
        <f t="shared" si="33"/>
        <v>0</v>
      </c>
      <c r="E200" s="51">
        <f t="shared" si="34"/>
        <v>0</v>
      </c>
      <c r="F200" s="60"/>
      <c r="G200" s="285" t="s">
        <v>169</v>
      </c>
      <c r="H200" s="286">
        <f t="shared" si="35"/>
        <v>0</v>
      </c>
      <c r="I200" s="286">
        <f t="shared" si="35"/>
        <v>0</v>
      </c>
      <c r="J200" s="287">
        <f t="shared" si="36"/>
        <v>0</v>
      </c>
    </row>
    <row r="201" spans="2:10" ht="33.65" customHeight="1" x14ac:dyDescent="0.35">
      <c r="B201" s="49" t="s">
        <v>170</v>
      </c>
      <c r="C201" s="50">
        <f t="shared" si="33"/>
        <v>85000</v>
      </c>
      <c r="D201" s="50">
        <f t="shared" si="33"/>
        <v>0</v>
      </c>
      <c r="E201" s="51">
        <f t="shared" si="34"/>
        <v>85000</v>
      </c>
      <c r="F201" s="60"/>
      <c r="G201" s="285" t="s">
        <v>170</v>
      </c>
      <c r="H201" s="286">
        <f t="shared" si="35"/>
        <v>85000</v>
      </c>
      <c r="I201" s="286">
        <f t="shared" si="35"/>
        <v>0</v>
      </c>
      <c r="J201" s="287">
        <f t="shared" si="36"/>
        <v>85000</v>
      </c>
    </row>
    <row r="202" spans="2:10" ht="33" customHeight="1" x14ac:dyDescent="0.35">
      <c r="B202" s="52" t="s">
        <v>171</v>
      </c>
      <c r="C202" s="50">
        <f t="shared" si="33"/>
        <v>1163272</v>
      </c>
      <c r="D202" s="50">
        <f t="shared" si="33"/>
        <v>0</v>
      </c>
      <c r="E202" s="51">
        <f t="shared" si="34"/>
        <v>1163272</v>
      </c>
      <c r="F202" s="60"/>
      <c r="G202" s="288" t="s">
        <v>171</v>
      </c>
      <c r="H202" s="286">
        <f t="shared" si="35"/>
        <v>1163272</v>
      </c>
      <c r="I202" s="286">
        <f t="shared" si="35"/>
        <v>0</v>
      </c>
      <c r="J202" s="287">
        <f t="shared" si="36"/>
        <v>1163272</v>
      </c>
    </row>
    <row r="203" spans="2:10" ht="21" customHeight="1" x14ac:dyDescent="0.35">
      <c r="B203" s="49" t="s">
        <v>172</v>
      </c>
      <c r="C203" s="50">
        <f t="shared" si="33"/>
        <v>15000</v>
      </c>
      <c r="D203" s="50">
        <f t="shared" si="33"/>
        <v>0</v>
      </c>
      <c r="E203" s="51">
        <f t="shared" si="34"/>
        <v>15000</v>
      </c>
      <c r="F203" s="60"/>
      <c r="G203" s="285" t="s">
        <v>172</v>
      </c>
      <c r="H203" s="286">
        <f t="shared" si="35"/>
        <v>15000</v>
      </c>
      <c r="I203" s="286">
        <f t="shared" si="35"/>
        <v>0</v>
      </c>
      <c r="J203" s="287">
        <f t="shared" si="36"/>
        <v>15000</v>
      </c>
    </row>
    <row r="204" spans="2:10" ht="32.15" customHeight="1" x14ac:dyDescent="0.35">
      <c r="B204" s="49" t="s">
        <v>173</v>
      </c>
      <c r="C204" s="50">
        <f t="shared" si="33"/>
        <v>0</v>
      </c>
      <c r="D204" s="50">
        <f t="shared" si="33"/>
        <v>0</v>
      </c>
      <c r="E204" s="51">
        <f t="shared" si="34"/>
        <v>0</v>
      </c>
      <c r="F204" s="60"/>
      <c r="G204" s="285" t="s">
        <v>173</v>
      </c>
      <c r="H204" s="286">
        <f t="shared" si="35"/>
        <v>0</v>
      </c>
      <c r="I204" s="286">
        <f t="shared" si="35"/>
        <v>0</v>
      </c>
      <c r="J204" s="287">
        <f t="shared" si="36"/>
        <v>0</v>
      </c>
    </row>
    <row r="205" spans="2:10" ht="33.9" customHeight="1" x14ac:dyDescent="0.35">
      <c r="B205" s="49" t="s">
        <v>174</v>
      </c>
      <c r="C205" s="47">
        <f t="shared" si="33"/>
        <v>75000</v>
      </c>
      <c r="D205" s="47">
        <f t="shared" si="33"/>
        <v>0</v>
      </c>
      <c r="E205" s="51">
        <f t="shared" si="34"/>
        <v>75000</v>
      </c>
      <c r="F205" s="60"/>
      <c r="G205" s="285" t="s">
        <v>174</v>
      </c>
      <c r="H205" s="283">
        <f t="shared" si="35"/>
        <v>75000</v>
      </c>
      <c r="I205" s="283">
        <f t="shared" si="35"/>
        <v>0</v>
      </c>
      <c r="J205" s="287">
        <f t="shared" si="36"/>
        <v>75000</v>
      </c>
    </row>
    <row r="206" spans="2:10" ht="19.5" customHeight="1" x14ac:dyDescent="0.35">
      <c r="B206" s="53" t="s">
        <v>148</v>
      </c>
      <c r="C206" s="61">
        <f>SUM(C199:C205)</f>
        <v>1682243</v>
      </c>
      <c r="D206" s="61">
        <f>SUM(D199:D205)</f>
        <v>186916</v>
      </c>
      <c r="E206" s="54">
        <f t="shared" si="34"/>
        <v>1869159</v>
      </c>
      <c r="F206" s="60"/>
      <c r="G206" s="289" t="s">
        <v>148</v>
      </c>
      <c r="H206" s="290">
        <f>SUM(H199:H205)</f>
        <v>1682243</v>
      </c>
      <c r="I206" s="290">
        <f>SUM(I199:I205)</f>
        <v>186916</v>
      </c>
      <c r="J206" s="291">
        <f t="shared" si="36"/>
        <v>1869159</v>
      </c>
    </row>
    <row r="207" spans="2:10" ht="22.5" customHeight="1" thickBot="1" x14ac:dyDescent="0.4">
      <c r="B207" s="53" t="s">
        <v>149</v>
      </c>
      <c r="C207" s="55">
        <f t="shared" ref="C207:E207" si="37">C206*0.07</f>
        <v>117757.01000000001</v>
      </c>
      <c r="D207" s="55">
        <f t="shared" si="37"/>
        <v>13084.12</v>
      </c>
      <c r="E207" s="56">
        <f t="shared" si="37"/>
        <v>130841.13000000002</v>
      </c>
      <c r="F207" s="60"/>
      <c r="G207" s="289" t="s">
        <v>149</v>
      </c>
      <c r="H207" s="292">
        <f>H206*0.07</f>
        <v>117757.01000000001</v>
      </c>
      <c r="I207" s="292">
        <f t="shared" ref="I207:J207" si="38">I206*0.07</f>
        <v>13084.12</v>
      </c>
      <c r="J207" s="293">
        <f t="shared" si="38"/>
        <v>130841.13000000002</v>
      </c>
    </row>
    <row r="208" spans="2:10" ht="18.649999999999999" customHeight="1" thickBot="1" x14ac:dyDescent="0.4">
      <c r="B208" s="57" t="s">
        <v>200</v>
      </c>
      <c r="C208" s="58">
        <f t="shared" ref="C208:E208" si="39">SUM(C206:C207)</f>
        <v>1800000.01</v>
      </c>
      <c r="D208" s="58">
        <f t="shared" si="39"/>
        <v>200000.12</v>
      </c>
      <c r="E208" s="59">
        <f t="shared" si="39"/>
        <v>2000000.1300000001</v>
      </c>
      <c r="F208" s="60"/>
      <c r="G208" s="294" t="s">
        <v>200</v>
      </c>
      <c r="H208" s="295">
        <f>SUM(H206:H207)</f>
        <v>1800000.01</v>
      </c>
      <c r="I208" s="295">
        <f t="shared" ref="I208:J208" si="40">SUM(I206:I207)</f>
        <v>200000.12</v>
      </c>
      <c r="J208" s="296">
        <f t="shared" si="40"/>
        <v>2000000.1300000001</v>
      </c>
    </row>
    <row r="209" spans="7:10" ht="15.75" customHeight="1" x14ac:dyDescent="0.35"/>
    <row r="210" spans="7:10" ht="15.75" customHeight="1" x14ac:dyDescent="0.35"/>
    <row r="211" spans="7:10" ht="15.75" customHeight="1" x14ac:dyDescent="0.35"/>
    <row r="212" spans="7:10" ht="40.5" customHeight="1" x14ac:dyDescent="0.35"/>
    <row r="213" spans="7:10" ht="24.75" customHeight="1" x14ac:dyDescent="0.35"/>
    <row r="214" spans="7:10" ht="41.25" customHeight="1" x14ac:dyDescent="0.35"/>
    <row r="215" spans="7:10" ht="51.75" customHeight="1" x14ac:dyDescent="0.35"/>
    <row r="216" spans="7:10" ht="42" customHeight="1" x14ac:dyDescent="0.35"/>
    <row r="217" spans="7:10" s="34" customFormat="1" ht="42" customHeight="1" x14ac:dyDescent="0.35">
      <c r="G217" s="16"/>
      <c r="J217" s="16"/>
    </row>
    <row r="218" spans="7:10" s="34" customFormat="1" ht="42" customHeight="1" x14ac:dyDescent="0.35">
      <c r="G218" s="16"/>
      <c r="J218" s="16"/>
    </row>
    <row r="219" spans="7:10" s="34" customFormat="1" ht="63.75" customHeight="1" x14ac:dyDescent="0.35">
      <c r="G219" s="16"/>
      <c r="J219" s="16"/>
    </row>
    <row r="220" spans="7:10" s="34" customFormat="1" ht="42" customHeight="1" x14ac:dyDescent="0.35">
      <c r="G220" s="16"/>
      <c r="J220" s="16"/>
    </row>
    <row r="221" spans="7:10" ht="23.25" customHeight="1" x14ac:dyDescent="0.35"/>
    <row r="222" spans="7:10" ht="27.75" customHeight="1" x14ac:dyDescent="0.35"/>
    <row r="223" spans="7:10" ht="55.5" customHeight="1" x14ac:dyDescent="0.35"/>
    <row r="224" spans="7:10" ht="57.75" customHeight="1" x14ac:dyDescent="0.35"/>
    <row r="225" ht="21.75" customHeight="1" x14ac:dyDescent="0.35"/>
    <row r="226" ht="49.5" customHeight="1" x14ac:dyDescent="0.35"/>
    <row r="227" ht="28.5" customHeight="1" x14ac:dyDescent="0.35"/>
    <row r="228" ht="28.5" customHeight="1" x14ac:dyDescent="0.35"/>
    <row r="229" ht="28.5" customHeight="1" x14ac:dyDescent="0.35"/>
    <row r="230" ht="23.25" customHeight="1" x14ac:dyDescent="0.35"/>
    <row r="231" ht="43.5" customHeight="1" x14ac:dyDescent="0.35"/>
    <row r="232" ht="55.5" customHeight="1" x14ac:dyDescent="0.35"/>
    <row r="233" ht="42.75" customHeight="1" x14ac:dyDescent="0.35"/>
    <row r="234" ht="21.75" customHeight="1" x14ac:dyDescent="0.35"/>
    <row r="235" ht="21.75" customHeight="1" x14ac:dyDescent="0.35"/>
    <row r="236" ht="23.25" customHeight="1" x14ac:dyDescent="0.35"/>
    <row r="237" ht="23.25" customHeight="1" x14ac:dyDescent="0.35"/>
    <row r="238" ht="21.75" customHeight="1" x14ac:dyDescent="0.35"/>
    <row r="239" ht="16.5" customHeight="1" x14ac:dyDescent="0.35"/>
    <row r="240" ht="29.25" customHeight="1" x14ac:dyDescent="0.35"/>
    <row r="241" ht="24.75" customHeight="1" x14ac:dyDescent="0.35"/>
    <row r="242" ht="33" customHeight="1" x14ac:dyDescent="0.35"/>
    <row r="244" ht="15" customHeight="1" x14ac:dyDescent="0.35"/>
    <row r="245" ht="25.5" customHeight="1" x14ac:dyDescent="0.35"/>
  </sheetData>
  <mergeCells count="50">
    <mergeCell ref="A1:E1"/>
    <mergeCell ref="G1:J1"/>
    <mergeCell ref="B2:D2"/>
    <mergeCell ref="G2:I2"/>
    <mergeCell ref="B3:D3"/>
    <mergeCell ref="G3:I3"/>
    <mergeCell ref="A6:E6"/>
    <mergeCell ref="G6:J6"/>
    <mergeCell ref="B7:E7"/>
    <mergeCell ref="G7:J7"/>
    <mergeCell ref="B18:E18"/>
    <mergeCell ref="G18:J18"/>
    <mergeCell ref="B29:E29"/>
    <mergeCell ref="G29:J29"/>
    <mergeCell ref="B40:E40"/>
    <mergeCell ref="G40:J40"/>
    <mergeCell ref="A51:E51"/>
    <mergeCell ref="G51:J51"/>
    <mergeCell ref="B52:E52"/>
    <mergeCell ref="G52:J52"/>
    <mergeCell ref="B63:E63"/>
    <mergeCell ref="G63:J63"/>
    <mergeCell ref="B74:E74"/>
    <mergeCell ref="G74:J74"/>
    <mergeCell ref="B85:E85"/>
    <mergeCell ref="G85:J85"/>
    <mergeCell ref="A96:E96"/>
    <mergeCell ref="G96:J96"/>
    <mergeCell ref="B97:E97"/>
    <mergeCell ref="G97:J97"/>
    <mergeCell ref="B108:E108"/>
    <mergeCell ref="G108:J108"/>
    <mergeCell ref="B119:E119"/>
    <mergeCell ref="G119:J119"/>
    <mergeCell ref="B130:E130"/>
    <mergeCell ref="G130:J130"/>
    <mergeCell ref="A141:E141"/>
    <mergeCell ref="G141:J141"/>
    <mergeCell ref="B142:E142"/>
    <mergeCell ref="G142:J142"/>
    <mergeCell ref="B153:E153"/>
    <mergeCell ref="G153:J153"/>
    <mergeCell ref="B197:E197"/>
    <mergeCell ref="G197:J197"/>
    <mergeCell ref="B164:E164"/>
    <mergeCell ref="G164:J164"/>
    <mergeCell ref="B175:E175"/>
    <mergeCell ref="G175:J175"/>
    <mergeCell ref="B186:E186"/>
    <mergeCell ref="G186:J186"/>
  </mergeCells>
  <conditionalFormatting sqref="E94">
    <cfRule type="cellIs" dxfId="26" priority="10" operator="notEqual">
      <formula>$F$86</formula>
    </cfRule>
  </conditionalFormatting>
  <conditionalFormatting sqref="E106">
    <cfRule type="cellIs" dxfId="25" priority="9" operator="notEqual">
      <formula>$F$98</formula>
    </cfRule>
  </conditionalFormatting>
  <conditionalFormatting sqref="E117">
    <cfRule type="cellIs" dxfId="24" priority="8" operator="notEqual">
      <formula>$F$109</formula>
    </cfRule>
  </conditionalFormatting>
  <conditionalFormatting sqref="E128">
    <cfRule type="cellIs" dxfId="23" priority="7" operator="notEqual">
      <formula>$F$120</formula>
    </cfRule>
  </conditionalFormatting>
  <conditionalFormatting sqref="E139">
    <cfRule type="cellIs" dxfId="22" priority="6" operator="notEqual">
      <formula>$F$131</formula>
    </cfRule>
  </conditionalFormatting>
  <conditionalFormatting sqref="E151">
    <cfRule type="cellIs" dxfId="21" priority="5" operator="notEqual">
      <formula>$F$143</formula>
    </cfRule>
  </conditionalFormatting>
  <conditionalFormatting sqref="E162">
    <cfRule type="cellIs" dxfId="20" priority="4" operator="notEqual">
      <formula>$F$154</formula>
    </cfRule>
  </conditionalFormatting>
  <conditionalFormatting sqref="E173">
    <cfRule type="cellIs" dxfId="19" priority="3" operator="notEqual">
      <formula>$F$154</formula>
    </cfRule>
  </conditionalFormatting>
  <conditionalFormatting sqref="E184">
    <cfRule type="cellIs" dxfId="18" priority="2" operator="notEqual">
      <formula>$F$176</formula>
    </cfRule>
  </conditionalFormatting>
  <conditionalFormatting sqref="J16">
    <cfRule type="cellIs" dxfId="17" priority="27" operator="notEqual">
      <formula>$J$8</formula>
    </cfRule>
  </conditionalFormatting>
  <conditionalFormatting sqref="J27">
    <cfRule type="cellIs" dxfId="16" priority="26" operator="notEqual">
      <formula>$J$19</formula>
    </cfRule>
  </conditionalFormatting>
  <conditionalFormatting sqref="J38">
    <cfRule type="cellIs" dxfId="15" priority="25" operator="notEqual">
      <formula>$J$30</formula>
    </cfRule>
  </conditionalFormatting>
  <conditionalFormatting sqref="J49">
    <cfRule type="cellIs" dxfId="14" priority="24" operator="notEqual">
      <formula>$J$41</formula>
    </cfRule>
  </conditionalFormatting>
  <conditionalFormatting sqref="J61">
    <cfRule type="cellIs" dxfId="13" priority="23" operator="notEqual">
      <formula>$J$53</formula>
    </cfRule>
  </conditionalFormatting>
  <conditionalFormatting sqref="J72">
    <cfRule type="cellIs" dxfId="12" priority="22" operator="notEqual">
      <formula>$J$64</formula>
    </cfRule>
  </conditionalFormatting>
  <conditionalFormatting sqref="J83">
    <cfRule type="cellIs" dxfId="11" priority="21" operator="notEqual">
      <formula>$J$75</formula>
    </cfRule>
  </conditionalFormatting>
  <conditionalFormatting sqref="J94">
    <cfRule type="cellIs" dxfId="10" priority="20" operator="notEqual">
      <formula>$J$86</formula>
    </cfRule>
  </conditionalFormatting>
  <conditionalFormatting sqref="J106">
    <cfRule type="cellIs" dxfId="9" priority="19" operator="notEqual">
      <formula>$J$98</formula>
    </cfRule>
  </conditionalFormatting>
  <conditionalFormatting sqref="J117">
    <cfRule type="cellIs" dxfId="8" priority="18" operator="notEqual">
      <formula>$J$109</formula>
    </cfRule>
  </conditionalFormatting>
  <conditionalFormatting sqref="J128">
    <cfRule type="cellIs" dxfId="7" priority="17" operator="notEqual">
      <formula>$J$120</formula>
    </cfRule>
  </conditionalFormatting>
  <conditionalFormatting sqref="J139">
    <cfRule type="cellIs" dxfId="6" priority="16" operator="notEqual">
      <formula>$J$131</formula>
    </cfRule>
  </conditionalFormatting>
  <conditionalFormatting sqref="J151">
    <cfRule type="cellIs" dxfId="5" priority="15" operator="notEqual">
      <formula>$J$143</formula>
    </cfRule>
  </conditionalFormatting>
  <conditionalFormatting sqref="J162 J173">
    <cfRule type="cellIs" dxfId="4" priority="14" operator="notEqual">
      <formula>$J$154</formula>
    </cfRule>
  </conditionalFormatting>
  <conditionalFormatting sqref="J184">
    <cfRule type="cellIs" dxfId="3" priority="13" operator="notEqual">
      <formula>$J$176</formula>
    </cfRule>
  </conditionalFormatting>
  <conditionalFormatting sqref="J195">
    <cfRule type="cellIs" dxfId="2" priority="12" operator="notEqual">
      <formula>$J$187</formula>
    </cfRule>
  </conditionalFormatting>
  <dataValidations count="8">
    <dataValidation allowBlank="1" showInputMessage="1" showErrorMessage="1" prompt="Output totals must match the original total from Table 1, and will show as red if not. " sqref="J16" xr:uid="{473640B0-A5D7-4A0D-B05A-3F62E9F0782E}"/>
    <dataValidation allowBlank="1" showInputMessage="1" showErrorMessage="1" prompt=" Includes all general operating costs for running an office. Examples include telecommunication, rents, finance charges and other costs which cannot be mapped to other expense categories." sqref="G183 G15 G26 G37 G48 G60 G71 G82 G93 G105 G116 G127 G138 G150 G161 G172 G194 G205 B183 B15 B26 B37 B48 B60 B71 B82 B93 B105 B116 B127 B138 B150 B161 B172 B194 B205" xr:uid="{F447A44A-E3AA-4B59-9DC7-0BED1C5F01F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G182 G14 G25 G36 G47 G59 G70 G81 G92 G104 G115 G126 G137 G149 G160 G171 G193 G204 B182 B14 B25 B36 B47 B59 B70 B81 B92 B104 B115 B126 B137 B149 B160 B171 B193 B204" xr:uid="{2F885907-48A7-4523-8D4B-04A2B1FABE9B}"/>
    <dataValidation allowBlank="1" showInputMessage="1" showErrorMessage="1" prompt="Services contracted by an organization which follow the normal procurement processes." sqref="G180 G12 G23 G34 G45 G57 G68 G79 G90 G102 G113 G124 G135 G147 G158 G169 G191 G202 B180 B12 B23 B34 B45 B57 B68 B79 B90 B102 B113 B124 B135 B147 B158 B169 B191 B202" xr:uid="{EB0D3DB5-50C4-4B44-BB48-3C7DA9F96223}"/>
    <dataValidation allowBlank="1" showInputMessage="1" showErrorMessage="1" prompt="Includes staff and non-staff travel paid for by the organization directly related to a project." sqref="G181 G13 G24 G35 G46 G58 G69 G80 G91 G103 G114 G125 G136 G148 G159 G170 G192 G203 B181 B13 B24 B35 B46 B58 B69 B80 B91 B103 B114 B125 B136 B148 B159 B170 B192 B203" xr:uid="{E613B281-9653-427A-9DC1-55D1C9E2381F}"/>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G179 G11 G22 G33 G44 G56 G67 G78 G89 G101 G112 G123 G134 G146 G157 G168 G190 G201 B179 B11 B22 B33 B44 B56 B67 B78 B89 B101 B112 B123 B134 B146 B157 B168 B190 B201" xr:uid="{AB7852F5-8362-4124-A46A-4816A88D34C7}"/>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G178 G10 G21 G32 G43 G55 G66 G77 G88 G100 G111 G122 G133 G145 G156 G167 G189 G200 B178 B10 B21 B32 B43 B55 B66 B77 B88 B100 B111 B122 B133 B145 B156 B167 B189 B200" xr:uid="{246643DD-7F05-4156-B880-6E390841879D}"/>
    <dataValidation allowBlank="1" showInputMessage="1" showErrorMessage="1" prompt="Includes all related staff and temporary staff costs including base salary, post adjustment and all staff entitlements." sqref="G177 G9 G20 G31 G42 G54 G65 G76 G87 G99 G110 G121 G132 G144 G155 G166 G188 G199 B177 B9 B20 B31 B42 B54 B65 B76 B87 B99 B110 B121 B132 B144 B155 B166 B188 B199" xr:uid="{08DD09AA-A18F-4BE6-9F11-F58720F545C7}"/>
  </dataValidations>
  <pageMargins left="0.7" right="0.7" top="0.75" bottom="0.75" header="0.3" footer="0.3"/>
  <pageSetup paperSize="9" scale="55"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cellIs" priority="1" operator="notEqual" id="{0537C335-A9D2-4853-8076-F46867E99FBE}">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E208</xm:sqref>
        </x14:conditionalFormatting>
        <x14:conditionalFormatting xmlns:xm="http://schemas.microsoft.com/office/excel/2006/main">
          <x14:cfRule type="cellIs" priority="11" operator="notEqual" id="{BBE84C2E-AE7C-4148-AF83-08615E6CFBDB}">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J208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MPTF_00006_00846</ProjectId>
    <FundCode xmlns="f9695bc1-6109-4dcd-a27a-f8a0370b00e2">MPTF_00006</FundCode>
    <Comments xmlns="f9695bc1-6109-4dcd-a27a-f8a0370b00e2">Rapport financier au 15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D7BB94-17E7-45BE-90DC-8414F0C3319F}">
  <ds:schemaRefs>
    <ds:schemaRef ds:uri="http://schemas.microsoft.com/sharepoint/v3/contenttype/forms"/>
  </ds:schemaRefs>
</ds:datastoreItem>
</file>

<file path=customXml/itemProps2.xml><?xml version="1.0" encoding="utf-8"?>
<ds:datastoreItem xmlns:ds="http://schemas.openxmlformats.org/officeDocument/2006/customXml" ds:itemID="{617F878C-8B35-463A-B3B7-CF34DB71063D}">
  <ds:schemaRefs>
    <ds:schemaRef ds:uri="9dc44b34-9e2b-42ea-86f7-9ee7f71036fc"/>
    <ds:schemaRef ds:uri="http://purl.org/dc/terms/"/>
    <ds:schemaRef ds:uri="3352a50b-fe51-4c0c-a9ac-ac90f828103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 ds:uri="http://schemas.microsoft.com/office/2006/documentManagement/types"/>
    <ds:schemaRef ds:uri="985ec44e-1bab-4c0b-9df0-6ba128686fc9"/>
    <ds:schemaRef ds:uri="http://purl.org/dc/elements/1.1/"/>
  </ds:schemaRefs>
</ds:datastoreItem>
</file>

<file path=customXml/itemProps3.xml><?xml version="1.0" encoding="utf-8"?>
<ds:datastoreItem xmlns:ds="http://schemas.openxmlformats.org/officeDocument/2006/customXml" ds:itemID="{AFF007D0-24D0-4430-B442-661A74B470C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1)Tableau budgétaire 1</vt:lpstr>
      <vt:lpstr>2)Tableau Budgétaire 2</vt:lpstr>
      <vt:lpstr>3)Note d'explication</vt:lpstr>
      <vt:lpstr>4)Pour utilisation par PBSO</vt:lpstr>
      <vt:lpstr>5)Pour utilisation par MPTFO</vt:lpstr>
      <vt:lpstr>2)Tableau Budgétaire 2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reconciliation BFA_UNDP_OHCHR.xlsx</dc:title>
  <dc:subject/>
  <dc:creator>users</dc:creator>
  <cp:keywords/>
  <dc:description/>
  <cp:lastModifiedBy>Abdoulaye Fadiga</cp:lastModifiedBy>
  <cp:revision/>
  <cp:lastPrinted>2023-05-04T16:35:44Z</cp:lastPrinted>
  <dcterms:created xsi:type="dcterms:W3CDTF">2023-02-24T16:10:49Z</dcterms:created>
  <dcterms:modified xsi:type="dcterms:W3CDTF">2025-06-19T06:40:44Z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