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Tables/pivotTable2.xml" ContentType="application/vnd.openxmlformats-officedocument.spreadsheetml.pivotTabl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2.xml" ContentType="application/vnd.ms-excel.threadedcomments+xml"/>
  <Override PartName="/xl/calcChain.xml" ContentType="application/vnd.openxmlformats-officedocument.spreadsheetml.calcChain+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undp-my.sharepoint.com/personal/mamadou_salieu_bah_undp_org/Documents/Documents/REPORTS/2025 reports/June report/ITCJ final/"/>
    </mc:Choice>
  </mc:AlternateContent>
  <xr:revisionPtr revIDLastSave="1" documentId="8_{04031AD7-E5F5-4BDD-B8DE-2C2DE0F115B9}" xr6:coauthVersionLast="47" xr6:coauthVersionMax="47" xr10:uidLastSave="{F1964C4B-EBE9-4669-8487-810F242D83DE}"/>
  <bookViews>
    <workbookView minimized="1" xWindow="8" yWindow="8" windowWidth="19185" windowHeight="10064" tabRatio="729" activeTab="1" xr2:uid="{00000000-000D-0000-FFFF-FFFF00000000}"/>
  </bookViews>
  <sheets>
    <sheet name="UNPBF_FC-3007 Final Report" sheetId="8" r:id="rId1"/>
    <sheet name="Budget Tables- Jan 23-Feb. 25" sheetId="9" r:id="rId2"/>
    <sheet name="MIP Sheet" sheetId="15" r:id="rId3"/>
    <sheet name="MIP run from Jan-Mar 2024" sheetId="10" state="hidden" r:id="rId4"/>
  </sheets>
  <definedNames>
    <definedName name="_xlnm._FilterDatabase" localSheetId="2" hidden="1">'MIP Sheet'!$A$1:$K$770</definedName>
  </definedNames>
  <calcPr calcId="191028"/>
  <pivotCaches>
    <pivotCache cacheId="0" r:id="rId5"/>
    <pivotCache cacheId="1"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31" i="8" l="1"/>
  <c r="I231" i="8"/>
  <c r="J231" i="8"/>
  <c r="I227" i="8"/>
  <c r="J227" i="8"/>
  <c r="K208" i="8"/>
  <c r="I208" i="8"/>
  <c r="J208" i="8"/>
  <c r="I122" i="9"/>
  <c r="I50" i="9"/>
  <c r="D8" i="9"/>
  <c r="D9" i="9"/>
  <c r="D18" i="9"/>
  <c r="D28" i="9"/>
  <c r="D50" i="9"/>
  <c r="D60" i="9"/>
  <c r="D70" i="9"/>
  <c r="D71" i="9"/>
  <c r="D80" i="9"/>
  <c r="D92" i="9"/>
  <c r="D102" i="9"/>
  <c r="D112" i="9"/>
  <c r="D175" i="9"/>
  <c r="U41" i="8"/>
  <c r="U38" i="8"/>
  <c r="U62" i="8"/>
  <c r="U63" i="8"/>
  <c r="U64" i="8"/>
  <c r="U65" i="8"/>
  <c r="U49" i="8"/>
  <c r="U29" i="8"/>
  <c r="U25" i="8"/>
  <c r="U24" i="8"/>
  <c r="U179" i="8"/>
  <c r="U180" i="8"/>
  <c r="U181" i="8"/>
  <c r="U159" i="8"/>
  <c r="U160" i="8"/>
  <c r="U161" i="8"/>
  <c r="U162" i="8"/>
  <c r="U163" i="8"/>
  <c r="U164" i="8"/>
  <c r="U166" i="8"/>
  <c r="U124" i="8"/>
  <c r="U91" i="8"/>
  <c r="U92" i="8"/>
  <c r="U96" i="8"/>
  <c r="U102" i="8"/>
  <c r="U105" i="8"/>
  <c r="U88" i="8"/>
  <c r="U39" i="8"/>
  <c r="U40" i="8"/>
  <c r="T237" i="8"/>
  <c r="U47" i="8"/>
  <c r="U48" i="8"/>
  <c r="U44" i="8"/>
  <c r="T50" i="8"/>
  <c r="T238" i="8"/>
  <c r="T235" i="8"/>
  <c r="T233" i="8"/>
  <c r="T239" i="8"/>
  <c r="U182" i="8"/>
  <c r="V13" i="8"/>
  <c r="U26" i="8"/>
  <c r="U27" i="8"/>
  <c r="U28" i="8"/>
  <c r="S235" i="8"/>
  <c r="T217" i="8"/>
  <c r="T234" i="8" s="1"/>
  <c r="U217" i="8"/>
  <c r="T165" i="8"/>
  <c r="V212" i="8"/>
  <c r="U211" i="8"/>
  <c r="U212" i="8"/>
  <c r="U213" i="8"/>
  <c r="U214" i="8"/>
  <c r="U215" i="8"/>
  <c r="S218" i="8"/>
  <c r="R218" i="8"/>
  <c r="Q218" i="8"/>
  <c r="P218" i="8"/>
  <c r="O218" i="8"/>
  <c r="N218" i="8"/>
  <c r="M218" i="8"/>
  <c r="L218" i="8"/>
  <c r="I217" i="8"/>
  <c r="J217" i="8"/>
  <c r="V217" i="8"/>
  <c r="U216" i="8"/>
  <c r="I216" i="8"/>
  <c r="J216" i="8"/>
  <c r="V216" i="8"/>
  <c r="I215" i="8"/>
  <c r="K215" i="8"/>
  <c r="I214" i="8"/>
  <c r="K214" i="8"/>
  <c r="I213" i="8"/>
  <c r="K213" i="8"/>
  <c r="K212" i="8"/>
  <c r="I211" i="8"/>
  <c r="K211" i="8"/>
  <c r="K210" i="8"/>
  <c r="T218" i="8"/>
  <c r="K216" i="8"/>
  <c r="U218" i="8"/>
  <c r="K217" i="8"/>
  <c r="J215" i="8"/>
  <c r="V215" i="8"/>
  <c r="J214" i="8"/>
  <c r="V214" i="8"/>
  <c r="I218" i="8"/>
  <c r="J211" i="8"/>
  <c r="V211" i="8"/>
  <c r="J213" i="8"/>
  <c r="V213" i="8"/>
  <c r="K218" i="8"/>
  <c r="V218" i="8"/>
  <c r="J218" i="8"/>
  <c r="S183" i="8"/>
  <c r="U183" i="8"/>
  <c r="S227" i="8"/>
  <c r="S220" i="8"/>
  <c r="U189" i="8"/>
  <c r="U16" i="8"/>
  <c r="U52" i="8"/>
  <c r="U78" i="8"/>
  <c r="U111" i="8"/>
  <c r="U127" i="8"/>
  <c r="T30" i="8"/>
  <c r="T42" i="8"/>
  <c r="T68" i="8"/>
  <c r="T70" i="8"/>
  <c r="T75" i="8"/>
  <c r="T89" i="8"/>
  <c r="T109" i="8"/>
  <c r="T125" i="8"/>
  <c r="T138" i="8"/>
  <c r="T206" i="8"/>
  <c r="T231" i="8" s="1"/>
  <c r="T241" i="8" s="1"/>
  <c r="T139" i="8"/>
  <c r="U77" i="8"/>
  <c r="U87" i="8"/>
  <c r="U152" i="8"/>
  <c r="T153" i="8"/>
  <c r="T190" i="8"/>
  <c r="T225" i="8"/>
  <c r="T229" i="8"/>
  <c r="T167" i="8"/>
  <c r="U170" i="8"/>
  <c r="U172" i="8"/>
  <c r="U173" i="8"/>
  <c r="U174" i="8"/>
  <c r="U185" i="8"/>
  <c r="U187" i="8"/>
  <c r="U188" i="8"/>
  <c r="U169" i="8"/>
  <c r="U156" i="8"/>
  <c r="U157" i="8"/>
  <c r="U158" i="8"/>
  <c r="U155" i="8"/>
  <c r="U143" i="8"/>
  <c r="U144" i="8"/>
  <c r="U145" i="8"/>
  <c r="U146" i="8"/>
  <c r="U147" i="8"/>
  <c r="U148" i="8"/>
  <c r="U150" i="8"/>
  <c r="U151" i="8"/>
  <c r="U142" i="8"/>
  <c r="U128" i="8"/>
  <c r="U129" i="8"/>
  <c r="U130" i="8"/>
  <c r="U131" i="8"/>
  <c r="U132" i="8"/>
  <c r="U133" i="8"/>
  <c r="U134" i="8"/>
  <c r="U135" i="8"/>
  <c r="U136" i="8"/>
  <c r="U137" i="8"/>
  <c r="U112" i="8"/>
  <c r="U113" i="8"/>
  <c r="U114" i="8"/>
  <c r="U116" i="8"/>
  <c r="U117" i="8"/>
  <c r="U118" i="8"/>
  <c r="U119" i="8"/>
  <c r="U120" i="8"/>
  <c r="U121" i="8"/>
  <c r="U122" i="8"/>
  <c r="U123" i="8"/>
  <c r="U107" i="8"/>
  <c r="U108" i="8"/>
  <c r="U79" i="8"/>
  <c r="U81" i="8"/>
  <c r="U82" i="8"/>
  <c r="U83" i="8"/>
  <c r="U84" i="8"/>
  <c r="U85" i="8"/>
  <c r="U86" i="8"/>
  <c r="U53" i="8"/>
  <c r="U54" i="8"/>
  <c r="U55" i="8"/>
  <c r="U56" i="8"/>
  <c r="U57" i="8"/>
  <c r="U58" i="8"/>
  <c r="U59" i="8"/>
  <c r="U60" i="8"/>
  <c r="U61" i="8"/>
  <c r="U66" i="8"/>
  <c r="U67" i="8"/>
  <c r="U33" i="8"/>
  <c r="U34" i="8"/>
  <c r="U35" i="8"/>
  <c r="U36" i="8"/>
  <c r="U37" i="8"/>
  <c r="U32" i="8"/>
  <c r="U42" i="8" s="1"/>
  <c r="I18" i="9" s="1"/>
  <c r="U13" i="8"/>
  <c r="U14" i="8"/>
  <c r="U15" i="8"/>
  <c r="U17" i="8"/>
  <c r="U18" i="8"/>
  <c r="U19" i="8"/>
  <c r="U20" i="8"/>
  <c r="U21" i="8"/>
  <c r="U22" i="8"/>
  <c r="U23" i="8"/>
  <c r="U12" i="8"/>
  <c r="U30" i="8" s="1"/>
  <c r="I8" i="9" s="1"/>
  <c r="T191" i="8"/>
  <c r="U138" i="8"/>
  <c r="S238" i="8"/>
  <c r="S175" i="8"/>
  <c r="U175" i="8"/>
  <c r="S222" i="8"/>
  <c r="S223" i="8"/>
  <c r="S224" i="8"/>
  <c r="S46" i="8"/>
  <c r="S205" i="8"/>
  <c r="S177" i="8"/>
  <c r="U177" i="8"/>
  <c r="S178" i="8"/>
  <c r="U178" i="8" s="1"/>
  <c r="S176" i="8"/>
  <c r="U176" i="8"/>
  <c r="S236" i="8"/>
  <c r="S234" i="8"/>
  <c r="S184" i="8"/>
  <c r="U184" i="8"/>
  <c r="S171" i="8"/>
  <c r="U171" i="8"/>
  <c r="S190" i="8"/>
  <c r="S237" i="8"/>
  <c r="U195" i="8"/>
  <c r="U196" i="8"/>
  <c r="U197" i="8"/>
  <c r="U194" i="8"/>
  <c r="S225" i="8"/>
  <c r="S206" i="8"/>
  <c r="S167" i="8"/>
  <c r="S138" i="8"/>
  <c r="S125" i="8"/>
  <c r="S109" i="8"/>
  <c r="S89" i="8"/>
  <c r="S75" i="8"/>
  <c r="S68" i="8"/>
  <c r="S50" i="8"/>
  <c r="S42" i="8"/>
  <c r="S30" i="8"/>
  <c r="S153" i="8"/>
  <c r="S191" i="8"/>
  <c r="S70" i="8"/>
  <c r="S139" i="8"/>
  <c r="S233" i="8"/>
  <c r="R220" i="8"/>
  <c r="U220" i="8"/>
  <c r="R227" i="8"/>
  <c r="R224" i="8"/>
  <c r="U224" i="8"/>
  <c r="R223" i="8"/>
  <c r="U223" i="8"/>
  <c r="R222" i="8"/>
  <c r="U222" i="8"/>
  <c r="R153" i="8"/>
  <c r="Q236" i="8"/>
  <c r="R205" i="8"/>
  <c r="U205" i="8"/>
  <c r="U206" i="8" s="1"/>
  <c r="I177" i="9" s="1"/>
  <c r="R46" i="8"/>
  <c r="U46" i="8" s="1"/>
  <c r="R239" i="8"/>
  <c r="R229" i="8"/>
  <c r="R75" i="8"/>
  <c r="R138" i="8"/>
  <c r="R233" i="8"/>
  <c r="R93" i="8"/>
  <c r="U93" i="8" s="1"/>
  <c r="R103" i="8"/>
  <c r="U103" i="8" s="1"/>
  <c r="R106" i="8"/>
  <c r="U106" i="8" s="1"/>
  <c r="I91" i="8"/>
  <c r="K91" i="8"/>
  <c r="I92" i="8"/>
  <c r="J92" i="8"/>
  <c r="V92" i="8"/>
  <c r="I93" i="8"/>
  <c r="J93" i="8"/>
  <c r="I94" i="8"/>
  <c r="J94" i="8"/>
  <c r="I95" i="8"/>
  <c r="J95" i="8"/>
  <c r="I96" i="8"/>
  <c r="J96" i="8"/>
  <c r="V96" i="8"/>
  <c r="I97" i="8"/>
  <c r="K97" i="8"/>
  <c r="I98" i="8"/>
  <c r="K98" i="8"/>
  <c r="I99" i="8"/>
  <c r="K99" i="8"/>
  <c r="I100" i="8"/>
  <c r="J100" i="8"/>
  <c r="V100" i="8"/>
  <c r="I101" i="8"/>
  <c r="J101" i="8"/>
  <c r="I102" i="8"/>
  <c r="K102" i="8"/>
  <c r="I103" i="8"/>
  <c r="K103" i="8"/>
  <c r="I104" i="8"/>
  <c r="J104" i="8"/>
  <c r="I105" i="8"/>
  <c r="J105" i="8"/>
  <c r="V105" i="8"/>
  <c r="I106" i="8"/>
  <c r="K106" i="8"/>
  <c r="I107" i="8"/>
  <c r="K107" i="8"/>
  <c r="I108" i="8"/>
  <c r="K108" i="8"/>
  <c r="I127" i="8"/>
  <c r="K127" i="8"/>
  <c r="I128" i="8"/>
  <c r="K128" i="8"/>
  <c r="I129" i="8"/>
  <c r="K129" i="8"/>
  <c r="I130" i="8"/>
  <c r="K130" i="8"/>
  <c r="I131" i="8"/>
  <c r="K131" i="8"/>
  <c r="I132" i="8"/>
  <c r="J132" i="8"/>
  <c r="V132" i="8"/>
  <c r="I133" i="8"/>
  <c r="K133" i="8"/>
  <c r="I134" i="8"/>
  <c r="J134" i="8"/>
  <c r="V134" i="8"/>
  <c r="I135" i="8"/>
  <c r="J135" i="8"/>
  <c r="V135" i="8"/>
  <c r="I136" i="8"/>
  <c r="K136" i="8"/>
  <c r="I137" i="8"/>
  <c r="K137" i="8"/>
  <c r="I111" i="8"/>
  <c r="J111" i="8"/>
  <c r="V111" i="8"/>
  <c r="I112" i="8"/>
  <c r="J112" i="8"/>
  <c r="V112" i="8"/>
  <c r="I113" i="8"/>
  <c r="J113" i="8"/>
  <c r="V113" i="8"/>
  <c r="I114" i="8"/>
  <c r="J114" i="8"/>
  <c r="V114" i="8"/>
  <c r="I115" i="8"/>
  <c r="J115" i="8"/>
  <c r="I116" i="8"/>
  <c r="K116" i="8"/>
  <c r="I117" i="8"/>
  <c r="K117" i="8"/>
  <c r="I118" i="8"/>
  <c r="K118" i="8"/>
  <c r="I119" i="8"/>
  <c r="J119" i="8"/>
  <c r="V119" i="8"/>
  <c r="I120" i="8"/>
  <c r="J120" i="8"/>
  <c r="V120" i="8"/>
  <c r="I121" i="8"/>
  <c r="J121" i="8"/>
  <c r="V121" i="8"/>
  <c r="I122" i="8"/>
  <c r="K122" i="8"/>
  <c r="I123" i="8"/>
  <c r="K123" i="8"/>
  <c r="I124" i="8"/>
  <c r="K124" i="8"/>
  <c r="I77" i="8"/>
  <c r="J77" i="8"/>
  <c r="F78" i="8"/>
  <c r="I78" i="8"/>
  <c r="K78" i="8"/>
  <c r="I79" i="8"/>
  <c r="J79" i="8"/>
  <c r="V79" i="8"/>
  <c r="I80" i="8"/>
  <c r="K80" i="8"/>
  <c r="I81" i="8"/>
  <c r="J81" i="8"/>
  <c r="V81" i="8"/>
  <c r="I82" i="8"/>
  <c r="J82" i="8"/>
  <c r="V82" i="8"/>
  <c r="I83" i="8"/>
  <c r="K83" i="8"/>
  <c r="I85" i="8"/>
  <c r="J85" i="8"/>
  <c r="V85" i="8"/>
  <c r="I86" i="8"/>
  <c r="K86" i="8"/>
  <c r="I87" i="8"/>
  <c r="K87" i="8"/>
  <c r="I88" i="8"/>
  <c r="J88" i="8"/>
  <c r="V88" i="8"/>
  <c r="I74" i="8"/>
  <c r="I75" i="8"/>
  <c r="I205" i="8"/>
  <c r="I206" i="8"/>
  <c r="I194" i="8"/>
  <c r="J194" i="8"/>
  <c r="K194" i="8"/>
  <c r="H195" i="8"/>
  <c r="I195" i="8"/>
  <c r="J195" i="8"/>
  <c r="H196" i="8"/>
  <c r="I196" i="8"/>
  <c r="J196" i="8"/>
  <c r="I169" i="8"/>
  <c r="K169" i="8"/>
  <c r="I170" i="8"/>
  <c r="J170" i="8"/>
  <c r="V170" i="8"/>
  <c r="I171" i="8"/>
  <c r="J171" i="8"/>
  <c r="V171" i="8"/>
  <c r="I172" i="8"/>
  <c r="K172" i="8"/>
  <c r="I173" i="8"/>
  <c r="J173" i="8"/>
  <c r="V173" i="8"/>
  <c r="I174" i="8"/>
  <c r="J174" i="8"/>
  <c r="V174" i="8"/>
  <c r="I175" i="8"/>
  <c r="J175" i="8"/>
  <c r="V175" i="8"/>
  <c r="I176" i="8"/>
  <c r="K176" i="8"/>
  <c r="I177" i="8"/>
  <c r="K177" i="8"/>
  <c r="I178" i="8"/>
  <c r="J178" i="8"/>
  <c r="V178" i="8" s="1"/>
  <c r="I179" i="8"/>
  <c r="J179" i="8"/>
  <c r="V179" i="8"/>
  <c r="I180" i="8"/>
  <c r="K180" i="8"/>
  <c r="I181" i="8"/>
  <c r="K181" i="8"/>
  <c r="I182" i="8"/>
  <c r="K182" i="8"/>
  <c r="I183" i="8"/>
  <c r="J183" i="8"/>
  <c r="V183" i="8"/>
  <c r="I184" i="8"/>
  <c r="J184" i="8"/>
  <c r="V184" i="8"/>
  <c r="I185" i="8"/>
  <c r="K185" i="8"/>
  <c r="I186" i="8"/>
  <c r="J186" i="8"/>
  <c r="V186" i="8"/>
  <c r="I187" i="8"/>
  <c r="K187" i="8"/>
  <c r="I188" i="8"/>
  <c r="J188" i="8"/>
  <c r="V188" i="8"/>
  <c r="I189" i="8"/>
  <c r="J189" i="8"/>
  <c r="V189" i="8"/>
  <c r="I155" i="8"/>
  <c r="J155" i="8"/>
  <c r="I156" i="8"/>
  <c r="J156" i="8"/>
  <c r="I157" i="8"/>
  <c r="J157" i="8"/>
  <c r="I158" i="8"/>
  <c r="J158" i="8"/>
  <c r="I159" i="8"/>
  <c r="K159" i="8"/>
  <c r="V159" i="8"/>
  <c r="I160" i="8"/>
  <c r="K160" i="8"/>
  <c r="V160" i="8"/>
  <c r="I161" i="8"/>
  <c r="K161" i="8"/>
  <c r="V161" i="8"/>
  <c r="I162" i="8"/>
  <c r="K162" i="8"/>
  <c r="V162" i="8"/>
  <c r="I163" i="8"/>
  <c r="K163" i="8"/>
  <c r="V163" i="8"/>
  <c r="I164" i="8"/>
  <c r="J164" i="8"/>
  <c r="I165" i="8"/>
  <c r="J165" i="8"/>
  <c r="I166" i="8"/>
  <c r="J166" i="8"/>
  <c r="I142" i="8"/>
  <c r="J142" i="8"/>
  <c r="V142" i="8"/>
  <c r="I143" i="8"/>
  <c r="J143" i="8"/>
  <c r="V143" i="8"/>
  <c r="I144" i="8"/>
  <c r="K144" i="8"/>
  <c r="I145" i="8"/>
  <c r="J145" i="8"/>
  <c r="V145" i="8"/>
  <c r="I146" i="8"/>
  <c r="K146" i="8"/>
  <c r="I147" i="8"/>
  <c r="K147" i="8"/>
  <c r="I148" i="8"/>
  <c r="K148" i="8"/>
  <c r="I149" i="8"/>
  <c r="J149" i="8"/>
  <c r="I150" i="8"/>
  <c r="J150" i="8"/>
  <c r="V150" i="8"/>
  <c r="I151" i="8"/>
  <c r="J151" i="8"/>
  <c r="V151" i="8"/>
  <c r="I152" i="8"/>
  <c r="J152" i="8"/>
  <c r="V152" i="8"/>
  <c r="I52" i="8"/>
  <c r="J52" i="8"/>
  <c r="V52" i="8"/>
  <c r="F53" i="8"/>
  <c r="I53" i="8"/>
  <c r="K53" i="8"/>
  <c r="I54" i="8"/>
  <c r="K54" i="8"/>
  <c r="F55" i="8"/>
  <c r="I55" i="8"/>
  <c r="F56" i="8"/>
  <c r="I56" i="8"/>
  <c r="I57" i="8"/>
  <c r="J57" i="8"/>
  <c r="V57" i="8"/>
  <c r="I58" i="8"/>
  <c r="J58" i="8"/>
  <c r="V58" i="8"/>
  <c r="I59" i="8"/>
  <c r="J59" i="8"/>
  <c r="V59" i="8"/>
  <c r="I60" i="8"/>
  <c r="J60" i="8"/>
  <c r="V60" i="8"/>
  <c r="I61" i="8"/>
  <c r="J61" i="8"/>
  <c r="V61" i="8"/>
  <c r="I62" i="8"/>
  <c r="K62" i="8"/>
  <c r="I63" i="8"/>
  <c r="J63" i="8"/>
  <c r="V63" i="8"/>
  <c r="I64" i="8"/>
  <c r="J64" i="8"/>
  <c r="V64" i="8"/>
  <c r="I65" i="8"/>
  <c r="J65" i="8"/>
  <c r="V65" i="8"/>
  <c r="I66" i="8"/>
  <c r="K66" i="8"/>
  <c r="I67" i="8"/>
  <c r="K67" i="8"/>
  <c r="I44" i="8"/>
  <c r="J44" i="8"/>
  <c r="V44" i="8" s="1"/>
  <c r="I45" i="8"/>
  <c r="J45" i="8"/>
  <c r="I46" i="8"/>
  <c r="K46" i="8"/>
  <c r="I47" i="8"/>
  <c r="J47" i="8"/>
  <c r="V47" i="8" s="1"/>
  <c r="I48" i="8"/>
  <c r="K48" i="8"/>
  <c r="I49" i="8"/>
  <c r="J49" i="8"/>
  <c r="V49" i="8" s="1"/>
  <c r="F32" i="8"/>
  <c r="I32" i="8"/>
  <c r="J32" i="8"/>
  <c r="V32" i="8" s="1"/>
  <c r="F33" i="8"/>
  <c r="I33" i="8"/>
  <c r="K33" i="8"/>
  <c r="I34" i="8"/>
  <c r="J34" i="8"/>
  <c r="V34" i="8" s="1"/>
  <c r="F35" i="8"/>
  <c r="I35" i="8"/>
  <c r="J35" i="8"/>
  <c r="V35" i="8" s="1"/>
  <c r="I36" i="8"/>
  <c r="J36" i="8"/>
  <c r="V36" i="8" s="1"/>
  <c r="I38" i="8"/>
  <c r="I39" i="8"/>
  <c r="K39" i="8"/>
  <c r="I40" i="8"/>
  <c r="J40" i="8"/>
  <c r="V40" i="8" s="1"/>
  <c r="I41" i="8"/>
  <c r="J41" i="8"/>
  <c r="V41" i="8" s="1"/>
  <c r="I12" i="8"/>
  <c r="J12" i="8"/>
  <c r="V12" i="8" s="1"/>
  <c r="I14" i="8"/>
  <c r="K14" i="8" s="1"/>
  <c r="I15" i="8"/>
  <c r="I16" i="8"/>
  <c r="K16" i="8"/>
  <c r="I17" i="8"/>
  <c r="K17" i="8"/>
  <c r="I22" i="8"/>
  <c r="J22" i="8"/>
  <c r="V22" i="8" s="1"/>
  <c r="I23" i="8"/>
  <c r="J23" i="8"/>
  <c r="V23" i="8" s="1"/>
  <c r="I24" i="8"/>
  <c r="K24" i="8"/>
  <c r="I25" i="8"/>
  <c r="J25" i="8"/>
  <c r="V25" i="8" s="1"/>
  <c r="I26" i="8"/>
  <c r="J26" i="8"/>
  <c r="V26" i="8" s="1"/>
  <c r="I27" i="8"/>
  <c r="J27" i="8"/>
  <c r="V27" i="8" s="1"/>
  <c r="I28" i="8"/>
  <c r="K28" i="8"/>
  <c r="I29" i="8"/>
  <c r="J29" i="8"/>
  <c r="V29" i="8" s="1"/>
  <c r="H220" i="8"/>
  <c r="I220" i="8"/>
  <c r="I221" i="8"/>
  <c r="J221" i="8"/>
  <c r="I222" i="8"/>
  <c r="J222" i="8"/>
  <c r="I223" i="8"/>
  <c r="J223" i="8"/>
  <c r="I224" i="8"/>
  <c r="J224" i="8"/>
  <c r="Q227" i="8"/>
  <c r="U227" i="8" s="1"/>
  <c r="Q239" i="8"/>
  <c r="R104" i="8"/>
  <c r="U104" i="8" s="1"/>
  <c r="R99" i="8"/>
  <c r="U99" i="8" s="1"/>
  <c r="R101" i="8"/>
  <c r="U101" i="8" s="1"/>
  <c r="R94" i="8"/>
  <c r="U94" i="8" s="1"/>
  <c r="R95" i="8"/>
  <c r="U95" i="8" s="1"/>
  <c r="R97" i="8"/>
  <c r="U97" i="8" s="1"/>
  <c r="J98" i="8"/>
  <c r="R98" i="8"/>
  <c r="U98" i="8" s="1"/>
  <c r="J103" i="8"/>
  <c r="R80" i="8"/>
  <c r="U80" i="8"/>
  <c r="R68" i="8"/>
  <c r="R42" i="8"/>
  <c r="R30" i="8"/>
  <c r="Q167" i="8"/>
  <c r="R167" i="8"/>
  <c r="Q190" i="8"/>
  <c r="Q153" i="8"/>
  <c r="R190" i="8"/>
  <c r="R191" i="8"/>
  <c r="R125" i="8"/>
  <c r="R225" i="8"/>
  <c r="Q221" i="8"/>
  <c r="U221" i="8"/>
  <c r="J172" i="8"/>
  <c r="V172" i="8"/>
  <c r="J180" i="8"/>
  <c r="V180" i="8"/>
  <c r="L149" i="8"/>
  <c r="M149" i="8"/>
  <c r="M153" i="8"/>
  <c r="N149" i="8"/>
  <c r="N153" i="8"/>
  <c r="O149" i="8"/>
  <c r="O153" i="8"/>
  <c r="P149" i="8"/>
  <c r="P153" i="8"/>
  <c r="Q115" i="8"/>
  <c r="U115" i="8"/>
  <c r="J84" i="8"/>
  <c r="V84" i="8"/>
  <c r="J87" i="8"/>
  <c r="V87" i="8"/>
  <c r="Q74" i="8"/>
  <c r="U74" i="8"/>
  <c r="U75" i="8"/>
  <c r="Q45" i="8"/>
  <c r="U45" i="8" s="1"/>
  <c r="J37" i="8"/>
  <c r="V37" i="8" s="1"/>
  <c r="J38" i="8"/>
  <c r="V38" i="8" s="1"/>
  <c r="J18" i="8"/>
  <c r="V18" i="8" s="1"/>
  <c r="J19" i="8"/>
  <c r="V19" i="8" s="1"/>
  <c r="J20" i="8"/>
  <c r="V20" i="8" s="1"/>
  <c r="J21" i="8"/>
  <c r="V21" i="8" s="1"/>
  <c r="Q206" i="8"/>
  <c r="Q109" i="8"/>
  <c r="Q138" i="8"/>
  <c r="Q89" i="8"/>
  <c r="Q68" i="8"/>
  <c r="Q42" i="8"/>
  <c r="Q30" i="8"/>
  <c r="Q238" i="8"/>
  <c r="P233" i="8"/>
  <c r="P68" i="8"/>
  <c r="P50" i="8"/>
  <c r="P42" i="8"/>
  <c r="P30" i="8"/>
  <c r="P138" i="8"/>
  <c r="P109" i="8"/>
  <c r="P75" i="8"/>
  <c r="P125" i="8"/>
  <c r="P89" i="8"/>
  <c r="P190" i="8"/>
  <c r="P206" i="8"/>
  <c r="P229" i="8"/>
  <c r="P225" i="8"/>
  <c r="P235" i="8"/>
  <c r="P234" i="8"/>
  <c r="Q202" i="8"/>
  <c r="H114" i="10"/>
  <c r="G114" i="10"/>
  <c r="I112" i="10"/>
  <c r="I111" i="10"/>
  <c r="I110" i="10"/>
  <c r="I109" i="10"/>
  <c r="I108" i="10"/>
  <c r="I107" i="10"/>
  <c r="I106" i="10"/>
  <c r="I105" i="10"/>
  <c r="I104" i="10"/>
  <c r="I103" i="10"/>
  <c r="I102" i="10"/>
  <c r="I101" i="10"/>
  <c r="I100" i="10"/>
  <c r="I99" i="10"/>
  <c r="I98" i="10"/>
  <c r="I97" i="10"/>
  <c r="I96" i="10"/>
  <c r="I95" i="10"/>
  <c r="I94" i="10"/>
  <c r="I93" i="10"/>
  <c r="I92" i="10"/>
  <c r="I91" i="10"/>
  <c r="I90" i="10"/>
  <c r="I89" i="10"/>
  <c r="I88" i="10"/>
  <c r="I87" i="10"/>
  <c r="I86" i="10"/>
  <c r="I85" i="10"/>
  <c r="I84" i="10"/>
  <c r="I83" i="10"/>
  <c r="I82" i="10"/>
  <c r="I81" i="10"/>
  <c r="I80" i="10"/>
  <c r="I79" i="10"/>
  <c r="I78" i="10"/>
  <c r="I77" i="10"/>
  <c r="I76" i="10"/>
  <c r="I75" i="10"/>
  <c r="I74" i="10"/>
  <c r="I73" i="10"/>
  <c r="I72" i="10"/>
  <c r="I71" i="10"/>
  <c r="I70" i="10"/>
  <c r="I69" i="10"/>
  <c r="I68" i="10"/>
  <c r="I67" i="10"/>
  <c r="I66" i="10"/>
  <c r="I65" i="10"/>
  <c r="I64" i="10"/>
  <c r="I63" i="10"/>
  <c r="I62" i="10"/>
  <c r="I61" i="10"/>
  <c r="I60" i="10"/>
  <c r="I59" i="10"/>
  <c r="I58" i="10"/>
  <c r="I57" i="10"/>
  <c r="I56" i="10"/>
  <c r="I55" i="10"/>
  <c r="I54" i="10"/>
  <c r="I53" i="10"/>
  <c r="I52" i="10"/>
  <c r="I51" i="10"/>
  <c r="I50" i="10"/>
  <c r="I49" i="10"/>
  <c r="I48" i="10"/>
  <c r="I47" i="10"/>
  <c r="I46" i="10"/>
  <c r="I45" i="10"/>
  <c r="I44" i="10"/>
  <c r="I43" i="10"/>
  <c r="I42" i="10"/>
  <c r="I41" i="10"/>
  <c r="I40" i="10"/>
  <c r="I39" i="10"/>
  <c r="I38" i="10"/>
  <c r="I37" i="10"/>
  <c r="I36" i="10"/>
  <c r="I35" i="10"/>
  <c r="I34" i="10"/>
  <c r="I33" i="10"/>
  <c r="I32" i="10"/>
  <c r="I31" i="10"/>
  <c r="I30" i="10"/>
  <c r="N29" i="10"/>
  <c r="I29" i="10"/>
  <c r="I28" i="10"/>
  <c r="I27" i="10"/>
  <c r="I26" i="10"/>
  <c r="I25" i="10"/>
  <c r="I24" i="10"/>
  <c r="I23" i="10"/>
  <c r="I22" i="10"/>
  <c r="I21" i="10"/>
  <c r="I20" i="10"/>
  <c r="I19" i="10"/>
  <c r="I18" i="10"/>
  <c r="I17" i="10"/>
  <c r="I16" i="10"/>
  <c r="I15" i="10"/>
  <c r="I14" i="10"/>
  <c r="I13" i="10"/>
  <c r="I12" i="10"/>
  <c r="I11" i="10"/>
  <c r="I10" i="10"/>
  <c r="I114" i="10"/>
  <c r="D203" i="9"/>
  <c r="D198" i="9"/>
  <c r="D185" i="9"/>
  <c r="F180" i="9"/>
  <c r="E180" i="9"/>
  <c r="G178" i="9"/>
  <c r="G177" i="9"/>
  <c r="G176" i="9"/>
  <c r="I172" i="9"/>
  <c r="F172" i="9"/>
  <c r="E172" i="9"/>
  <c r="D172" i="9"/>
  <c r="G171" i="9"/>
  <c r="G170" i="9"/>
  <c r="G169" i="9"/>
  <c r="G168" i="9"/>
  <c r="G167" i="9"/>
  <c r="G166" i="9"/>
  <c r="G165" i="9"/>
  <c r="G164" i="9"/>
  <c r="G172" i="9"/>
  <c r="I162" i="9"/>
  <c r="F162" i="9"/>
  <c r="E162" i="9"/>
  <c r="D162" i="9"/>
  <c r="G161" i="9"/>
  <c r="G160" i="9"/>
  <c r="H162" i="9"/>
  <c r="G159" i="9"/>
  <c r="G158" i="9"/>
  <c r="G157" i="9"/>
  <c r="G156" i="9"/>
  <c r="G155" i="9"/>
  <c r="G154" i="9"/>
  <c r="I152" i="9"/>
  <c r="F152" i="9"/>
  <c r="E152" i="9"/>
  <c r="D152" i="9"/>
  <c r="G151" i="9"/>
  <c r="G150" i="9"/>
  <c r="G149" i="9"/>
  <c r="G148" i="9"/>
  <c r="G147" i="9"/>
  <c r="G146" i="9"/>
  <c r="H152" i="9"/>
  <c r="G145" i="9"/>
  <c r="G144" i="9"/>
  <c r="I142" i="9"/>
  <c r="F142" i="9"/>
  <c r="E142" i="9"/>
  <c r="D142" i="9"/>
  <c r="G141" i="9"/>
  <c r="G140" i="9"/>
  <c r="G139" i="9"/>
  <c r="G138" i="9"/>
  <c r="G137" i="9"/>
  <c r="G136" i="9"/>
  <c r="G135" i="9"/>
  <c r="G134" i="9"/>
  <c r="G142" i="9"/>
  <c r="I130" i="9"/>
  <c r="F130" i="9"/>
  <c r="E130" i="9"/>
  <c r="D130" i="9"/>
  <c r="G129" i="9"/>
  <c r="G128" i="9"/>
  <c r="G127" i="9"/>
  <c r="G126" i="9"/>
  <c r="G125" i="9"/>
  <c r="G124" i="9"/>
  <c r="G123" i="9"/>
  <c r="G122" i="9"/>
  <c r="H130" i="9"/>
  <c r="F120" i="9"/>
  <c r="E120" i="9"/>
  <c r="D120" i="9"/>
  <c r="G119" i="9"/>
  <c r="G118" i="9"/>
  <c r="G117" i="9"/>
  <c r="G116" i="9"/>
  <c r="G115" i="9"/>
  <c r="G114" i="9"/>
  <c r="G113" i="9"/>
  <c r="G112" i="9"/>
  <c r="H120" i="9" s="1"/>
  <c r="G120" i="9"/>
  <c r="F110" i="9"/>
  <c r="E110" i="9"/>
  <c r="D110" i="9"/>
  <c r="G109" i="9"/>
  <c r="G108" i="9"/>
  <c r="G107" i="9"/>
  <c r="G106" i="9"/>
  <c r="G105" i="9"/>
  <c r="G104" i="9"/>
  <c r="G103" i="9"/>
  <c r="G102" i="9"/>
  <c r="G110" i="9" s="1"/>
  <c r="F100" i="9"/>
  <c r="E100" i="9"/>
  <c r="D100" i="9"/>
  <c r="G99" i="9"/>
  <c r="G98" i="9"/>
  <c r="G97" i="9"/>
  <c r="G96" i="9"/>
  <c r="G95" i="9"/>
  <c r="G94" i="9"/>
  <c r="G93" i="9"/>
  <c r="G92" i="9"/>
  <c r="H100" i="9"/>
  <c r="F88" i="9"/>
  <c r="E88" i="9"/>
  <c r="D88" i="9"/>
  <c r="G87" i="9"/>
  <c r="G86" i="9"/>
  <c r="G85" i="9"/>
  <c r="G84" i="9"/>
  <c r="G83" i="9"/>
  <c r="G82" i="9"/>
  <c r="G81" i="9"/>
  <c r="G80" i="9"/>
  <c r="H88" i="9"/>
  <c r="F78" i="9"/>
  <c r="E78" i="9"/>
  <c r="D78" i="9"/>
  <c r="G77" i="9"/>
  <c r="G76" i="9"/>
  <c r="G75" i="9"/>
  <c r="G74" i="9"/>
  <c r="G73" i="9"/>
  <c r="G72" i="9"/>
  <c r="G71" i="9"/>
  <c r="G70" i="9"/>
  <c r="G78" i="9"/>
  <c r="F68" i="9"/>
  <c r="E68" i="9"/>
  <c r="D68" i="9"/>
  <c r="G67" i="9"/>
  <c r="G66" i="9"/>
  <c r="G65" i="9"/>
  <c r="G64" i="9"/>
  <c r="G63" i="9"/>
  <c r="G62" i="9"/>
  <c r="G61" i="9"/>
  <c r="G60" i="9"/>
  <c r="H68" i="9" s="1"/>
  <c r="F58" i="9"/>
  <c r="E58" i="9"/>
  <c r="D58" i="9"/>
  <c r="G57" i="9"/>
  <c r="G56" i="9"/>
  <c r="G55" i="9"/>
  <c r="G54" i="9"/>
  <c r="G53" i="9"/>
  <c r="G52" i="9"/>
  <c r="G51" i="9"/>
  <c r="I58" i="9"/>
  <c r="G50" i="9"/>
  <c r="G58" i="9"/>
  <c r="I46" i="9"/>
  <c r="F46" i="9"/>
  <c r="E46" i="9"/>
  <c r="D46" i="9"/>
  <c r="G45" i="9"/>
  <c r="G44" i="9"/>
  <c r="G43" i="9"/>
  <c r="G42" i="9"/>
  <c r="H46" i="9"/>
  <c r="G41" i="9"/>
  <c r="G40" i="9"/>
  <c r="G39" i="9"/>
  <c r="G38" i="9"/>
  <c r="F36" i="9"/>
  <c r="E36" i="9"/>
  <c r="D36" i="9"/>
  <c r="G35" i="9"/>
  <c r="G34" i="9"/>
  <c r="G33" i="9"/>
  <c r="G32" i="9"/>
  <c r="G31" i="9"/>
  <c r="G30" i="9"/>
  <c r="G29" i="9"/>
  <c r="G28" i="9"/>
  <c r="H36" i="9"/>
  <c r="I26" i="9"/>
  <c r="F26" i="9"/>
  <c r="E26" i="9"/>
  <c r="D26" i="9"/>
  <c r="G25" i="9"/>
  <c r="G24" i="9"/>
  <c r="G23" i="9"/>
  <c r="G22" i="9"/>
  <c r="G21" i="9"/>
  <c r="G20" i="9"/>
  <c r="G19" i="9"/>
  <c r="G18" i="9"/>
  <c r="H26" i="9" s="1"/>
  <c r="G26" i="9"/>
  <c r="F16" i="9"/>
  <c r="E16" i="9"/>
  <c r="D16" i="9"/>
  <c r="G15" i="9"/>
  <c r="G14" i="9"/>
  <c r="G13" i="9"/>
  <c r="G12" i="9"/>
  <c r="G11" i="9"/>
  <c r="G10" i="9"/>
  <c r="G9" i="9"/>
  <c r="G8" i="9"/>
  <c r="P239" i="8"/>
  <c r="P238" i="8"/>
  <c r="P237" i="8"/>
  <c r="P236" i="8"/>
  <c r="G46" i="9"/>
  <c r="H78" i="9"/>
  <c r="H172" i="9"/>
  <c r="D180" i="9"/>
  <c r="G175" i="9"/>
  <c r="H180" i="9" s="1"/>
  <c r="P167" i="8"/>
  <c r="P198" i="8"/>
  <c r="P202" i="8"/>
  <c r="W208" i="8"/>
  <c r="M206" i="8"/>
  <c r="N206" i="8"/>
  <c r="L206" i="8"/>
  <c r="O89" i="8"/>
  <c r="M68" i="8"/>
  <c r="O68" i="8"/>
  <c r="L68" i="8"/>
  <c r="M30" i="8"/>
  <c r="N225" i="8"/>
  <c r="O225" i="8"/>
  <c r="M225" i="8"/>
  <c r="K38" i="8"/>
  <c r="K40" i="8"/>
  <c r="N75" i="8"/>
  <c r="O75" i="8"/>
  <c r="O50" i="8"/>
  <c r="O30" i="8"/>
  <c r="O42" i="8"/>
  <c r="L225" i="8"/>
  <c r="V195" i="8"/>
  <c r="V196" i="8"/>
  <c r="V197" i="8"/>
  <c r="O198" i="8"/>
  <c r="O202" i="8"/>
  <c r="O190" i="8"/>
  <c r="N167" i="8"/>
  <c r="O167" i="8"/>
  <c r="O138" i="8"/>
  <c r="O125" i="8"/>
  <c r="O109" i="8"/>
  <c r="K37" i="8"/>
  <c r="M198" i="8"/>
  <c r="M202" i="8"/>
  <c r="L198" i="8"/>
  <c r="L202" i="8"/>
  <c r="O229" i="8"/>
  <c r="M42" i="8"/>
  <c r="M229" i="8"/>
  <c r="K206" i="8"/>
  <c r="U198" i="8"/>
  <c r="U202" i="8"/>
  <c r="N198" i="8"/>
  <c r="N202" i="8"/>
  <c r="N190" i="8"/>
  <c r="M190" i="8"/>
  <c r="L190" i="8"/>
  <c r="M167" i="8"/>
  <c r="L167" i="8"/>
  <c r="N138" i="8"/>
  <c r="M138" i="8"/>
  <c r="L138" i="8"/>
  <c r="N125" i="8"/>
  <c r="M125" i="8"/>
  <c r="L125" i="8"/>
  <c r="N109" i="8"/>
  <c r="M109" i="8"/>
  <c r="L109" i="8"/>
  <c r="N89" i="8"/>
  <c r="M89" i="8"/>
  <c r="L89" i="8"/>
  <c r="M75" i="8"/>
  <c r="L75" i="8"/>
  <c r="N50" i="8"/>
  <c r="M50" i="8"/>
  <c r="N42" i="8"/>
  <c r="L42" i="8"/>
  <c r="N30" i="8"/>
  <c r="L30" i="8"/>
  <c r="K21" i="8"/>
  <c r="K20" i="8"/>
  <c r="K19" i="8"/>
  <c r="K18" i="8"/>
  <c r="K13" i="8"/>
  <c r="K11" i="8"/>
  <c r="L229" i="8"/>
  <c r="N229" i="8"/>
  <c r="L50" i="8"/>
  <c r="E6" i="8"/>
  <c r="K41" i="8"/>
  <c r="K221" i="8"/>
  <c r="O206" i="8"/>
  <c r="G68" i="9"/>
  <c r="G152" i="9"/>
  <c r="H58" i="9"/>
  <c r="H142" i="9"/>
  <c r="G130" i="9"/>
  <c r="G36" i="9"/>
  <c r="J86" i="8"/>
  <c r="V86" i="8"/>
  <c r="G162" i="9"/>
  <c r="G180" i="9"/>
  <c r="G16" i="9"/>
  <c r="G100" i="9"/>
  <c r="G88" i="9"/>
  <c r="Q125" i="8"/>
  <c r="H110" i="9"/>
  <c r="K55" i="8"/>
  <c r="J55" i="8"/>
  <c r="V55" i="8"/>
  <c r="K100" i="8"/>
  <c r="K44" i="8"/>
  <c r="K45" i="8"/>
  <c r="J102" i="8"/>
  <c r="V102" i="8"/>
  <c r="K61" i="8"/>
  <c r="K60" i="8"/>
  <c r="K23" i="8"/>
  <c r="J33" i="8"/>
  <c r="V33" i="8" s="1"/>
  <c r="K77" i="8"/>
  <c r="K12" i="8"/>
  <c r="R89" i="8"/>
  <c r="K198" i="8"/>
  <c r="K201" i="8"/>
  <c r="V194" i="8"/>
  <c r="V198" i="8"/>
  <c r="V202" i="8"/>
  <c r="N191" i="8"/>
  <c r="K189" i="8"/>
  <c r="K115" i="8"/>
  <c r="M191" i="8"/>
  <c r="K113" i="8"/>
  <c r="J107" i="8"/>
  <c r="V107" i="8"/>
  <c r="J162" i="8"/>
  <c r="J160" i="8"/>
  <c r="J123" i="8"/>
  <c r="V123" i="8"/>
  <c r="K151" i="8"/>
  <c r="V221" i="8"/>
  <c r="J106" i="8"/>
  <c r="V106" i="8"/>
  <c r="K101" i="8"/>
  <c r="K52" i="8"/>
  <c r="J108" i="8"/>
  <c r="V108" i="8"/>
  <c r="J161" i="8"/>
  <c r="K188" i="8"/>
  <c r="K92" i="8"/>
  <c r="V98" i="8"/>
  <c r="K93" i="8"/>
  <c r="K82" i="8"/>
  <c r="O70" i="8"/>
  <c r="K143" i="8"/>
  <c r="V223" i="8"/>
  <c r="K223" i="8"/>
  <c r="V224" i="8"/>
  <c r="K224" i="8"/>
  <c r="P240" i="8"/>
  <c r="K142" i="8"/>
  <c r="K166" i="8"/>
  <c r="V166" i="8"/>
  <c r="V103" i="8"/>
  <c r="Q229" i="8"/>
  <c r="J14" i="8"/>
  <c r="V14" i="8" s="1"/>
  <c r="K158" i="8"/>
  <c r="V158" i="8"/>
  <c r="J74" i="8"/>
  <c r="J75" i="8"/>
  <c r="K121" i="8"/>
  <c r="J24" i="8"/>
  <c r="V24" i="8" s="1"/>
  <c r="R206" i="8"/>
  <c r="O139" i="8"/>
  <c r="Q225" i="8"/>
  <c r="J122" i="8"/>
  <c r="V122" i="8"/>
  <c r="J181" i="8"/>
  <c r="V181" i="8"/>
  <c r="J99" i="8"/>
  <c r="V99" i="8"/>
  <c r="R50" i="8"/>
  <c r="R70" i="8"/>
  <c r="J46" i="8"/>
  <c r="V46" i="8" s="1"/>
  <c r="O191" i="8"/>
  <c r="K184" i="8"/>
  <c r="J205" i="8"/>
  <c r="J206" i="8"/>
  <c r="K174" i="8"/>
  <c r="J185" i="8"/>
  <c r="V185" i="8"/>
  <c r="K32" i="8"/>
  <c r="K119" i="8"/>
  <c r="Q191" i="8"/>
  <c r="J133" i="8"/>
  <c r="V133" i="8"/>
  <c r="K114" i="8"/>
  <c r="K150" i="8"/>
  <c r="K178" i="8"/>
  <c r="J62" i="8"/>
  <c r="V62" i="8"/>
  <c r="J177" i="8"/>
  <c r="V177" i="8"/>
  <c r="K170" i="8"/>
  <c r="K79" i="8"/>
  <c r="J176" i="8"/>
  <c r="V176" i="8"/>
  <c r="J91" i="8"/>
  <c r="V91" i="8"/>
  <c r="V101" i="8"/>
  <c r="V93" i="8"/>
  <c r="K88" i="8"/>
  <c r="K81" i="8"/>
  <c r="K186" i="8"/>
  <c r="J56" i="8"/>
  <c r="V56" i="8"/>
  <c r="K56" i="8"/>
  <c r="K222" i="8"/>
  <c r="V222" i="8"/>
  <c r="J220" i="8"/>
  <c r="M139" i="8"/>
  <c r="K34" i="8"/>
  <c r="Q75" i="8"/>
  <c r="K157" i="8"/>
  <c r="V157" i="8"/>
  <c r="V104" i="8"/>
  <c r="J80" i="8"/>
  <c r="V80" i="8"/>
  <c r="I50" i="8"/>
  <c r="K135" i="8"/>
  <c r="M70" i="8"/>
  <c r="M231" i="8"/>
  <c r="K25" i="8"/>
  <c r="K132" i="8"/>
  <c r="J54" i="8"/>
  <c r="V54" i="8"/>
  <c r="J124" i="8"/>
  <c r="V124" i="8"/>
  <c r="J127" i="8"/>
  <c r="V127" i="8"/>
  <c r="J148" i="8"/>
  <c r="V148" i="8"/>
  <c r="V95" i="8"/>
  <c r="Q233" i="8"/>
  <c r="R234" i="8"/>
  <c r="N70" i="8"/>
  <c r="U149" i="8"/>
  <c r="V149" i="8"/>
  <c r="J182" i="8"/>
  <c r="V182" i="8"/>
  <c r="V94" i="8"/>
  <c r="Q234" i="8"/>
  <c r="R235" i="8"/>
  <c r="Q235" i="8"/>
  <c r="R238" i="8"/>
  <c r="K22" i="8"/>
  <c r="L70" i="8"/>
  <c r="Q50" i="8"/>
  <c r="Q70" i="8"/>
  <c r="J39" i="8"/>
  <c r="V39" i="8" s="1"/>
  <c r="K74" i="8"/>
  <c r="Q237" i="8"/>
  <c r="R236" i="8"/>
  <c r="J116" i="8"/>
  <c r="V116" i="8"/>
  <c r="K165" i="8"/>
  <c r="R109" i="8"/>
  <c r="R237" i="8"/>
  <c r="K175" i="8"/>
  <c r="K120" i="8"/>
  <c r="J17" i="8"/>
  <c r="V17" i="8" s="1"/>
  <c r="K155" i="8"/>
  <c r="V155" i="8"/>
  <c r="K27" i="8"/>
  <c r="J131" i="8"/>
  <c r="V131" i="8"/>
  <c r="J163" i="8"/>
  <c r="K26" i="8"/>
  <c r="J28" i="8"/>
  <c r="V28" i="8" s="1"/>
  <c r="J16" i="8"/>
  <c r="V16" i="8" s="1"/>
  <c r="J130" i="8"/>
  <c r="V130" i="8"/>
  <c r="K152" i="8"/>
  <c r="I42" i="8"/>
  <c r="K49" i="8"/>
  <c r="K112" i="8"/>
  <c r="J78" i="8"/>
  <c r="V78" i="8"/>
  <c r="J118" i="8"/>
  <c r="V118" i="8"/>
  <c r="J137" i="8"/>
  <c r="V137" i="8"/>
  <c r="J129" i="8"/>
  <c r="V129" i="8"/>
  <c r="J147" i="8"/>
  <c r="V147" i="8"/>
  <c r="K164" i="8"/>
  <c r="V164" i="8"/>
  <c r="I109" i="8"/>
  <c r="I68" i="8"/>
  <c r="K29" i="8"/>
  <c r="K156" i="8"/>
  <c r="V156" i="8"/>
  <c r="I153" i="8"/>
  <c r="K173" i="8"/>
  <c r="K183" i="8"/>
  <c r="J117" i="8"/>
  <c r="V117" i="8"/>
  <c r="J136" i="8"/>
  <c r="V136" i="8"/>
  <c r="J128" i="8"/>
  <c r="V128" i="8"/>
  <c r="J146" i="8"/>
  <c r="V146" i="8"/>
  <c r="I190" i="8"/>
  <c r="I30" i="8"/>
  <c r="K95" i="8"/>
  <c r="K145" i="8"/>
  <c r="V77" i="8"/>
  <c r="V115" i="8"/>
  <c r="I138" i="8"/>
  <c r="K15" i="8"/>
  <c r="J97" i="8"/>
  <c r="V97" i="8"/>
  <c r="I125" i="8"/>
  <c r="K65" i="8"/>
  <c r="J67" i="8"/>
  <c r="V67" i="8"/>
  <c r="J169" i="8"/>
  <c r="K35" i="8"/>
  <c r="K36" i="8"/>
  <c r="J159" i="8"/>
  <c r="K96" i="8"/>
  <c r="K179" i="8"/>
  <c r="J66" i="8"/>
  <c r="V66" i="8"/>
  <c r="J144" i="8"/>
  <c r="I89" i="8"/>
  <c r="I167" i="8"/>
  <c r="J83" i="8"/>
  <c r="V83" i="8"/>
  <c r="J15" i="8"/>
  <c r="V15" i="8" s="1"/>
  <c r="J53" i="8"/>
  <c r="K171" i="8"/>
  <c r="K94" i="8"/>
  <c r="J48" i="8"/>
  <c r="V48" i="8" s="1"/>
  <c r="J187" i="8"/>
  <c r="V187" i="8"/>
  <c r="K47" i="8"/>
  <c r="J198" i="8"/>
  <c r="I198" i="8"/>
  <c r="N139" i="8"/>
  <c r="L139" i="8"/>
  <c r="P139" i="8"/>
  <c r="P191" i="8"/>
  <c r="P70" i="8"/>
  <c r="L153" i="8"/>
  <c r="L191" i="8"/>
  <c r="U225" i="8"/>
  <c r="I175" i="9" s="1"/>
  <c r="N208" i="8"/>
  <c r="Q139" i="8"/>
  <c r="K89" i="8"/>
  <c r="O208" i="8"/>
  <c r="U153" i="8"/>
  <c r="I92" i="9" s="1"/>
  <c r="I100" i="9" s="1"/>
  <c r="K202" i="8"/>
  <c r="V205" i="8"/>
  <c r="V206" i="8" s="1"/>
  <c r="R139" i="8"/>
  <c r="V42" i="8"/>
  <c r="M208" i="8"/>
  <c r="R231" i="8"/>
  <c r="R241" i="8"/>
  <c r="J109" i="8"/>
  <c r="O231" i="8"/>
  <c r="I191" i="8"/>
  <c r="J89" i="8"/>
  <c r="Q231" i="8"/>
  <c r="Q241" i="8"/>
  <c r="P208" i="8"/>
  <c r="K68" i="8"/>
  <c r="K125" i="8"/>
  <c r="L208" i="8"/>
  <c r="J42" i="8"/>
  <c r="K138" i="8"/>
  <c r="K50" i="8"/>
  <c r="K42" i="8"/>
  <c r="K153" i="8"/>
  <c r="R240" i="8"/>
  <c r="J225" i="8"/>
  <c r="V220" i="8"/>
  <c r="V225" i="8"/>
  <c r="K220" i="8"/>
  <c r="K225" i="8"/>
  <c r="V138" i="8"/>
  <c r="P231" i="8"/>
  <c r="P241" i="8"/>
  <c r="K167" i="8"/>
  <c r="V89" i="8"/>
  <c r="R242" i="8"/>
  <c r="V109" i="8"/>
  <c r="Q240" i="8"/>
  <c r="L231" i="8"/>
  <c r="I70" i="8"/>
  <c r="V74" i="8"/>
  <c r="V75" i="8"/>
  <c r="K75" i="8"/>
  <c r="J138" i="8"/>
  <c r="K30" i="8"/>
  <c r="I139" i="8"/>
  <c r="J167" i="8"/>
  <c r="J125" i="8"/>
  <c r="K190" i="8"/>
  <c r="V125" i="8"/>
  <c r="V30" i="8"/>
  <c r="J30" i="8"/>
  <c r="K109" i="8"/>
  <c r="V53" i="8"/>
  <c r="V68" i="8"/>
  <c r="J68" i="8"/>
  <c r="V169" i="8"/>
  <c r="V190" i="8"/>
  <c r="J190" i="8"/>
  <c r="V144" i="8"/>
  <c r="V153" i="8"/>
  <c r="J153" i="8"/>
  <c r="J50" i="8"/>
  <c r="I202" i="8"/>
  <c r="I201" i="8"/>
  <c r="J202" i="8"/>
  <c r="J201" i="8"/>
  <c r="V201" i="8"/>
  <c r="N231" i="8"/>
  <c r="Q208" i="8"/>
  <c r="P242" i="8"/>
  <c r="Q242" i="8"/>
  <c r="K191" i="8"/>
  <c r="K139" i="8"/>
  <c r="V139" i="8"/>
  <c r="S239" i="8"/>
  <c r="S240" i="8"/>
  <c r="S229" i="8"/>
  <c r="S231" i="8"/>
  <c r="S241" i="8"/>
  <c r="U229" i="8"/>
  <c r="S242" i="8"/>
  <c r="U208" i="8" l="1"/>
  <c r="I180" i="9"/>
  <c r="F200" i="9" s="1"/>
  <c r="H16" i="9"/>
  <c r="D200" i="9"/>
  <c r="D187" i="9"/>
  <c r="D188" i="9"/>
  <c r="D189" i="9" s="1"/>
  <c r="J191" i="8"/>
  <c r="J70" i="8"/>
  <c r="J139" i="8"/>
  <c r="I225" i="8"/>
  <c r="V45" i="8"/>
  <c r="V50" i="8" s="1"/>
  <c r="V70" i="8" s="1"/>
  <c r="U109" i="8"/>
  <c r="I80" i="9"/>
  <c r="I88" i="9" s="1"/>
  <c r="U190" i="8"/>
  <c r="U89" i="8"/>
  <c r="I60" i="9" s="1"/>
  <c r="I68" i="9" s="1"/>
  <c r="U125" i="8"/>
  <c r="U68" i="8"/>
  <c r="U165" i="8"/>
  <c r="T236" i="8"/>
  <c r="T240" i="8" s="1"/>
  <c r="T242" i="8" s="1"/>
  <c r="U50" i="8"/>
  <c r="I9" i="9" s="1"/>
  <c r="I16" i="9" s="1"/>
  <c r="D204" i="9" l="1"/>
  <c r="D201" i="9"/>
  <c r="V165" i="8"/>
  <c r="V167" i="8" s="1"/>
  <c r="V191" i="8" s="1"/>
  <c r="V208" i="8" s="1"/>
  <c r="U167" i="8"/>
  <c r="I102" i="9" s="1"/>
  <c r="I110" i="9" s="1"/>
  <c r="U70" i="8"/>
  <c r="I28" i="9"/>
  <c r="I36" i="9" s="1"/>
  <c r="I71" i="9"/>
  <c r="U139" i="8"/>
  <c r="U191" i="8"/>
  <c r="I112" i="9"/>
  <c r="I120" i="9" s="1"/>
  <c r="I70" i="9"/>
  <c r="I78" i="9" s="1"/>
  <c r="W109" i="8"/>
  <c r="W231" i="8" s="1"/>
  <c r="J229" i="8" l="1"/>
  <c r="I229" i="8"/>
  <c r="I230" i="8" s="1"/>
  <c r="K227" i="8"/>
  <c r="K229" i="8" s="1"/>
  <c r="K230" i="8" s="1"/>
  <c r="V227" i="8"/>
  <c r="V229" i="8" s="1"/>
  <c r="F201" i="9"/>
  <c r="J182" i="9"/>
  <c r="U231" i="8"/>
  <c r="V231" i="8" s="1"/>
  <c r="V230" i="8" l="1"/>
  <c r="J23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tc={FDBAFCDA-7B6A-406A-82CC-295A27ADE1B3}</author>
  </authors>
  <commentList>
    <comment ref="D193" authorId="0" shapeId="0" xr:uid="{FDBAFCDA-7B6A-406A-82CC-295A27ADE1B3}">
      <text>
        <t>[Threaded comment]
Your version of Excel allows you to read this threaded comment; however, any edits to it will get removed if the file is opened in a newer version of Excel. Learn more: https://go.microsoft.com/fwlink/?linkid=870924
Comment:
    Part of Activities cost, not suppose to be captured by any other formula again.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tc={01DE3E28-38F8-4165-8D99-7A57F0F7E7B8}</author>
  </authors>
  <commentList>
    <comment ref="D175" authorId="0" shapeId="0" xr:uid="{01DE3E28-38F8-4165-8D99-7A57F0F7E7B8}">
      <text>
        <t>[Threaded comment]
Your version of Excel allows you to read this threaded comment; however, any edits to it will get removed if the file is opened in a newer version of Excel. Learn more: https://go.microsoft.com/fwlink/?linkid=870924
Comment:
    Was overstated by $41k due to double counting of salaries already treated as part of activity costs.</t>
      </text>
    </comment>
  </commentList>
</comments>
</file>

<file path=xl/sharedStrings.xml><?xml version="1.0" encoding="utf-8"?>
<sst xmlns="http://schemas.openxmlformats.org/spreadsheetml/2006/main" count="7951" uniqueCount="1109">
  <si>
    <t>PROPOSAL FOR UNITED NATIONS PEACEBUILDING FUNDS - UNPBF</t>
  </si>
  <si>
    <t>BUDGET PERIOD</t>
  </si>
  <si>
    <t>24 Months</t>
  </si>
  <si>
    <t xml:space="preserve">AMOUNT BUDGETISED </t>
  </si>
  <si>
    <t>ACTIVITIES</t>
  </si>
  <si>
    <t>DESCRIPTION</t>
  </si>
  <si>
    <t>Unit Type</t>
  </si>
  <si>
    <t>No of Units</t>
  </si>
  <si>
    <t>Frequency</t>
  </si>
  <si>
    <t>Unit Cost</t>
  </si>
  <si>
    <t>Total Dollars</t>
  </si>
  <si>
    <t>ICTJ</t>
  </si>
  <si>
    <t>SPENT(Y1Q1) March 2023</t>
  </si>
  <si>
    <t>SPENT(Y1Q2) June 2023</t>
  </si>
  <si>
    <t>SPENT(Y1Q3) September 2023</t>
  </si>
  <si>
    <t>SPENT(Y1Q4) December2023</t>
  </si>
  <si>
    <t>ACTUAL SPENT(Y2Q1) Jan 2024-March 2024</t>
  </si>
  <si>
    <t>ACTUAL SPENT(Y2Q2) April 2024-June 2024</t>
  </si>
  <si>
    <t>ACTUAL SPENT(Y2Q3) July 2024-September 2024</t>
  </si>
  <si>
    <t>ACTUAL SPENT(Y2Q4) October 2024-December 2024</t>
  </si>
  <si>
    <t xml:space="preserve">ACTUAL SPENT January 2025-March 2025 </t>
  </si>
  <si>
    <t>Total Actual- Expenditure Jan-2023 to March 2025</t>
  </si>
  <si>
    <t>Variance</t>
  </si>
  <si>
    <t>Amount spent on GEWE</t>
  </si>
  <si>
    <t xml:space="preserve">SPECIFIC OBJECTIVE 1 - To strengthen the capacity of young leaders to identify obstacles they face to participate in the country’s social, economic and political life, differentiating by gender and by other factors (region of residence, ethnic or religious identity); and to develop proposals and demands to different instances for addressing those issues </t>
  </si>
  <si>
    <t>Category</t>
  </si>
  <si>
    <t>A1.1</t>
  </si>
  <si>
    <t xml:space="preserve">Strategic planning retreat with partners </t>
  </si>
  <si>
    <t xml:space="preserve">Total </t>
  </si>
  <si>
    <t>2. Supplies, Commodities, Materials</t>
  </si>
  <si>
    <t>1.1</t>
  </si>
  <si>
    <t>Venue hire 3 days</t>
  </si>
  <si>
    <t>Piece</t>
  </si>
  <si>
    <t>Accomodation</t>
  </si>
  <si>
    <t>Meals &amp; refreshments</t>
  </si>
  <si>
    <t>Person</t>
  </si>
  <si>
    <t>5.Travel</t>
  </si>
  <si>
    <t>Transportation refund for 30 participants</t>
  </si>
  <si>
    <t>DSA for 30 participants</t>
  </si>
  <si>
    <t>3. Equipment, Vehicles, and Furniture (including Depreciation)</t>
  </si>
  <si>
    <t xml:space="preserve">Vehicle rent </t>
  </si>
  <si>
    <t>Logistic transport cost</t>
  </si>
  <si>
    <t>Transport cost for resource persons(NYC&amp;MoJ)</t>
  </si>
  <si>
    <t>Resource person fee</t>
  </si>
  <si>
    <t>Visibility(Banner&amp; USB)</t>
  </si>
  <si>
    <t>Fuel for vehicle rental</t>
  </si>
  <si>
    <t>Stationery</t>
  </si>
  <si>
    <t xml:space="preserve">Flight Expert  </t>
  </si>
  <si>
    <t>Expert perdiem</t>
  </si>
  <si>
    <t>Days</t>
  </si>
  <si>
    <t>Air airport transfer fees</t>
  </si>
  <si>
    <t>4. Contractual services</t>
  </si>
  <si>
    <t>Program Assistant</t>
  </si>
  <si>
    <t>Gender Consultant</t>
  </si>
  <si>
    <t xml:space="preserve">Media Consultant </t>
  </si>
  <si>
    <t>x</t>
  </si>
  <si>
    <t>SUB-TOTAL A1.1</t>
  </si>
  <si>
    <t>A1.2</t>
  </si>
  <si>
    <t xml:space="preserve">Series of 3 trainings of youth organization members on transitional justice issues, youth and peacebuilding, and sustainable development </t>
  </si>
  <si>
    <t>1.2</t>
  </si>
  <si>
    <t>Venue hire 2 days</t>
  </si>
  <si>
    <t>Catering for 25 participants (2 coffee breaks &amp; lunch)</t>
  </si>
  <si>
    <t>Printed material and others suplies for participants</t>
  </si>
  <si>
    <t>Transport reimbursement for 25 participants</t>
  </si>
  <si>
    <t>Hire a local consultant</t>
  </si>
  <si>
    <t>DSA for 25 participants</t>
  </si>
  <si>
    <t>Visibility - banners</t>
  </si>
  <si>
    <t>SUB-TOTAL A1.2</t>
  </si>
  <si>
    <t>A1.3</t>
  </si>
  <si>
    <t>Ongoing mentorship and assistance to partners</t>
  </si>
  <si>
    <t>1.3</t>
  </si>
  <si>
    <t>Transport fees</t>
  </si>
  <si>
    <t>Communication fees</t>
  </si>
  <si>
    <t>Internet fees</t>
  </si>
  <si>
    <t>SUB-TOTAL A1.3</t>
  </si>
  <si>
    <t>A1.4</t>
  </si>
  <si>
    <t>Trainings of rural youth by peer trainers on international frameworks and opportunities in domestic policies to advance their rights</t>
  </si>
  <si>
    <t>1.4</t>
  </si>
  <si>
    <t>Meals &amp; refreshments for 50 participants (2 coffee breaks &amp; lunch)</t>
  </si>
  <si>
    <t>Transport reimbursement for 50 participants</t>
  </si>
  <si>
    <t>DSA for 4 participants / region</t>
  </si>
  <si>
    <t>DSA for 10 trainers / region</t>
  </si>
  <si>
    <t>Transport 10 trainers / region</t>
  </si>
  <si>
    <t>Fees trainers</t>
  </si>
  <si>
    <t>Vehicle rent 4X4</t>
  </si>
  <si>
    <t>Logistical support focal point</t>
  </si>
  <si>
    <t>Monitoring and technical assitance (DSA &amp; Transport)</t>
  </si>
  <si>
    <t>6. Transfers and Grants to Counterparts</t>
  </si>
  <si>
    <t>Sub-grant</t>
  </si>
  <si>
    <t>SUB-TOTAL A1.4</t>
  </si>
  <si>
    <t>TOTAL  OUTCOME 1</t>
  </si>
  <si>
    <t>SPECIFIC OBJECTIVE 2 - Youth have increased capacity to engage duty-bearer and voice their demands</t>
  </si>
  <si>
    <t>A2.1</t>
  </si>
  <si>
    <t xml:space="preserve">Develop a user-friendly summary of the White Paper </t>
  </si>
  <si>
    <t>2.1</t>
  </si>
  <si>
    <t>Edtion fees</t>
  </si>
  <si>
    <t>SUB-TOTAL ACT 2.1</t>
  </si>
  <si>
    <t>A2.2</t>
  </si>
  <si>
    <t>Peer to peer discussions on TRRC recommendations and government White paper</t>
  </si>
  <si>
    <t>2.2</t>
  </si>
  <si>
    <t>Meals &amp; refreshments for 25 participants (2 coffee breaks &amp; lunch)</t>
  </si>
  <si>
    <t>DSA for ICTJ staff for one region</t>
  </si>
  <si>
    <t xml:space="preserve">vehicle rent </t>
  </si>
  <si>
    <t>SUB-TOTAL ACT 2.2</t>
  </si>
  <si>
    <t>A2.3</t>
  </si>
  <si>
    <t xml:space="preserve">Country-wide caravan and youth-led intergenerational dialogues with community leaders </t>
  </si>
  <si>
    <t>2.3</t>
  </si>
  <si>
    <t>Venue hire</t>
  </si>
  <si>
    <t>Each</t>
  </si>
  <si>
    <t>Transportation for participants</t>
  </si>
  <si>
    <t>Podium truck hire for the caravan</t>
  </si>
  <si>
    <t>Mini van hire for the caravan participants</t>
  </si>
  <si>
    <t>DSA for 12 participants + 3 ICTJ staff</t>
  </si>
  <si>
    <t>Printed materials and supply</t>
  </si>
  <si>
    <t>Visibility (banner, tee shirt…)</t>
  </si>
  <si>
    <t>Fuel for vehicle hire</t>
  </si>
  <si>
    <t>Rental equipment (sound)</t>
  </si>
  <si>
    <t>Performance (5 artists and 7 kaneleng group)</t>
  </si>
  <si>
    <t>Radio program</t>
  </si>
  <si>
    <t>Regional preparation and adverstisment of the caravan</t>
  </si>
  <si>
    <t>SUB-TOTAL ACT 2.3</t>
  </si>
  <si>
    <t>A2.4</t>
  </si>
  <si>
    <r>
      <t xml:space="preserve">Outreach and sensitization on the TRRC recommendations and White Paper content relevant to addressing SGBV and acknowledging women’s experiences under the dictatorship </t>
    </r>
    <r>
      <rPr>
        <b/>
        <u/>
        <sz val="9"/>
        <color rgb="FFFF0000"/>
        <rFont val="Calibri"/>
        <family val="2"/>
        <scheme val="minor"/>
      </rPr>
      <t>(Mural and Tik tok campaign)</t>
    </r>
  </si>
  <si>
    <t>2.4</t>
  </si>
  <si>
    <t>Commnication &amp; internet fees partners</t>
  </si>
  <si>
    <t xml:space="preserve">Venue hire </t>
  </si>
  <si>
    <t>Meals &amp; refreshments for 20 participants (2 coffee breaks &amp; lunch)</t>
  </si>
  <si>
    <t>DSA for 2 ICTJ + 2 Partners</t>
  </si>
  <si>
    <t>Transport reimbursement for 20 participants</t>
  </si>
  <si>
    <t>,</t>
  </si>
  <si>
    <t>Painter hire</t>
  </si>
  <si>
    <t>Supplies for painter</t>
  </si>
  <si>
    <t>Mural building</t>
  </si>
  <si>
    <t>Ceromony Mural painting</t>
  </si>
  <si>
    <t>SUB-TOTAL ACT 2.4</t>
  </si>
  <si>
    <t>A2.5</t>
  </si>
  <si>
    <t>Roundtables on youth participation and engagement with duty-bearers</t>
  </si>
  <si>
    <t>2.5</t>
  </si>
  <si>
    <t>Venue hire 1 day</t>
  </si>
  <si>
    <t>Meals &amp; refreshments for 30 participants (2 coffee breaks &amp; lunch)</t>
  </si>
  <si>
    <t>Transport reimbursement for 30 participants</t>
  </si>
  <si>
    <t>DSA for 4 persons / region</t>
  </si>
  <si>
    <t>Vehicle hire</t>
  </si>
  <si>
    <t>SUB-TOTAL ACT 2.5</t>
  </si>
  <si>
    <t>TOTAL  OUTCOME 2</t>
  </si>
  <si>
    <t>A3.1</t>
  </si>
  <si>
    <t>Meetings between youth and local authorities to discuss, prepare, and facilitate systematic and ongoing engagement on governance, peacebuilding, development, and social rights</t>
  </si>
  <si>
    <t>3.1</t>
  </si>
  <si>
    <t xml:space="preserve">DSA for ICTJ staff </t>
  </si>
  <si>
    <t>Transfers and Grants to Counterparts</t>
  </si>
  <si>
    <t>Sub-total</t>
  </si>
  <si>
    <t>SUB-TOTAL  A3.1</t>
  </si>
  <si>
    <t>A3.2</t>
  </si>
  <si>
    <t>National conference on opportunities, challenges, and strategies for improving the protection and participation of youth in political processes and peacebuilding</t>
  </si>
  <si>
    <t>3.2</t>
  </si>
  <si>
    <t>Meals &amp; refreshments for 100 participants (2 coffee breaks &amp; lunch)</t>
  </si>
  <si>
    <t>Transport reimbursement region  for participants</t>
  </si>
  <si>
    <t>DSA region  for participants</t>
  </si>
  <si>
    <t>Transport reimbursement for participants</t>
  </si>
  <si>
    <t>International travel HoP</t>
  </si>
  <si>
    <t>Airport transfer fees</t>
  </si>
  <si>
    <t>Conference report</t>
  </si>
  <si>
    <t>SUB-TOTAL ACT 3.2</t>
  </si>
  <si>
    <t>A3.3</t>
  </si>
  <si>
    <t>Regional youth conference on participation in transitional justice processes, peacebuilding and governance</t>
  </si>
  <si>
    <t>3.3</t>
  </si>
  <si>
    <t>Venue hire day 1</t>
  </si>
  <si>
    <t>Meals &amp; refreshments for 100 participants (2 coffee breaks &amp; lunch) day 1</t>
  </si>
  <si>
    <t>Transport reimbursement region  30 for participants day 1</t>
  </si>
  <si>
    <t>DSA region  for 30 participants day 1</t>
  </si>
  <si>
    <t>Transport reimbursement for Banjul participants day 1</t>
  </si>
  <si>
    <t>Airtickets for 4 regional youth</t>
  </si>
  <si>
    <t>Perdiem for 4 regional youth</t>
  </si>
  <si>
    <t>Printed material and others suplies for participants 2 days</t>
  </si>
  <si>
    <t>Translation fees (lumpsum)</t>
  </si>
  <si>
    <t>Venue hire (2nd day)</t>
  </si>
  <si>
    <t>Meals &amp; refreshments for 120 participants (2 coffee breaks &amp; lunch)</t>
  </si>
  <si>
    <t>Transport reimbursement region  30 for participants</t>
  </si>
  <si>
    <t>1 ICTJ Flight Expert  + 2 AU representatives</t>
  </si>
  <si>
    <t>Perdiem 1 ictj Expert  + 2 AU representatives</t>
  </si>
  <si>
    <t>SUB-TOTAL ACT 3.3</t>
  </si>
  <si>
    <t>TOTAL  OUTCOME 3</t>
  </si>
  <si>
    <t>Project support</t>
  </si>
  <si>
    <t>Month</t>
  </si>
  <si>
    <t xml:space="preserve">PARTNERS supporting funds </t>
  </si>
  <si>
    <t>SUB-TOTAL ACT 2,2</t>
  </si>
  <si>
    <t>TOTAL PARTNERS</t>
  </si>
  <si>
    <t>SUB-TOTAL Project support</t>
  </si>
  <si>
    <t>Monitoring and Evaluation / Audit</t>
  </si>
  <si>
    <t>Monitoring and Evaluation</t>
  </si>
  <si>
    <t>SUB-TOTAL Monitoring and Evaluation</t>
  </si>
  <si>
    <t>SUB-TOTAL ACTIVITIES PROJECT COSTS</t>
  </si>
  <si>
    <t>Project Final Retreat with partners, Beneficiaries and UNPBF</t>
  </si>
  <si>
    <t>Accomodation For Participants</t>
  </si>
  <si>
    <t>Meals &amp; refreshments For Participants</t>
  </si>
  <si>
    <t>Transportation refund for participants</t>
  </si>
  <si>
    <t>DSA/ Incidental Cost for 30 participants</t>
  </si>
  <si>
    <t>Vehicle rent (Bus)</t>
  </si>
  <si>
    <t>Stationeries and Printed Materials</t>
  </si>
  <si>
    <t>PROJECT STAFF COSTS</t>
  </si>
  <si>
    <t>1.Staff</t>
  </si>
  <si>
    <t>Head of Program</t>
  </si>
  <si>
    <t>Finance Officer</t>
  </si>
  <si>
    <t>Deputy of Program</t>
  </si>
  <si>
    <t>Senior Program Expert</t>
  </si>
  <si>
    <t>Senior DME Expert</t>
  </si>
  <si>
    <t>TOTAL PROJECT STAFF COST</t>
  </si>
  <si>
    <t>INDIRECT COSTS</t>
  </si>
  <si>
    <t>7.ODC</t>
  </si>
  <si>
    <t>Office operating expenses</t>
  </si>
  <si>
    <t xml:space="preserve"> </t>
  </si>
  <si>
    <t>TOTAL INDIRECT COSTS</t>
  </si>
  <si>
    <t>TOTAL FIXED COSTS</t>
  </si>
  <si>
    <t>GRAND TOTAL</t>
  </si>
  <si>
    <t>Total GEWE</t>
  </si>
  <si>
    <t>1. Staff</t>
  </si>
  <si>
    <t>2. Supplies</t>
  </si>
  <si>
    <t>3. Equipment</t>
  </si>
  <si>
    <t>4. Contractual Services</t>
  </si>
  <si>
    <t>6. transfers &amp; Grant counterparts</t>
  </si>
  <si>
    <t>7. ODC</t>
  </si>
  <si>
    <t>Proof</t>
  </si>
  <si>
    <t>Difference</t>
  </si>
  <si>
    <t>Should be removed</t>
  </si>
  <si>
    <t xml:space="preserve">Annex D - PBF Project Budget </t>
  </si>
  <si>
    <t>CSO Version</t>
  </si>
  <si>
    <t>Table 1 - PBF project budget by outcome, output and activity</t>
  </si>
  <si>
    <r>
      <rPr>
        <b/>
        <sz val="8"/>
        <color theme="1"/>
        <rFont val="Calibri"/>
        <family val="2"/>
        <scheme val="minor"/>
      </rPr>
      <t>Outcome/ Output</t>
    </r>
    <r>
      <rPr>
        <sz val="8"/>
        <color theme="1"/>
        <rFont val="Calibri"/>
        <family val="2"/>
        <scheme val="minor"/>
      </rPr>
      <t xml:space="preserve"> number</t>
    </r>
  </si>
  <si>
    <r>
      <rPr>
        <b/>
        <sz val="8"/>
        <color theme="1"/>
        <rFont val="Calibri"/>
        <family val="2"/>
        <scheme val="minor"/>
      </rPr>
      <t>Description</t>
    </r>
    <r>
      <rPr>
        <sz val="8"/>
        <color theme="1"/>
        <rFont val="Calibri"/>
        <family val="2"/>
        <scheme val="minor"/>
      </rPr>
      <t xml:space="preserve"> (Text)</t>
    </r>
  </si>
  <si>
    <t>Recipient Organization</t>
  </si>
  <si>
    <t>Recipient Organization 2 Budget</t>
  </si>
  <si>
    <t>Recipient Organization 3 Budget</t>
  </si>
  <si>
    <t>Total</t>
  </si>
  <si>
    <r>
      <rPr>
        <b/>
        <sz val="8"/>
        <color theme="1"/>
        <rFont val="Calibri"/>
        <family val="2"/>
        <scheme val="minor"/>
      </rPr>
      <t xml:space="preserve">% of budget </t>
    </r>
    <r>
      <rPr>
        <sz val="8"/>
        <color theme="1"/>
        <rFont val="Calibri"/>
        <family val="2"/>
        <scheme val="minor"/>
      </rPr>
      <t xml:space="preserve">per activity allocated to </t>
    </r>
    <r>
      <rPr>
        <b/>
        <sz val="8"/>
        <color theme="1"/>
        <rFont val="Calibri"/>
        <family val="2"/>
        <scheme val="minor"/>
      </rPr>
      <t xml:space="preserve">Gender Equality and Women's Empowerment (GEWE) </t>
    </r>
    <r>
      <rPr>
        <sz val="8"/>
        <color theme="1"/>
        <rFont val="Calibri"/>
        <family val="2"/>
        <scheme val="minor"/>
      </rPr>
      <t>(if any):</t>
    </r>
  </si>
  <si>
    <r>
      <t xml:space="preserve">Current level of </t>
    </r>
    <r>
      <rPr>
        <b/>
        <sz val="8"/>
        <color theme="1"/>
        <rFont val="Calibri"/>
        <family val="2"/>
        <scheme val="minor"/>
      </rPr>
      <t>expenditure/ commitment</t>
    </r>
    <r>
      <rPr>
        <sz val="8"/>
        <color theme="1"/>
        <rFont val="Calibri"/>
        <family val="2"/>
        <scheme val="minor"/>
      </rPr>
      <t xml:space="preserve"> (to be completed at time of project progress reporting) </t>
    </r>
  </si>
  <si>
    <r>
      <rPr>
        <b/>
        <sz val="8"/>
        <color theme="1"/>
        <rFont val="Calibri"/>
        <family val="2"/>
        <scheme val="minor"/>
      </rPr>
      <t xml:space="preserve">GEWE justification </t>
    </r>
    <r>
      <rPr>
        <sz val="8"/>
        <color theme="1"/>
        <rFont val="Calibri"/>
        <family val="2"/>
        <scheme val="minor"/>
      </rPr>
      <t>(e.g. training includes session on gender equality, specific efforts made to ensure equal representation of women and men etc.)</t>
    </r>
  </si>
  <si>
    <r>
      <t xml:space="preserve">Any other </t>
    </r>
    <r>
      <rPr>
        <b/>
        <sz val="8"/>
        <color theme="1"/>
        <rFont val="Calibri"/>
        <family val="2"/>
        <scheme val="minor"/>
      </rPr>
      <t>remarks</t>
    </r>
    <r>
      <rPr>
        <sz val="8"/>
        <color theme="1"/>
        <rFont val="Calibri"/>
        <family val="2"/>
        <scheme val="minor"/>
      </rPr>
      <t xml:space="preserve"> (e.g. on types of inputs provided or budget justification, esp. for TA or travel costs)</t>
    </r>
  </si>
  <si>
    <t xml:space="preserve">OUTCOME 1: </t>
  </si>
  <si>
    <t xml:space="preserve"> Gambian Youth are empowered as agents of change </t>
  </si>
  <si>
    <t>Output 1.1:</t>
  </si>
  <si>
    <t xml:space="preserve">Organizational capacity of the youth-led organizations and their leaders has increased </t>
  </si>
  <si>
    <t>Activity 1.1.1:</t>
  </si>
  <si>
    <t>This activity targets 52% women. Additionally indicators under this activity are focused on empowering young women participants to engage throughout the project  and particiapte in peacebuuidling initiatives.</t>
  </si>
  <si>
    <t>Inclusive of venue hire, meals and refreshments, transportation and DSA for participants, vehicle rent and fuel, air fare and per diem for expert, and consultancy from program assistant, gender consultant, and media consultant</t>
  </si>
  <si>
    <t>Activity 1.1.2:</t>
  </si>
  <si>
    <t>Our subgranting partner who is one of the targets of this activity,  Think Young Women, is women-led and works primarily with young women.   Additionally indicators under this activity are focused on empowering young women participants to engage throughout the project  and particiapte in peacebuuidling initiatives.</t>
  </si>
  <si>
    <t>Inclusive of transport, commnication, and internet fees and and consultancy from program assistant, gender consultant, and media consultant</t>
  </si>
  <si>
    <t>Activity 1.1.3:</t>
  </si>
  <si>
    <t>Activity 1.1.4</t>
  </si>
  <si>
    <t>Activity 1.1.5</t>
  </si>
  <si>
    <t>Activity 1.1.6</t>
  </si>
  <si>
    <t>Activity 1.1.7</t>
  </si>
  <si>
    <t>Activity 1.1.8</t>
  </si>
  <si>
    <t>Output Total</t>
  </si>
  <si>
    <t>Output 1.2:</t>
  </si>
  <si>
    <t>A pool of 10 peer-trainers is established to conduct training on TJ, peacebuilding and SDG</t>
  </si>
  <si>
    <t>Activity 1.2.1</t>
  </si>
  <si>
    <t>This activity targets 60% women. Additionally indicators under this activity are focused on empowering young women participants to engage throughout the project  and particiapte in peacebuuidling initiatives.</t>
  </si>
  <si>
    <t>Inclusive of venue hire, catering, transport reimbursement, and printed materials for participants, visibility, and consultancy from program assistant, gender consultant, and media consultant</t>
  </si>
  <si>
    <t>Activity 1.2.2</t>
  </si>
  <si>
    <t>Activity 1.2.3</t>
  </si>
  <si>
    <t>Activity 1.2.4</t>
  </si>
  <si>
    <t>Activity 1.2.5</t>
  </si>
  <si>
    <t>Activity 1.2.6</t>
  </si>
  <si>
    <t>Activity 1.2.7</t>
  </si>
  <si>
    <t>Activity 1.2.8</t>
  </si>
  <si>
    <t>Output 1.3:</t>
  </si>
  <si>
    <t xml:space="preserve">Knowledge of 250 young people increased on national and international policies protecting their rights, peacebuilding and sustainable development </t>
  </si>
  <si>
    <t>Activity 1.3.1</t>
  </si>
  <si>
    <t>This activity targets 50% women. Additionally indicators under this activity are focused on empowering young women participants to engage throughout the project  and particiapte in peacebuuidling initiatives.</t>
  </si>
  <si>
    <t>Inclusive of venue hire, meals and refreshments and printed materials for participants, transportation and DSA for participants, vehicle rent and fuel, trainer fees, sub granting to implementing partners, consultancy from program assistant, gender consultant, and media consultant</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</si>
  <si>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</si>
  <si>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</si>
  <si>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</si>
  <si>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</si>
  <si>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</si>
  <si>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</si>
  <si>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</si>
  <si>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</si>
  <si>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</si>
  <si>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</si>
  <si>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</si>
  <si>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</si>
  <si>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</si>
  <si>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</si>
  <si>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</si>
  <si>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</si>
  <si>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</si>
  <si>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youth have increased capacity to engage duty-bearers and promote accountability</t>
  </si>
  <si>
    <t>Outcome 2.1</t>
  </si>
  <si>
    <t>User friendly version of the white paper developed</t>
  </si>
  <si>
    <t>Activity 2.1.1</t>
  </si>
  <si>
    <t>Production and Publication Fees</t>
  </si>
  <si>
    <t>Activity 2.1.2</t>
  </si>
  <si>
    <t>Activity 2.1.3</t>
  </si>
  <si>
    <t>Activity 2.1.4</t>
  </si>
  <si>
    <t>Activity 2.1.5</t>
  </si>
  <si>
    <t>Activity 2.1.6</t>
  </si>
  <si>
    <t>Activity 2.1.7</t>
  </si>
  <si>
    <t>Activity 2.1.8</t>
  </si>
  <si>
    <t>Output 2.2</t>
  </si>
  <si>
    <t xml:space="preserve">
Dialogues conducted between local authorities on the TRRC recommendations and white paper </t>
  </si>
  <si>
    <t>Activity 2.2.1</t>
  </si>
  <si>
    <t>This activity targets 50% women</t>
  </si>
  <si>
    <t>Inclusive of venue hire, meals and refreshments and printed materials for participants, transport reimbursement for participants, DSA for ICTJ staff, vehicle rental and fuel, sub granting to implementing partners and consultancy from program assistant, gender consultant, and media consultant</t>
  </si>
  <si>
    <t>Activity 2.2.2</t>
  </si>
  <si>
    <t>Activity 2.2.3</t>
  </si>
  <si>
    <t>Activity 2.2.4</t>
  </si>
  <si>
    <t>Activity 2.2.5</t>
  </si>
  <si>
    <t>Activity 2.2.6</t>
  </si>
  <si>
    <t>Activity 2.2.7</t>
  </si>
  <si>
    <t>Activity 2.2.8</t>
  </si>
  <si>
    <t>Output 2.3</t>
  </si>
  <si>
    <t xml:space="preserve">youth, including rural youth and young women, are more aware of their rights, the contents of the government White paper and TRRC report recommendations especially recommendations on SGBV and women rights </t>
  </si>
  <si>
    <t>Activity 2.3.1</t>
  </si>
  <si>
    <t>This activity targets 50% women. The Caravan will include performances by Kaneleng groups (rejected (non-fertile) women who assume a non-gendered/marginal identity in traditional societies and are traditional communicators, using the power of song, story, and rituals to pass messages)</t>
  </si>
  <si>
    <t>inclusive of podium truck hire for caravan, mini van hire for caravan participants, DSA for participants and ICTJ staff, printed materials and visbility including advertisment of the caravan, sub granting to implementing partners, sound rental equipment, performance fees, radio program, consultancy from program assistant, gender consultant, and media consultant</t>
  </si>
  <si>
    <t>Activity 2.3.2</t>
  </si>
  <si>
    <t xml:space="preserve">Outreach and sensitization on the TRRC recommendations and White Paper content relevant to addressing SGBV and acknowledging women’s experiences under the dictatorship </t>
  </si>
  <si>
    <t xml:space="preserve">This activity is focused on women victims of SGBV, and the production of the murals under this activity will be centered on acknoweldging victims of dictator-era witch hunts to support sensitization and empathy </t>
  </si>
  <si>
    <t>Inclusive of communication and internet fees, venu hire, meals and refreshments for participants, vehicle hire and fuel, transport reimbursement for participants, painter hire and supplies, costs for mural ceremony, consultancy from program assistant, gender consultant, and media consultant</t>
  </si>
  <si>
    <t>Activity 2.3.3</t>
  </si>
  <si>
    <t>Activity 2.3.4</t>
  </si>
  <si>
    <t>Activity 2.3.5</t>
  </si>
  <si>
    <t>Activity 2.3.6</t>
  </si>
  <si>
    <t>Activity 2.3.7</t>
  </si>
  <si>
    <t>Activity 2.3.8</t>
  </si>
  <si>
    <t>Output 2.4</t>
  </si>
  <si>
    <t>Authorities sensitized about role of youth and youth participation</t>
  </si>
  <si>
    <t>Activity 2.4.1</t>
  </si>
  <si>
    <t>Inclusive of venue hire, meals and refreshments and printed materials for participants, transport reimbursement for participants, DSA for ICTJ staff and partners, vehicle rental and fuel, sub granting to implementing partners and consultancy from program assistant, gender consultant and media consultant</t>
  </si>
  <si>
    <t>Activity 2.4.2</t>
  </si>
  <si>
    <t>Activity 2.4.3</t>
  </si>
  <si>
    <t>Activity 2.4.4</t>
  </si>
  <si>
    <t>Activity 2.4.5</t>
  </si>
  <si>
    <t>Activity 2.4.6</t>
  </si>
  <si>
    <t>Activity 2.4.7</t>
  </si>
  <si>
    <t>Activity 2.4.8</t>
  </si>
  <si>
    <t xml:space="preserve">OUTCOME 3: </t>
  </si>
  <si>
    <t xml:space="preserve"> Youth can safely and meaningfully participate in governance issues, reconciliation, and prevention</t>
  </si>
  <si>
    <t>Output 3.1</t>
  </si>
  <si>
    <t>Local authorities systematically engage young people to discuss issues of governance, development and social rights</t>
  </si>
  <si>
    <t>Activity 3.1.1</t>
  </si>
  <si>
    <t>This activity targets 50% women. Discussions during this activity will include issues of women's rights and gender equality</t>
  </si>
  <si>
    <t>Inclusive of venue hire, meals and refreshments for participants, transport reimbursement for participants, DSA for ICTJ staff, vehicle hire and fuel, logisitcal support for the focal point, sub granting to implementing partners, consultancy from program assistant, gender consultant, and media consultant</t>
  </si>
  <si>
    <t>Activity 3.1.2</t>
  </si>
  <si>
    <t>Activity 3.1.3</t>
  </si>
  <si>
    <t>Activity 3.1.4</t>
  </si>
  <si>
    <t>Activity 3.1.5</t>
  </si>
  <si>
    <t>Activity 3.1.6</t>
  </si>
  <si>
    <t>Activity 3.1.7</t>
  </si>
  <si>
    <t>Activity 3.1.8</t>
  </si>
  <si>
    <t>Output 3.2:</t>
  </si>
  <si>
    <t>ICTJ facilitates a space for interaction between young people and duty bearers after the preparation of the young people (done under outcome 1).</t>
  </si>
  <si>
    <t>Activity 3.2.1</t>
  </si>
  <si>
    <t>Inclusive of venue hire, meals and refreshements for participants, transport reimbursement for participants, printed materials, travel for ICTJ exper, consultancy from program assistant, gender consultant, and media consultant</t>
  </si>
  <si>
    <t>Activity 3.2.2</t>
  </si>
  <si>
    <t>Activity 3.2.3</t>
  </si>
  <si>
    <t>Activity 3.2.4</t>
  </si>
  <si>
    <t>Activity 3.2.5</t>
  </si>
  <si>
    <t>Activity 3.2.6</t>
  </si>
  <si>
    <t>Activity 3.2.7</t>
  </si>
  <si>
    <t>Activity 3.2.8</t>
  </si>
  <si>
    <t>Output 3.3</t>
  </si>
  <si>
    <t>Youth activists from Cote d’Ivoire and Gambia are interconnected and able to share their experiences and advance their rights to participation and contribute to TJ processes and peacebuilding in their countries.</t>
  </si>
  <si>
    <t>Activity 3.3.1</t>
  </si>
  <si>
    <t>Inclusive of venue hire, meals and refreshements for participants, transport reimbursement for participants, printed materials, DSA for participants,  travel for regional youth and ICTJ expert, per diem for ICTJ expert, translations fees,  consultancy from program assistant, gender consultant, and media consultant</t>
  </si>
  <si>
    <t>Activity 3.3.2</t>
  </si>
  <si>
    <t>Activity 3.3.3</t>
  </si>
  <si>
    <t>Activity 3.3.4</t>
  </si>
  <si>
    <t>Activity 3.3.5</t>
  </si>
  <si>
    <t>Activity 3.3.6</t>
  </si>
  <si>
    <t>Activity 3.3.7</t>
  </si>
  <si>
    <t>Activity 3.3.8</t>
  </si>
  <si>
    <t>Output 3.4</t>
  </si>
  <si>
    <t>Activity 3.4.1</t>
  </si>
  <si>
    <t>Project Final Retreat</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</si>
  <si>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</si>
  <si>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</si>
  <si>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</si>
  <si>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</si>
  <si>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</si>
  <si>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</si>
  <si>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</si>
  <si>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</si>
  <si>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</si>
  <si>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</si>
  <si>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</si>
  <si>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</si>
  <si>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</si>
  <si>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</si>
  <si>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</si>
  <si>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</si>
  <si>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</si>
  <si>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</si>
  <si>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</si>
  <si>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</si>
  <si>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</si>
  <si>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</si>
  <si>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</si>
  <si>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</si>
  <si>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</si>
  <si>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</si>
  <si>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</si>
  <si>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</si>
  <si>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</si>
  <si>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</si>
  <si>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</si>
  <si>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</si>
  <si>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</si>
  <si>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</si>
  <si>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</si>
  <si>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</si>
  <si>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</si>
  <si>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</si>
  <si>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</si>
  <si>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</si>
  <si>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</si>
  <si>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</si>
  <si>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</si>
  <si>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</si>
  <si>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</si>
  <si>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</si>
  <si>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</si>
  <si>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</si>
  <si>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Budget for independent audit</t>
  </si>
  <si>
    <t>Total Additional Costs</t>
  </si>
  <si>
    <t>Totals</t>
  </si>
  <si>
    <t>Sub-Total Project Budget</t>
  </si>
  <si>
    <t>Indirect support costs (7%):</t>
  </si>
  <si>
    <t>Performance-Based Tranche Breakdown</t>
  </si>
  <si>
    <t xml:space="preserve">Recipient Organization </t>
  </si>
  <si>
    <t>Tranche %</t>
  </si>
  <si>
    <t>First Tranche:</t>
  </si>
  <si>
    <t>Second Tranche:</t>
  </si>
  <si>
    <t>Third Tranche</t>
  </si>
  <si>
    <t>Total:</t>
  </si>
  <si>
    <r>
      <t xml:space="preserve">$ Towards GEWE </t>
    </r>
    <r>
      <rPr>
        <sz val="8"/>
        <color theme="1"/>
        <rFont val="Calibri"/>
        <family val="2"/>
        <scheme val="minor"/>
      </rPr>
      <t>(includes indirect costs)</t>
    </r>
  </si>
  <si>
    <t>Total Expenditure</t>
  </si>
  <si>
    <t>% Towards GEWE</t>
  </si>
  <si>
    <t>Delivery Rate:</t>
  </si>
  <si>
    <r>
      <t xml:space="preserve">$ Towards M&amp;E </t>
    </r>
    <r>
      <rPr>
        <sz val="8"/>
        <color theme="1"/>
        <rFont val="Calibri"/>
        <family val="2"/>
        <scheme val="minor"/>
      </rPr>
      <t>(includes indirect costs)</t>
    </r>
  </si>
  <si>
    <t>% Towards M&amp;E</t>
  </si>
  <si>
    <r>
      <t xml:space="preserve">Note: PBF does not accept projects with less than </t>
    </r>
    <r>
      <rPr>
        <b/>
        <sz val="8"/>
        <color theme="1"/>
        <rFont val="Calibri"/>
        <family val="2"/>
        <scheme val="minor"/>
      </rPr>
      <t>5%</t>
    </r>
    <r>
      <rPr>
        <sz val="8"/>
        <color theme="1"/>
        <rFont val="Calibri"/>
        <family val="2"/>
        <scheme val="minor"/>
      </rPr>
      <t xml:space="preserve"> towards M&amp;E and less than </t>
    </r>
    <r>
      <rPr>
        <b/>
        <sz val="8"/>
        <color theme="1"/>
        <rFont val="Calibri"/>
        <family val="2"/>
        <scheme val="minor"/>
      </rPr>
      <t xml:space="preserve">15% </t>
    </r>
    <r>
      <rPr>
        <sz val="8"/>
        <color theme="1"/>
        <rFont val="Calibri"/>
        <family val="2"/>
        <scheme val="minor"/>
      </rPr>
      <t xml:space="preserve">towards GEWE. These figures will show as </t>
    </r>
    <r>
      <rPr>
        <sz val="8"/>
        <color rgb="FFFF0000"/>
        <rFont val="Calibri"/>
        <family val="2"/>
        <scheme val="minor"/>
      </rPr>
      <t xml:space="preserve">red </t>
    </r>
    <r>
      <rPr>
        <sz val="8"/>
        <color theme="1"/>
        <rFont val="Calibri"/>
        <family val="2"/>
        <scheme val="minor"/>
      </rPr>
      <t xml:space="preserve">if this minimum threshold is not met.  </t>
    </r>
  </si>
  <si>
    <t>GL Code</t>
  </si>
  <si>
    <t>GL Title</t>
  </si>
  <si>
    <t>Transaction Description</t>
  </si>
  <si>
    <t>Session ID</t>
  </si>
  <si>
    <t>Effective</t>
  </si>
  <si>
    <t>Debit</t>
  </si>
  <si>
    <t>Credit</t>
  </si>
  <si>
    <t>Activity Code</t>
  </si>
  <si>
    <t>Country Code</t>
  </si>
  <si>
    <t>Funder Code</t>
  </si>
  <si>
    <t>Funder Title</t>
  </si>
  <si>
    <t>5999</t>
  </si>
  <si>
    <t>Salary &amp; Fringes Fund Allocation</t>
  </si>
  <si>
    <t>Opening Balance</t>
  </si>
  <si>
    <t>9999</t>
  </si>
  <si>
    <t>3007</t>
  </si>
  <si>
    <t>UN Peace Building Fund (PBF) - The Gambia 01/2023-12/2025</t>
  </si>
  <si>
    <t>Ladisch, Virginie</t>
  </si>
  <si>
    <t>JV-JS043023 Sal Alloc</t>
  </si>
  <si>
    <t>Porciuncula, Mateo</t>
  </si>
  <si>
    <t>Roccatello, Anna Myriam</t>
  </si>
  <si>
    <t>8502</t>
  </si>
  <si>
    <t>Ground (Car/Mileage, Rail, Taxi/Shuttle)</t>
  </si>
  <si>
    <t>UNPBF coordination meeting transport cost</t>
  </si>
  <si>
    <t>JV-MP061623</t>
  </si>
  <si>
    <t>Gam</t>
  </si>
  <si>
    <t>8000</t>
  </si>
  <si>
    <t>Printing &amp; Publications</t>
  </si>
  <si>
    <t>Payment to Gamjobs -National program assistant recruitment</t>
  </si>
  <si>
    <t>JV-JS053123 Sal Alloc</t>
  </si>
  <si>
    <t>7005</t>
  </si>
  <si>
    <t>International Office Rent</t>
  </si>
  <si>
    <t>Payment for office rent  April 23-March 24</t>
  </si>
  <si>
    <t>JV-MP071923</t>
  </si>
  <si>
    <t>5005</t>
  </si>
  <si>
    <t>Wages - International - Full Time</t>
  </si>
  <si>
    <t>Salary May 23 - Gender Consultant - Tuti Nyang</t>
  </si>
  <si>
    <t>5006</t>
  </si>
  <si>
    <t>Wages - International - Part Time</t>
  </si>
  <si>
    <t>Salary May 23 - Finance Officer- Fatoumatta Kanteh</t>
  </si>
  <si>
    <t>Transport refund meeting with MoJ</t>
  </si>
  <si>
    <t>6501</t>
  </si>
  <si>
    <t>Office Supplies / Materials</t>
  </si>
  <si>
    <t>Payment for UPS</t>
  </si>
  <si>
    <t>Payment for banner and branded USB</t>
  </si>
  <si>
    <t>8504</t>
  </si>
  <si>
    <t>Meals &amp; Per Diem</t>
  </si>
  <si>
    <t>Pyment for meals, accomodation and venue hire-UNPBF strategic planning retreat</t>
  </si>
  <si>
    <t>Vehicle hire for strategic planning retreat</t>
  </si>
  <si>
    <t>Printing fees for strategic planning retreat</t>
  </si>
  <si>
    <t>Participants transport refund</t>
  </si>
  <si>
    <t>Snacks and refreshments for participants</t>
  </si>
  <si>
    <t>Transport refund for participants</t>
  </si>
  <si>
    <t>Participants' incidental cost</t>
  </si>
  <si>
    <t>9000</t>
  </si>
  <si>
    <t>Other Expenses</t>
  </si>
  <si>
    <t>Resource person's fees</t>
  </si>
  <si>
    <t>Resoucre persons's (NYC) transportation</t>
  </si>
  <si>
    <t>Resoucre persons transporation cost(MOJ)</t>
  </si>
  <si>
    <t>participants' kits (stationery)</t>
  </si>
  <si>
    <t>Recorder</t>
  </si>
  <si>
    <t>Logistics transportation cost</t>
  </si>
  <si>
    <t>6001</t>
  </si>
  <si>
    <t>Consultants</t>
  </si>
  <si>
    <t>JUNE 2023 - PROFESSIONAL SERVICE   - HEAD OF PROGRAM - THE GAMBIA  - D GBERY</t>
  </si>
  <si>
    <t>cv060923</t>
  </si>
  <si>
    <t>JV-JS063023 Sal Alloc</t>
  </si>
  <si>
    <t>(All)</t>
  </si>
  <si>
    <t>Row Labels</t>
  </si>
  <si>
    <t>Sum of Debit</t>
  </si>
  <si>
    <t>Salary June 23 - Gender Consultant- Tuti Nyang</t>
  </si>
  <si>
    <t>JV-MP072723-1</t>
  </si>
  <si>
    <t>Salary June 23 - Finance Officer- Fatoumatta Kanteh</t>
  </si>
  <si>
    <t>Taxi fees for dropping of letters to stakeholders-May 2023</t>
  </si>
  <si>
    <t>Taxi fees for dropping of letters to stakeholders-June 2023</t>
  </si>
  <si>
    <t>Snacks for participants</t>
  </si>
  <si>
    <t>Delivery of snacks</t>
  </si>
  <si>
    <t>6003</t>
  </si>
  <si>
    <t>6005</t>
  </si>
  <si>
    <t>6300</t>
  </si>
  <si>
    <t>JULY 2023 - PROFESSIONAL SERVICE   - HEAD OF PROGRAM - THE GAMBIA  - D GBERY</t>
  </si>
  <si>
    <t>cv072423</t>
  </si>
  <si>
    <t>JV-JS073123 Sal Alloc</t>
  </si>
  <si>
    <t>6502</t>
  </si>
  <si>
    <t>6506</t>
  </si>
  <si>
    <t>6509</t>
  </si>
  <si>
    <t>8600</t>
  </si>
  <si>
    <t>Rental Halls / Convention Center</t>
  </si>
  <si>
    <t>Abcas  rental of venue for retreat with partners</t>
  </si>
  <si>
    <t>JV-MP100923</t>
  </si>
  <si>
    <t>6511</t>
  </si>
  <si>
    <t>Pmt to Ousman Conteh for delivery of Invitation Letters</t>
  </si>
  <si>
    <t>6513</t>
  </si>
  <si>
    <t>Salary July 23 - Gender Consultant- Tuti Nyang</t>
  </si>
  <si>
    <t>6603</t>
  </si>
  <si>
    <t>6700</t>
  </si>
  <si>
    <t>7200</t>
  </si>
  <si>
    <t>7500</t>
  </si>
  <si>
    <t>7501</t>
  </si>
  <si>
    <t>7502</t>
  </si>
  <si>
    <t>DSA for Participants from Four (4) Regions</t>
  </si>
  <si>
    <t>7700</t>
  </si>
  <si>
    <t>Kits for Participants</t>
  </si>
  <si>
    <t>Professional Development</t>
  </si>
  <si>
    <t>Resource persons fees</t>
  </si>
  <si>
    <t>8003</t>
  </si>
  <si>
    <t>Transportion and Logistics</t>
  </si>
  <si>
    <t>8500</t>
  </si>
  <si>
    <t>Transport refund for participanst from WCR,NBR,CRR,URR &amp; KMC</t>
  </si>
  <si>
    <t>8501</t>
  </si>
  <si>
    <t>AUGUST 2023 - PAYMENT FOR PROFESSIONAL SERVICE - HEAD OF PROGRAM - THE GAMBIA - D GBERY</t>
  </si>
  <si>
    <t>CV082823</t>
  </si>
  <si>
    <t>JV-JS083123 Sal Alloc</t>
  </si>
  <si>
    <t>8503</t>
  </si>
  <si>
    <t>July-23 Salary for program Assistant</t>
  </si>
  <si>
    <t>JV-MP101023</t>
  </si>
  <si>
    <t>8800</t>
  </si>
  <si>
    <t>HoP office transportation fuel for August 2023</t>
  </si>
  <si>
    <t>Recruitment / Placement</t>
  </si>
  <si>
    <t>Gamjobs - Job Vacancy advert of Legal Adviser Position</t>
  </si>
  <si>
    <t>9300</t>
  </si>
  <si>
    <t>UNPBF Series 1 training Venue Rental -Senegambia Hotel</t>
  </si>
  <si>
    <t>Grand Total</t>
  </si>
  <si>
    <t>Salary August 23 - Gender Consultant- Tuti Nyang</t>
  </si>
  <si>
    <t>Salary August 23 - Program Assistant</t>
  </si>
  <si>
    <t>Venue Hire</t>
  </si>
  <si>
    <t>Breakfast, tea &amp; Coffee</t>
  </si>
  <si>
    <t>lunch, Refreshments and water</t>
  </si>
  <si>
    <t>JV-JS093023 Sal Alloc</t>
  </si>
  <si>
    <t>Telephone &amp; Internet Access</t>
  </si>
  <si>
    <t>Internet Comium Install &amp; Subs fees 9/23 -11/23</t>
  </si>
  <si>
    <t>JV-MP102123-3</t>
  </si>
  <si>
    <t>Salary September 23 - Gender Consultant- Tuti Nyang</t>
  </si>
  <si>
    <t>Salary September 23 - Program Assistant</t>
  </si>
  <si>
    <t>Salary September 23 - Finance Officer</t>
  </si>
  <si>
    <t>Event Planning / Organization</t>
  </si>
  <si>
    <t>T-Shirts for Participants</t>
  </si>
  <si>
    <t>PAYMENT FOR PROFESSIONAL SERVICE - (SEPTEMBER 2023) HEAD OF PROGRAM - THE GAMBIA &amp; PER DIEM - ETHIOPIA - 11/23 - D GBERY</t>
  </si>
  <si>
    <t>cv100623</t>
  </si>
  <si>
    <t>OCTOBER 2023 -PYMT FOR PROF SVC/HEALTH SEPT/MED INS REIMB FY23 (4/4) - HEAD OF PROG - THE GAMBIA - B P D GBERY</t>
  </si>
  <si>
    <t>JV-JS103123 Sal Alloc</t>
  </si>
  <si>
    <t>Snacks for Participants</t>
  </si>
  <si>
    <t>JV-MP111623</t>
  </si>
  <si>
    <t>Delivery of Snacks &amp; refreshment</t>
  </si>
  <si>
    <t>Salary October 23 - Program Assistant</t>
  </si>
  <si>
    <t>JV-MP111623-1</t>
  </si>
  <si>
    <t>Salary October 23 - Finance Officer</t>
  </si>
  <si>
    <t>NOVEMBER 2023 - PAYMENT FOR PROFESSIONAL SERVICE - HEAD OF PROGRAM - THE GAMBIA - D GBERY</t>
  </si>
  <si>
    <t>cv110923</t>
  </si>
  <si>
    <t>Grants / Subcontracts Awarded</t>
  </si>
  <si>
    <t>Sub-grant to Fantanka for UNPBF Act 1.4 &amp; 2.2 implementation</t>
  </si>
  <si>
    <t>JV-MP121523</t>
  </si>
  <si>
    <t/>
  </si>
  <si>
    <t>Sub-grant to ONOV for UNPBF Act 1.4 &amp; 2.2 implementation</t>
  </si>
  <si>
    <t>Subgrant -PA-The Gambia - UNPBF Act 1.4 &amp; 2.2 implementation</t>
  </si>
  <si>
    <t>Sub-grant to TYW for UNPBF Act 1.4 &amp; 2.2 implementation</t>
  </si>
  <si>
    <t>JV-JS113023 Sal Alloc</t>
  </si>
  <si>
    <t>Banking / Credit Cards Fee</t>
  </si>
  <si>
    <t>RTGS Charges on funds transfer to PA-The Gambia</t>
  </si>
  <si>
    <t>RTGS Charges on funds transfer to TYW</t>
  </si>
  <si>
    <t>Transport Refund to Participants</t>
  </si>
  <si>
    <t>Snacks Pack for Participants</t>
  </si>
  <si>
    <t>Delivery charges of snack packs</t>
  </si>
  <si>
    <t>Computer Equipment &amp; Software (below $2,000)</t>
  </si>
  <si>
    <t>Purchase of Laptop for Legal Consultant paid to Staples</t>
  </si>
  <si>
    <t>IT Consulting, Services, and Support</t>
  </si>
  <si>
    <t>IT Support to set up Legal Consultants Laptop. Paid to Leroy</t>
  </si>
  <si>
    <t>Salary November 2023 -Program Assistant</t>
  </si>
  <si>
    <t>DECEMBER 2023 - PAYMENT FOR PROFESSIONAL SERVICE - HEAD OF PROG - B P D GBERY</t>
  </si>
  <si>
    <t>cv122023</t>
  </si>
  <si>
    <t>DECEMBER 2023 -REFUND FOR AIR TICKETS FOR 4 MEMBERS OF CONSULTANT FAMILY  - B P D GBERY</t>
  </si>
  <si>
    <t>JV-JS123123 Sal Alloc</t>
  </si>
  <si>
    <t>Airline</t>
  </si>
  <si>
    <t>GBERY/BOUA PIERRE DI     TRAVEL AGENCY SERVICE</t>
  </si>
  <si>
    <t>JV-JS231231Amex</t>
  </si>
  <si>
    <t>GBERY/BOUA PIERRE DI     ETHIOPIAN AIRLINES</t>
  </si>
  <si>
    <t>Salary December 2023 -Program Assistant</t>
  </si>
  <si>
    <t>JV-MP012324-1</t>
  </si>
  <si>
    <t>Vehicle Hire Training  Rural Youths By Peer Trainers- UNPBF</t>
  </si>
  <si>
    <t>Credit Airtime for Head of Programs</t>
  </si>
  <si>
    <t>Water Refill Qty 4</t>
  </si>
  <si>
    <t>Ovaltine</t>
  </si>
  <si>
    <t>Shopping Bag</t>
  </si>
  <si>
    <t>Snack Packs for Participants</t>
  </si>
  <si>
    <t>Taxi Hire to CRR for the M &amp; E on partners</t>
  </si>
  <si>
    <t>Meals and refreshment for Program Assistant</t>
  </si>
  <si>
    <t>DSA for team</t>
  </si>
  <si>
    <t>Breakfast, hot beverages</t>
  </si>
  <si>
    <t>Lunch and refreshments</t>
  </si>
  <si>
    <t>Trainers' fees</t>
  </si>
  <si>
    <t>venue hire</t>
  </si>
  <si>
    <t>Staionery</t>
  </si>
  <si>
    <t>roundtrip transprtation</t>
  </si>
  <si>
    <t>Transport refund for Trainers</t>
  </si>
  <si>
    <t>JANUARY 2024 - PROFESSIONAL SERVICE   - HEAD OF PROGRAM - THE GAMBIA  - D GBERY</t>
  </si>
  <si>
    <t>cv012424</t>
  </si>
  <si>
    <t>JV-JS013124 Sal Alloc</t>
  </si>
  <si>
    <t>Monthly Data for Legal Consultant for Jan-24</t>
  </si>
  <si>
    <t>JV-MP021424</t>
  </si>
  <si>
    <t>Salary January 2024 -Programs Assistant</t>
  </si>
  <si>
    <t>DSA for Hop for UNPBF P-P Dialogue in Basse</t>
  </si>
  <si>
    <t>DSA for FO for UNPBF P-P Dialogue in Basse</t>
  </si>
  <si>
    <t>Taxi Hire, meals for Monitoting of TWY &amp; ONOV by Program Ass</t>
  </si>
  <si>
    <t>Media Outreach / Publicity</t>
  </si>
  <si>
    <t>T-Shirts &amp; Banner PMT  for P-P Dialogue to Unique Graphics</t>
  </si>
  <si>
    <t>Vehicle Hire-UNPBF P-P Dialogue to Afriqcars Motors</t>
  </si>
  <si>
    <t>Credit Airtime for Gender Consultant</t>
  </si>
  <si>
    <t>Credit Airtime for Program Assistant</t>
  </si>
  <si>
    <t>Credit Airtime for Finance Officer</t>
  </si>
  <si>
    <t>Office Line 2 Internet Subscription</t>
  </si>
  <si>
    <t>Newspaper Subscription Monthly Payment</t>
  </si>
  <si>
    <t>Taxi Service for Transportation</t>
  </si>
  <si>
    <t>Nido Milk Qty 1</t>
  </si>
  <si>
    <t>Coffee Qty 1</t>
  </si>
  <si>
    <t>Sugar Cubes Qty 2</t>
  </si>
  <si>
    <t>NAWEC Cash Power December</t>
  </si>
  <si>
    <t>Bleach</t>
  </si>
  <si>
    <t>Food and Refreshment for two days</t>
  </si>
  <si>
    <t>Transport Refund for Participants and Peer trainers</t>
  </si>
  <si>
    <t>Fees for Trainers</t>
  </si>
  <si>
    <t>Mobile Credit for Calls (Mobilization)</t>
  </si>
  <si>
    <t>Transport Refund Invited Guest (NGO Affairs)</t>
  </si>
  <si>
    <t>Venue</t>
  </si>
  <si>
    <t>Fuel for HOP</t>
  </si>
  <si>
    <t>JV-JS022924 Sal Alloc</t>
  </si>
  <si>
    <t>Salary February 2024 -Finance Officer 48%</t>
  </si>
  <si>
    <t>JV-MP031224</t>
  </si>
  <si>
    <t>Salary February 2024 -Gender Consultant</t>
  </si>
  <si>
    <t>Salary February 2024 -Programs Assistant</t>
  </si>
  <si>
    <t>Credit Airtime for Legal Consultant</t>
  </si>
  <si>
    <t>Stapling Manchine</t>
  </si>
  <si>
    <t>Led Bulb 2</t>
  </si>
  <si>
    <t>Toilet Roll Qty 1 bag</t>
  </si>
  <si>
    <t>Mugs and Spoon</t>
  </si>
  <si>
    <t>Short broom and Dustpan</t>
  </si>
  <si>
    <t>A4 Paper Box Qty 2</t>
  </si>
  <si>
    <t>Higlighter Pen</t>
  </si>
  <si>
    <t>Air Freshner for  Office Qty 3</t>
  </si>
  <si>
    <t>Hand Wash</t>
  </si>
  <si>
    <t>Bleach Qty 1</t>
  </si>
  <si>
    <t>Delivery Charges</t>
  </si>
  <si>
    <t>Snacks and Soft Drinks</t>
  </si>
  <si>
    <t>PAYMENT FOR PROFESSIONAL SERVICE - HEAD OF PROGRAM THE GAMBIA /HEALTH (FEBRUARY 2024) - D GBERY</t>
  </si>
  <si>
    <t>cv032524</t>
  </si>
  <si>
    <t>UNPBF Sub-Grant to PAG</t>
  </si>
  <si>
    <t>JV-MP041024</t>
  </si>
  <si>
    <t>UNPBF Sub-Grant to TYW</t>
  </si>
  <si>
    <t>UNPBF Sub-Grant to FANTANKA</t>
  </si>
  <si>
    <t>UNPBF Sub-Grant to ONOV</t>
  </si>
  <si>
    <t>JV-JS033124 Sal Alloc</t>
  </si>
  <si>
    <t>Taxi Services incurred for Office Operations</t>
  </si>
  <si>
    <t>50% pmt for to Yelef for Podcast Production-WP Summary</t>
  </si>
  <si>
    <t>Salary March 2024 -Programs Assistant</t>
  </si>
  <si>
    <t>Salary March 2024 -Finance Officer</t>
  </si>
  <si>
    <t>Salary March 2024 -Gender Consultant</t>
  </si>
  <si>
    <t>Taxi Services to attend UNDP Workshop</t>
  </si>
  <si>
    <t>Taxi Services for Programs Ass. To attend UNBPF Meeting</t>
  </si>
  <si>
    <t>Subscriptions &amp; Membership Fees</t>
  </si>
  <si>
    <t>NAWEC Cash Power-March</t>
  </si>
  <si>
    <t>Sugar Cubes</t>
  </si>
  <si>
    <t>Long Broom</t>
  </si>
  <si>
    <t>Madar Liquid Soap Qty 2</t>
  </si>
  <si>
    <t>Air Freshner for  Office Qty 2</t>
  </si>
  <si>
    <t>Internet fees for HoP</t>
  </si>
  <si>
    <t>JV-MP041524-1</t>
  </si>
  <si>
    <t>RTGS Charges on funds transfer to PAG</t>
  </si>
  <si>
    <t>APRIL 2024 - PAYMENT FOR PROFESSIONAL SERVICE - HEAD OF PROGRAM THE GAMBIA /HEALTH - D GBERY</t>
  </si>
  <si>
    <t>cv042924</t>
  </si>
  <si>
    <t>Transport For Refund to Participants</t>
  </si>
  <si>
    <t>JV-MP060524-2</t>
  </si>
  <si>
    <t>Snack Packs Participants</t>
  </si>
  <si>
    <t>Taxi Services for delivery of snacks</t>
  </si>
  <si>
    <t>DSA for Team</t>
  </si>
  <si>
    <t>Food and Refreshment for 5 days</t>
  </si>
  <si>
    <t>Transport Refund for Day 1 Participants</t>
  </si>
  <si>
    <t>Mobilization Fees</t>
  </si>
  <si>
    <t>Transportation Fees (Taxi Service)</t>
  </si>
  <si>
    <t>Battery for Mics</t>
  </si>
  <si>
    <t>Transport for preparatory work-Outreach &amp; Sensitization,URR</t>
  </si>
  <si>
    <t>Payment for Printing of 100 copies of User Friendly Version</t>
  </si>
  <si>
    <t>Office Equipment (below $2,000)</t>
  </si>
  <si>
    <t>Purchase for Play System for events in rural Areas</t>
  </si>
  <si>
    <t>Salary April 2024 -Finance Officer</t>
  </si>
  <si>
    <t>5.2</t>
  </si>
  <si>
    <t>Salary April 2024 -Programs Assistant</t>
  </si>
  <si>
    <t>5.3</t>
  </si>
  <si>
    <t>Salary April 2024 -Gender Consultant</t>
  </si>
  <si>
    <t>5.4</t>
  </si>
  <si>
    <t>Salary April 2024 -Cleaner, Fatou Kinteh</t>
  </si>
  <si>
    <t>6</t>
  </si>
  <si>
    <t>65% Prepaid Office Rent- for the period Apr-2024 to Ma-2025</t>
  </si>
  <si>
    <t>JV-JS043024 Sal Alloc</t>
  </si>
  <si>
    <t>The Gambia IT Support</t>
  </si>
  <si>
    <t>JV-JS043024 IT &amp; Comm</t>
  </si>
  <si>
    <t>The Gambia Comm Support</t>
  </si>
  <si>
    <t>MAY 2025 - PROF SERVICE - HEAD OF PROG SALARY/HEALTH INS - THE GAMBIA- D GBERY</t>
  </si>
  <si>
    <t>cv052024</t>
  </si>
  <si>
    <t>Vehicle Hire-UNPBF Consultation &amp; Outreach</t>
  </si>
  <si>
    <t>JV-MP063024-3</t>
  </si>
  <si>
    <t>Salary May 2024 -Finance Officer</t>
  </si>
  <si>
    <t>Salary May 2024 -Program Assistant</t>
  </si>
  <si>
    <t>Accrued May  Salary 2024 -Gender Consultant</t>
  </si>
  <si>
    <t>Commission on Turnover May-24</t>
  </si>
  <si>
    <t>VAT-Commission on Turnover May-24</t>
  </si>
  <si>
    <t>NAWEC Cash Power - May 2024</t>
  </si>
  <si>
    <t>Air Freshener Qty 2</t>
  </si>
  <si>
    <t>Coffee</t>
  </si>
  <si>
    <t>Milk</t>
  </si>
  <si>
    <t>Water</t>
  </si>
  <si>
    <t>Disposable Cups for dispenser 1 BOX</t>
  </si>
  <si>
    <t>Cartridge For Office Printer</t>
  </si>
  <si>
    <t>Office Internet Subscription  Line-Comium  1  May-July</t>
  </si>
  <si>
    <t>Refund to HoP for Internet Fees in Ivory Coast</t>
  </si>
  <si>
    <t>Annual Newspaper Subscription to Standard Newspaper</t>
  </si>
  <si>
    <t>Second Installment payment to Yelef for Podcast Production</t>
  </si>
  <si>
    <t>Salary May 2024 -Cleaner, Fatou Kinteh</t>
  </si>
  <si>
    <t>Bank Charges on Transfer to QTV</t>
  </si>
  <si>
    <t>Bank Charges on Transfer to Afriqcars</t>
  </si>
  <si>
    <t>Fuel for HoP Office errands for May</t>
  </si>
  <si>
    <t>Refund Airporrt Security Fees to HoP</t>
  </si>
  <si>
    <t>Taxi Services of Air Pick Up and Escort for H.Varney</t>
  </si>
  <si>
    <t>Snack for staff meeting (FY25 Chrono review)</t>
  </si>
  <si>
    <t>JV-JS053124 IT &amp; Comm Alloc</t>
  </si>
  <si>
    <t>JV-JS053124 Sal Alloc</t>
  </si>
  <si>
    <t>JUNE 2025 - PROF SERVICE - HEAD OF PROG SALARY/HEALTH INS - THE GAMBIA- D GBERY</t>
  </si>
  <si>
    <t>AP-RW061424</t>
  </si>
  <si>
    <t>Sungrant to FANTANKA - P2P Discussions</t>
  </si>
  <si>
    <t>JV-MP072824</t>
  </si>
  <si>
    <t>Sungrant to Think Young Women - P2P Discussions</t>
  </si>
  <si>
    <t>Sungrant to ONOV - P2P Discussions</t>
  </si>
  <si>
    <t>Sungrant to PAG- P2P Discussions</t>
  </si>
  <si>
    <t>Transport Refund For Participants</t>
  </si>
  <si>
    <t>Snack Packs (Biscuits), Water &amp; Soft Drink for Participants</t>
  </si>
  <si>
    <t>Lunch For Participants</t>
  </si>
  <si>
    <t>Taxi Services</t>
  </si>
  <si>
    <t>Snack Packs for Participants.</t>
  </si>
  <si>
    <t>Delivery of Snack Packs</t>
  </si>
  <si>
    <t>Delivery of Invitation Letters for Steering Comm Meeting</t>
  </si>
  <si>
    <t>50% For Hall Rental aUNPBF steering committee Meeting</t>
  </si>
  <si>
    <t>50% pmt for Coffee Break- UNPBF steering committee Meeting</t>
  </si>
  <si>
    <t>50% Accrued Coffee Break- UNPBF steering committee Meeting</t>
  </si>
  <si>
    <t>50% Accrued Hall Rental aUNPBF steering committee Meeting</t>
  </si>
  <si>
    <t>DSA for Legal Consultant to Monitor Fantanka</t>
  </si>
  <si>
    <t>Taxi Hire for Monitoring Fananka</t>
  </si>
  <si>
    <t>Taxi Services for Delivery of Printed Materials</t>
  </si>
  <si>
    <t>Salary June 2024 -Finance Officer</t>
  </si>
  <si>
    <t>Salary June 2024 -Program Assistant</t>
  </si>
  <si>
    <t>Office Maintenance &amp; Repairs</t>
  </si>
  <si>
    <t>Refund for cost incurred in replace HoP Gate Lock</t>
  </si>
  <si>
    <t>Bank Charges on RTGS Trasfer to TYW</t>
  </si>
  <si>
    <t>Bank Charges on RTGS Trasfer to PAG</t>
  </si>
  <si>
    <t>Internet Subscription for Office Line 2</t>
  </si>
  <si>
    <t>NAWEC Cash Power - June 2024</t>
  </si>
  <si>
    <t>Nescafe Gold Coffee</t>
  </si>
  <si>
    <t>Olinda Tea</t>
  </si>
  <si>
    <t>Sugar St Luis</t>
  </si>
  <si>
    <t>Alkaline Btteries AA and AAA</t>
  </si>
  <si>
    <t>Mouse Pad</t>
  </si>
  <si>
    <t>Bank Charges on Transfer to QTV Refunded</t>
  </si>
  <si>
    <t>Salary June 2024 -Cleaner, Fatou Kinteh</t>
  </si>
  <si>
    <t>JV-JS063024 Sal Alloc</t>
  </si>
  <si>
    <t>JV-JS063024 IT &amp; Comm Alloc</t>
  </si>
  <si>
    <t>JULY 2025 - PROF SERVICE - HEAD OF PROG SALARY/HEALTH INS - THE GAMBIA- D GBERY</t>
  </si>
  <si>
    <t>AP-RW070824</t>
  </si>
  <si>
    <t>Pmt to Unique Graphics for the Printing Job for Steering Committee Meeting</t>
  </si>
  <si>
    <t>JV-RW082824</t>
  </si>
  <si>
    <t>Pmt for for the Printing 100 copies of WP for Steering Committee Meeting</t>
  </si>
  <si>
    <t>Transport Refund for Participants</t>
  </si>
  <si>
    <t>Meals Participants</t>
  </si>
  <si>
    <t>Final pmt to Unique Graphics for Printing 1200 copies of WP.</t>
  </si>
  <si>
    <t>Final pmt to Binos Creation for the Caravan Printing Job</t>
  </si>
  <si>
    <t>Vehicle Hire for UNPBF Nationwide Caravan</t>
  </si>
  <si>
    <t>Vehicle Hire for UNPBF P2P &amp; Round table Dialogue</t>
  </si>
  <si>
    <t>Equipment Leasing</t>
  </si>
  <si>
    <t>Final pmt to Allen Loppy for Sound System &amp; Truck.</t>
  </si>
  <si>
    <t>40% pmt to Binos Creation for the Caravan Printing Job</t>
  </si>
  <si>
    <t>50% pmt to Unique Graphics for Printing 1200 copies of WP.</t>
  </si>
  <si>
    <t>50% pmt to Allen Loppy for Sound System &amp; Truck.</t>
  </si>
  <si>
    <t>Pmt to Aisha Jammeh for Caravan Advert audio production</t>
  </si>
  <si>
    <t>Transport Refund for Peer Trainers</t>
  </si>
  <si>
    <t>Focal Person Fees</t>
  </si>
  <si>
    <t>Transport Refund for Media House</t>
  </si>
  <si>
    <t>Kanyelang Group Performance</t>
  </si>
  <si>
    <t>Consultant Fees</t>
  </si>
  <si>
    <t>Radio Airtime</t>
  </si>
  <si>
    <t>Fuel for Vehicle</t>
  </si>
  <si>
    <t>Bridge and Ferry Crossing</t>
  </si>
  <si>
    <t>Water and Refreshment</t>
  </si>
  <si>
    <t>Sanitary and First Aid Box</t>
  </si>
  <si>
    <t>Catering for Participants</t>
  </si>
  <si>
    <t>Salary July 2024 -Finance Officer</t>
  </si>
  <si>
    <t>Salary July 2024 -Program Assistant</t>
  </si>
  <si>
    <t>Bank Charges on RTGS Trasfer to Afriqcars</t>
  </si>
  <si>
    <t>Salary July 2024 -Cleaner, Fatou Kinteh</t>
  </si>
  <si>
    <t>NAWEC Cash Power</t>
  </si>
  <si>
    <t>Water for dispenser</t>
  </si>
  <si>
    <t>Ovaltine Qty 1</t>
  </si>
  <si>
    <t>Toner 17A Qty 2</t>
  </si>
  <si>
    <t>A4 Paper Box</t>
  </si>
  <si>
    <t>Led Bulb Qty</t>
  </si>
  <si>
    <t>Water Bottle Packs Qty 2</t>
  </si>
  <si>
    <t>Omo 1 bag</t>
  </si>
  <si>
    <t>Tissue 1 Box</t>
  </si>
  <si>
    <t>Toilet Roll</t>
  </si>
  <si>
    <t>Dustbin</t>
  </si>
  <si>
    <t>Arch Files Qty 3</t>
  </si>
  <si>
    <t>Office trnsportation Fuel Refund to HoP</t>
  </si>
  <si>
    <t>Refund to HoP for the Purchase of Video Project in Ivory Coast</t>
  </si>
  <si>
    <t>JV-JS073124 IT &amp; Comm Alloc</t>
  </si>
  <si>
    <t>JV-JS073124 Sal Alloc</t>
  </si>
  <si>
    <t>AUGUST 2024 - PROF SERVICE - HEAD OF PROG SALARY/HEALTH INS - THE GAMBIA- D GBERY</t>
  </si>
  <si>
    <t>AP-RW080724</t>
  </si>
  <si>
    <t>JV-RW101624-1</t>
  </si>
  <si>
    <t>Transport Refund</t>
  </si>
  <si>
    <t>Pmt for press statement release on UNPBF Caravan to foroyaa</t>
  </si>
  <si>
    <t>Pmt for press statement release on UNPBF Caravan to Standard</t>
  </si>
  <si>
    <t>Taxi Services incurred-permit letter andpriority crossing</t>
  </si>
  <si>
    <t>Salary August 2024 -Program Assistant</t>
  </si>
  <si>
    <t>Salary August 2024 -MediaConsultant</t>
  </si>
  <si>
    <t>5.7</t>
  </si>
  <si>
    <t>Bank charges on other Bank Transfer</t>
  </si>
  <si>
    <t>Fuel refund to HoP for office transportation</t>
  </si>
  <si>
    <t>Immigration / VISA Fees</t>
  </si>
  <si>
    <t>HoP US Visa Fees Payment</t>
  </si>
  <si>
    <t>Taxi Services for office errands paid to Ousman Conteh</t>
  </si>
  <si>
    <t>Dustbin for Finance and Legal Office</t>
  </si>
  <si>
    <t>Water for Bottle Packs</t>
  </si>
  <si>
    <t>Taxi Services refund to FO for office errands.</t>
  </si>
  <si>
    <t>Refund- Electrical Maintenance at HoP Residence</t>
  </si>
  <si>
    <t>Bank Charges for Auguts-COT</t>
  </si>
  <si>
    <t>Bank Charges for Auguts-VAT on COT</t>
  </si>
  <si>
    <t>Office Internet Subscription- Aug to Oct 2024</t>
  </si>
  <si>
    <t>Initial payment for Laptop Purchase for HoP</t>
  </si>
  <si>
    <t>Payment for AC's for programs and finance offce</t>
  </si>
  <si>
    <t>Furniture &amp; Equipment (below $2000)</t>
  </si>
  <si>
    <t>Executive Chair for HoP Office</t>
  </si>
  <si>
    <t>Final payment for Laptop Purchase for HoP</t>
  </si>
  <si>
    <t>Refund- Office mainenance (Electrical) &amp; Fan Installation</t>
  </si>
  <si>
    <t>Refund- Grass clearing (Cleaning) at office front</t>
  </si>
  <si>
    <t>Salary August 2024 -Cleaner, Fatou Kinteh</t>
  </si>
  <si>
    <t>Accrue pmt-Re Stocking of office supplies</t>
  </si>
  <si>
    <t>8</t>
  </si>
  <si>
    <t>Accrue pmt- Ex. Chair for Media Consultant</t>
  </si>
  <si>
    <t>JV-JS083124 Sal Alloc</t>
  </si>
  <si>
    <t>UNPBF- Subgrant to TYW</t>
  </si>
  <si>
    <t>JV-RW102324</t>
  </si>
  <si>
    <t>UNPBF- Subgrant to ONV</t>
  </si>
  <si>
    <t>UNPBF- Subgrant to FANTANKA</t>
  </si>
  <si>
    <t>UNPBF- Subgrant to PAG</t>
  </si>
  <si>
    <t>50% Hall Rental for the Steering Comm. Meeting</t>
  </si>
  <si>
    <t>50% Snacks &amp; Refreshment for the Steering Comm. Meeting</t>
  </si>
  <si>
    <t>DSA for the Program Assistant to Monitor PAG in LRR</t>
  </si>
  <si>
    <t>2.6</t>
  </si>
  <si>
    <t>Vehicle Rental</t>
  </si>
  <si>
    <t>Transport Refund for participants</t>
  </si>
  <si>
    <t>4.3</t>
  </si>
  <si>
    <t>Salary September 2024 -Program Assistant</t>
  </si>
  <si>
    <t>Salary September 2024 -MediaConsultant</t>
  </si>
  <si>
    <t>Credit Airtime for Media Consultant</t>
  </si>
  <si>
    <t>Credit Airtime for Program Associate</t>
  </si>
  <si>
    <t>Nescafe Gold x2</t>
  </si>
  <si>
    <t>Nido Milk powder x2</t>
  </si>
  <si>
    <t>Sugar Cubes x2 boxes</t>
  </si>
  <si>
    <t>Final Pmt to Yelef for Podcast Production &amp; Publishing</t>
  </si>
  <si>
    <t>Bank charges on Bank Transfer  to Afriqcars</t>
  </si>
  <si>
    <t>Pmt for Repairs to Legal Consultant Laptop</t>
  </si>
  <si>
    <t>Pmt. To Ousman for delivery of letters and Airport Trip.</t>
  </si>
  <si>
    <t>Salary September 2024 -Cleaner, Fatou Kinteh</t>
  </si>
  <si>
    <t>Bank charges on RTGS to PAG</t>
  </si>
  <si>
    <t>Bank charges on RTGS to TYW</t>
  </si>
  <si>
    <t>50% Accrued Hall Rental for the Steering Comm. Meeting</t>
  </si>
  <si>
    <t>50% Accrued Snacks &amp; Refreshment-Steering Comm. Meeting</t>
  </si>
  <si>
    <t>JV-JS093024 Sal Alloc</t>
  </si>
  <si>
    <t>OCTOBER 2024 - PROF SERVICE - HEAD OF PROG SALARY/HEALTH INS - THE GAMBIA- D GBERY</t>
  </si>
  <si>
    <t>AP-RW101724</t>
  </si>
  <si>
    <t>SEPTEMBER 2024 - PROF SERVICE - HEAD OF PROG SALARY/HEALTH INS - THE GAMBIA- D GBERY</t>
  </si>
  <si>
    <t>Vehicle hire for the UNPBF Meeting btw youth &amp; Local Authorities</t>
  </si>
  <si>
    <t>JV-RW121024</t>
  </si>
  <si>
    <t>Food and Refreshment for 2 days</t>
  </si>
  <si>
    <t>Hall rental for 2 days</t>
  </si>
  <si>
    <t>Peer Trainer Fees</t>
  </si>
  <si>
    <t>Panelist fees for 6</t>
  </si>
  <si>
    <t>Mobilizations fees</t>
  </si>
  <si>
    <t>Alkaline Battery 4ptx by 45</t>
  </si>
  <si>
    <t>DSA</t>
  </si>
  <si>
    <t>Salary October 2024 -Program Assistant</t>
  </si>
  <si>
    <t>Salary October 2024 -Program Associate</t>
  </si>
  <si>
    <t>5.5</t>
  </si>
  <si>
    <t>Payment for FO Keyboard replacement workmanship</t>
  </si>
  <si>
    <t>Bank charges COT for October 2024</t>
  </si>
  <si>
    <t>Bank Charges VAT on COT</t>
  </si>
  <si>
    <t>Bank Charges on transfer to Niumi FM</t>
  </si>
  <si>
    <t>Nido Milk</t>
  </si>
  <si>
    <t>Postage, Mail, Delivery (Overnight / Currier)</t>
  </si>
  <si>
    <t>Adapter for Finance Officer</t>
  </si>
  <si>
    <t>Car Hire to transport the steering committee member from Basse to Banjul</t>
  </si>
  <si>
    <t>Laptop purchase for the Program Associate</t>
  </si>
  <si>
    <t>Business Travel</t>
  </si>
  <si>
    <t>Refund to HoP FOR Airport Fees &amp; Credit Purchase in Ivory Coast</t>
  </si>
  <si>
    <t>Refund to HoP For Headsets and Keyboard Purchase for Office &amp;  FO</t>
  </si>
  <si>
    <t>Taxi S ervices Payment to Ousman Conteh</t>
  </si>
  <si>
    <t>Salary October 2024 -Cleaner, Fatou Kinteh</t>
  </si>
  <si>
    <t>JV-JS103124 Sal Alloc</t>
  </si>
  <si>
    <t>NOVEMBER 2024 - PROF SERVICE - HEAD OF PROG SALARY/HEALTH INS - THE GAMBIA- D GBERY</t>
  </si>
  <si>
    <t>AP-RW111424</t>
  </si>
  <si>
    <t>NOVEMBER 2024 - AIRLINE TICKETS FOR SAMESTHER KARGBO - UNPBF - FERRUZI BUSINESS TRAVEL</t>
  </si>
  <si>
    <t>JV-RW012225</t>
  </si>
  <si>
    <t>Delivery of Snacks</t>
  </si>
  <si>
    <t>Vissibility T-Shirts and Banner Printing</t>
  </si>
  <si>
    <t>Meals and Refereshment for two days caravan</t>
  </si>
  <si>
    <t>Vehicle Hire (Van) for two days</t>
  </si>
  <si>
    <t>Podium Truck Hire for 2 Days</t>
  </si>
  <si>
    <t>Sound System Hire for 2 Days</t>
  </si>
  <si>
    <t>Mobilizations fees and Facilitators Fees</t>
  </si>
  <si>
    <t>Radio Talk Shows</t>
  </si>
  <si>
    <t>DSA for Regional Participants</t>
  </si>
  <si>
    <t>2.7</t>
  </si>
  <si>
    <t>Per diem for Reps from other African Countries</t>
  </si>
  <si>
    <t>Reimbursements- Taxi Services to Drake</t>
  </si>
  <si>
    <t>Reimbursements- Airport Secutity Fees and Sea couch to S. Kargbo</t>
  </si>
  <si>
    <t>Airport Security Fees for Reps from other countries</t>
  </si>
  <si>
    <t>Transport Refund to GBA Participants</t>
  </si>
  <si>
    <t>Transport Refund to Regional Participants</t>
  </si>
  <si>
    <t>Resource Person Fees</t>
  </si>
  <si>
    <t>Rapporteur Fees</t>
  </si>
  <si>
    <t>Vehicle Refuelling</t>
  </si>
  <si>
    <t>Artiste Performance- Interlude Sessions</t>
  </si>
  <si>
    <t>2.8</t>
  </si>
  <si>
    <t>Translation Services</t>
  </si>
  <si>
    <t>50% pmt to Gamjobs for translation-the Regional Conference</t>
  </si>
  <si>
    <t>50% initial pmt to Askanwi for live streaming of PBF Conference</t>
  </si>
  <si>
    <t>Salary November 2024 -Program Assistant</t>
  </si>
  <si>
    <t>Salary November 2024 -Program Associate</t>
  </si>
  <si>
    <t>5.6</t>
  </si>
  <si>
    <t>Detol Anticeptic</t>
  </si>
  <si>
    <t>Whiteboard maker Qty 2</t>
  </si>
  <si>
    <t>Scissors Qty 2</t>
  </si>
  <si>
    <t>Tissue Box</t>
  </si>
  <si>
    <t>Airfreshner Qty 7</t>
  </si>
  <si>
    <t>Difusers QTY 3</t>
  </si>
  <si>
    <t>Tea Box</t>
  </si>
  <si>
    <t>Sanitising Wipes</t>
  </si>
  <si>
    <t>Water Packs for HoP Office</t>
  </si>
  <si>
    <t>Adapter for HoP</t>
  </si>
  <si>
    <t>Bank Charges on transfer to Askanwi</t>
  </si>
  <si>
    <t>Bank charges COT for November 2024</t>
  </si>
  <si>
    <t>Bank Charges on transfer to Gamjobs</t>
  </si>
  <si>
    <t>Pmt. To Comium- Three months office internet, Nov-Jan 2025.</t>
  </si>
  <si>
    <t>Bank charges on other Bank Transfer to SDKJ-ICC</t>
  </si>
  <si>
    <t>Taxi Refund to FO for Delivery of Invitation Letters for the Regional Conference.</t>
  </si>
  <si>
    <t>Salary November 2024 -Cleaner, Fatou Kinteh</t>
  </si>
  <si>
    <t>Taxi pmt. To  Ousman Conteh- Aiport Transfer of HoP</t>
  </si>
  <si>
    <t>Refund to HoP for taxi services incurred at the airport</t>
  </si>
  <si>
    <t>JV-JS113024 Sal Alloc</t>
  </si>
  <si>
    <t>GBADE/TELOH AMANDINE     ETHIOPIAN AIRLINES</t>
  </si>
  <si>
    <t>JV-JS241130Amex</t>
  </si>
  <si>
    <t>GBADE/TELOH AMANDINE     TRAVEL AGENCY SERVICE</t>
  </si>
  <si>
    <t>KAYITESI/ANGELIQUE       ETHIOPIAN AIRLINES</t>
  </si>
  <si>
    <t>KAYITESI/ANGELIQUE       TRAVEL AGENCY SERVICE</t>
  </si>
  <si>
    <t>ODUM/USANI NICHOLAS      ETHIOPIAN AIRLINES</t>
  </si>
  <si>
    <t>ONEN/DOUGLAS DRAKE       ETHIOPIAN AIRLINES</t>
  </si>
  <si>
    <t>ONEN/DOUGLAS DRAKE       TRAVEL AGENCY SERVICE</t>
  </si>
  <si>
    <t>ONGOM/CHRIST             TRAVEL AGENCY SERVICE</t>
  </si>
  <si>
    <t>YANZEE/JONATHAN M D      ETHIOPIAN AIRLINES</t>
  </si>
  <si>
    <t>YANZEE/JONATHAN M D      TRAVEL AGENCY SERVICE</t>
  </si>
  <si>
    <t>REIMBURSEMENT AIRLINE TICKETS FAMILY - CONSULTANCY AGREEMENT - DIDIER GBERY</t>
  </si>
  <si>
    <t>AP-RW121724</t>
  </si>
  <si>
    <t>DECEMBER 2024 - PROF SERVICE - HEAD OF PROG SALARY/HEALTH INS - THE GAMBIA- D GBERY</t>
  </si>
  <si>
    <t>Car Hire - Monitoring of Youth Initiative in Basse</t>
  </si>
  <si>
    <t>JV-RW012225-1</t>
  </si>
  <si>
    <t>DSA- Monitoring of Youth Initiative in Basse</t>
  </si>
  <si>
    <t>Pmt. To standard news-Article publishing, Regional Conference</t>
  </si>
  <si>
    <t>Pmt- Farewell dinner with Youth Reps- other nations</t>
  </si>
  <si>
    <t>Hall Rental for the  Regional Conference</t>
  </si>
  <si>
    <t>Meals &amp; Refreshment- Regional Conference</t>
  </si>
  <si>
    <t>Translation Boots and Ewipment-Reg. Conference</t>
  </si>
  <si>
    <t>Final pmt for Live Streaming of Reg. Conference</t>
  </si>
  <si>
    <t>Pmt to Ousman Conteh taxi services- Reg. Conference</t>
  </si>
  <si>
    <t>Final Pmt for Translation Service-Gamjobs</t>
  </si>
  <si>
    <t>Salary December 2024 -Program Associate</t>
  </si>
  <si>
    <t>Salary December 2024 -Media Consultant</t>
  </si>
  <si>
    <t>50% Initial pmt to Binos for Office remodeling</t>
  </si>
  <si>
    <t>Refund to FO- Fuel cost incurred for Office Transportation</t>
  </si>
  <si>
    <t>Office Transportation fuel- HoP</t>
  </si>
  <si>
    <t>Travel &amp; Accident Insurance</t>
  </si>
  <si>
    <t>Airport Security Fees- HoP</t>
  </si>
  <si>
    <t>Internet Fees incurred in Abidjan refunded-HoP</t>
  </si>
  <si>
    <t>Bank charges COT for December 2024</t>
  </si>
  <si>
    <t>Cash Power</t>
  </si>
  <si>
    <t>Airfreshner Qty 4</t>
  </si>
  <si>
    <t>Office Front Cleaning</t>
  </si>
  <si>
    <t>Bank Charges On transfer to Gamjobs.</t>
  </si>
  <si>
    <t>Bank Charges On transfer to Askanwi.</t>
  </si>
  <si>
    <t>Bank Charges On transfer to SDKJ-ICC.</t>
  </si>
  <si>
    <t>Taxi Services Payment to Ousman Conteh</t>
  </si>
  <si>
    <t>Bank Charges On transfers Reversed</t>
  </si>
  <si>
    <t>Lunh &amp; Refreshment- Yr. end staff meeting &amp; Planning</t>
  </si>
  <si>
    <t>Salary Deccember 2024 -Cleaner, Fatou Kinteh</t>
  </si>
  <si>
    <t>JV-JS123124 Sal Alloc</t>
  </si>
  <si>
    <t>JANUARY 2025 - PROF SERVICE - HEAD OF PROG SALARY/HEALTH INS - THE GAMBIA- D GBERY</t>
  </si>
  <si>
    <t>AP-RW013025</t>
  </si>
  <si>
    <t>JV-RW030325-2</t>
  </si>
  <si>
    <t>Transport Refund to Participants from NBR</t>
  </si>
  <si>
    <t>Transport Refund to Participants from URR</t>
  </si>
  <si>
    <t>Transport Refund to Participants from CRR</t>
  </si>
  <si>
    <t>Transport Refund to Participants from LRR</t>
  </si>
  <si>
    <t>Transport Refund to Participants from WCR2</t>
  </si>
  <si>
    <t>Transport Refund to Participants from GBA</t>
  </si>
  <si>
    <t>Transport Refund to Other duty Bearers &amp; Governors</t>
  </si>
  <si>
    <t>Transport Refund to Journalists</t>
  </si>
  <si>
    <t>Panelist Fees Paid</t>
  </si>
  <si>
    <t>Newspaper Publishing- The Voice Newspaper</t>
  </si>
  <si>
    <t>Taxi Services to the Bank wor cash withdrawal</t>
  </si>
  <si>
    <t>Pmt to Binos Visibility Materials- the National Conference</t>
  </si>
  <si>
    <t>Pmt- Meals &amp; Refreshment-National Conference to Bakadaji</t>
  </si>
  <si>
    <t>Pmt-Hall Rental for the PBF National Conference to Bakadaji</t>
  </si>
  <si>
    <t>Hotel</t>
  </si>
  <si>
    <t>Accommodation for Reg. Delegates-UNPBF Regional Conference</t>
  </si>
  <si>
    <t>Salary January 2025 -Media Consultant</t>
  </si>
  <si>
    <t>Airport Security Fees- HoP Liberia Trip</t>
  </si>
  <si>
    <t>Salary January 2025 -Cleaner, Fatou Kinteh</t>
  </si>
  <si>
    <t>Executive Chair Purchase for the HoP Office</t>
  </si>
  <si>
    <t>Prepaid office Internet Subscription Feb-July 2025</t>
  </si>
  <si>
    <t>Bank charges COT for January 2025</t>
  </si>
  <si>
    <t>Taxi Services (Office errands) Payment to Ousman Conteh</t>
  </si>
  <si>
    <t>Insternet Subscription for Office Line 2</t>
  </si>
  <si>
    <t>Bag</t>
  </si>
  <si>
    <t>Letter Size Evelops</t>
  </si>
  <si>
    <t>A4 Size Evelops</t>
  </si>
  <si>
    <t>Water for Dispenser</t>
  </si>
  <si>
    <t>Printer Cartridges; Main Printer, Finance and HoP Office</t>
  </si>
  <si>
    <t>JV-RW022725 Sal Alloc</t>
  </si>
  <si>
    <t>Transaction Total</t>
  </si>
  <si>
    <t>Name of Funder:</t>
  </si>
  <si>
    <t>UNPBF</t>
  </si>
  <si>
    <t xml:space="preserve">Grant Period: </t>
  </si>
  <si>
    <t>1/01/2024-3/31/2024</t>
  </si>
  <si>
    <t xml:space="preserve">Fund Code: </t>
  </si>
  <si>
    <t xml:space="preserve">Purpose: </t>
  </si>
  <si>
    <t>Reconcliling donor report to GL record</t>
  </si>
  <si>
    <t>Doc Number</t>
  </si>
  <si>
    <t>Description</t>
  </si>
  <si>
    <t>Net</t>
  </si>
  <si>
    <t>Sum of Net</t>
  </si>
  <si>
    <t>Gambia-JAN 24</t>
  </si>
  <si>
    <t>Gambia-FEB 24</t>
  </si>
  <si>
    <t>Gambia-MAR 24</t>
  </si>
  <si>
    <t>Jan 2024 sal Alloc</t>
  </si>
  <si>
    <t>Feb 2024 sal Alloc</t>
  </si>
  <si>
    <t>Mar 2024 sal Alloc</t>
  </si>
  <si>
    <t>(blank)</t>
  </si>
  <si>
    <t>10-FY2024</t>
  </si>
  <si>
    <t>Grant Amount</t>
  </si>
  <si>
    <t>Gambia-adv 0124</t>
  </si>
  <si>
    <t>Cash Received</t>
  </si>
  <si>
    <t>11-FY2024</t>
  </si>
  <si>
    <t>Expenses to date</t>
  </si>
  <si>
    <t>12 -FY2024</t>
  </si>
  <si>
    <t>MARCH 2024 - PROFESSIONAL SERVICE   - HEAD OF PROGRAM - THE GAMBIA  - D GBERY</t>
  </si>
  <si>
    <t>Reversed</t>
  </si>
  <si>
    <t>Unspent to date</t>
  </si>
  <si>
    <t>Adjustments:</t>
  </si>
  <si>
    <t>Gambia-adv 0224</t>
  </si>
  <si>
    <t>Gambia-adv 0324</t>
  </si>
  <si>
    <t>Gambia-MAR 24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</si>
</sst>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409]#,##0"/>
    <numFmt numFmtId="166" formatCode="[$$-409]#,##0.00"/>
    <numFmt numFmtId="167" formatCode="_(&quot;$&quot;* #,##0_);_(&quot;$&quot;* \(#,##0\);_(&quot;$&quot;* &quot;-&quot;??_);_(@_)"/>
  </numFmts>
  <fonts count="56">
    <font>
      <sz val="11"/>
      <color theme="1"/>
      <name val="Calibri"/>
      <family val="2"/>
      <scheme val="minor"/>
    </font>
    <font>
      <sz val="11"/>
      <color theme="1"/>
      <name val="Calibri"/>
      <family val="2"/>
      <scheme val="minor"/>
    </font>
    <font>
      <sz val="8"/>
      <color theme="1"/>
      <name val="Calibri"/>
      <family val="2"/>
      <scheme val="minor"/>
    </font>
    <font>
      <sz val="11"/>
      <color rgb="FFFF0000"/>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sz val="9"/>
      <color rgb="FFFF0000"/>
      <name val="Calibri"/>
      <family val="2"/>
      <scheme val="minor"/>
    </font>
    <font>
      <sz val="11"/>
      <color rgb="FF000000"/>
      <name val="Calibri"/>
      <family val="2"/>
      <scheme val="minor"/>
    </font>
    <font>
      <b/>
      <i/>
      <u/>
      <sz val="8"/>
      <color theme="1"/>
      <name val="Calibri"/>
      <family val="2"/>
      <scheme val="minor"/>
    </font>
    <font>
      <b/>
      <i/>
      <sz val="9"/>
      <color theme="1"/>
      <name val="Calibri"/>
      <family val="2"/>
      <scheme val="minor"/>
    </font>
    <font>
      <i/>
      <u/>
      <sz val="9"/>
      <color theme="1"/>
      <name val="Calibri"/>
      <family val="2"/>
      <scheme val="minor"/>
    </font>
    <font>
      <i/>
      <sz val="9"/>
      <color theme="1"/>
      <name val="Calibri"/>
      <family val="2"/>
      <scheme val="minor"/>
    </font>
    <font>
      <b/>
      <i/>
      <sz val="9"/>
      <name val="Calibri"/>
      <family val="2"/>
      <scheme val="minor"/>
    </font>
    <font>
      <b/>
      <i/>
      <sz val="9"/>
      <color rgb="FFFF0000"/>
      <name val="Calibri"/>
      <family val="2"/>
      <scheme val="minor"/>
    </font>
    <font>
      <b/>
      <i/>
      <sz val="9"/>
      <color theme="0"/>
      <name val="Calibri"/>
      <family val="2"/>
      <scheme val="minor"/>
    </font>
    <font>
      <b/>
      <i/>
      <sz val="12"/>
      <color theme="0"/>
      <name val="Calibri"/>
      <family val="2"/>
      <scheme val="minor"/>
    </font>
    <font>
      <b/>
      <i/>
      <sz val="12"/>
      <color rgb="FFFF0000"/>
      <name val="Calibri"/>
      <family val="2"/>
      <scheme val="minor"/>
    </font>
    <font>
      <b/>
      <u/>
      <sz val="9"/>
      <color theme="1"/>
      <name val="Calibri"/>
      <family val="2"/>
      <scheme val="minor"/>
    </font>
    <font>
      <sz val="9"/>
      <name val="Arial  "/>
      <family val="2"/>
    </font>
    <font>
      <sz val="9"/>
      <color rgb="FF7030A0"/>
      <name val="Calibri"/>
      <family val="2"/>
      <scheme val="minor"/>
    </font>
    <font>
      <sz val="9"/>
      <color rgb="FF000000"/>
      <name val="Calibri"/>
      <family val="2"/>
      <scheme val="minor"/>
    </font>
    <font>
      <sz val="9"/>
      <name val="Arial"/>
      <family val="2"/>
    </font>
    <font>
      <b/>
      <u/>
      <sz val="9"/>
      <color rgb="FFFF0000"/>
      <name val="Calibri"/>
      <family val="2"/>
      <scheme val="minor"/>
    </font>
    <font>
      <b/>
      <sz val="9"/>
      <name val="Calibri"/>
      <family val="2"/>
      <scheme val="minor"/>
    </font>
    <font>
      <b/>
      <u/>
      <sz val="9"/>
      <color theme="9" tint="-0.249977111117893"/>
      <name val="Calibri"/>
      <family val="2"/>
      <scheme val="minor"/>
    </font>
    <font>
      <sz val="10"/>
      <color theme="1"/>
      <name val="Calibri"/>
      <family val="2"/>
      <scheme val="minor"/>
    </font>
    <font>
      <b/>
      <sz val="10"/>
      <color theme="1"/>
      <name val="Calibri"/>
      <family val="2"/>
      <scheme val="minor"/>
    </font>
    <font>
      <b/>
      <sz val="10"/>
      <color rgb="FFFF0000"/>
      <name val="Calibri"/>
      <family val="2"/>
      <scheme val="minor"/>
    </font>
    <font>
      <b/>
      <u/>
      <sz val="9"/>
      <name val="Calibri"/>
      <family val="2"/>
      <scheme val="minor"/>
    </font>
    <font>
      <sz val="11"/>
      <name val="Times New Roman"/>
      <family val="1"/>
    </font>
    <font>
      <sz val="11"/>
      <color theme="1"/>
      <name val="Times New Roman"/>
      <family val="1"/>
    </font>
    <font>
      <sz val="8"/>
      <name val="Tahoma"/>
      <family val="2"/>
    </font>
    <font>
      <u val="singleAccounting"/>
      <sz val="8"/>
      <name val="Tahoma"/>
      <family val="2"/>
    </font>
    <font>
      <sz val="8"/>
      <name val="Arial"/>
      <family val="2"/>
    </font>
    <font>
      <b/>
      <sz val="8"/>
      <name val="Tahoma"/>
      <family val="2"/>
    </font>
    <font>
      <u val="doubleAccounting"/>
      <sz val="8"/>
      <name val="Tahoma"/>
      <family val="2"/>
    </font>
    <font>
      <sz val="11"/>
      <color rgb="FFFF0000"/>
      <name val="Times New Roman"/>
      <family val="1"/>
    </font>
    <font>
      <b/>
      <sz val="11"/>
      <color theme="1"/>
      <name val="Times New Roman"/>
      <family val="1"/>
    </font>
    <font>
      <b/>
      <sz val="11"/>
      <color rgb="FFFF0000"/>
      <name val="Times New Roman"/>
      <family val="1"/>
    </font>
    <font>
      <sz val="11"/>
      <color rgb="FF000000"/>
      <name val="Times New Roman"/>
      <family val="1"/>
    </font>
    <font>
      <b/>
      <sz val="11"/>
      <name val="Times New Roman"/>
      <family val="1"/>
    </font>
    <font>
      <b/>
      <sz val="8"/>
      <color rgb="FF00B0F0"/>
      <name val="Calibri"/>
      <family val="2"/>
      <scheme val="minor"/>
    </font>
    <font>
      <b/>
      <sz val="8"/>
      <color theme="1"/>
      <name val="Calibri"/>
      <family val="2"/>
      <scheme val="minor"/>
    </font>
    <font>
      <b/>
      <sz val="8"/>
      <color rgb="FFFF0000"/>
      <name val="Calibri"/>
      <family val="2"/>
      <scheme val="minor"/>
    </font>
    <font>
      <sz val="8"/>
      <color rgb="FFFF0000"/>
      <name val="Calibri"/>
      <family val="2"/>
      <scheme val="minor"/>
    </font>
    <font>
      <sz val="8"/>
      <name val="Tahoma"/>
    </font>
    <font>
      <b/>
      <sz val="9"/>
      <color rgb="FFFF0000"/>
      <name val="Calibri"/>
      <family val="2"/>
      <scheme val="minor"/>
    </font>
    <font>
      <b/>
      <sz val="11"/>
      <color rgb="FFFF0000"/>
      <name val="Calibri"/>
      <family val="2"/>
      <scheme val="minor"/>
    </font>
    <font>
      <b/>
      <sz val="11"/>
      <color rgb="FF000000"/>
      <name val="Calibri"/>
      <family val="2"/>
      <scheme val="minor"/>
    </font>
    <font>
      <b/>
      <sz val="11"/>
      <color rgb="FF000000"/>
      <name val="Times New Roman"/>
      <family val="1"/>
    </font>
    <font>
      <b/>
      <u/>
      <sz val="9"/>
      <color theme="0"/>
      <name val="Calibri"/>
      <family val="2"/>
      <scheme val="minor"/>
    </font>
    <font>
      <sz val="9"/>
      <color theme="0"/>
      <name val="Calibri"/>
      <family val="2"/>
      <scheme val="minor"/>
    </font>
    <font>
      <b/>
      <sz val="9"/>
      <color theme="0"/>
      <name val="Calibri"/>
      <family val="2"/>
      <scheme val="minor"/>
    </font>
    <font>
      <sz val="9"/>
      <color theme="0"/>
      <name val="Arial  "/>
      <family val="2"/>
    </font>
    <font>
      <sz val="11"/>
      <color theme="0"/>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8"/>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rgb="FF00B0F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rgb="FFFF0000"/>
        <bgColor indexed="64"/>
      </patternFill>
    </fill>
    <fill>
      <patternFill patternType="solid">
        <fgColor rgb="FF00B050"/>
        <bgColor indexed="64"/>
      </patternFill>
    </fill>
  </fills>
  <borders count="6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double">
        <color indexed="64"/>
      </left>
      <right/>
      <top style="thin">
        <color indexed="64"/>
      </top>
      <bottom/>
      <diagonal/>
    </border>
    <border>
      <left style="medium">
        <color indexed="64"/>
      </left>
      <right style="medium">
        <color indexed="64"/>
      </right>
      <top style="medium">
        <color indexed="64"/>
      </top>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hair">
        <color rgb="FF000000"/>
      </left>
      <right style="hair">
        <color rgb="FF000000"/>
      </right>
      <top style="hair">
        <color rgb="FF000000"/>
      </top>
      <bottom style="hair">
        <color rgb="FF000000"/>
      </bottom>
      <diagonal/>
    </border>
    <border>
      <left style="hair">
        <color indexed="8"/>
      </left>
      <right style="hair">
        <color indexed="8"/>
      </right>
      <top style="hair">
        <color indexed="8"/>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medium">
        <color indexed="64"/>
      </bottom>
      <diagonal/>
    </border>
    <border>
      <left style="thin">
        <color indexed="64"/>
      </left>
      <right style="thin">
        <color rgb="FF000000"/>
      </right>
      <top style="thin">
        <color indexed="64"/>
      </top>
      <bottom style="medium">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
      <left/>
      <right style="double">
        <color indexed="64"/>
      </right>
      <top/>
      <bottom/>
      <diagonal/>
    </border>
  </borders>
  <cellStyleXfs count="10">
    <xf numFmtId="0" fontId="0" fillId="0" borderId="0"/>
    <xf numFmtId="9" fontId="1" fillId="0" borderId="0" applyFont="0" applyFill="0" applyBorder="0" applyAlignment="0" applyProtection="0"/>
    <xf numFmtId="43" fontId="1" fillId="0" borderId="0" applyFont="0" applyFill="0" applyBorder="0" applyAlignment="0" applyProtection="0"/>
    <xf numFmtId="165"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32" fillId="0" borderId="0"/>
    <xf numFmtId="43" fontId="32" fillId="0" borderId="0" applyFont="0" applyFill="0" applyBorder="0" applyAlignment="0" applyProtection="0"/>
    <xf numFmtId="0" fontId="46" fillId="0" borderId="0"/>
  </cellStyleXfs>
  <cellXfs count="399">
    <xf numFmtId="0" fontId="0" fillId="0" borderId="0" xfId="0"/>
    <xf numFmtId="165" fontId="1" fillId="0" borderId="0" xfId="3" applyAlignment="1">
      <alignment horizontal="center"/>
    </xf>
    <xf numFmtId="165" fontId="1" fillId="0" borderId="0" xfId="3"/>
    <xf numFmtId="165" fontId="5" fillId="0" borderId="0" xfId="3" applyFont="1" applyAlignment="1">
      <alignment horizontal="center"/>
    </xf>
    <xf numFmtId="165" fontId="6" fillId="0" borderId="0" xfId="3" applyFont="1"/>
    <xf numFmtId="165" fontId="7" fillId="0" borderId="0" xfId="3" applyFont="1"/>
    <xf numFmtId="0" fontId="8" fillId="0" borderId="0" xfId="0" applyFont="1"/>
    <xf numFmtId="165" fontId="6" fillId="0" borderId="0" xfId="3" applyFont="1" applyAlignment="1">
      <alignment horizontal="center"/>
    </xf>
    <xf numFmtId="165" fontId="9" fillId="0" borderId="0" xfId="3" applyFont="1" applyAlignment="1">
      <alignment horizontal="center"/>
    </xf>
    <xf numFmtId="165" fontId="10" fillId="0" borderId="0" xfId="3" applyFont="1" applyAlignment="1">
      <alignment horizontal="left"/>
    </xf>
    <xf numFmtId="165" fontId="2" fillId="0" borderId="0" xfId="3" applyFont="1"/>
    <xf numFmtId="4" fontId="2" fillId="0" borderId="0" xfId="3" applyNumberFormat="1" applyFont="1" applyAlignment="1">
      <alignment horizontal="left"/>
    </xf>
    <xf numFmtId="165" fontId="10" fillId="2" borderId="0" xfId="3" applyFont="1" applyFill="1" applyAlignment="1">
      <alignment horizontal="left"/>
    </xf>
    <xf numFmtId="165" fontId="11" fillId="0" borderId="0" xfId="3" applyFont="1" applyAlignment="1">
      <alignment horizontal="center"/>
    </xf>
    <xf numFmtId="3" fontId="12" fillId="0" borderId="0" xfId="3" applyNumberFormat="1" applyFont="1" applyAlignment="1">
      <alignment horizontal="left"/>
    </xf>
    <xf numFmtId="165" fontId="13" fillId="4" borderId="3" xfId="3" applyFont="1" applyFill="1" applyBorder="1" applyAlignment="1">
      <alignment horizontal="center"/>
    </xf>
    <xf numFmtId="165" fontId="13" fillId="4" borderId="3" xfId="3" applyFont="1" applyFill="1" applyBorder="1"/>
    <xf numFmtId="165" fontId="13" fillId="4" borderId="4" xfId="3" applyFont="1" applyFill="1" applyBorder="1"/>
    <xf numFmtId="165" fontId="13" fillId="4" borderId="12" xfId="3" applyFont="1" applyFill="1" applyBorder="1" applyAlignment="1">
      <alignment horizontal="center"/>
    </xf>
    <xf numFmtId="165" fontId="15" fillId="4" borderId="8" xfId="3" applyFont="1" applyFill="1" applyBorder="1" applyAlignment="1">
      <alignment horizontal="center"/>
    </xf>
    <xf numFmtId="165" fontId="15" fillId="4" borderId="8" xfId="3" applyFont="1" applyFill="1" applyBorder="1"/>
    <xf numFmtId="165" fontId="15" fillId="4" borderId="6" xfId="3" applyFont="1" applyFill="1" applyBorder="1"/>
    <xf numFmtId="165" fontId="15" fillId="4" borderId="14" xfId="3" applyFont="1" applyFill="1" applyBorder="1"/>
    <xf numFmtId="165" fontId="14" fillId="4" borderId="15" xfId="3" applyFont="1" applyFill="1" applyBorder="1"/>
    <xf numFmtId="165" fontId="15" fillId="4" borderId="15" xfId="3" applyFont="1" applyFill="1" applyBorder="1"/>
    <xf numFmtId="165" fontId="16" fillId="5" borderId="16" xfId="3" applyFont="1" applyFill="1" applyBorder="1" applyAlignment="1">
      <alignment horizontal="center" wrapText="1"/>
    </xf>
    <xf numFmtId="165" fontId="17" fillId="5" borderId="17" xfId="3" applyFont="1" applyFill="1" applyBorder="1" applyAlignment="1">
      <alignment horizontal="center" wrapText="1"/>
    </xf>
    <xf numFmtId="165" fontId="16" fillId="5" borderId="17" xfId="3" applyFont="1" applyFill="1" applyBorder="1" applyAlignment="1">
      <alignment horizontal="center" wrapText="1"/>
    </xf>
    <xf numFmtId="165" fontId="0" fillId="0" borderId="0" xfId="3" applyFont="1"/>
    <xf numFmtId="165" fontId="18" fillId="6" borderId="7" xfId="3" applyFont="1" applyFill="1" applyBorder="1" applyAlignment="1">
      <alignment horizontal="center"/>
    </xf>
    <xf numFmtId="165" fontId="18" fillId="6" borderId="7" xfId="3" applyFont="1" applyFill="1" applyBorder="1"/>
    <xf numFmtId="165" fontId="13" fillId="6" borderId="2" xfId="3" applyFont="1" applyFill="1" applyBorder="1"/>
    <xf numFmtId="165" fontId="13" fillId="6" borderId="1" xfId="3" applyFont="1" applyFill="1" applyBorder="1"/>
    <xf numFmtId="165" fontId="13" fillId="6" borderId="16" xfId="3" applyFont="1" applyFill="1" applyBorder="1"/>
    <xf numFmtId="165" fontId="14" fillId="6" borderId="17" xfId="3" applyFont="1" applyFill="1" applyBorder="1"/>
    <xf numFmtId="165" fontId="13" fillId="6" borderId="17" xfId="3" applyFont="1" applyFill="1" applyBorder="1"/>
    <xf numFmtId="0" fontId="1" fillId="0" borderId="0" xfId="3" applyNumberFormat="1" applyAlignment="1">
      <alignment horizontal="center"/>
    </xf>
    <xf numFmtId="0" fontId="19" fillId="0" borderId="18" xfId="0" applyFont="1" applyBorder="1"/>
    <xf numFmtId="3" fontId="20" fillId="0" borderId="0" xfId="3" applyNumberFormat="1" applyFont="1"/>
    <xf numFmtId="3" fontId="20" fillId="0" borderId="16" xfId="3" applyNumberFormat="1" applyFont="1" applyBorder="1"/>
    <xf numFmtId="3" fontId="7" fillId="0" borderId="17" xfId="3" applyNumberFormat="1" applyFont="1" applyBorder="1"/>
    <xf numFmtId="3" fontId="20" fillId="0" borderId="17" xfId="3" applyNumberFormat="1" applyFont="1" applyBorder="1"/>
    <xf numFmtId="0" fontId="19" fillId="0" borderId="18" xfId="0" applyFont="1" applyBorder="1" applyAlignment="1">
      <alignment wrapText="1"/>
    </xf>
    <xf numFmtId="0" fontId="8" fillId="0" borderId="0" xfId="0" applyFont="1" applyAlignment="1">
      <alignment horizontal="center"/>
    </xf>
    <xf numFmtId="0" fontId="21" fillId="0" borderId="0" xfId="0" applyFont="1" applyAlignment="1">
      <alignment horizontal="center"/>
    </xf>
    <xf numFmtId="0" fontId="22" fillId="0" borderId="19" xfId="0" applyFont="1" applyBorder="1"/>
    <xf numFmtId="0" fontId="20" fillId="0" borderId="0" xfId="0" applyFont="1"/>
    <xf numFmtId="0" fontId="19" fillId="0" borderId="0" xfId="0" applyFont="1"/>
    <xf numFmtId="0" fontId="19" fillId="0" borderId="0" xfId="0" quotePrefix="1" applyFont="1"/>
    <xf numFmtId="165" fontId="5" fillId="4" borderId="0" xfId="3" applyFont="1" applyFill="1" applyAlignment="1">
      <alignment horizontal="center"/>
    </xf>
    <xf numFmtId="165" fontId="1" fillId="4" borderId="0" xfId="3" applyFill="1"/>
    <xf numFmtId="165" fontId="6" fillId="4" borderId="0" xfId="3" applyFont="1" applyFill="1"/>
    <xf numFmtId="3" fontId="6" fillId="4" borderId="0" xfId="3" applyNumberFormat="1" applyFont="1" applyFill="1"/>
    <xf numFmtId="165" fontId="18" fillId="4" borderId="0" xfId="3" applyFont="1" applyFill="1"/>
    <xf numFmtId="165" fontId="18" fillId="4" borderId="16" xfId="3" applyFont="1" applyFill="1" applyBorder="1"/>
    <xf numFmtId="165" fontId="23" fillId="4" borderId="17" xfId="3" applyFont="1" applyFill="1" applyBorder="1"/>
    <xf numFmtId="165" fontId="18" fillId="4" borderId="17" xfId="3" applyFont="1" applyFill="1" applyBorder="1"/>
    <xf numFmtId="165" fontId="18" fillId="6" borderId="0" xfId="3" applyFont="1" applyFill="1" applyAlignment="1">
      <alignment horizontal="center"/>
    </xf>
    <xf numFmtId="165" fontId="18" fillId="6" borderId="0" xfId="3" applyFont="1" applyFill="1"/>
    <xf numFmtId="165" fontId="6" fillId="6" borderId="0" xfId="3" applyFont="1" applyFill="1"/>
    <xf numFmtId="165" fontId="6" fillId="6" borderId="16" xfId="3" applyFont="1" applyFill="1" applyBorder="1"/>
    <xf numFmtId="165" fontId="7" fillId="6" borderId="17" xfId="3" applyFont="1" applyFill="1" applyBorder="1"/>
    <xf numFmtId="165" fontId="6" fillId="6" borderId="17" xfId="3" applyFont="1" applyFill="1" applyBorder="1"/>
    <xf numFmtId="0" fontId="19" fillId="0" borderId="20" xfId="0" applyFont="1" applyBorder="1"/>
    <xf numFmtId="165" fontId="0" fillId="0" borderId="21" xfId="3" applyFont="1" applyBorder="1"/>
    <xf numFmtId="165" fontId="5" fillId="4" borderId="21" xfId="3" applyFont="1" applyFill="1" applyBorder="1" applyAlignment="1">
      <alignment horizontal="center"/>
    </xf>
    <xf numFmtId="165" fontId="1" fillId="4" borderId="21" xfId="3" applyFill="1" applyBorder="1"/>
    <xf numFmtId="165" fontId="6" fillId="4" borderId="21" xfId="3" applyFont="1" applyFill="1" applyBorder="1"/>
    <xf numFmtId="3" fontId="6" fillId="4" borderId="21" xfId="3" applyNumberFormat="1" applyFont="1" applyFill="1" applyBorder="1"/>
    <xf numFmtId="165" fontId="18" fillId="4" borderId="21" xfId="3" applyFont="1" applyFill="1" applyBorder="1"/>
    <xf numFmtId="165" fontId="18" fillId="4" borderId="22" xfId="3" applyFont="1" applyFill="1" applyBorder="1"/>
    <xf numFmtId="165" fontId="18" fillId="7" borderId="0" xfId="3" applyFont="1" applyFill="1" applyAlignment="1">
      <alignment horizontal="center"/>
    </xf>
    <xf numFmtId="165" fontId="18" fillId="7" borderId="0" xfId="3" applyFont="1" applyFill="1"/>
    <xf numFmtId="165" fontId="6" fillId="7" borderId="0" xfId="3" applyFont="1" applyFill="1"/>
    <xf numFmtId="165" fontId="6" fillId="7" borderId="16" xfId="3" applyFont="1" applyFill="1" applyBorder="1"/>
    <xf numFmtId="165" fontId="7" fillId="7" borderId="17" xfId="3" applyFont="1" applyFill="1" applyBorder="1"/>
    <xf numFmtId="165" fontId="6" fillId="7" borderId="17" xfId="3" applyFont="1" applyFill="1" applyBorder="1"/>
    <xf numFmtId="165" fontId="0" fillId="3" borderId="0" xfId="3" applyFont="1" applyFill="1"/>
    <xf numFmtId="165" fontId="5" fillId="3" borderId="0" xfId="3" applyFont="1" applyFill="1" applyAlignment="1">
      <alignment horizontal="center"/>
    </xf>
    <xf numFmtId="165" fontId="1" fillId="3" borderId="0" xfId="3" applyFill="1"/>
    <xf numFmtId="165" fontId="6" fillId="3" borderId="0" xfId="3" applyFont="1" applyFill="1"/>
    <xf numFmtId="3" fontId="6" fillId="3" borderId="0" xfId="3" applyNumberFormat="1" applyFont="1" applyFill="1"/>
    <xf numFmtId="3" fontId="24" fillId="3" borderId="0" xfId="3" applyNumberFormat="1" applyFont="1" applyFill="1"/>
    <xf numFmtId="165" fontId="18" fillId="3" borderId="16" xfId="3" applyFont="1" applyFill="1" applyBorder="1"/>
    <xf numFmtId="165" fontId="18" fillId="3" borderId="17" xfId="3" applyFont="1" applyFill="1" applyBorder="1"/>
    <xf numFmtId="165" fontId="5" fillId="2" borderId="0" xfId="3" applyFont="1" applyFill="1" applyAlignment="1">
      <alignment horizontal="center"/>
    </xf>
    <xf numFmtId="165" fontId="1" fillId="2" borderId="0" xfId="3" applyFill="1"/>
    <xf numFmtId="165" fontId="6" fillId="2" borderId="0" xfId="3" applyFont="1" applyFill="1"/>
    <xf numFmtId="3" fontId="6" fillId="2" borderId="0" xfId="3" applyNumberFormat="1" applyFont="1" applyFill="1"/>
    <xf numFmtId="3" fontId="24" fillId="2" borderId="0" xfId="3" applyNumberFormat="1" applyFont="1" applyFill="1"/>
    <xf numFmtId="165" fontId="25" fillId="2" borderId="0" xfId="3" applyFont="1" applyFill="1"/>
    <xf numFmtId="165" fontId="25" fillId="2" borderId="16" xfId="3" applyFont="1" applyFill="1" applyBorder="1"/>
    <xf numFmtId="165" fontId="23" fillId="2" borderId="17" xfId="3" applyFont="1" applyFill="1" applyBorder="1"/>
    <xf numFmtId="165" fontId="25" fillId="2" borderId="17" xfId="3" applyFont="1" applyFill="1" applyBorder="1"/>
    <xf numFmtId="165" fontId="18" fillId="6" borderId="16" xfId="3" applyFont="1" applyFill="1" applyBorder="1" applyAlignment="1">
      <alignment horizontal="left" wrapText="1"/>
    </xf>
    <xf numFmtId="165" fontId="23" fillId="6" borderId="17" xfId="3" applyFont="1" applyFill="1" applyBorder="1" applyAlignment="1">
      <alignment horizontal="left" wrapText="1"/>
    </xf>
    <xf numFmtId="165" fontId="18" fillId="6" borderId="17" xfId="3" applyFont="1" applyFill="1" applyBorder="1" applyAlignment="1">
      <alignment horizontal="left" wrapText="1"/>
    </xf>
    <xf numFmtId="165" fontId="23" fillId="0" borderId="17" xfId="3" applyFont="1" applyBorder="1" applyAlignment="1">
      <alignment horizontal="left" wrapText="1"/>
    </xf>
    <xf numFmtId="165" fontId="1" fillId="3" borderId="0" xfId="3" applyFill="1" applyAlignment="1">
      <alignment horizontal="center"/>
    </xf>
    <xf numFmtId="165" fontId="18" fillId="3" borderId="23" xfId="3" applyFont="1" applyFill="1" applyBorder="1"/>
    <xf numFmtId="165" fontId="3" fillId="0" borderId="24" xfId="3" applyFont="1" applyBorder="1"/>
    <xf numFmtId="165" fontId="1" fillId="0" borderId="24" xfId="3" applyBorder="1"/>
    <xf numFmtId="165" fontId="18" fillId="0" borderId="0" xfId="3" applyFont="1" applyAlignment="1">
      <alignment horizontal="center"/>
    </xf>
    <xf numFmtId="9" fontId="19" fillId="0" borderId="18" xfId="1" applyFont="1" applyBorder="1"/>
    <xf numFmtId="165" fontId="18" fillId="3" borderId="0" xfId="3" applyFont="1" applyFill="1"/>
    <xf numFmtId="3" fontId="6" fillId="0" borderId="0" xfId="3" applyNumberFormat="1" applyFont="1"/>
    <xf numFmtId="3" fontId="24" fillId="0" borderId="0" xfId="3" applyNumberFormat="1" applyFont="1"/>
    <xf numFmtId="165" fontId="18" fillId="0" borderId="0" xfId="3" applyFont="1"/>
    <xf numFmtId="165" fontId="18" fillId="0" borderId="5" xfId="3" applyFont="1" applyBorder="1"/>
    <xf numFmtId="165" fontId="23" fillId="0" borderId="25" xfId="3" applyFont="1" applyBorder="1"/>
    <xf numFmtId="165" fontId="18" fillId="0" borderId="25" xfId="3" applyFont="1" applyBorder="1"/>
    <xf numFmtId="165" fontId="7" fillId="7" borderId="24" xfId="3" applyFont="1" applyFill="1" applyBorder="1"/>
    <xf numFmtId="165" fontId="6" fillId="7" borderId="24" xfId="3" applyFont="1" applyFill="1" applyBorder="1"/>
    <xf numFmtId="164" fontId="19" fillId="0" borderId="18" xfId="2" applyNumberFormat="1" applyFont="1" applyBorder="1"/>
    <xf numFmtId="3" fontId="7" fillId="0" borderId="24" xfId="3" applyNumberFormat="1" applyFont="1" applyBorder="1"/>
    <xf numFmtId="3" fontId="20" fillId="0" borderId="24" xfId="3" applyNumberFormat="1" applyFont="1" applyBorder="1"/>
    <xf numFmtId="165" fontId="5" fillId="3" borderId="0" xfId="3" applyFont="1" applyFill="1"/>
    <xf numFmtId="165" fontId="18" fillId="3" borderId="24" xfId="3" applyFont="1" applyFill="1" applyBorder="1"/>
    <xf numFmtId="165" fontId="23" fillId="0" borderId="24" xfId="3" applyFont="1" applyBorder="1"/>
    <xf numFmtId="165" fontId="18" fillId="0" borderId="24" xfId="3" applyFont="1" applyBorder="1"/>
    <xf numFmtId="165" fontId="18" fillId="3" borderId="0" xfId="3" applyFont="1" applyFill="1" applyAlignment="1">
      <alignment horizontal="center"/>
    </xf>
    <xf numFmtId="165" fontId="7" fillId="0" borderId="24" xfId="3" applyFont="1" applyBorder="1"/>
    <xf numFmtId="165" fontId="6" fillId="0" borderId="24" xfId="3" applyFont="1" applyBorder="1"/>
    <xf numFmtId="1" fontId="19" fillId="0" borderId="18" xfId="0" applyNumberFormat="1" applyFont="1" applyBorder="1"/>
    <xf numFmtId="165" fontId="26" fillId="7" borderId="0" xfId="3" applyFont="1" applyFill="1"/>
    <xf numFmtId="165" fontId="16" fillId="8" borderId="0" xfId="3" applyFont="1" applyFill="1" applyAlignment="1">
      <alignment horizontal="center"/>
    </xf>
    <xf numFmtId="165" fontId="6" fillId="8" borderId="0" xfId="3" applyFont="1" applyFill="1"/>
    <xf numFmtId="3" fontId="27" fillId="8" borderId="0" xfId="3" applyNumberFormat="1" applyFont="1" applyFill="1"/>
    <xf numFmtId="3" fontId="27" fillId="8" borderId="26" xfId="3" applyNumberFormat="1" applyFont="1" applyFill="1" applyBorder="1"/>
    <xf numFmtId="165" fontId="3" fillId="0" borderId="0" xfId="3" applyFont="1"/>
    <xf numFmtId="165" fontId="4" fillId="0" borderId="0" xfId="3" applyFont="1"/>
    <xf numFmtId="3" fontId="20" fillId="0" borderId="9" xfId="3" applyNumberFormat="1" applyFont="1" applyBorder="1"/>
    <xf numFmtId="165" fontId="18" fillId="4" borderId="9" xfId="3" applyFont="1" applyFill="1" applyBorder="1"/>
    <xf numFmtId="165" fontId="1" fillId="0" borderId="10" xfId="3" applyBorder="1"/>
    <xf numFmtId="165" fontId="15" fillId="4" borderId="28" xfId="3" applyFont="1" applyFill="1" applyBorder="1"/>
    <xf numFmtId="165" fontId="16" fillId="5" borderId="9" xfId="3" applyFont="1" applyFill="1" applyBorder="1" applyAlignment="1">
      <alignment horizontal="center" wrapText="1"/>
    </xf>
    <xf numFmtId="165" fontId="13" fillId="6" borderId="9" xfId="3" applyFont="1" applyFill="1" applyBorder="1"/>
    <xf numFmtId="165" fontId="6" fillId="6" borderId="9" xfId="3" applyFont="1" applyFill="1" applyBorder="1"/>
    <xf numFmtId="165" fontId="6" fillId="7" borderId="9" xfId="3" applyFont="1" applyFill="1" applyBorder="1"/>
    <xf numFmtId="165" fontId="25" fillId="2" borderId="9" xfId="3" applyFont="1" applyFill="1" applyBorder="1"/>
    <xf numFmtId="165" fontId="18" fillId="6" borderId="9" xfId="3" applyFont="1" applyFill="1" applyBorder="1" applyAlignment="1">
      <alignment horizontal="left" wrapText="1"/>
    </xf>
    <xf numFmtId="165" fontId="18" fillId="0" borderId="29" xfId="3" applyFont="1" applyBorder="1"/>
    <xf numFmtId="165" fontId="6" fillId="7" borderId="10" xfId="3" applyFont="1" applyFill="1" applyBorder="1"/>
    <xf numFmtId="165" fontId="18" fillId="3" borderId="10" xfId="3" applyFont="1" applyFill="1" applyBorder="1"/>
    <xf numFmtId="165" fontId="18" fillId="0" borderId="10" xfId="3" applyFont="1" applyBorder="1"/>
    <xf numFmtId="165" fontId="6" fillId="0" borderId="10" xfId="3" applyFont="1" applyBorder="1"/>
    <xf numFmtId="3" fontId="27" fillId="8" borderId="11" xfId="3" applyNumberFormat="1" applyFont="1" applyFill="1" applyBorder="1"/>
    <xf numFmtId="165" fontId="5" fillId="0" borderId="0" xfId="3" applyFont="1" applyAlignment="1">
      <alignment horizontal="left"/>
    </xf>
    <xf numFmtId="165" fontId="13" fillId="4" borderId="27" xfId="3" applyFont="1" applyFill="1" applyBorder="1" applyAlignment="1">
      <alignment horizontal="center"/>
    </xf>
    <xf numFmtId="165" fontId="23" fillId="4" borderId="9" xfId="3" applyFont="1" applyFill="1" applyBorder="1"/>
    <xf numFmtId="165" fontId="13" fillId="4" borderId="13" xfId="3" applyFont="1" applyFill="1" applyBorder="1" applyAlignment="1">
      <alignment wrapText="1"/>
    </xf>
    <xf numFmtId="0" fontId="8" fillId="0" borderId="17" xfId="0" applyFont="1" applyBorder="1"/>
    <xf numFmtId="166" fontId="18" fillId="4" borderId="17" xfId="3" applyNumberFormat="1" applyFont="1" applyFill="1" applyBorder="1"/>
    <xf numFmtId="165" fontId="5" fillId="3" borderId="24" xfId="3" applyFont="1" applyFill="1" applyBorder="1"/>
    <xf numFmtId="165" fontId="14" fillId="4" borderId="13" xfId="3" applyFont="1" applyFill="1" applyBorder="1" applyAlignment="1">
      <alignment vertical="center" wrapText="1"/>
    </xf>
    <xf numFmtId="165" fontId="14" fillId="4" borderId="13" xfId="3" applyFont="1" applyFill="1" applyBorder="1" applyAlignment="1">
      <alignment horizontal="left" vertical="center" wrapText="1"/>
    </xf>
    <xf numFmtId="165" fontId="29" fillId="4" borderId="9" xfId="3" applyFont="1" applyFill="1" applyBorder="1"/>
    <xf numFmtId="165" fontId="8" fillId="0" borderId="0" xfId="3" applyFont="1"/>
    <xf numFmtId="0" fontId="30" fillId="3" borderId="0" xfId="6" applyFont="1" applyFill="1"/>
    <xf numFmtId="0" fontId="31" fillId="3" borderId="0" xfId="6" applyFont="1" applyFill="1" applyAlignment="1">
      <alignment horizontal="left"/>
    </xf>
    <xf numFmtId="0" fontId="0" fillId="3" borderId="0" xfId="0" applyFill="1"/>
    <xf numFmtId="0" fontId="32" fillId="0" borderId="0" xfId="0" applyFont="1" applyAlignment="1">
      <alignment horizontal="left" wrapText="1"/>
    </xf>
    <xf numFmtId="0" fontId="33" fillId="0" borderId="0" xfId="0" applyFont="1" applyAlignment="1">
      <alignment horizontal="left" wrapText="1"/>
    </xf>
    <xf numFmtId="0" fontId="34" fillId="0" borderId="0" xfId="0" applyFont="1" applyAlignment="1">
      <alignment horizontal="left" vertical="top"/>
    </xf>
    <xf numFmtId="0" fontId="34" fillId="0" borderId="0" xfId="0" applyFont="1" applyAlignment="1">
      <alignment horizontal="left" vertical="top" wrapText="1"/>
    </xf>
    <xf numFmtId="39" fontId="34" fillId="0" borderId="0" xfId="0" applyNumberFormat="1" applyFont="1" applyAlignment="1">
      <alignment horizontal="right" vertical="top"/>
    </xf>
    <xf numFmtId="14" fontId="34" fillId="0" borderId="0" xfId="0" applyNumberFormat="1" applyFont="1" applyAlignment="1">
      <alignment horizontal="right" vertical="top"/>
    </xf>
    <xf numFmtId="39" fontId="0" fillId="0" borderId="0" xfId="0" applyNumberFormat="1"/>
    <xf numFmtId="0" fontId="0" fillId="0" borderId="0" xfId="0" applyAlignment="1">
      <alignment horizontal="left"/>
    </xf>
    <xf numFmtId="43" fontId="0" fillId="0" borderId="0" xfId="0" applyNumberFormat="1"/>
    <xf numFmtId="0" fontId="35" fillId="0" borderId="27" xfId="0" applyFont="1" applyBorder="1" applyAlignment="1">
      <alignment horizontal="left"/>
    </xf>
    <xf numFmtId="4" fontId="0" fillId="0" borderId="56" xfId="0" applyNumberFormat="1" applyBorder="1"/>
    <xf numFmtId="0" fontId="35" fillId="0" borderId="10" xfId="0" applyFont="1" applyBorder="1" applyAlignment="1">
      <alignment horizontal="left"/>
    </xf>
    <xf numFmtId="43" fontId="0" fillId="0" borderId="57" xfId="2" applyFont="1" applyBorder="1"/>
    <xf numFmtId="0" fontId="35" fillId="0" borderId="11" xfId="0" applyFont="1" applyBorder="1" applyAlignment="1">
      <alignment horizontal="left"/>
    </xf>
    <xf numFmtId="43" fontId="0" fillId="0" borderId="58" xfId="2" applyFont="1" applyBorder="1"/>
    <xf numFmtId="0" fontId="35" fillId="0" borderId="0" xfId="0" applyFont="1" applyAlignment="1">
      <alignment horizontal="left"/>
    </xf>
    <xf numFmtId="0" fontId="36" fillId="0" borderId="0" xfId="0" applyFont="1" applyAlignment="1">
      <alignment horizontal="left" wrapText="1"/>
    </xf>
    <xf numFmtId="0" fontId="0" fillId="0" borderId="0" xfId="0" pivotButton="1"/>
    <xf numFmtId="0" fontId="34" fillId="14" borderId="0" xfId="0" applyFont="1" applyFill="1" applyAlignment="1">
      <alignment horizontal="left" vertical="top"/>
    </xf>
    <xf numFmtId="14" fontId="34" fillId="14" borderId="0" xfId="0" applyNumberFormat="1" applyFont="1" applyFill="1" applyAlignment="1">
      <alignment horizontal="right" vertical="top"/>
    </xf>
    <xf numFmtId="39" fontId="34" fillId="14" borderId="0" xfId="0" applyNumberFormat="1" applyFont="1" applyFill="1" applyAlignment="1">
      <alignment horizontal="right" vertical="top"/>
    </xf>
    <xf numFmtId="0" fontId="0" fillId="14" borderId="0" xfId="0" applyFill="1"/>
    <xf numFmtId="39" fontId="0" fillId="14" borderId="0" xfId="0" applyNumberFormat="1" applyFill="1"/>
    <xf numFmtId="0" fontId="34" fillId="14" borderId="0" xfId="0" applyFont="1" applyFill="1" applyAlignment="1">
      <alignment horizontal="left" vertical="top" wrapText="1"/>
    </xf>
    <xf numFmtId="165" fontId="31" fillId="0" borderId="0" xfId="3" applyFont="1"/>
    <xf numFmtId="165" fontId="37" fillId="0" borderId="0" xfId="3" applyFont="1"/>
    <xf numFmtId="165" fontId="38" fillId="0" borderId="0" xfId="3" applyFont="1"/>
    <xf numFmtId="0" fontId="2" fillId="0" borderId="0" xfId="0" applyFont="1" applyAlignment="1">
      <alignment wrapText="1"/>
    </xf>
    <xf numFmtId="0" fontId="43" fillId="0" borderId="0" xfId="0" applyFont="1" applyAlignment="1">
      <alignment wrapText="1"/>
    </xf>
    <xf numFmtId="44" fontId="2" fillId="0" borderId="0" xfId="5" applyFont="1" applyBorder="1" applyAlignment="1">
      <alignment wrapText="1"/>
    </xf>
    <xf numFmtId="0" fontId="2" fillId="0" borderId="0" xfId="0" applyFont="1"/>
    <xf numFmtId="0" fontId="42" fillId="0" borderId="0" xfId="0" applyFont="1" applyAlignment="1">
      <alignment wrapText="1"/>
    </xf>
    <xf numFmtId="0" fontId="43" fillId="0" borderId="7" xfId="0" applyFont="1" applyBorder="1" applyAlignment="1">
      <alignment horizontal="left" wrapText="1"/>
    </xf>
    <xf numFmtId="0" fontId="2" fillId="9" borderId="2" xfId="0" applyFont="1" applyFill="1" applyBorder="1" applyAlignment="1">
      <alignment horizontal="center" vertical="center" wrapText="1"/>
    </xf>
    <xf numFmtId="0" fontId="43" fillId="0" borderId="2" xfId="0" applyFont="1" applyBorder="1" applyAlignment="1" applyProtection="1">
      <alignment horizontal="center" vertical="center" wrapText="1"/>
      <protection locked="0"/>
    </xf>
    <xf numFmtId="0" fontId="2" fillId="10" borderId="2" xfId="0" applyFont="1" applyFill="1" applyBorder="1" applyAlignment="1">
      <alignment horizontal="center" vertical="center" wrapText="1"/>
    </xf>
    <xf numFmtId="0" fontId="44" fillId="0" borderId="0" xfId="0" applyFont="1" applyAlignment="1">
      <alignment horizontal="center" vertical="center" wrapText="1"/>
    </xf>
    <xf numFmtId="0" fontId="43" fillId="9" borderId="2" xfId="0" applyFont="1" applyFill="1" applyBorder="1" applyAlignment="1">
      <alignment vertical="center" wrapText="1"/>
    </xf>
    <xf numFmtId="44" fontId="45" fillId="0" borderId="0" xfId="5" applyFont="1" applyFill="1" applyBorder="1" applyAlignment="1" applyProtection="1">
      <alignment vertical="center" wrapText="1"/>
    </xf>
    <xf numFmtId="44" fontId="43" fillId="0" borderId="0" xfId="5" applyFont="1" applyFill="1" applyBorder="1" applyAlignment="1" applyProtection="1">
      <alignment vertical="center" wrapText="1"/>
    </xf>
    <xf numFmtId="0" fontId="2" fillId="9" borderId="2" xfId="0" applyFont="1" applyFill="1" applyBorder="1" applyAlignment="1">
      <alignment vertical="center" wrapText="1"/>
    </xf>
    <xf numFmtId="0" fontId="2" fillId="0" borderId="2" xfId="0" applyFont="1" applyBorder="1" applyAlignment="1" applyProtection="1">
      <alignment horizontal="left" vertical="top" wrapText="1"/>
      <protection locked="0"/>
    </xf>
    <xf numFmtId="44" fontId="2" fillId="0" borderId="2" xfId="5" applyFont="1" applyBorder="1" applyAlignment="1" applyProtection="1">
      <alignment horizontal="center" vertical="center" wrapText="1"/>
      <protection locked="0"/>
    </xf>
    <xf numFmtId="44" fontId="2" fillId="9" borderId="2" xfId="5" applyFont="1" applyFill="1" applyBorder="1" applyAlignment="1" applyProtection="1">
      <alignment horizontal="center" vertical="center" wrapText="1"/>
    </xf>
    <xf numFmtId="9" fontId="2" fillId="0" borderId="2" xfId="1" applyFont="1" applyBorder="1" applyAlignment="1" applyProtection="1">
      <alignment horizontal="center" vertical="center" wrapText="1"/>
      <protection locked="0"/>
    </xf>
    <xf numFmtId="44" fontId="2" fillId="11" borderId="2" xfId="5" applyFont="1" applyFill="1" applyBorder="1" applyAlignment="1" applyProtection="1">
      <alignment horizontal="center" vertical="center" wrapText="1"/>
      <protection locked="0"/>
    </xf>
    <xf numFmtId="49" fontId="2" fillId="0" borderId="2" xfId="5" applyNumberFormat="1" applyFont="1" applyBorder="1" applyAlignment="1" applyProtection="1">
      <alignment horizontal="left" vertical="top" wrapText="1"/>
      <protection locked="0"/>
    </xf>
    <xf numFmtId="44" fontId="2" fillId="0" borderId="0" xfId="5" applyFont="1" applyFill="1" applyBorder="1" applyAlignment="1" applyProtection="1">
      <alignment horizontal="center" vertical="center" wrapText="1"/>
    </xf>
    <xf numFmtId="49" fontId="2" fillId="0" borderId="2" xfId="5" applyNumberFormat="1" applyFont="1" applyBorder="1" applyAlignment="1" applyProtection="1">
      <alignment horizontal="left" wrapText="1"/>
      <protection locked="0"/>
    </xf>
    <xf numFmtId="0" fontId="2" fillId="11" borderId="2" xfId="0" applyFont="1" applyFill="1" applyBorder="1" applyAlignment="1" applyProtection="1">
      <alignment horizontal="left" vertical="top" wrapText="1"/>
      <protection locked="0"/>
    </xf>
    <xf numFmtId="9" fontId="2" fillId="11" borderId="2" xfId="1" applyFont="1" applyFill="1" applyBorder="1" applyAlignment="1" applyProtection="1">
      <alignment horizontal="center" vertical="center" wrapText="1"/>
      <protection locked="0"/>
    </xf>
    <xf numFmtId="49" fontId="2" fillId="11" borderId="2" xfId="5" applyNumberFormat="1" applyFont="1" applyFill="1" applyBorder="1" applyAlignment="1" applyProtection="1">
      <alignment horizontal="left" wrapText="1"/>
      <protection locked="0"/>
    </xf>
    <xf numFmtId="0" fontId="2" fillId="11" borderId="0" xfId="0" applyFont="1" applyFill="1" applyAlignment="1">
      <alignment wrapText="1"/>
    </xf>
    <xf numFmtId="44" fontId="43" fillId="9" borderId="2" xfId="5" applyFont="1" applyFill="1" applyBorder="1" applyAlignment="1" applyProtection="1">
      <alignment horizontal="center" vertical="center" wrapText="1"/>
    </xf>
    <xf numFmtId="44" fontId="43" fillId="11" borderId="2" xfId="5" applyFont="1" applyFill="1" applyBorder="1" applyAlignment="1" applyProtection="1">
      <alignment horizontal="center" vertical="center" wrapText="1"/>
    </xf>
    <xf numFmtId="44" fontId="43" fillId="0" borderId="0" xfId="5" applyFont="1" applyFill="1" applyBorder="1" applyAlignment="1" applyProtection="1">
      <alignment horizontal="center" vertical="center" wrapText="1"/>
    </xf>
    <xf numFmtId="44" fontId="43" fillId="9" borderId="3" xfId="5" applyFont="1" applyFill="1" applyBorder="1" applyAlignment="1" applyProtection="1">
      <alignment horizontal="center" vertical="center" wrapText="1"/>
    </xf>
    <xf numFmtId="0" fontId="2" fillId="11" borderId="0" xfId="0" applyFont="1" applyFill="1" applyAlignment="1" applyProtection="1">
      <alignment vertical="center" wrapText="1"/>
      <protection locked="0"/>
    </xf>
    <xf numFmtId="0" fontId="2" fillId="11" borderId="0" xfId="0" applyFont="1" applyFill="1" applyAlignment="1" applyProtection="1">
      <alignment horizontal="left" vertical="top" wrapText="1"/>
      <protection locked="0"/>
    </xf>
    <xf numFmtId="44" fontId="2" fillId="11" borderId="0" xfId="5" applyFont="1" applyFill="1" applyBorder="1" applyAlignment="1" applyProtection="1">
      <alignment horizontal="center" vertical="center" wrapText="1"/>
      <protection locked="0"/>
    </xf>
    <xf numFmtId="0" fontId="43" fillId="11" borderId="0" xfId="0" applyFont="1" applyFill="1" applyAlignment="1">
      <alignment vertical="center" wrapText="1"/>
    </xf>
    <xf numFmtId="44" fontId="2" fillId="11" borderId="0" xfId="5" applyFont="1" applyFill="1" applyBorder="1" applyAlignment="1" applyProtection="1">
      <alignment vertical="center" wrapText="1"/>
      <protection locked="0"/>
    </xf>
    <xf numFmtId="0" fontId="43" fillId="0" borderId="0" xfId="0" applyFont="1" applyAlignment="1" applyProtection="1">
      <alignment vertical="center" wrapText="1"/>
      <protection locked="0"/>
    </xf>
    <xf numFmtId="0" fontId="2" fillId="11" borderId="31" xfId="0" applyFont="1" applyFill="1" applyBorder="1" applyAlignment="1" applyProtection="1">
      <alignment vertical="center" wrapText="1"/>
      <protection locked="0"/>
    </xf>
    <xf numFmtId="44" fontId="2" fillId="0" borderId="2" xfId="5" applyFont="1" applyBorder="1" applyAlignment="1" applyProtection="1">
      <alignment vertical="center" wrapText="1"/>
      <protection locked="0"/>
    </xf>
    <xf numFmtId="44" fontId="2" fillId="9" borderId="2" xfId="5" applyFont="1" applyFill="1" applyBorder="1" applyAlignment="1" applyProtection="1">
      <alignment vertical="center" wrapText="1"/>
    </xf>
    <xf numFmtId="9" fontId="2" fillId="0" borderId="2" xfId="1" applyFont="1" applyBorder="1" applyAlignment="1" applyProtection="1">
      <alignment vertical="center" wrapText="1"/>
      <protection locked="0"/>
    </xf>
    <xf numFmtId="49" fontId="2" fillId="0" borderId="2" xfId="0" applyNumberFormat="1" applyFont="1" applyBorder="1" applyAlignment="1" applyProtection="1">
      <alignment horizontal="left" wrapText="1"/>
      <protection locked="0"/>
    </xf>
    <xf numFmtId="0" fontId="2" fillId="11" borderId="2" xfId="0" applyFont="1" applyFill="1" applyBorder="1" applyAlignment="1" applyProtection="1">
      <alignment vertical="center" wrapText="1"/>
      <protection locked="0"/>
    </xf>
    <xf numFmtId="0" fontId="2" fillId="11" borderId="32" xfId="0" applyFont="1" applyFill="1" applyBorder="1" applyAlignment="1" applyProtection="1">
      <alignment vertical="center" wrapText="1"/>
      <protection locked="0"/>
    </xf>
    <xf numFmtId="0" fontId="43" fillId="9" borderId="8" xfId="0" applyFont="1" applyFill="1" applyBorder="1" applyAlignment="1">
      <alignment vertical="center" wrapText="1"/>
    </xf>
    <xf numFmtId="0" fontId="43" fillId="12" borderId="2" xfId="0" applyFont="1" applyFill="1" applyBorder="1" applyAlignment="1" applyProtection="1">
      <alignment vertical="center" wrapText="1"/>
      <protection locked="0"/>
    </xf>
    <xf numFmtId="44" fontId="43" fillId="12" borderId="2" xfId="5" applyFont="1" applyFill="1" applyBorder="1" applyAlignment="1" applyProtection="1">
      <alignment vertical="center" wrapText="1"/>
    </xf>
    <xf numFmtId="0" fontId="43" fillId="11" borderId="0" xfId="0" applyFont="1" applyFill="1" applyAlignment="1" applyProtection="1">
      <alignment vertical="center" wrapText="1"/>
      <protection locked="0"/>
    </xf>
    <xf numFmtId="0" fontId="43" fillId="0" borderId="0" xfId="0" applyFont="1" applyAlignment="1">
      <alignment vertical="center" wrapText="1"/>
    </xf>
    <xf numFmtId="44" fontId="43" fillId="11" borderId="0" xfId="5" applyFont="1" applyFill="1" applyBorder="1" applyAlignment="1" applyProtection="1">
      <alignment vertical="center" wrapText="1"/>
      <protection locked="0"/>
    </xf>
    <xf numFmtId="0" fontId="2" fillId="11" borderId="0" xfId="0" applyFont="1" applyFill="1" applyAlignment="1">
      <alignment vertical="center" wrapText="1"/>
    </xf>
    <xf numFmtId="0" fontId="2" fillId="9" borderId="39" xfId="0" applyFont="1" applyFill="1" applyBorder="1" applyAlignment="1">
      <alignment vertical="center" wrapText="1"/>
    </xf>
    <xf numFmtId="44" fontId="2" fillId="0" borderId="0" xfId="0" applyNumberFormat="1" applyFont="1" applyAlignment="1">
      <alignment vertical="center" wrapText="1"/>
    </xf>
    <xf numFmtId="0" fontId="43" fillId="0" borderId="0" xfId="5" applyNumberFormat="1" applyFont="1" applyFill="1" applyBorder="1" applyAlignment="1" applyProtection="1">
      <alignment vertical="center" wrapText="1"/>
    </xf>
    <xf numFmtId="0" fontId="2" fillId="0" borderId="0" xfId="0" applyFont="1" applyAlignment="1" applyProtection="1">
      <alignment vertical="center" wrapText="1"/>
      <protection locked="0"/>
    </xf>
    <xf numFmtId="0" fontId="43" fillId="9" borderId="41" xfId="0" applyFont="1" applyFill="1" applyBorder="1" applyAlignment="1">
      <alignment vertical="center" wrapText="1"/>
    </xf>
    <xf numFmtId="0" fontId="2" fillId="0" borderId="0" xfId="0" applyFont="1" applyAlignment="1">
      <alignment vertical="center" wrapText="1"/>
    </xf>
    <xf numFmtId="0" fontId="43" fillId="0" borderId="0" xfId="0" applyFont="1" applyAlignment="1">
      <alignment horizontal="center" vertical="center" wrapText="1"/>
    </xf>
    <xf numFmtId="44" fontId="43" fillId="11" borderId="0" xfId="5" applyFont="1" applyFill="1" applyBorder="1" applyAlignment="1" applyProtection="1">
      <alignment horizontal="center" vertical="center" wrapText="1"/>
    </xf>
    <xf numFmtId="0" fontId="43" fillId="9" borderId="0" xfId="0" applyFont="1" applyFill="1" applyAlignment="1">
      <alignment horizontal="left" vertical="center" indent="13"/>
    </xf>
    <xf numFmtId="0" fontId="43" fillId="9" borderId="0" xfId="0" applyFont="1" applyFill="1" applyAlignment="1">
      <alignment horizontal="center" vertical="center" wrapText="1"/>
    </xf>
    <xf numFmtId="0" fontId="43" fillId="9" borderId="43" xfId="0" applyFont="1" applyFill="1" applyBorder="1" applyAlignment="1">
      <alignment horizontal="center" vertical="center" wrapText="1"/>
    </xf>
    <xf numFmtId="0" fontId="43" fillId="9" borderId="39" xfId="0" applyFont="1" applyFill="1" applyBorder="1" applyAlignment="1">
      <alignment horizontal="center" vertical="center" wrapText="1"/>
    </xf>
    <xf numFmtId="0" fontId="43" fillId="9" borderId="39" xfId="0" applyFont="1" applyFill="1" applyBorder="1" applyAlignment="1">
      <alignment vertical="center" wrapText="1"/>
    </xf>
    <xf numFmtId="44" fontId="43" fillId="9" borderId="2" xfId="5" applyFont="1" applyFill="1" applyBorder="1" applyAlignment="1" applyProtection="1">
      <alignment vertical="center" wrapText="1"/>
    </xf>
    <xf numFmtId="9" fontId="43" fillId="11" borderId="40" xfId="1" applyFont="1" applyFill="1" applyBorder="1" applyAlignment="1" applyProtection="1">
      <alignment vertical="center" wrapText="1"/>
      <protection locked="0"/>
    </xf>
    <xf numFmtId="9" fontId="43" fillId="0" borderId="0" xfId="1" applyFont="1" applyFill="1" applyBorder="1" applyAlignment="1" applyProtection="1">
      <alignment vertical="center" wrapText="1"/>
      <protection locked="0"/>
    </xf>
    <xf numFmtId="0" fontId="43" fillId="9" borderId="35" xfId="0" applyFont="1" applyFill="1" applyBorder="1" applyAlignment="1">
      <alignment vertical="center" wrapText="1"/>
    </xf>
    <xf numFmtId="44" fontId="43" fillId="9" borderId="3" xfId="5" applyFont="1" applyFill="1" applyBorder="1" applyAlignment="1" applyProtection="1">
      <alignment vertical="center" wrapText="1"/>
    </xf>
    <xf numFmtId="9" fontId="43" fillId="11" borderId="36" xfId="1" applyFont="1" applyFill="1" applyBorder="1" applyAlignment="1" applyProtection="1">
      <alignment vertical="center" wrapText="1"/>
      <protection locked="0"/>
    </xf>
    <xf numFmtId="0" fontId="43" fillId="9" borderId="44" xfId="0" applyFont="1" applyFill="1" applyBorder="1" applyAlignment="1">
      <alignment vertical="center" wrapText="1"/>
    </xf>
    <xf numFmtId="44" fontId="43" fillId="9" borderId="45" xfId="5" applyFont="1" applyFill="1" applyBorder="1" applyAlignment="1" applyProtection="1">
      <alignment vertical="center" wrapText="1"/>
    </xf>
    <xf numFmtId="9" fontId="43" fillId="9" borderId="46" xfId="1" applyFont="1" applyFill="1" applyBorder="1" applyAlignment="1" applyProtection="1">
      <alignment vertical="center" wrapText="1"/>
    </xf>
    <xf numFmtId="9" fontId="43" fillId="0" borderId="0" xfId="1" applyFont="1" applyFill="1" applyBorder="1" applyAlignment="1" applyProtection="1">
      <alignment vertical="center" wrapText="1"/>
    </xf>
    <xf numFmtId="44" fontId="43" fillId="11" borderId="0" xfId="5" applyFont="1" applyFill="1" applyBorder="1" applyAlignment="1" applyProtection="1">
      <alignment vertical="center" wrapText="1"/>
    </xf>
    <xf numFmtId="44" fontId="43" fillId="0" borderId="0" xfId="0" applyNumberFormat="1" applyFont="1" applyAlignment="1">
      <alignment vertical="center" wrapText="1"/>
    </xf>
    <xf numFmtId="44" fontId="43" fillId="0" borderId="0" xfId="5" applyFont="1" applyFill="1" applyBorder="1" applyAlignment="1">
      <alignment vertical="center" wrapText="1"/>
    </xf>
    <xf numFmtId="0" fontId="43" fillId="9" borderId="47" xfId="0" applyFont="1" applyFill="1" applyBorder="1" applyAlignment="1">
      <alignment horizontal="left" vertical="center" wrapText="1"/>
    </xf>
    <xf numFmtId="44" fontId="43" fillId="9" borderId="48" xfId="0" applyNumberFormat="1" applyFont="1" applyFill="1" applyBorder="1" applyAlignment="1">
      <alignment vertical="center" wrapText="1"/>
    </xf>
    <xf numFmtId="44" fontId="43" fillId="9" borderId="47" xfId="0" applyNumberFormat="1" applyFont="1" applyFill="1" applyBorder="1" applyAlignment="1">
      <alignment vertical="center" wrapText="1"/>
    </xf>
    <xf numFmtId="44" fontId="43" fillId="11" borderId="0" xfId="0" applyNumberFormat="1" applyFont="1" applyFill="1" applyAlignment="1">
      <alignment vertical="center" wrapText="1"/>
    </xf>
    <xf numFmtId="44" fontId="2" fillId="0" borderId="0" xfId="5" applyFont="1" applyFill="1" applyBorder="1" applyAlignment="1">
      <alignment vertical="center" wrapText="1"/>
    </xf>
    <xf numFmtId="0" fontId="43" fillId="9" borderId="49" xfId="0" applyFont="1" applyFill="1" applyBorder="1" applyAlignment="1">
      <alignment horizontal="left" vertical="center" wrapText="1"/>
    </xf>
    <xf numFmtId="10" fontId="43" fillId="9" borderId="50" xfId="1" applyNumberFormat="1" applyFont="1" applyFill="1" applyBorder="1" applyAlignment="1" applyProtection="1">
      <alignment wrapText="1"/>
    </xf>
    <xf numFmtId="0" fontId="43" fillId="9" borderId="51" xfId="0" applyFont="1" applyFill="1" applyBorder="1" applyAlignment="1">
      <alignment wrapText="1"/>
    </xf>
    <xf numFmtId="9" fontId="43" fillId="9" borderId="52" xfId="1" applyFont="1" applyFill="1" applyBorder="1" applyAlignment="1">
      <alignment wrapText="1"/>
    </xf>
    <xf numFmtId="9" fontId="43" fillId="11" borderId="0" xfId="1" applyFont="1" applyFill="1" applyBorder="1" applyAlignment="1">
      <alignment wrapText="1"/>
    </xf>
    <xf numFmtId="9" fontId="43" fillId="0" borderId="0" xfId="1" applyFont="1" applyFill="1" applyBorder="1" applyAlignment="1">
      <alignment wrapText="1"/>
    </xf>
    <xf numFmtId="0" fontId="43" fillId="11" borderId="0" xfId="0" applyFont="1" applyFill="1" applyAlignment="1">
      <alignment horizontal="center" vertical="center" wrapText="1"/>
    </xf>
    <xf numFmtId="44" fontId="43" fillId="9" borderId="50" xfId="1" applyNumberFormat="1" applyFont="1" applyFill="1" applyBorder="1" applyAlignment="1" applyProtection="1">
      <alignment wrapText="1"/>
    </xf>
    <xf numFmtId="44" fontId="43" fillId="11" borderId="0" xfId="1" applyNumberFormat="1" applyFont="1" applyFill="1" applyBorder="1" applyAlignment="1">
      <alignment wrapText="1"/>
    </xf>
    <xf numFmtId="0" fontId="43" fillId="9" borderId="54" xfId="0" applyFont="1" applyFill="1" applyBorder="1" applyAlignment="1">
      <alignment horizontal="left" vertical="center" wrapText="1"/>
    </xf>
    <xf numFmtId="10" fontId="43" fillId="9" borderId="55" xfId="1" applyNumberFormat="1" applyFont="1" applyFill="1" applyBorder="1" applyAlignment="1" applyProtection="1">
      <alignment wrapText="1"/>
    </xf>
    <xf numFmtId="0" fontId="2" fillId="11" borderId="0" xfId="0" applyFont="1" applyFill="1" applyAlignment="1">
      <alignment horizontal="center" vertical="center" wrapText="1"/>
    </xf>
    <xf numFmtId="44" fontId="2" fillId="0" borderId="0" xfId="5" applyFont="1" applyFill="1" applyBorder="1" applyAlignment="1">
      <alignment wrapText="1"/>
    </xf>
    <xf numFmtId="166" fontId="18" fillId="4" borderId="25" xfId="3" applyNumberFormat="1" applyFont="1" applyFill="1" applyBorder="1"/>
    <xf numFmtId="0" fontId="32" fillId="0" borderId="0" xfId="7"/>
    <xf numFmtId="0" fontId="32" fillId="0" borderId="0" xfId="7" applyAlignment="1">
      <alignment horizontal="left" wrapText="1"/>
    </xf>
    <xf numFmtId="0" fontId="33" fillId="0" borderId="0" xfId="7" applyFont="1" applyAlignment="1">
      <alignment horizontal="left" wrapText="1"/>
    </xf>
    <xf numFmtId="0" fontId="34" fillId="0" borderId="0" xfId="7" applyFont="1" applyAlignment="1">
      <alignment horizontal="left" vertical="top"/>
    </xf>
    <xf numFmtId="0" fontId="34" fillId="0" borderId="0" xfId="7" applyFont="1" applyAlignment="1">
      <alignment horizontal="left" vertical="top" wrapText="1"/>
    </xf>
    <xf numFmtId="39" fontId="34" fillId="0" borderId="0" xfId="7" applyNumberFormat="1" applyFont="1" applyAlignment="1">
      <alignment horizontal="right" vertical="top"/>
    </xf>
    <xf numFmtId="14" fontId="34" fillId="0" borderId="0" xfId="7" applyNumberFormat="1" applyFont="1" applyAlignment="1">
      <alignment horizontal="right" vertical="top"/>
    </xf>
    <xf numFmtId="0" fontId="36" fillId="0" borderId="0" xfId="7" applyFont="1" applyAlignment="1">
      <alignment horizontal="left" wrapText="1"/>
    </xf>
    <xf numFmtId="166" fontId="1" fillId="0" borderId="0" xfId="3" applyNumberFormat="1"/>
    <xf numFmtId="39" fontId="34" fillId="2" borderId="0" xfId="7" applyNumberFormat="1" applyFont="1" applyFill="1" applyAlignment="1">
      <alignment horizontal="right" vertical="top"/>
    </xf>
    <xf numFmtId="14" fontId="34" fillId="2" borderId="0" xfId="7" applyNumberFormat="1" applyFont="1" applyFill="1" applyAlignment="1">
      <alignment horizontal="right" vertical="top"/>
    </xf>
    <xf numFmtId="165" fontId="14" fillId="2" borderId="13" xfId="3" applyFont="1" applyFill="1" applyBorder="1" applyAlignment="1">
      <alignment vertical="center" wrapText="1"/>
    </xf>
    <xf numFmtId="165" fontId="14" fillId="2" borderId="15" xfId="3" applyFont="1" applyFill="1" applyBorder="1"/>
    <xf numFmtId="165" fontId="17" fillId="2" borderId="17" xfId="3" applyFont="1" applyFill="1" applyBorder="1" applyAlignment="1">
      <alignment horizontal="center" wrapText="1"/>
    </xf>
    <xf numFmtId="165" fontId="14" fillId="2" borderId="17" xfId="3" applyFont="1" applyFill="1" applyBorder="1"/>
    <xf numFmtId="3" fontId="7" fillId="2" borderId="17" xfId="3" applyNumberFormat="1" applyFont="1" applyFill="1" applyBorder="1"/>
    <xf numFmtId="165" fontId="7" fillId="2" borderId="17" xfId="3" applyFont="1" applyFill="1" applyBorder="1"/>
    <xf numFmtId="165" fontId="23" fillId="2" borderId="17" xfId="3" applyFont="1" applyFill="1" applyBorder="1" applyAlignment="1">
      <alignment horizontal="left" wrapText="1"/>
    </xf>
    <xf numFmtId="165" fontId="18" fillId="2" borderId="0" xfId="3" applyFont="1" applyFill="1"/>
    <xf numFmtId="165" fontId="18" fillId="2" borderId="23" xfId="3" applyFont="1" applyFill="1" applyBorder="1"/>
    <xf numFmtId="165" fontId="3" fillId="2" borderId="24" xfId="3" applyFont="1" applyFill="1" applyBorder="1"/>
    <xf numFmtId="165" fontId="23" fillId="2" borderId="25" xfId="3" applyFont="1" applyFill="1" applyBorder="1"/>
    <xf numFmtId="165" fontId="7" fillId="2" borderId="24" xfId="3" applyFont="1" applyFill="1" applyBorder="1"/>
    <xf numFmtId="165" fontId="5" fillId="2" borderId="0" xfId="3" applyFont="1" applyFill="1"/>
    <xf numFmtId="165" fontId="23" fillId="2" borderId="24" xfId="3" applyFont="1" applyFill="1" applyBorder="1"/>
    <xf numFmtId="3" fontId="7" fillId="2" borderId="24" xfId="3" applyNumberFormat="1" applyFont="1" applyFill="1" applyBorder="1"/>
    <xf numFmtId="3" fontId="28" fillId="15" borderId="26" xfId="3" applyNumberFormat="1" applyFont="1" applyFill="1" applyBorder="1"/>
    <xf numFmtId="165" fontId="31" fillId="15" borderId="0" xfId="3" applyFont="1" applyFill="1"/>
    <xf numFmtId="165" fontId="37" fillId="15" borderId="0" xfId="3" applyFont="1" applyFill="1"/>
    <xf numFmtId="166" fontId="31" fillId="15" borderId="0" xfId="3" applyNumberFormat="1" applyFont="1" applyFill="1"/>
    <xf numFmtId="166" fontId="39" fillId="15" borderId="0" xfId="3" applyNumberFormat="1" applyFont="1" applyFill="1"/>
    <xf numFmtId="165" fontId="40" fillId="15" borderId="0" xfId="3" applyFont="1" applyFill="1"/>
    <xf numFmtId="165" fontId="39" fillId="15" borderId="0" xfId="3" applyFont="1" applyFill="1"/>
    <xf numFmtId="165" fontId="38" fillId="15" borderId="0" xfId="3" applyFont="1" applyFill="1"/>
    <xf numFmtId="165" fontId="40" fillId="15" borderId="30" xfId="3" applyFont="1" applyFill="1" applyBorder="1"/>
    <xf numFmtId="165" fontId="41" fillId="15" borderId="59" xfId="3" applyFont="1" applyFill="1" applyBorder="1"/>
    <xf numFmtId="165" fontId="1" fillId="15" borderId="0" xfId="3" applyFill="1"/>
    <xf numFmtId="165" fontId="47" fillId="0" borderId="0" xfId="3" applyFont="1"/>
    <xf numFmtId="3" fontId="47" fillId="0" borderId="17" xfId="3" applyNumberFormat="1" applyFont="1" applyBorder="1"/>
    <xf numFmtId="165" fontId="47" fillId="6" borderId="17" xfId="3" applyFont="1" applyFill="1" applyBorder="1"/>
    <xf numFmtId="0" fontId="47" fillId="0" borderId="17" xfId="0" applyFont="1" applyBorder="1"/>
    <xf numFmtId="3" fontId="47" fillId="0" borderId="17" xfId="0" applyNumberFormat="1" applyFont="1" applyBorder="1"/>
    <xf numFmtId="165" fontId="47" fillId="7" borderId="17" xfId="3" applyFont="1" applyFill="1" applyBorder="1"/>
    <xf numFmtId="165" fontId="48" fillId="0" borderId="24" xfId="3" applyFont="1" applyBorder="1"/>
    <xf numFmtId="165" fontId="47" fillId="7" borderId="24" xfId="3" applyFont="1" applyFill="1" applyBorder="1"/>
    <xf numFmtId="3" fontId="47" fillId="0" borderId="24" xfId="3" applyNumberFormat="1" applyFont="1" applyBorder="1"/>
    <xf numFmtId="165" fontId="47" fillId="0" borderId="24" xfId="3" applyFont="1" applyBorder="1"/>
    <xf numFmtId="165" fontId="48" fillId="0" borderId="0" xfId="3" applyFont="1"/>
    <xf numFmtId="165" fontId="49" fillId="0" borderId="0" xfId="3" applyFont="1"/>
    <xf numFmtId="165" fontId="50" fillId="15" borderId="0" xfId="3" applyFont="1" applyFill="1"/>
    <xf numFmtId="165" fontId="50" fillId="15" borderId="30" xfId="3" applyFont="1" applyFill="1" applyBorder="1"/>
    <xf numFmtId="165" fontId="48" fillId="15" borderId="0" xfId="3" applyFont="1" applyFill="1"/>
    <xf numFmtId="165" fontId="39" fillId="0" borderId="0" xfId="3" applyFont="1"/>
    <xf numFmtId="165" fontId="7" fillId="11" borderId="0" xfId="3" applyFont="1" applyFill="1"/>
    <xf numFmtId="165" fontId="3" fillId="11" borderId="0" xfId="3" applyFont="1" applyFill="1"/>
    <xf numFmtId="167" fontId="2" fillId="9" borderId="40" xfId="0" applyNumberFormat="1" applyFont="1" applyFill="1" applyBorder="1" applyAlignment="1">
      <alignment vertical="center" wrapText="1"/>
    </xf>
    <xf numFmtId="167" fontId="43" fillId="9" borderId="42" xfId="5" applyNumberFormat="1" applyFont="1" applyFill="1" applyBorder="1" applyAlignment="1" applyProtection="1">
      <alignment vertical="center" wrapText="1"/>
    </xf>
    <xf numFmtId="44" fontId="2" fillId="11" borderId="0" xfId="0" applyNumberFormat="1" applyFont="1" applyFill="1" applyAlignment="1">
      <alignment horizontal="center" vertical="center" wrapText="1"/>
    </xf>
    <xf numFmtId="167" fontId="2" fillId="9" borderId="48" xfId="5" applyNumberFormat="1" applyFont="1" applyFill="1" applyBorder="1" applyAlignment="1">
      <alignment vertical="center" wrapText="1"/>
    </xf>
    <xf numFmtId="165" fontId="51" fillId="14" borderId="0" xfId="3" applyFont="1" applyFill="1" applyAlignment="1">
      <alignment horizontal="center"/>
    </xf>
    <xf numFmtId="165" fontId="51" fillId="14" borderId="0" xfId="3" applyFont="1" applyFill="1"/>
    <xf numFmtId="165" fontId="52" fillId="14" borderId="0" xfId="3" applyFont="1" applyFill="1"/>
    <xf numFmtId="165" fontId="52" fillId="14" borderId="16" xfId="3" applyFont="1" applyFill="1" applyBorder="1"/>
    <xf numFmtId="165" fontId="53" fillId="14" borderId="17" xfId="3" applyFont="1" applyFill="1" applyBorder="1"/>
    <xf numFmtId="165" fontId="52" fillId="14" borderId="17" xfId="3" applyFont="1" applyFill="1" applyBorder="1"/>
    <xf numFmtId="165" fontId="52" fillId="14" borderId="9" xfId="3" applyFont="1" applyFill="1" applyBorder="1"/>
    <xf numFmtId="0" fontId="54" fillId="14" borderId="18" xfId="0" applyFont="1" applyFill="1" applyBorder="1"/>
    <xf numFmtId="9" fontId="54" fillId="14" borderId="18" xfId="1" applyFont="1" applyFill="1" applyBorder="1"/>
    <xf numFmtId="3" fontId="52" fillId="14" borderId="0" xfId="3" applyNumberFormat="1" applyFont="1" applyFill="1"/>
    <xf numFmtId="3" fontId="52" fillId="14" borderId="16" xfId="3" applyNumberFormat="1" applyFont="1" applyFill="1" applyBorder="1"/>
    <xf numFmtId="3" fontId="53" fillId="14" borderId="17" xfId="3" applyNumberFormat="1" applyFont="1" applyFill="1" applyBorder="1"/>
    <xf numFmtId="3" fontId="52" fillId="14" borderId="17" xfId="3" applyNumberFormat="1" applyFont="1" applyFill="1" applyBorder="1"/>
    <xf numFmtId="3" fontId="52" fillId="14" borderId="9" xfId="3" applyNumberFormat="1" applyFont="1" applyFill="1" applyBorder="1"/>
    <xf numFmtId="0" fontId="54" fillId="14" borderId="0" xfId="0" applyFont="1" applyFill="1"/>
    <xf numFmtId="9" fontId="54" fillId="14" borderId="0" xfId="1" applyFont="1" applyFill="1" applyBorder="1"/>
    <xf numFmtId="165" fontId="51" fillId="14" borderId="5" xfId="3" applyFont="1" applyFill="1" applyBorder="1" applyAlignment="1">
      <alignment horizontal="center"/>
    </xf>
    <xf numFmtId="165" fontId="52" fillId="14" borderId="5" xfId="3" applyFont="1" applyFill="1" applyBorder="1"/>
    <xf numFmtId="3" fontId="52" fillId="14" borderId="5" xfId="3" applyNumberFormat="1" applyFont="1" applyFill="1" applyBorder="1"/>
    <xf numFmtId="3" fontId="53" fillId="14" borderId="5" xfId="3" applyNumberFormat="1" applyFont="1" applyFill="1" applyBorder="1"/>
    <xf numFmtId="165" fontId="53" fillId="14" borderId="0" xfId="3" applyFont="1" applyFill="1" applyAlignment="1">
      <alignment horizontal="center"/>
    </xf>
    <xf numFmtId="165" fontId="55" fillId="14" borderId="0" xfId="3" applyFont="1" applyFill="1"/>
    <xf numFmtId="3" fontId="53" fillId="14" borderId="0" xfId="3" applyNumberFormat="1" applyFont="1" applyFill="1"/>
    <xf numFmtId="165" fontId="51" fillId="14" borderId="16" xfId="3" applyFont="1" applyFill="1" applyBorder="1"/>
    <xf numFmtId="165" fontId="51" fillId="14" borderId="17" xfId="3" applyFont="1" applyFill="1" applyBorder="1"/>
    <xf numFmtId="165" fontId="51" fillId="14" borderId="9" xfId="3" applyFont="1" applyFill="1" applyBorder="1"/>
    <xf numFmtId="44" fontId="2" fillId="2" borderId="2" xfId="5" applyFont="1" applyFill="1" applyBorder="1" applyAlignment="1" applyProtection="1">
      <alignment vertical="center" wrapText="1"/>
      <protection locked="0"/>
    </xf>
    <xf numFmtId="1" fontId="19" fillId="2" borderId="18" xfId="0" applyNumberFormat="1" applyFont="1" applyFill="1" applyBorder="1"/>
    <xf numFmtId="3" fontId="28" fillId="2" borderId="26" xfId="3" applyNumberFormat="1" applyFont="1" applyFill="1" applyBorder="1"/>
    <xf numFmtId="165" fontId="18" fillId="6" borderId="0" xfId="3" applyFont="1" applyFill="1" applyAlignment="1">
      <alignment horizontal="left" wrapText="1"/>
    </xf>
    <xf numFmtId="165" fontId="16" fillId="5" borderId="0" xfId="3" applyFont="1" applyFill="1" applyAlignment="1">
      <alignment horizontal="center" wrapText="1"/>
    </xf>
    <xf numFmtId="165" fontId="18" fillId="6" borderId="0" xfId="3" applyFont="1" applyFill="1" applyAlignment="1">
      <alignment wrapText="1"/>
    </xf>
    <xf numFmtId="165" fontId="18" fillId="6" borderId="60" xfId="3" applyFont="1" applyFill="1" applyBorder="1" applyAlignment="1">
      <alignment wrapText="1"/>
    </xf>
    <xf numFmtId="0" fontId="43" fillId="0" borderId="0" xfId="0" applyFont="1" applyAlignment="1">
      <alignment horizontal="center" vertical="center" wrapText="1"/>
    </xf>
    <xf numFmtId="0" fontId="43" fillId="9" borderId="9" xfId="0" applyFont="1" applyFill="1" applyBorder="1" applyAlignment="1">
      <alignment horizontal="center" vertical="center" wrapText="1"/>
    </xf>
    <xf numFmtId="0" fontId="43" fillId="9" borderId="53" xfId="0" applyFont="1" applyFill="1" applyBorder="1" applyAlignment="1">
      <alignment horizontal="center" vertical="center" wrapText="1"/>
    </xf>
    <xf numFmtId="0" fontId="2" fillId="13" borderId="51" xfId="0" applyFont="1" applyFill="1" applyBorder="1" applyAlignment="1">
      <alignment horizontal="center" vertical="center" wrapText="1"/>
    </xf>
    <xf numFmtId="0" fontId="2" fillId="13" borderId="52" xfId="0" applyFont="1" applyFill="1" applyBorder="1" applyAlignment="1">
      <alignment horizontal="center" vertical="center" wrapText="1"/>
    </xf>
    <xf numFmtId="0" fontId="2" fillId="11" borderId="2" xfId="0" applyFont="1" applyFill="1" applyBorder="1" applyAlignment="1" applyProtection="1">
      <alignment horizontal="left" vertical="top" wrapText="1"/>
      <protection locked="0"/>
    </xf>
    <xf numFmtId="44" fontId="2" fillId="11" borderId="2" xfId="5" applyFont="1" applyFill="1" applyBorder="1" applyAlignment="1" applyProtection="1">
      <alignment horizontal="left" vertical="top" wrapText="1"/>
      <protection locked="0"/>
    </xf>
    <xf numFmtId="0" fontId="43" fillId="12" borderId="33" xfId="0" applyFont="1" applyFill="1" applyBorder="1" applyAlignment="1">
      <alignment horizontal="center" vertical="center" wrapText="1"/>
    </xf>
    <xf numFmtId="0" fontId="43" fillId="12" borderId="34" xfId="0" applyFont="1" applyFill="1" applyBorder="1" applyAlignment="1">
      <alignment horizontal="center" vertical="center" wrapText="1"/>
    </xf>
    <xf numFmtId="0" fontId="2" fillId="9" borderId="35" xfId="0" applyFont="1" applyFill="1" applyBorder="1" applyAlignment="1">
      <alignment horizontal="center" vertical="center" wrapText="1"/>
    </xf>
    <xf numFmtId="0" fontId="2" fillId="9" borderId="37" xfId="0" applyFont="1" applyFill="1" applyBorder="1" applyAlignment="1">
      <alignment horizontal="center" vertical="center" wrapText="1"/>
    </xf>
    <xf numFmtId="44" fontId="43" fillId="9" borderId="36" xfId="5" applyFont="1" applyFill="1" applyBorder="1" applyAlignment="1" applyProtection="1">
      <alignment horizontal="center" vertical="center" wrapText="1"/>
      <protection locked="0"/>
    </xf>
    <xf numFmtId="44" fontId="43" fillId="9" borderId="38" xfId="5" applyFont="1" applyFill="1" applyBorder="1" applyAlignment="1" applyProtection="1">
      <alignment horizontal="center" vertical="center" wrapText="1"/>
      <protection locked="0"/>
    </xf>
    <xf numFmtId="44" fontId="43" fillId="0" borderId="0" xfId="5" applyFont="1" applyFill="1" applyBorder="1" applyAlignment="1" applyProtection="1">
      <alignment horizontal="center" vertical="center" wrapText="1"/>
    </xf>
    <xf numFmtId="0" fontId="43" fillId="9" borderId="3" xfId="0" applyFont="1" applyFill="1" applyBorder="1" applyAlignment="1" applyProtection="1">
      <alignment horizontal="center" vertical="center" wrapText="1"/>
      <protection locked="0"/>
    </xf>
    <xf numFmtId="0" fontId="43" fillId="9" borderId="8" xfId="0" applyFont="1" applyFill="1" applyBorder="1" applyAlignment="1" applyProtection="1">
      <alignment horizontal="center" vertical="center" wrapText="1"/>
      <protection locked="0"/>
    </xf>
    <xf numFmtId="0" fontId="43" fillId="9" borderId="36" xfId="0" applyFont="1" applyFill="1" applyBorder="1" applyAlignment="1">
      <alignment horizontal="center" vertical="center" wrapText="1"/>
    </xf>
    <xf numFmtId="0" fontId="43" fillId="9" borderId="38" xfId="0" applyFont="1" applyFill="1" applyBorder="1" applyAlignment="1">
      <alignment horizontal="center" vertical="center" wrapText="1"/>
    </xf>
    <xf numFmtId="0" fontId="43" fillId="11" borderId="2" xfId="0" applyFont="1" applyFill="1" applyBorder="1" applyAlignment="1" applyProtection="1">
      <alignment horizontal="left" vertical="top" wrapText="1"/>
      <protection locked="0"/>
    </xf>
    <xf numFmtId="44" fontId="43" fillId="11" borderId="2" xfId="5" applyFont="1" applyFill="1" applyBorder="1" applyAlignment="1" applyProtection="1">
      <alignment horizontal="left" vertical="top" wrapText="1"/>
      <protection locked="0"/>
    </xf>
    <xf numFmtId="0" fontId="42" fillId="0" borderId="0" xfId="0" applyFont="1" applyAlignment="1">
      <alignment horizontal="left" vertical="top" wrapText="1"/>
    </xf>
    <xf numFmtId="0" fontId="43" fillId="0" borderId="7" xfId="0" applyFont="1" applyBorder="1" applyAlignment="1">
      <alignment horizontal="left" wrapText="1"/>
    </xf>
    <xf numFmtId="49" fontId="43" fillId="11" borderId="2" xfId="0" applyNumberFormat="1" applyFont="1" applyFill="1" applyBorder="1" applyAlignment="1" applyProtection="1">
      <alignment horizontal="left" vertical="top" wrapText="1"/>
      <protection locked="0"/>
    </xf>
    <xf numFmtId="49" fontId="2" fillId="11" borderId="2" xfId="0" applyNumberFormat="1" applyFont="1" applyFill="1" applyBorder="1" applyAlignment="1" applyProtection="1">
      <alignment horizontal="left" vertical="top" wrapText="1"/>
      <protection locked="0"/>
    </xf>
  </cellXfs>
  <cellStyles count="10">
    <cellStyle name="Comma" xfId="2" builtinId="3"/>
    <cellStyle name="Comma 2" xfId="8" xr:uid="{00000000-0005-0000-0000-000001000000}"/>
    <cellStyle name="Currency" xfId="5" builtinId="4"/>
    <cellStyle name="Milliers 2" xfId="4" xr:uid="{00000000-0005-0000-0000-000003000000}"/>
    <cellStyle name="Normal" xfId="0" builtinId="0"/>
    <cellStyle name="Normal 2" xfId="6" xr:uid="{00000000-0005-0000-0000-000005000000}"/>
    <cellStyle name="Normal 3" xfId="7" xr:uid="{00000000-0005-0000-0000-000006000000}"/>
    <cellStyle name="Normal 4" xfId="3" xr:uid="{00000000-0005-0000-0000-000007000000}"/>
    <cellStyle name="Normal 5" xfId="9" xr:uid="{00000000-0005-0000-0000-000008000000}"/>
    <cellStyle name="Percent" xfId="1" builtinId="5"/>
  </cellStyles>
  <dxfs count="3">
    <dxf>
      <font>
        <color rgb="FF9C0006"/>
      </font>
      <fill>
        <patternFill>
          <bgColor rgb="FFFFC7CE"/>
        </patternFill>
      </fill>
    </dxf>
    <dxf>
      <font>
        <color rgb="FF9C0006"/>
      </font>
      <fill>
        <patternFill>
          <bgColor rgb="FFFFC7CE"/>
        </patternFill>
      </fill>
    </dxf>
    <dxf>
      <numFmt numFmtId="35" formatCode="_(* #,##0.00_);_(* \(#,##0.0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calcChain" Target="calcChain.xml"/><Relationship Id="rId5" Type="http://schemas.openxmlformats.org/officeDocument/2006/relationships/pivotCacheDefinition" Target="pivotCache/pivotCacheDefinition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Ansumana Cham" id="{9A2ED8F0-7B27-4854-ABE6-39058CFBF54E}" userId="S::ancham@ictj.org::d4430cc9-f00e-40cc-86af-06cc24517097" providerId="AD"/>
</personList>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outlook.office.com/Users/User/Downloads/Kevin%20-%202024-04-22T113130.240.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404.48292858796" createdVersion="8" refreshedVersion="8" minRefreshableVersion="3" recordCount="105" xr:uid="{00000000-000A-0000-FFFF-FFFF00000000}">
  <cacheSource type="worksheet">
    <worksheetSource ref="A1:N106" sheet="MIP Sheet" r:id="rId2"/>
  </cacheSource>
  <cacheFields count="14">
    <cacheField name="GL Code" numFmtId="0">
      <sharedItems containsBlank="1"/>
    </cacheField>
    <cacheField name="GL Title" numFmtId="0">
      <sharedItems containsBlank="1" count="14">
        <s v=" "/>
        <m/>
        <s v="Wages - International - Full Time"/>
        <s v="Salary &amp; Fringes Fund Allocation"/>
        <s v="Consultants"/>
        <s v="Office Supplies / Materials"/>
        <s v="Subscriptions &amp; Membership Fees"/>
        <s v="Telephone &amp; Internet Access"/>
        <s v="Banking / Credit Cards Fee"/>
        <s v="Media Outreach / Publicity"/>
        <s v="Ground (Car/Mileage, Rail, Taxi/Shuttle)"/>
        <s v="Meals &amp; Per Diem"/>
        <s v="Rental Halls / Convention Center"/>
        <s v="Grants / Subcontracts Awarded"/>
      </sharedItems>
    </cacheField>
    <cacheField name="Doc Number" numFmtId="0">
      <sharedItems containsBlank="1"/>
    </cacheField>
    <cacheField name="Description" numFmtId="0">
      <sharedItems containsBlank="1"/>
    </cacheField>
    <cacheField name="Session ID" numFmtId="0">
      <sharedItems containsBlank="1"/>
    </cacheField>
    <cacheField name="Effective" numFmtId="0">
      <sharedItems containsDate="1" containsBlank="1" containsMixedTypes="1" minDate="2024-01-24T00:00:00" maxDate="2024-04-01T00:00:00"/>
    </cacheField>
    <cacheField name="Doc Date" numFmtId="0">
      <sharedItems containsDate="1" containsBlank="1" containsMixedTypes="1" minDate="2024-01-24T00:00:00" maxDate="2024-04-01T00:00:00"/>
    </cacheField>
    <cacheField name="Debit" numFmtId="0">
      <sharedItems containsBlank="1" containsMixedTypes="1" containsNumber="1" minValue="7.0000000000000007E-2" maxValue="12268.82"/>
    </cacheField>
    <cacheField name="Credit" numFmtId="0">
      <sharedItems containsBlank="1"/>
    </cacheField>
    <cacheField name="Net" numFmtId="0">
      <sharedItems containsBlank="1" containsMixedTypes="1" containsNumber="1" minValue="7.0000000000000007E-2" maxValue="12268.82" count="77">
        <s v=" "/>
        <m/>
        <n v="497.69"/>
        <n v="564.84"/>
        <n v="1113.32"/>
        <n v="497.02"/>
        <n v="500.26"/>
        <n v="1200.6300000000001"/>
        <n v="1120.5899999999999"/>
        <n v="563.29"/>
        <n v="436.8"/>
        <n v="720"/>
        <n v="500"/>
        <n v="149.68"/>
        <n v="2500"/>
        <n v="3000"/>
        <n v="9.58"/>
        <n v="10.4"/>
        <n v="7.86"/>
        <n v="0.9"/>
        <n v="3.89"/>
        <n v="74.84"/>
        <n v="3.59"/>
        <n v="7.0000000000000007E-2"/>
        <n v="12.98"/>
        <n v="10.25"/>
        <n v="7.74"/>
        <n v="3.54"/>
        <n v="73.75"/>
        <n v="4.43"/>
        <n v="2.95"/>
        <n v="10.33"/>
        <n v="17.04"/>
        <n v="1.48"/>
        <n v="35.4"/>
        <n v="2.21"/>
        <n v="10.62"/>
        <n v="6.05"/>
        <n v="7"/>
        <n v="73.73"/>
        <n v="3.98"/>
        <n v="3.47"/>
        <n v="7.08"/>
        <n v="11.8"/>
        <n v="7.48"/>
        <n v="50.87"/>
        <n v="39.9"/>
        <n v="40.9"/>
        <n v="28.44"/>
        <n v="50.25"/>
        <n v="39.409999999999997"/>
        <n v="40.4"/>
        <n v="51.01"/>
        <n v="40.01"/>
        <n v="41.01"/>
        <n v="41.18"/>
        <n v="3.39"/>
        <n v="666.09"/>
        <n v="425.27"/>
        <n v="633.9"/>
        <n v="598.73"/>
        <n v="296.37"/>
        <n v="763.38"/>
        <n v="59"/>
        <n v="36.880000000000003"/>
        <n v="8.85"/>
        <n v="46.82"/>
        <n v="17.7"/>
        <n v="7.37"/>
        <n v="889.11"/>
        <n v="44.25"/>
        <n v="47.94"/>
        <n v="89.81"/>
        <n v="11543.31"/>
        <n v="12136.84"/>
        <n v="12268.82"/>
        <n v="12121.36"/>
      </sharedItems>
    </cacheField>
    <cacheField name="Activity Code" numFmtId="0">
      <sharedItems containsBlank="1"/>
    </cacheField>
    <cacheField name="Country Code" numFmtId="0">
      <sharedItems containsBlank="1"/>
    </cacheField>
    <cacheField name="Tran Src" numFmtId="0">
      <sharedItems containsBlank="1"/>
    </cacheField>
    <cacheField name="Funder Code"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sumana Cham" refreshedDate="45730.549764120369" createdVersion="4" refreshedVersion="4" minRefreshableVersion="3" recordCount="758" xr:uid="{00000000-000A-0000-FFFF-FFFF01000000}">
  <cacheSource type="worksheet">
    <worksheetSource ref="A1:K759" sheet="MIP Sheet"/>
  </cacheSource>
  <cacheFields count="11">
    <cacheField name="GL Code" numFmtId="0">
      <sharedItems count="33">
        <s v=" "/>
        <s v="5999"/>
        <s v="8502"/>
        <s v="8000"/>
        <s v="7005"/>
        <s v="5005"/>
        <s v="5006"/>
        <s v="6501"/>
        <s v="8504"/>
        <s v="9000"/>
        <s v="6001"/>
        <s v="8600"/>
        <s v="6700"/>
        <s v="6300"/>
        <s v="6509"/>
        <s v="8800"/>
        <s v="9300"/>
        <s v="6511"/>
        <s v="7501"/>
        <s v="6005"/>
        <s v="8501"/>
        <s v="6513"/>
        <s v="6506"/>
        <s v="7502"/>
        <s v="7200"/>
        <s v="7700"/>
        <s v="6003"/>
        <s v="7500"/>
        <s v="6502"/>
        <s v="8500"/>
        <s v="8003"/>
        <s v="6603"/>
        <s v="8503"/>
      </sharedItems>
    </cacheField>
    <cacheField name="GL Title" numFmtId="0">
      <sharedItems/>
    </cacheField>
    <cacheField name="Transaction Description" numFmtId="0">
      <sharedItems containsBlank="1" count="465">
        <s v=" "/>
        <m/>
        <s v="Ladisch, Virginie"/>
        <s v="Porciuncula, Mateo"/>
        <s v="Roccatello, Anna Myriam"/>
        <s v="UNPBF coordination meeting transport cost"/>
        <s v="Payment to Gamjobs -National program assistant recruitment"/>
        <s v="Payment for office rent  April 23-March 24"/>
        <s v="Salary May 23 - Gender Consultant - Tuti Nyang"/>
        <s v="Salary May 23 - Finance Officer- Fatoumatta Kanteh"/>
        <s v="Transport refund meeting with MoJ"/>
        <s v="Payment for UPS"/>
        <s v="Payment for banner and branded USB"/>
        <s v="Pyment for meals, accomodation and venue hire-UNPBF strategic planning retreat"/>
        <s v="Vehicle hire for strategic planning retreat"/>
        <s v="Printing fees for strategic planning retreat"/>
        <s v="Participants transport refund"/>
        <s v="Snacks and refreshments for participants"/>
        <s v="Transport refund for participants"/>
        <s v="Participants' incidental cost"/>
        <s v="Resource person's fees"/>
        <s v="Resoucre persons's (NYC) transportation"/>
        <s v="Resoucre persons transporation cost(MOJ)"/>
        <s v="participants' kits (stationery)"/>
        <s v="Recorder"/>
        <s v="Logistics transportation cost"/>
        <s v="JUNE 2023 - PROFESSIONAL SERVICE   - HEAD OF PROGRAM - THE GAMBIA  - D GBERY"/>
        <s v="Salary June 23 - Gender Consultant- Tuti Nyang"/>
        <s v="Salary June 23 - Finance Officer- Fatoumatta Kanteh"/>
        <s v="Taxi fees for dropping of letters to stakeholders-May 2023"/>
        <s v="Taxi fees for dropping of letters to stakeholders-June 2023"/>
        <s v="Snacks for participants"/>
        <s v="Delivery of snacks"/>
        <s v="JULY 2023 - PROFESSIONAL SERVICE   - HEAD OF PROGRAM - THE GAMBIA  - D GBERY"/>
        <s v="Abcas  rental of venue for retreat with partners"/>
        <s v="Pmt to Ousman Conteh for delivery of Invitation Letters"/>
        <s v="Salary July 23 - Gender Consultant- Tuti Nyang"/>
        <s v="DSA for Participants from Four (4) Regions"/>
        <s v="Kits for Participants"/>
        <s v="Resource persons fees"/>
        <s v="Transportion and Logistics"/>
        <s v="Transport refund for participanst from WCR,NBR,CRR,URR &amp; KMC"/>
        <s v="AUGUST 2023 - PAYMENT FOR PROFESSIONAL SERVICE - HEAD OF PROGRAM - THE GAMBIA - D GBERY"/>
        <s v="July-23 Salary for program Assistant"/>
        <s v="HoP office transportation fuel for August 2023"/>
        <s v="Gamjobs - Job Vacancy advert of Legal Adviser Position"/>
        <s v="UNPBF Series 1 training Venue Rental -Senegambia Hotel"/>
        <s v="Salary August 23 - Gender Consultant- Tuti Nyang"/>
        <s v="Salary August 23 - Program Assistant"/>
        <s v="Venue Hire"/>
        <s v="Breakfast, tea &amp; Coffee"/>
        <s v="lunch, Refreshments and water"/>
        <s v="Internet Comium Install &amp; Subs fees 9/23 -11/23"/>
        <s v="Salary September 23 - Gender Consultant- Tuti Nyang"/>
        <s v="Salary September 23 - Program Assistant"/>
        <s v="Salary September 23 - Finance Officer"/>
        <s v="T-Shirts for Participants"/>
        <s v="PAYMENT FOR PROFESSIONAL SERVICE - (SEPTEMBER 2023) HEAD OF PROGRAM - THE GAMBIA &amp; PER DIEM - ETHIOPIA - 11/23 - D GBERY"/>
        <s v="OCTOBER 2023 -PYMT FOR PROF SVC/HEALTH SEPT/MED INS REIMB FY23 (4/4) - HEAD OF PROG - THE GAMBIA - B P D GBERY"/>
        <s v="Delivery of Snacks &amp; refreshment"/>
        <s v="Salary October 23 - Program Assistant"/>
        <s v="Salary October 23 - Finance Officer"/>
        <s v="NOVEMBER 2023 - PAYMENT FOR PROFESSIONAL SERVICE - HEAD OF PROGRAM - THE GAMBIA - D GBERY"/>
        <s v="Sub-grant to Fantanka for UNPBF Act 1.4 &amp; 2.2 implementation"/>
        <s v="Sub-grant to ONOV for UNPBF Act 1.4 &amp; 2.2 implementation"/>
        <s v="Subgrant -PA-The Gambia - UNPBF Act 1.4 &amp; 2.2 implementation"/>
        <s v="Sub-grant to TYW for UNPBF Act 1.4 &amp; 2.2 implementation"/>
        <s v="RTGS Charges on funds transfer to PA-The Gambia"/>
        <s v="RTGS Charges on funds transfer to TYW"/>
        <s v="Transport Refund to Participants"/>
        <s v="Snacks Pack for Participants"/>
        <s v="Delivery charges of snack packs"/>
        <s v="Purchase of Laptop for Legal Consultant paid to Staples"/>
        <s v="IT Support to set up Legal Consultants Laptop. Paid to Leroy"/>
        <s v="Salary November 2023 -Program Assistant"/>
        <s v="DECEMBER 2023 - PAYMENT FOR PROFESSIONAL SERVICE - HEAD OF PROG - B P D GBERY"/>
        <s v="DECEMBER 2023 -REFUND FOR AIR TICKETS FOR 4 MEMBERS OF CONSULTANT FAMILY  - B P D GBERY"/>
        <s v="GBERY/BOUA PIERRE DI     TRAVEL AGENCY SERVICE"/>
        <s v="GBERY/BOUA PIERRE DI     ETHIOPIAN AIRLINES"/>
        <s v="Salary December 2023 -Program Assistant"/>
        <s v="Vehicle Hire Training  Rural Youths By Peer Trainers- UNPBF"/>
        <s v="Credit Airtime for Head of Programs"/>
        <s v="Water Refill Qty 4"/>
        <s v="Ovaltine"/>
        <s v="Shopping Bag"/>
        <s v="Snack Packs for Participants"/>
        <s v="Taxi Hire to CRR for the M &amp; E on partners"/>
        <s v="Meals and refreshment for Program Assistant"/>
        <s v="DSA for team"/>
        <s v="Breakfast, hot beverages"/>
        <s v="Lunch and refreshments"/>
        <s v="Trainers' fees"/>
        <s v="Staionery"/>
        <s v="roundtrip transprtation"/>
        <s v="Transport refund for Trainers"/>
        <s v="JANUARY 2024 - PROFESSIONAL SERVICE   - HEAD OF PROGRAM - THE GAMBIA  - D GBERY"/>
        <s v="Monthly Data for Legal Consultant for Jan-24"/>
        <s v="Salary January 2024 -Programs Assistant"/>
        <s v="DSA for Hop for UNPBF P-P Dialogue in Basse"/>
        <s v="DSA for FO for UNPBF P-P Dialogue in Basse"/>
        <s v="Taxi Hire, meals for Monitoting of TWY &amp; ONOV by Program Ass"/>
        <s v="T-Shirts &amp; Banner PMT  for P-P Dialogue to Unique Graphics"/>
        <s v="Vehicle Hire-UNPBF P-P Dialogue to Afriqcars Motors"/>
        <s v="Credit Airtime for Gender Consultant"/>
        <s v="Credit Airtime for Program Assistant"/>
        <s v="Credit Airtime for Finance Officer"/>
        <s v="Office Line 2 Internet Subscription"/>
        <s v="Newspaper Subscription Monthly Payment"/>
        <s v="Taxi Service for Transportation"/>
        <s v="Nido Milk Qty 1"/>
        <s v="Coffee Qty 1"/>
        <s v="Sugar Cubes Qty 2"/>
        <s v="NAWEC Cash Power December"/>
        <s v="Bleach"/>
        <s v="Food and Refreshment for two days"/>
        <s v="Transport Refund for Participants and Peer trainers"/>
        <s v="Fees for Trainers"/>
        <s v="Mobile Credit for Calls (Mobilization)"/>
        <s v="Transport Refund Invited Guest (NGO Affairs)"/>
        <s v="Venue"/>
        <s v="Fuel for HOP"/>
        <s v="Salary February 2024 -Finance Officer 48%"/>
        <s v="Salary February 2024 -Gender Consultant"/>
        <s v="Salary February 2024 -Programs Assistant"/>
        <s v="Credit Airtime for Legal Consultant"/>
        <s v="Stapling Manchine"/>
        <s v="Led Bulb 2"/>
        <s v="Toilet Roll Qty 1 bag"/>
        <s v="Mugs and Spoon"/>
        <s v="Short broom and Dustpan"/>
        <s v="A4 Paper Box Qty 2"/>
        <s v="Higlighter Pen"/>
        <s v="Air Freshner for  Office Qty 3"/>
        <s v="Hand Wash"/>
        <s v="Bleach Qty 1"/>
        <s v="Delivery Charges"/>
        <s v="Snacks and Soft Drinks"/>
        <s v="PAYMENT FOR PROFESSIONAL SERVICE - HEAD OF PROGRAM THE GAMBIA /HEALTH (FEBRUARY 2024) - D GBERY"/>
        <s v="UNPBF Sub-Grant to PAG"/>
        <s v="UNPBF Sub-Grant to TYW"/>
        <s v="UNPBF Sub-Grant to FANTANKA"/>
        <s v="UNPBF Sub-Grant to ONOV"/>
        <s v="Taxi Services incurred for Office Operations"/>
        <s v="50% pmt for to Yelef for Podcast Production-WP Summary"/>
        <s v="Salary March 2024 -Programs Assistant"/>
        <s v="Salary March 2024 -Finance Officer"/>
        <s v="Salary March 2024 -Gender Consultant"/>
        <s v="Taxi Services to attend UNDP Workshop"/>
        <s v="Taxi Services for Programs Ass. To attend UNBPF Meeting"/>
        <s v="NAWEC Cash Power-March"/>
        <s v="Sugar Cubes"/>
        <s v="Long Broom"/>
        <s v="Madar Liquid Soap Qty 2"/>
        <s v="Air Freshner for  Office Qty 2"/>
        <s v="Internet fees for HoP"/>
        <s v="RTGS Charges on funds transfer to PAG"/>
        <s v="APRIL 2024 - PAYMENT FOR PROFESSIONAL SERVICE - HEAD OF PROGRAM THE GAMBIA /HEALTH - D GBERY"/>
        <s v="Transport For Refund to Participants"/>
        <s v="Snack Packs Participants"/>
        <s v="Taxi Services for delivery of snacks"/>
        <s v="Food and Refreshment for 5 days"/>
        <s v="Transport Refund for Day 1 Participants"/>
        <s v="Mobilization Fees"/>
        <s v="Transportation Fees (Taxi Service)"/>
        <s v="Battery for Mics"/>
        <s v="Transport for preparatory work-Outreach &amp; Sensitization,URR"/>
        <s v="Payment for Printing of 100 copies of User Friendly Version"/>
        <s v="Purchase for Play System for events in rural Areas"/>
        <s v="Salary April 2024 -Finance Officer"/>
        <s v="Salary April 2024 -Programs Assistant"/>
        <s v="Salary April 2024 -Gender Consultant"/>
        <s v="Salary April 2024 -Cleaner, Fatou Kinteh"/>
        <s v="65% Prepaid Office Rent- for the period Apr-2024 to Ma-2025"/>
        <s v="The Gambia IT Support"/>
        <s v="The Gambia Comm Support"/>
        <s v="MAY 2025 - PROF SERVICE - HEAD OF PROG SALARY/HEALTH INS - THE GAMBIA- D GBERY"/>
        <s v="Vehicle Hire-UNPBF Consultation &amp; Outreach"/>
        <s v="Salary May 2024 -Finance Officer"/>
        <s v="Salary May 2024 -Program Assistant"/>
        <s v="Accrued May  Salary 2024 -Gender Consultant"/>
        <s v="Commission on Turnover May-24"/>
        <s v="VAT-Commission on Turnover May-24"/>
        <s v="NAWEC Cash Power - May 2024"/>
        <s v="Air Freshener Qty 2"/>
        <s v="Coffee"/>
        <s v="Milk"/>
        <s v="Water"/>
        <s v="Disposable Cups for dispenser 1 BOX"/>
        <s v="Cartridge For Office Printer"/>
        <s v="Office Internet Subscription  Line-Comium  1  May-July"/>
        <s v="Refund to HoP for Internet Fees in Ivory Coast"/>
        <s v="Annual Newspaper Subscription to Standard Newspaper"/>
        <s v="Second Installment payment to Yelef for Podcast Production"/>
        <s v="Salary May 2024 -Cleaner, Fatou Kinteh"/>
        <s v="Bank Charges on Transfer to QTV"/>
        <s v="Bank Charges on Transfer to Afriqcars"/>
        <s v="Fuel for HoP Office errands for May"/>
        <s v="Refund Airporrt Security Fees to HoP"/>
        <s v="Taxi Services of Air Pick Up and Escort for H.Varney"/>
        <s v="Snack for staff meeting (FY25 Chrono review)"/>
        <s v="JUNE 2025 - PROF SERVICE - HEAD OF PROG SALARY/HEALTH INS - THE GAMBIA- D GBERY"/>
        <s v="Sungrant to FANTANKA - P2P Discussions"/>
        <s v="Sungrant to Think Young Women - P2P Discussions"/>
        <s v="Sungrant to ONOV - P2P Discussions"/>
        <s v="Sungrant to PAG- P2P Discussions"/>
        <s v="Snack Packs (Biscuits), Water &amp; Soft Drink for Participants"/>
        <s v="Lunch For Participants"/>
        <s v="Taxi Services"/>
        <s v="Snack Packs for Participants."/>
        <s v="Delivery of Snack Packs"/>
        <s v="Delivery of Invitation Letters for Steering Comm Meeting"/>
        <s v="50% For Hall Rental aUNPBF steering committee Meeting"/>
        <s v="50% pmt for Coffee Break- UNPBF steering committee Meeting"/>
        <s v="50% Accrued Coffee Break- UNPBF steering committee Meeting"/>
        <s v="50% Accrued Hall Rental aUNPBF steering committee Meeting"/>
        <s v="DSA for Legal Consultant to Monitor Fantanka"/>
        <s v="Taxi Hire for Monitoring Fananka"/>
        <s v="Taxi Services for Delivery of Printed Materials"/>
        <s v="Salary June 2024 -Finance Officer"/>
        <s v="Salary June 2024 -Program Assistant"/>
        <s v="Refund for cost incurred in replace HoP Gate Lock"/>
        <s v="Bank Charges on RTGS Trasfer to TYW"/>
        <s v="Bank Charges on RTGS Trasfer to PAG"/>
        <s v="Internet Subscription for Office Line 2"/>
        <s v="NAWEC Cash Power - June 2024"/>
        <s v="Nescafe Gold Coffee"/>
        <s v="Olinda Tea"/>
        <s v="Sugar St Luis"/>
        <s v="Alkaline Btteries AA and AAA"/>
        <s v="Mouse Pad"/>
        <s v="Bank Charges on Transfer to QTV Refunded"/>
        <s v="Salary June 2024 -Cleaner, Fatou Kinteh"/>
        <s v="JULY 2025 - PROF SERVICE - HEAD OF PROG SALARY/HEALTH INS - THE GAMBIA- D GBERY"/>
        <s v="Pmt to Unique Graphics for the Printing Job for Steering Committee Meeting"/>
        <s v="Pmt for for the Printing 100 copies of WP for Steering Committee Meeting"/>
        <s v="Meals Participants"/>
        <s v="Final pmt to Unique Graphics for Printing 1200 copies of WP."/>
        <s v="Final pmt to Binos Creation for the Caravan Printing Job"/>
        <s v="Vehicle Hire for UNPBF Nationwide Caravan"/>
        <s v="Vehicle Hire for UNPBF P2P &amp; Round table Dialogue"/>
        <s v="Final pmt to Allen Loppy for Sound System &amp; Truck."/>
        <s v="40% pmt to Binos Creation for the Caravan Printing Job"/>
        <s v="50% pmt to Unique Graphics for Printing 1200 copies of WP."/>
        <s v="50% pmt to Allen Loppy for Sound System &amp; Truck."/>
        <s v="Pmt to Aisha Jammeh for Caravan Advert audio production"/>
        <s v="Transport Refund for Peer Trainers"/>
        <s v="Focal Person Fees"/>
        <s v="Transport Refund for Media House"/>
        <s v="Kanyelang Group Performance"/>
        <s v="Consultant Fees"/>
        <s v="Radio Airtime"/>
        <s v="Fuel for Vehicle"/>
        <s v="Bridge and Ferry Crossing"/>
        <s v="Water and Refreshment"/>
        <s v="Sanitary and First Aid Box"/>
        <s v="Catering for Participants"/>
        <s v="Ground (Car/Mileage, Rail, Taxi/Shuttle)"/>
        <s v="Meals &amp; Per Diem"/>
        <s v="Consultants"/>
        <s v="Rental Halls / Convention Center"/>
        <s v="Other Expenses"/>
        <s v="Salary July 2024 -Finance Officer"/>
        <s v="Salary July 2024 -Program Assistant"/>
        <s v="Bank Charges on RTGS Trasfer to Afriqcars"/>
        <s v="Salary July 2024 -Cleaner, Fatou Kinteh"/>
        <s v="NAWEC Cash Power"/>
        <s v="Water for dispenser"/>
        <s v="Ovaltine Qty 1"/>
        <s v="Toner 17A Qty 2"/>
        <s v="A4 Paper Box"/>
        <s v="Led Bulb Qty"/>
        <s v="Water Bottle Packs Qty 2"/>
        <s v="Omo 1 bag"/>
        <s v="Tissue 1 Box"/>
        <s v="Toilet Roll"/>
        <s v="Dustbin"/>
        <s v="Arch Files Qty 3"/>
        <s v="Office trnsportation Fuel Refund to HoP"/>
        <s v="Refund to HoP for the Purchase of Video Project in Ivory Coast"/>
        <s v="AUGUST 2024 - PROF SERVICE - HEAD OF PROG SALARY/HEALTH INS - THE GAMBIA- D GBERY"/>
        <s v="Transport Refund"/>
        <s v="Pmt for press statement release on UNPBF Caravan to foroyaa"/>
        <s v="Pmt for press statement release on UNPBF Caravan to Standard"/>
        <s v="Taxi Services incurred-permit letter andpriority crossing"/>
        <s v="Salary August 2024 -Program Assistant"/>
        <s v="Salary August 2024 -MediaConsultant"/>
        <s v="Bank charges on other Bank Transfer"/>
        <s v="Fuel refund to HoP for office transportation"/>
        <s v="HoP US Visa Fees Payment"/>
        <s v="Taxi Services for office errands paid to Ousman Conteh"/>
        <s v="Dustbin for Finance and Legal Office"/>
        <s v="Water for Bottle Packs"/>
        <s v="Taxi Services refund to FO for office errands."/>
        <s v="Refund- Electrical Maintenance at HoP Residence"/>
        <s v="Bank Charges for Auguts-COT"/>
        <s v="Bank Charges for Auguts-VAT on COT"/>
        <s v="Office Internet Subscription- Aug to Oct 2024"/>
        <s v="Initial payment for Laptop Purchase for HoP"/>
        <s v="Payment for AC's for programs and finance offce"/>
        <s v="Executive Chair for HoP Office"/>
        <s v="Final payment for Laptop Purchase for HoP"/>
        <s v="Refund- Office mainenance (Electrical) &amp; Fan Installation"/>
        <s v="Refund- Grass clearing (Cleaning) at office front"/>
        <s v="Salary August 2024 -Cleaner, Fatou Kinteh"/>
        <s v="Accrue pmt-Re Stocking of office supplies"/>
        <s v="Accrue pmt- Ex. Chair for Media Consultant"/>
        <s v="UNPBF- Subgrant to TYW"/>
        <s v="UNPBF- Subgrant to ONV"/>
        <s v="UNPBF- Subgrant to FANTANKA"/>
        <s v="UNPBF- Subgrant to PAG"/>
        <s v="50% Hall Rental for the Steering Comm. Meeting"/>
        <s v="50% Snacks &amp; Refreshment for the Steering Comm. Meeting"/>
        <s v="DSA for the Program Assistant to Monitor PAG in LRR"/>
        <s v="Vehicle Rental"/>
        <s v="Salary September 2024 -Program Assistant"/>
        <s v="Salary September 2024 -MediaConsultant"/>
        <s v="Credit Airtime for Media Consultant"/>
        <s v="Credit Airtime for Program Associate"/>
        <s v="Nescafe Gold x2"/>
        <s v="Nido Milk powder x2"/>
        <s v="Sugar Cubes x2 boxes"/>
        <s v="Final Pmt to Yelef for Podcast Production &amp; Publishing"/>
        <s v="Bank charges on Bank Transfer  to Afriqcars"/>
        <s v="Pmt for Repairs to Legal Consultant Laptop"/>
        <s v="Pmt. To Ousman for delivery of letters and Airport Trip."/>
        <s v="Salary September 2024 -Cleaner, Fatou Kinteh"/>
        <s v="Bank charges on RTGS to PAG"/>
        <s v="Bank charges on RTGS to TYW"/>
        <s v="50% Accrued Hall Rental for the Steering Comm. Meeting"/>
        <s v="50% Accrued Snacks &amp; Refreshment-Steering Comm. Meeting"/>
        <s v="OCTOBER 2024 - PROF SERVICE - HEAD OF PROG SALARY/HEALTH INS - THE GAMBIA- D GBERY"/>
        <s v="SEPTEMBER 2024 - PROF SERVICE - HEAD OF PROG SALARY/HEALTH INS - THE GAMBIA- D GBERY"/>
        <s v="Vehicle hire for the UNPBF Meeting btw youth &amp; Local Authorities"/>
        <s v="Food and Refreshment for 2 days"/>
        <s v="Hall rental for 2 days"/>
        <s v="Peer Trainer Fees"/>
        <s v="Panelist fees for 6"/>
        <s v="Mobilizations fees"/>
        <s v="Alkaline Battery 4ptx by 45"/>
        <s v="DSA"/>
        <s v="Salary October 2024 -Program Assistant"/>
        <s v="Salary October 2024 -Program Associate"/>
        <s v="Payment for FO Keyboard replacement workmanship"/>
        <s v="Bank charges COT for October 2024"/>
        <s v="Bank Charges VAT on COT"/>
        <s v="Bank Charges on transfer to Niumi FM"/>
        <s v="Nido Milk"/>
        <s v="Adapter for Finance Officer"/>
        <s v="Car Hire to transport the steering committee member from Basse to Banjul"/>
        <s v="Laptop purchase for the Program Associate"/>
        <s v="Refund to HoP FOR Airport Fees &amp; Credit Purchase in Ivory Coast"/>
        <s v="Refund to HoP For Headsets and Keyboard Purchase for Office &amp;  FO"/>
        <s v="Taxi S ervices Payment to Ousman Conteh"/>
        <s v="Salary October 2024 -Cleaner, Fatou Kinteh"/>
        <s v="NOVEMBER 2024 - PROF SERVICE - HEAD OF PROG SALARY/HEALTH INS - THE GAMBIA- D GBERY"/>
        <s v="NOVEMBER 2024 - AIRLINE TICKETS FOR SAMESTHER KARGBO - UNPBF - FERRUZI BUSINESS TRAVEL"/>
        <s v="Vissibility T-Shirts and Banner Printing"/>
        <s v="Meals and Refereshment for two days caravan"/>
        <s v="Vehicle Hire (Van) for two days"/>
        <s v="Podium Truck Hire for 2 Days"/>
        <s v="Sound System Hire for 2 Days"/>
        <s v="Mobilizations fees and Facilitators Fees"/>
        <s v="Radio Talk Shows"/>
        <s v="DSA for Regional Participants"/>
        <s v="Per diem for Reps from other African Countries"/>
        <s v="Reimbursements- Taxi Services to Drake"/>
        <s v="Reimbursements- Airport Secutity Fees and Sea couch to S. Kargbo"/>
        <s v="Airport Security Fees for Reps from other countries"/>
        <s v="Transport Refund to GBA Participants"/>
        <s v="Transport Refund to Regional Participants"/>
        <s v="Resource Person Fees"/>
        <s v="Rapporteur Fees"/>
        <s v="Vehicle Refuelling"/>
        <s v="Artiste Performance- Interlude Sessions"/>
        <s v="50% pmt to Gamjobs for translation-the Regional Conference"/>
        <s v="50% initial pmt to Askanwi for live streaming of PBF Conference"/>
        <s v="Salary November 2024 -Program Assistant"/>
        <s v="Salary November 2024 -Program Associate"/>
        <s v="Detol Anticeptic"/>
        <s v="Whiteboard maker Qty 2"/>
        <s v="Scissors Qty 2"/>
        <s v="Tissue Box"/>
        <s v="Airfreshner Qty 7"/>
        <s v="Difusers QTY 3"/>
        <s v="Tea Box"/>
        <s v="Sanitising Wipes"/>
        <s v="Water Packs for HoP Office"/>
        <s v="Adapter for HoP"/>
        <s v="Bank Charges on transfer to Askanwi"/>
        <s v="Bank charges COT for November 2024"/>
        <s v="Bank Charges on transfer to Gamjobs"/>
        <s v="Pmt. To Comium- Three months office internet, Nov-Jan 2025."/>
        <s v="Bank charges on other Bank Transfer to SDKJ-ICC"/>
        <s v="Taxi Refund to FO for Delivery of Invitation Letters for the Regional Conference."/>
        <s v="Salary November 2024 -Cleaner, Fatou Kinteh"/>
        <s v="Taxi pmt. To  Ousman Conteh- Aiport Transfer of HoP"/>
        <s v="Refund to HoP for taxi services incurred at the airport"/>
        <s v="GBADE/TELOH AMANDINE     ETHIOPIAN AIRLINES"/>
        <s v="GBADE/TELOH AMANDINE     TRAVEL AGENCY SERVICE"/>
        <s v="KAYITESI/ANGELIQUE       ETHIOPIAN AIRLINES"/>
        <s v="KAYITESI/ANGELIQUE       TRAVEL AGENCY SERVICE"/>
        <s v="ODUM/USANI NICHOLAS      ETHIOPIAN AIRLINES"/>
        <s v="ONEN/DOUGLAS DRAKE       ETHIOPIAN AIRLINES"/>
        <s v="ONEN/DOUGLAS DRAKE       TRAVEL AGENCY SERVICE"/>
        <s v="ONGOM/CHRIST             TRAVEL AGENCY SERVICE"/>
        <s v="YANZEE/JONATHAN M D      ETHIOPIAN AIRLINES"/>
        <s v="YANZEE/JONATHAN M D      TRAVEL AGENCY SERVICE"/>
        <s v="REIMBURSEMENT AIRLINE TICKETS FAMILY - CONSULTANCY AGREEMENT - DIDIER GBERY"/>
        <s v="DECEMBER 2024 - PROF SERVICE - HEAD OF PROG SALARY/HEALTH INS - THE GAMBIA- D GBERY"/>
        <s v="Car Hire - Monitoring of Youth Initiative in Basse"/>
        <s v="DSA- Monitoring of Youth Initiative in Basse"/>
        <s v="Pmt. To standard news-Article publishing, Regional Conference"/>
        <s v="Pmt- Farewell dinner with Youth Reps- other nations"/>
        <s v="Hall Rental for the  Regional Conference"/>
        <s v="Meals &amp; Refreshment- Regional Conference"/>
        <s v="Translation Boots and Ewipment-Reg. Conference"/>
        <s v="Final pmt for Live Streaming of Reg. Conference"/>
        <s v="Pmt to Ousman Conteh taxi services- Reg. Conference"/>
        <s v="Final Pmt for Translation Service-Gamjobs"/>
        <s v="Salary December 2024 -Program Associate"/>
        <s v="Salary December 2024 -Media Consultant"/>
        <s v="50% Initial pmt to Binos for Office remodeling"/>
        <s v="Refund to FO- Fuel cost incurred for Office Transportation"/>
        <s v="Office Transportation fuel- HoP"/>
        <s v="Airport Security Fees- HoP"/>
        <s v="Internet Fees incurred in Abidjan refunded-HoP"/>
        <s v="Bank charges COT for December 2024"/>
        <s v="Cash Power"/>
        <s v="Airfreshner Qty 4"/>
        <s v="Office Front Cleaning"/>
        <s v="Bank Charges On transfer to Gamjobs."/>
        <s v="Bank Charges On transfer to Askanwi."/>
        <s v="Bank Charges On transfer to SDKJ-ICC."/>
        <s v="Taxi Services Payment to Ousman Conteh"/>
        <s v="Bank Charges On transfers Reversed"/>
        <s v="Lunh &amp; Refreshment- Yr. end staff meeting &amp; Planning"/>
        <s v="Salary Deccember 2024 -Cleaner, Fatou Kinteh"/>
        <s v="JANUARY 2025 - PROF SERVICE - HEAD OF PROG SALARY/HEALTH INS - THE GAMBIA- D GBERY"/>
        <s v="Transport Refund to Participants from NBR"/>
        <s v="Transport Refund to Participants from URR"/>
        <s v="Transport Refund to Participants from CRR"/>
        <s v="Transport Refund to Participants from LRR"/>
        <s v="Transport Refund to Participants from WCR2"/>
        <s v="Transport Refund to Participants from GBA"/>
        <s v="Transport Refund to Other duty Bearers &amp; Governors"/>
        <s v="Transport Refund to Journalists"/>
        <s v="Panelist Fees Paid"/>
        <s v="Newspaper Publishing- The Voice Newspaper"/>
        <s v="Taxi Services to the Bank wor cash withdrawal"/>
        <s v="Pmt to Binos Visibility Materials- the National Conference"/>
        <s v="Pmt- Meals &amp; Refreshment-National Conference to Bakadaji"/>
        <s v="Pmt-Hall Rental for the PBF National Conference to Bakadaji"/>
        <s v="Accommodation for Reg. Delegates-UNPBF Regional Conference"/>
        <s v="Salary January 2025 -Media Consultant"/>
        <s v="Airport Security Fees- HoP Liberia Trip"/>
        <s v="Salary January 2025 -Cleaner, Fatou Kinteh"/>
        <s v="Executive Chair Purchase for the HoP Office"/>
        <s v="Prepaid office Internet Subscription Feb-July 2025"/>
        <s v="Bank charges COT for January 2025"/>
        <s v="Taxi Services (Office errands) Payment to Ousman Conteh"/>
        <s v="Insternet Subscription for Office Line 2"/>
        <s v="Bag"/>
        <s v="Letter Size Evelops"/>
        <s v="A4 Size Evelops"/>
        <s v="Printer Cartridges; Main Printer, Finance and HoP Office"/>
      </sharedItems>
    </cacheField>
    <cacheField name="Session ID" numFmtId="0">
      <sharedItems/>
    </cacheField>
    <cacheField name="Effective" numFmtId="0">
      <sharedItems containsDate="1" containsBlank="1" containsMixedTypes="1" minDate="2023-04-30T00:00:00" maxDate="2025-02-01T00:00:00" count="41">
        <s v=" "/>
        <m/>
        <d v="2023-04-30T00:00:00"/>
        <d v="2023-05-31T00:00:00"/>
        <d v="2023-06-09T00:00:00"/>
        <d v="2023-06-30T00:00:00"/>
        <d v="2023-07-24T00:00:00"/>
        <d v="2023-07-31T00:00:00"/>
        <d v="2023-08-28T00:00:00"/>
        <d v="2023-08-31T00:00:00"/>
        <d v="2023-09-30T00:00:00"/>
        <d v="2023-10-06T00:00:00"/>
        <d v="2023-10-31T00:00:00"/>
        <d v="2023-11-09T00:00:00"/>
        <d v="2023-11-30T00:00:00"/>
        <d v="2023-12-30T00:00:00"/>
        <d v="2023-12-31T00:00:00"/>
        <d v="2024-01-24T00:00:00"/>
        <d v="2024-01-31T00:00:00"/>
        <d v="2024-02-29T00:00:00"/>
        <d v="2024-03-25T00:00:00"/>
        <d v="2024-03-31T00:00:00"/>
        <d v="2024-04-29T00:00:00"/>
        <d v="2024-04-30T00:00:00"/>
        <d v="2024-05-20T00:00:00"/>
        <d v="2024-05-31T00:00:00"/>
        <d v="2024-06-14T00:00:00"/>
        <d v="2024-06-30T00:00:00"/>
        <d v="2024-07-08T00:00:00"/>
        <d v="2024-07-31T00:00:00"/>
        <d v="2024-08-07T00:00:00"/>
        <d v="2024-08-31T00:00:00"/>
        <d v="2024-09-30T00:00:00"/>
        <d v="2024-10-17T00:00:00"/>
        <d v="2024-10-31T00:00:00"/>
        <d v="2024-11-14T00:00:00"/>
        <d v="2024-11-30T00:00:00"/>
        <d v="2024-12-17T00:00:00"/>
        <d v="2024-12-31T00:00:00"/>
        <d v="2025-01-30T00:00:00"/>
        <d v="2025-01-31T00:00:00"/>
      </sharedItems>
    </cacheField>
    <cacheField name="Debit" numFmtId="0">
      <sharedItems containsBlank="1" containsMixedTypes="1" containsNumber="1" minValue="0" maxValue="15271.44"/>
    </cacheField>
    <cacheField name="Credit" numFmtId="0">
      <sharedItems containsBlank="1" containsMixedTypes="1" containsNumber="1" minValue="7.0000000000000007E-2" maxValue="0.26"/>
    </cacheField>
    <cacheField name="Activity Code" numFmtId="0">
      <sharedItems/>
    </cacheField>
    <cacheField name="Country Code" numFmtId="0">
      <sharedItems/>
    </cacheField>
    <cacheField name="Funder Code" numFmtId="0">
      <sharedItems/>
    </cacheField>
    <cacheField name="Funder Titl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s v=" "/>
    <x v="0"/>
    <s v=" "/>
    <s v=" "/>
    <s v=" "/>
    <s v=" "/>
    <s v=" "/>
    <s v=" "/>
    <s v=" "/>
    <x v="0"/>
    <s v=" "/>
    <s v=" "/>
    <s v=" "/>
    <s v=" "/>
  </r>
  <r>
    <m/>
    <x v="1"/>
    <m/>
    <m/>
    <m/>
    <m/>
    <m/>
    <m/>
    <m/>
    <x v="1"/>
    <m/>
    <m/>
    <m/>
    <m/>
  </r>
  <r>
    <s v="5005"/>
    <x v="2"/>
    <s v="Gambia-JAN 24"/>
    <s v="Salary January 2024 -Programs Assistant"/>
    <s v="JV-MP021424"/>
    <d v="2024-01-31T00:00:00"/>
    <d v="2024-01-31T00:00:00"/>
    <n v="497.69"/>
    <m/>
    <x v="2"/>
    <s v="9999"/>
    <s v="Gam"/>
    <s v="JV"/>
    <s v="3007"/>
  </r>
  <r>
    <s v="5005"/>
    <x v="2"/>
    <s v="Gambia-FEB 24"/>
    <s v="Salary February 2024 -Finance Officer 48%"/>
    <s v="JV-MP031224"/>
    <d v="2024-02-29T00:00:00"/>
    <d v="2024-02-29T00:00:00"/>
    <n v="564.84"/>
    <m/>
    <x v="3"/>
    <s v="9999"/>
    <s v="Gam"/>
    <s v="JV"/>
    <s v="3007"/>
  </r>
  <r>
    <s v="5005"/>
    <x v="2"/>
    <s v="Gambia-FEB 24"/>
    <s v="Salary February 2024 -Gender Consultant"/>
    <s v="JV-MP031224"/>
    <d v="2024-02-29T00:00:00"/>
    <d v="2024-02-29T00:00:00"/>
    <n v="1113.32"/>
    <m/>
    <x v="4"/>
    <s v="9999"/>
    <s v="Gam"/>
    <s v="JV"/>
    <s v="3007"/>
  </r>
  <r>
    <s v="5005"/>
    <x v="2"/>
    <s v="Gambia-FEB 24"/>
    <s v="Salary February 2024 -Programs Assistant"/>
    <s v="JV-MP031224"/>
    <d v="2024-02-29T00:00:00"/>
    <d v="2024-02-29T00:00:00"/>
    <n v="497.02"/>
    <m/>
    <x v="5"/>
    <s v="9999"/>
    <s v="Gam"/>
    <s v="JV"/>
    <s v="3007"/>
  </r>
  <r>
    <s v="5005"/>
    <x v="2"/>
    <s v="Gambia-MAR 24"/>
    <s v="Salary March 2024 -Programs Assistant"/>
    <s v="JV-MP041024"/>
    <d v="2024-03-31T00:00:00"/>
    <d v="2024-03-31T00:00:00"/>
    <n v="500.26"/>
    <m/>
    <x v="6"/>
    <s v="9999"/>
    <s v="Gam"/>
    <s v="JV"/>
    <s v="3007"/>
  </r>
  <r>
    <s v="5005"/>
    <x v="2"/>
    <s v="Gambia-MAR 24"/>
    <s v="Salary March 2024 -Finance Officer"/>
    <s v="JV-MP041024"/>
    <d v="2024-03-31T00:00:00"/>
    <d v="2024-03-31T00:00:00"/>
    <n v="1200.6300000000001"/>
    <m/>
    <x v="7"/>
    <s v="9999"/>
    <s v="Gam"/>
    <s v="JV"/>
    <s v="3007"/>
  </r>
  <r>
    <s v="5005"/>
    <x v="2"/>
    <s v="Gambia-MAR 24"/>
    <s v="Salary March 2024 -Gender Consultant"/>
    <s v="JV-MP041024"/>
    <d v="2024-03-31T00:00:00"/>
    <d v="2024-03-31T00:00:00"/>
    <n v="1120.5899999999999"/>
    <m/>
    <x v="8"/>
    <s v="9999"/>
    <s v="Gam"/>
    <s v="JV"/>
    <s v="3007"/>
  </r>
  <r>
    <s v="5999"/>
    <x v="3"/>
    <s v="Jan 2024 sal Alloc"/>
    <s v="Ladisch, Virginie"/>
    <s v="JV-JS013124 Sal Alloc"/>
    <d v="2024-01-31T00:00:00"/>
    <d v="2024-01-31T00:00:00"/>
    <n v="563.29"/>
    <m/>
    <x v="9"/>
    <s v="9999"/>
    <s v="9999"/>
    <s v="JV"/>
    <s v="3007"/>
  </r>
  <r>
    <s v="5999"/>
    <x v="3"/>
    <s v="Jan 2024 sal Alloc"/>
    <s v="Porciuncula, Mateo"/>
    <s v="JV-JS013124 Sal Alloc"/>
    <d v="2024-01-31T00:00:00"/>
    <d v="2024-01-31T00:00:00"/>
    <n v="436.8"/>
    <m/>
    <x v="10"/>
    <s v="9999"/>
    <s v="9999"/>
    <s v="JV"/>
    <s v="3007"/>
  </r>
  <r>
    <s v="5999"/>
    <x v="3"/>
    <s v="Jan 2024 sal Alloc"/>
    <s v="Roccatello, Anna Myriam"/>
    <s v="JV-JS013124 Sal Alloc"/>
    <d v="2024-01-31T00:00:00"/>
    <d v="2024-01-31T00:00:00"/>
    <n v="720"/>
    <m/>
    <x v="11"/>
    <s v="9999"/>
    <s v="9999"/>
    <s v="JV"/>
    <s v="3007"/>
  </r>
  <r>
    <s v="5999"/>
    <x v="3"/>
    <s v="Feb 2024 sal Alloc"/>
    <s v="Ladisch, Virginie"/>
    <s v="JV-JS022924 Sal Alloc"/>
    <d v="2024-02-29T00:00:00"/>
    <d v="2024-02-29T00:00:00"/>
    <n v="563.29"/>
    <m/>
    <x v="9"/>
    <s v="9999"/>
    <s v="9999"/>
    <s v="JV"/>
    <s v="3007"/>
  </r>
  <r>
    <s v="5999"/>
    <x v="3"/>
    <s v="Feb 2024 sal Alloc"/>
    <s v="Porciuncula, Mateo"/>
    <s v="JV-JS022924 Sal Alloc"/>
    <d v="2024-02-29T00:00:00"/>
    <d v="2024-02-29T00:00:00"/>
    <n v="436.8"/>
    <m/>
    <x v="10"/>
    <s v="9999"/>
    <s v="9999"/>
    <s v="JV"/>
    <s v="3007"/>
  </r>
  <r>
    <s v="5999"/>
    <x v="3"/>
    <s v="Feb 2024 sal Alloc"/>
    <s v="Roccatello, Anna Myriam"/>
    <s v="JV-JS022924 Sal Alloc"/>
    <d v="2024-02-29T00:00:00"/>
    <d v="2024-02-29T00:00:00"/>
    <n v="720"/>
    <m/>
    <x v="11"/>
    <s v="9999"/>
    <s v="9999"/>
    <s v="JV"/>
    <s v="3007"/>
  </r>
  <r>
    <s v="5999"/>
    <x v="3"/>
    <s v="Mar 2024 sal Alloc"/>
    <s v="Ladisch, Virginie"/>
    <s v="JV-JS033124 Sal Alloc"/>
    <d v="2024-03-31T00:00:00"/>
    <d v="2024-03-31T00:00:00"/>
    <n v="563.29"/>
    <m/>
    <x v="9"/>
    <s v="9999"/>
    <s v="9999"/>
    <s v="JV"/>
    <s v="3007"/>
  </r>
  <r>
    <s v="5999"/>
    <x v="3"/>
    <s v="Mar 2024 sal Alloc"/>
    <s v="Porciuncula, Mateo"/>
    <s v="JV-JS033124 Sal Alloc"/>
    <d v="2024-03-31T00:00:00"/>
    <d v="2024-03-31T00:00:00"/>
    <n v="436.8"/>
    <m/>
    <x v="10"/>
    <s v="9999"/>
    <s v="9999"/>
    <s v="JV"/>
    <s v="3007"/>
  </r>
  <r>
    <s v="5999"/>
    <x v="3"/>
    <s v="Mar 2024 sal Alloc"/>
    <s v="Roccatello, Anna Myriam"/>
    <s v="JV-JS033124 Sal Alloc"/>
    <d v="2024-03-31T00:00:00"/>
    <d v="2024-03-31T00:00:00"/>
    <n v="720"/>
    <m/>
    <x v="11"/>
    <s v="9999"/>
    <s v="9999"/>
    <s v="JV"/>
    <s v="3007"/>
  </r>
  <r>
    <s v="6001"/>
    <x v="4"/>
    <s v="10-FY2024"/>
    <s v="JANUARY 2024 - PROFESSIONAL SERVICE   - HEAD OF PROGRAM - THE GAMBIA  - D GBERY"/>
    <s v="cv012424"/>
    <d v="2024-01-24T00:00:00"/>
    <d v="2024-01-24T00:00:00"/>
    <n v="500"/>
    <m/>
    <x v="12"/>
    <s v="9999"/>
    <s v="Gam"/>
    <s v="API"/>
    <s v="3007"/>
  </r>
  <r>
    <s v="6001"/>
    <x v="4"/>
    <s v="Gambia-adv 0124"/>
    <s v="Fees for Trainers"/>
    <s v="JV-MP021424"/>
    <d v="2024-01-31T00:00:00"/>
    <d v="2024-01-31T00:00:00"/>
    <n v="149.68"/>
    <m/>
    <x v="13"/>
    <s v="9999"/>
    <s v="Gam"/>
    <s v="JV"/>
    <s v="3007"/>
  </r>
  <r>
    <s v="6001"/>
    <x v="4"/>
    <s v="11-FY2024"/>
    <s v="PAYMENT FOR PROFESSIONAL SERVICE - HEAD OF PROGRAM THE GAMBIA /HEALTH (FEBRUARY 2024) - D GBERY"/>
    <s v="cv032524"/>
    <d v="2024-03-25T00:00:00"/>
    <d v="2024-03-25T00:00:00"/>
    <n v="2500"/>
    <m/>
    <x v="14"/>
    <s v="9999"/>
    <s v="9999"/>
    <s v="API"/>
    <s v="3007"/>
  </r>
  <r>
    <s v="6001"/>
    <x v="4"/>
    <s v="12 -FY2024"/>
    <s v="MARCH 2024 - PROFESSIONAL SERVICE   - HEAD OF PROGRAM - THE GAMBIA  - D GBERY"/>
    <s v="cv032524"/>
    <d v="2024-03-25T00:00:00"/>
    <d v="2024-03-25T00:00:00"/>
    <n v="3000"/>
    <m/>
    <x v="15"/>
    <s v="9999"/>
    <s v="Gam"/>
    <s v="API"/>
    <s v="3007"/>
  </r>
  <r>
    <s v="6501"/>
    <x v="5"/>
    <s v="Gambia-adv 0124"/>
    <s v="Newspaper Subscription Monthly Payment"/>
    <s v="JV-MP021424"/>
    <d v="2024-01-31T00:00:00"/>
    <d v="2024-01-31T00:00:00"/>
    <n v="9.58"/>
    <m/>
    <x v="16"/>
    <s v="9999"/>
    <s v="Gam"/>
    <s v="JV"/>
    <s v="3007"/>
  </r>
  <r>
    <s v="6501"/>
    <x v="5"/>
    <s v="Gambia-adv 0124"/>
    <s v="Nido Milk Qty 1"/>
    <s v="JV-MP021424"/>
    <d v="2024-01-31T00:00:00"/>
    <d v="2024-01-31T00:00:00"/>
    <n v="10.4"/>
    <m/>
    <x v="17"/>
    <s v="9999"/>
    <s v="Gam"/>
    <s v="JV"/>
    <s v="3007"/>
  </r>
  <r>
    <s v="6501"/>
    <x v="5"/>
    <s v="Gambia-adv 0124"/>
    <s v="Coffee Qty 1"/>
    <s v="JV-MP021424"/>
    <d v="2024-01-31T00:00:00"/>
    <d v="2024-01-31T00:00:00"/>
    <n v="7.86"/>
    <m/>
    <x v="18"/>
    <s v="9999"/>
    <s v="Gam"/>
    <s v="JV"/>
    <s v="3007"/>
  </r>
  <r>
    <s v="6501"/>
    <x v="5"/>
    <s v="Gambia-adv 0124"/>
    <s v="Water Refill Qty 4"/>
    <s v="JV-MP021424"/>
    <d v="2024-01-31T00:00:00"/>
    <d v="2024-01-31T00:00:00"/>
    <n v="0.9"/>
    <m/>
    <x v="19"/>
    <s v="9999"/>
    <s v="Gam"/>
    <s v="JV"/>
    <s v="3007"/>
  </r>
  <r>
    <s v="6501"/>
    <x v="5"/>
    <s v="Gambia-adv 0124"/>
    <s v="Sugar Cubes Qty 2"/>
    <s v="JV-MP021424"/>
    <d v="2024-01-31T00:00:00"/>
    <d v="2024-01-31T00:00:00"/>
    <n v="3.89"/>
    <m/>
    <x v="20"/>
    <s v="9999"/>
    <s v="Gam"/>
    <s v="JV"/>
    <s v="3007"/>
  </r>
  <r>
    <s v="6501"/>
    <x v="5"/>
    <s v="Gambia-adv 0124"/>
    <s v="NAWEC Cash Power December"/>
    <s v="JV-MP021424"/>
    <d v="2024-01-31T00:00:00"/>
    <d v="2024-01-31T00:00:00"/>
    <n v="74.84"/>
    <m/>
    <x v="21"/>
    <s v="9999"/>
    <s v="Gam"/>
    <s v="JV"/>
    <s v="3007"/>
  </r>
  <r>
    <s v="6501"/>
    <x v="5"/>
    <s v="Gambia-adv 0124"/>
    <s v="Bleach"/>
    <s v="JV-MP021424"/>
    <d v="2024-01-31T00:00:00"/>
    <d v="2024-01-31T00:00:00"/>
    <n v="3.59"/>
    <m/>
    <x v="22"/>
    <s v="9999"/>
    <s v="Gam"/>
    <s v="JV"/>
    <s v="3007"/>
  </r>
  <r>
    <s v="6501"/>
    <x v="5"/>
    <s v="Gambia-adv 0124"/>
    <s v="Shopping Bag"/>
    <s v="JV-MP021424"/>
    <d v="2024-01-31T00:00:00"/>
    <d v="2024-01-31T00:00:00"/>
    <n v="7.0000000000000007E-2"/>
    <m/>
    <x v="23"/>
    <s v="9999"/>
    <s v="Gam"/>
    <s v="JV"/>
    <s v="3007"/>
  </r>
  <r>
    <s v="6501"/>
    <x v="5"/>
    <s v="Gambia-adv 0224"/>
    <s v="Newspaper Subscription Monthly Payment"/>
    <s v="JV-MP031224"/>
    <d v="2024-02-29T00:00:00"/>
    <d v="2024-02-29T00:00:00"/>
    <n v="12.98"/>
    <m/>
    <x v="24"/>
    <s v="9999"/>
    <s v="Gam"/>
    <s v="JV"/>
    <s v="3007"/>
  </r>
  <r>
    <s v="6501"/>
    <x v="5"/>
    <s v="Gambia-adv 0224"/>
    <s v="Nido Milk Qty 1"/>
    <s v="JV-MP031224"/>
    <d v="2024-02-29T00:00:00"/>
    <d v="2024-02-29T00:00:00"/>
    <n v="10.25"/>
    <m/>
    <x v="25"/>
    <s v="9999"/>
    <s v="Gam"/>
    <s v="JV"/>
    <s v="3007"/>
  </r>
  <r>
    <s v="6501"/>
    <x v="5"/>
    <s v="Gambia-adv 0224"/>
    <s v="Coffee Qty 1"/>
    <s v="JV-MP031224"/>
    <d v="2024-02-29T00:00:00"/>
    <d v="2024-02-29T00:00:00"/>
    <n v="7.74"/>
    <m/>
    <x v="26"/>
    <s v="9999"/>
    <s v="Gam"/>
    <s v="JV"/>
    <s v="3007"/>
  </r>
  <r>
    <s v="6501"/>
    <x v="5"/>
    <s v="Gambia-adv 0224"/>
    <s v="Water Refill Qty 4"/>
    <s v="JV-MP031224"/>
    <d v="2024-02-29T00:00:00"/>
    <d v="2024-02-29T00:00:00"/>
    <n v="3.54"/>
    <m/>
    <x v="27"/>
    <s v="9999"/>
    <s v="Gam"/>
    <s v="JV"/>
    <s v="3007"/>
  </r>
  <r>
    <s v="6501"/>
    <x v="5"/>
    <s v="Gambia-adv 0224"/>
    <s v="NAWEC Cash Power December"/>
    <s v="JV-MP031224"/>
    <d v="2024-02-29T00:00:00"/>
    <d v="2024-02-29T00:00:00"/>
    <n v="73.75"/>
    <m/>
    <x v="28"/>
    <s v="9999"/>
    <s v="Gam"/>
    <s v="JV"/>
    <s v="3007"/>
  </r>
  <r>
    <s v="6501"/>
    <x v="5"/>
    <s v="Gambia-adv 0224"/>
    <s v="Shopping Bag"/>
    <s v="JV-MP031224"/>
    <d v="2024-02-29T00:00:00"/>
    <d v="2024-02-29T00:00:00"/>
    <n v="7.0000000000000007E-2"/>
    <m/>
    <x v="23"/>
    <s v="9999"/>
    <s v="Gam"/>
    <s v="JV"/>
    <s v="3007"/>
  </r>
  <r>
    <s v="6501"/>
    <x v="5"/>
    <s v="Gambia-adv 0224"/>
    <s v="Stapling Manchine"/>
    <s v="JV-MP031224"/>
    <d v="2024-02-29T00:00:00"/>
    <d v="2024-02-29T00:00:00"/>
    <n v="4.43"/>
    <m/>
    <x v="29"/>
    <s v="9999"/>
    <s v="Gam"/>
    <s v="JV"/>
    <s v="3007"/>
  </r>
  <r>
    <s v="6501"/>
    <x v="5"/>
    <s v="Gambia-adv 0224"/>
    <s v="Led Bulb 2"/>
    <s v="JV-MP031224"/>
    <d v="2024-02-29T00:00:00"/>
    <d v="2024-02-29T00:00:00"/>
    <n v="2.95"/>
    <m/>
    <x v="30"/>
    <s v="9999"/>
    <s v="Gam"/>
    <s v="JV"/>
    <s v="3007"/>
  </r>
  <r>
    <s v="6501"/>
    <x v="5"/>
    <s v="Gambia-adv 0224"/>
    <s v="Toilet Roll Qty 1 bag"/>
    <s v="JV-MP031224"/>
    <d v="2024-02-29T00:00:00"/>
    <d v="2024-02-29T00:00:00"/>
    <n v="10.33"/>
    <m/>
    <x v="31"/>
    <s v="9999"/>
    <s v="Gam"/>
    <s v="JV"/>
    <s v="3007"/>
  </r>
  <r>
    <s v="6501"/>
    <x v="5"/>
    <s v="Gambia-adv 0224"/>
    <s v="Mugs and Spoon"/>
    <s v="JV-MP031224"/>
    <d v="2024-02-29T00:00:00"/>
    <d v="2024-02-29T00:00:00"/>
    <n v="17.04"/>
    <m/>
    <x v="32"/>
    <s v="9999"/>
    <s v="Gam"/>
    <s v="JV"/>
    <s v="3007"/>
  </r>
  <r>
    <s v="6501"/>
    <x v="5"/>
    <s v="Gambia-adv 0224"/>
    <s v="Short broom and Dustpan"/>
    <s v="JV-MP031224"/>
    <d v="2024-02-29T00:00:00"/>
    <d v="2024-02-29T00:00:00"/>
    <n v="1.48"/>
    <m/>
    <x v="33"/>
    <s v="9999"/>
    <s v="Gam"/>
    <s v="JV"/>
    <s v="3007"/>
  </r>
  <r>
    <s v="6501"/>
    <x v="5"/>
    <s v="Gambia-adv 0224"/>
    <s v="A4 Paper Box Qty 2"/>
    <s v="JV-MP031224"/>
    <d v="2024-02-29T00:00:00"/>
    <d v="2024-02-29T00:00:00"/>
    <n v="35.4"/>
    <m/>
    <x v="34"/>
    <s v="9999"/>
    <s v="Gam"/>
    <s v="JV"/>
    <s v="3007"/>
  </r>
  <r>
    <s v="6501"/>
    <x v="5"/>
    <s v="Gambia-adv 0224"/>
    <s v="Higlighter Pen"/>
    <s v="JV-MP031224"/>
    <d v="2024-02-29T00:00:00"/>
    <d v="2024-02-29T00:00:00"/>
    <n v="2.21"/>
    <m/>
    <x v="35"/>
    <s v="9999"/>
    <s v="Gam"/>
    <s v="JV"/>
    <s v="3007"/>
  </r>
  <r>
    <s v="6501"/>
    <x v="5"/>
    <s v="Gambia-adv 0224"/>
    <s v="Air Freshner for  Office Qty 3"/>
    <s v="JV-MP031224"/>
    <d v="2024-02-29T00:00:00"/>
    <d v="2024-02-29T00:00:00"/>
    <n v="10.62"/>
    <m/>
    <x v="36"/>
    <s v="9999"/>
    <s v="Gam"/>
    <s v="JV"/>
    <s v="3007"/>
  </r>
  <r>
    <s v="6501"/>
    <x v="5"/>
    <s v="Gambia-adv 0224"/>
    <s v="Hand Wash"/>
    <s v="JV-MP031224"/>
    <d v="2024-02-29T00:00:00"/>
    <d v="2024-02-29T00:00:00"/>
    <n v="6.05"/>
    <m/>
    <x v="37"/>
    <s v="9999"/>
    <s v="Gam"/>
    <s v="JV"/>
    <s v="3007"/>
  </r>
  <r>
    <s v="6501"/>
    <x v="5"/>
    <s v="Gambia-adv 0224"/>
    <s v="Bleach Qty 1"/>
    <s v="JV-MP031224"/>
    <d v="2024-02-29T00:00:00"/>
    <d v="2024-02-29T00:00:00"/>
    <n v="3.54"/>
    <m/>
    <x v="27"/>
    <s v="9999"/>
    <s v="Gam"/>
    <s v="JV"/>
    <s v="3007"/>
  </r>
  <r>
    <s v="6501"/>
    <x v="5"/>
    <s v="Gambia-adv 0324"/>
    <s v="Nido Milk Qty 1"/>
    <s v="JV-MP041024"/>
    <d v="2024-03-31T00:00:00"/>
    <d v="2024-03-31T00:00:00"/>
    <n v="10.25"/>
    <m/>
    <x v="25"/>
    <s v="9999"/>
    <s v="Gam"/>
    <s v="JV"/>
    <s v="3007"/>
  </r>
  <r>
    <s v="6501"/>
    <x v="5"/>
    <s v="Gambia-adv 0324"/>
    <s v="Coffee Qty 1"/>
    <s v="JV-MP041024"/>
    <d v="2024-03-31T00:00:00"/>
    <d v="2024-03-31T00:00:00"/>
    <n v="7"/>
    <m/>
    <x v="38"/>
    <s v="9999"/>
    <s v="Gam"/>
    <s v="JV"/>
    <s v="3007"/>
  </r>
  <r>
    <s v="6501"/>
    <x v="5"/>
    <s v="Gambia-adv 0324"/>
    <s v="Water Refill Qty 4"/>
    <s v="JV-MP041024"/>
    <d v="2024-03-31T00:00:00"/>
    <d v="2024-03-31T00:00:00"/>
    <n v="3.54"/>
    <m/>
    <x v="27"/>
    <s v="9999"/>
    <s v="Gam"/>
    <s v="JV"/>
    <s v="3007"/>
  </r>
  <r>
    <s v="6501"/>
    <x v="5"/>
    <s v="Gambia-adv 0324"/>
    <s v="NAWEC Cash Power-March"/>
    <s v="JV-MP041024"/>
    <d v="2024-03-31T00:00:00"/>
    <d v="2024-03-31T00:00:00"/>
    <n v="73.73"/>
    <m/>
    <x v="39"/>
    <s v="9999"/>
    <s v="Gam"/>
    <s v="JV"/>
    <s v="3007"/>
  </r>
  <r>
    <s v="6501"/>
    <x v="5"/>
    <s v="Gambia-adv 0324"/>
    <s v="Shopping Bag"/>
    <s v="JV-MP041024"/>
    <d v="2024-03-31T00:00:00"/>
    <d v="2024-03-31T00:00:00"/>
    <n v="7.0000000000000007E-2"/>
    <m/>
    <x v="23"/>
    <s v="9999"/>
    <s v="Gam"/>
    <s v="JV"/>
    <s v="3007"/>
  </r>
  <r>
    <s v="6501"/>
    <x v="5"/>
    <s v="Gambia-adv 0324"/>
    <s v="Sugar Cubes"/>
    <s v="JV-MP041024"/>
    <d v="2024-03-31T00:00:00"/>
    <d v="2024-03-31T00:00:00"/>
    <n v="3.98"/>
    <m/>
    <x v="40"/>
    <s v="9999"/>
    <s v="Gam"/>
    <s v="JV"/>
    <s v="3007"/>
  </r>
  <r>
    <s v="6501"/>
    <x v="5"/>
    <s v="Gambia-adv 0324"/>
    <s v="Long Broom"/>
    <s v="JV-MP041024"/>
    <d v="2024-03-31T00:00:00"/>
    <d v="2024-03-31T00:00:00"/>
    <n v="2.21"/>
    <m/>
    <x v="35"/>
    <s v="9999"/>
    <s v="Gam"/>
    <s v="JV"/>
    <s v="3007"/>
  </r>
  <r>
    <s v="6501"/>
    <x v="5"/>
    <s v="Gambia-adv 0324"/>
    <s v="Madar Liquid Soap Qty 2"/>
    <s v="JV-MP041024"/>
    <d v="2024-03-31T00:00:00"/>
    <d v="2024-03-31T00:00:00"/>
    <n v="3.47"/>
    <m/>
    <x v="41"/>
    <s v="9999"/>
    <s v="Gam"/>
    <s v="JV"/>
    <s v="3007"/>
  </r>
  <r>
    <s v="6501"/>
    <x v="5"/>
    <s v="Gambia-adv 0324"/>
    <s v="Air Freshner for  Office Qty 2"/>
    <s v="JV-MP041024"/>
    <d v="2024-03-31T00:00:00"/>
    <d v="2024-03-31T00:00:00"/>
    <n v="7.08"/>
    <m/>
    <x v="42"/>
    <s v="9999"/>
    <s v="Gam"/>
    <s v="JV"/>
    <s v="3007"/>
  </r>
  <r>
    <s v="6501"/>
    <x v="5"/>
    <s v="Gambia-adv 0324"/>
    <s v="Bleach Qty 1"/>
    <s v="JV-MP041024"/>
    <d v="2024-03-31T00:00:00"/>
    <d v="2024-03-31T00:00:00"/>
    <n v="3.54"/>
    <m/>
    <x v="27"/>
    <s v="9999"/>
    <s v="Gam"/>
    <s v="JV"/>
    <s v="3007"/>
  </r>
  <r>
    <s v="6506"/>
    <x v="6"/>
    <s v="Gambia-adv 0324"/>
    <s v="Newspaper Subscription Monthly Payment"/>
    <s v="JV-MP041024"/>
    <d v="2024-03-31T00:00:00"/>
    <d v="2024-03-31T00:00:00"/>
    <n v="11.8"/>
    <m/>
    <x v="43"/>
    <s v="9999"/>
    <s v="Gam"/>
    <s v="JV"/>
    <s v="3007"/>
  </r>
  <r>
    <s v="6509"/>
    <x v="7"/>
    <s v="Gambia-adv 0124"/>
    <s v="Mobile Credit for Calls (Mobilization)"/>
    <s v="JV-MP021424"/>
    <d v="2024-01-31T00:00:00"/>
    <d v="2024-01-31T00:00:00"/>
    <n v="7.48"/>
    <m/>
    <x v="44"/>
    <s v="9999"/>
    <s v="Gam"/>
    <s v="JV"/>
    <s v="3007"/>
  </r>
  <r>
    <s v="6509"/>
    <x v="7"/>
    <s v="Gambia-adv 0124"/>
    <s v="Credit Airtime for Head of Programs"/>
    <s v="JV-MP021424"/>
    <d v="2024-01-31T00:00:00"/>
    <d v="2024-01-31T00:00:00"/>
    <n v="50.87"/>
    <m/>
    <x v="45"/>
    <s v="9999"/>
    <s v="Gam"/>
    <s v="JV"/>
    <s v="3007"/>
  </r>
  <r>
    <s v="6509"/>
    <x v="7"/>
    <s v="Gambia-adv 0124"/>
    <s v="Credit Airtime for Gender Consultant"/>
    <s v="JV-MP021424"/>
    <d v="2024-01-31T00:00:00"/>
    <d v="2024-01-31T00:00:00"/>
    <n v="39.9"/>
    <m/>
    <x v="46"/>
    <s v="9999"/>
    <s v="Gam"/>
    <s v="JV"/>
    <s v="3007"/>
  </r>
  <r>
    <s v="6509"/>
    <x v="7"/>
    <s v="Gambia-adv 0124"/>
    <s v="Credit Airtime for Program Assistant"/>
    <s v="JV-MP021424"/>
    <d v="2024-01-31T00:00:00"/>
    <d v="2024-01-31T00:00:00"/>
    <n v="40.9"/>
    <m/>
    <x v="47"/>
    <s v="9999"/>
    <s v="Gam"/>
    <s v="JV"/>
    <s v="3007"/>
  </r>
  <r>
    <s v="6509"/>
    <x v="7"/>
    <s v="Gambia-adv 0124"/>
    <s v="Credit Airtime for Finance Officer"/>
    <s v="JV-MP021424"/>
    <d v="2024-01-31T00:00:00"/>
    <d v="2024-01-31T00:00:00"/>
    <n v="40.9"/>
    <m/>
    <x v="47"/>
    <s v="9999"/>
    <s v="Gam"/>
    <s v="JV"/>
    <s v="3007"/>
  </r>
  <r>
    <s v="6509"/>
    <x v="7"/>
    <s v="Gambia-adv 0124"/>
    <s v="Office Line 2 Internet Subscription"/>
    <s v="JV-MP021424"/>
    <d v="2024-01-31T00:00:00"/>
    <d v="2024-01-31T00:00:00"/>
    <n v="28.44"/>
    <m/>
    <x v="48"/>
    <s v="9999"/>
    <s v="Gam"/>
    <s v="JV"/>
    <s v="3007"/>
  </r>
  <r>
    <s v="6509"/>
    <x v="7"/>
    <s v="Gambia-JAN 24"/>
    <s v="Monthly Data for Legal Consultant for Jan-24"/>
    <s v="JV-MP021424"/>
    <d v="2024-01-31T00:00:00"/>
    <d v="2024-01-31T00:00:00"/>
    <n v="39.9"/>
    <m/>
    <x v="46"/>
    <s v="9999"/>
    <s v="Gam"/>
    <s v="JV"/>
    <s v="3007"/>
  </r>
  <r>
    <s v="6509"/>
    <x v="7"/>
    <s v="Gambia-adv 0224"/>
    <s v="Credit Airtime for Head of Programs"/>
    <s v="JV-MP031224"/>
    <d v="2024-02-29T00:00:00"/>
    <d v="2024-02-29T00:00:00"/>
    <n v="50.25"/>
    <m/>
    <x v="49"/>
    <s v="9999"/>
    <s v="Gam"/>
    <s v="JV"/>
    <s v="3007"/>
  </r>
  <r>
    <s v="6509"/>
    <x v="7"/>
    <s v="Gambia-adv 0224"/>
    <s v="Credit Airtime for Gender Consultant"/>
    <s v="JV-MP031224"/>
    <d v="2024-02-29T00:00:00"/>
    <d v="2024-02-29T00:00:00"/>
    <n v="39.409999999999997"/>
    <m/>
    <x v="50"/>
    <s v="9999"/>
    <s v="Gam"/>
    <s v="JV"/>
    <s v="3007"/>
  </r>
  <r>
    <s v="6509"/>
    <x v="7"/>
    <s v="Gambia-adv 0224"/>
    <s v="Credit Airtime for Legal Consultant"/>
    <s v="JV-MP031224"/>
    <d v="2024-02-29T00:00:00"/>
    <d v="2024-02-29T00:00:00"/>
    <n v="39.409999999999997"/>
    <m/>
    <x v="50"/>
    <s v="9999"/>
    <s v="Gam"/>
    <s v="JV"/>
    <s v="3007"/>
  </r>
  <r>
    <s v="6509"/>
    <x v="7"/>
    <s v="Gambia-adv 0224"/>
    <s v="Credit Airtime for Program Assistant"/>
    <s v="JV-MP031224"/>
    <d v="2024-02-29T00:00:00"/>
    <d v="2024-02-29T00:00:00"/>
    <n v="40.4"/>
    <m/>
    <x v="51"/>
    <s v="9999"/>
    <s v="Gam"/>
    <s v="JV"/>
    <s v="3007"/>
  </r>
  <r>
    <s v="6509"/>
    <x v="7"/>
    <s v="Gambia-adv 0224"/>
    <s v="Credit Airtime for Finance Officer"/>
    <s v="JV-MP031224"/>
    <d v="2024-02-29T00:00:00"/>
    <d v="2024-02-29T00:00:00"/>
    <n v="40.4"/>
    <m/>
    <x v="51"/>
    <s v="9999"/>
    <s v="Gam"/>
    <s v="JV"/>
    <s v="3007"/>
  </r>
  <r>
    <s v="6509"/>
    <x v="7"/>
    <s v="Gambia-adv 0324"/>
    <s v="Credit Airtime for Head of Programs"/>
    <s v="JV-MP041024"/>
    <d v="2024-03-31T00:00:00"/>
    <d v="2024-03-31T00:00:00"/>
    <n v="51.01"/>
    <m/>
    <x v="52"/>
    <s v="9999"/>
    <s v="Gam"/>
    <s v="JV"/>
    <s v="3007"/>
  </r>
  <r>
    <s v="6509"/>
    <x v="7"/>
    <s v="Gambia-adv 0324"/>
    <s v="Credit Airtime for Gender Consultant"/>
    <s v="JV-MP041024"/>
    <d v="2024-03-31T00:00:00"/>
    <d v="2024-03-31T00:00:00"/>
    <n v="40.01"/>
    <m/>
    <x v="53"/>
    <s v="9999"/>
    <s v="Gam"/>
    <s v="JV"/>
    <s v="3007"/>
  </r>
  <r>
    <s v="6509"/>
    <x v="7"/>
    <s v="Gambia-adv 0324"/>
    <s v="Credit Airtime for Legal Consultant"/>
    <s v="JV-MP041024"/>
    <d v="2024-03-31T00:00:00"/>
    <d v="2024-03-31T00:00:00"/>
    <n v="40.01"/>
    <m/>
    <x v="53"/>
    <s v="9999"/>
    <s v="Gam"/>
    <s v="JV"/>
    <s v="3007"/>
  </r>
  <r>
    <s v="6509"/>
    <x v="7"/>
    <s v="Gambia-adv 0324"/>
    <s v="Credit Airtime for Program Assistant"/>
    <s v="JV-MP041024"/>
    <d v="2024-03-31T00:00:00"/>
    <d v="2024-03-31T00:00:00"/>
    <n v="41.01"/>
    <m/>
    <x v="54"/>
    <s v="9999"/>
    <s v="Gam"/>
    <s v="JV"/>
    <s v="3007"/>
  </r>
  <r>
    <s v="6509"/>
    <x v="7"/>
    <s v="Gambia-adv 0324"/>
    <s v="Credit Airtime for Finance Officer"/>
    <s v="JV-MP041024"/>
    <d v="2024-03-31T00:00:00"/>
    <d v="2024-03-31T00:00:00"/>
    <n v="41.01"/>
    <m/>
    <x v="54"/>
    <s v="9999"/>
    <s v="Gam"/>
    <s v="JV"/>
    <s v="3007"/>
  </r>
  <r>
    <s v="6509"/>
    <x v="7"/>
    <s v="Gambia-MAR 24 B"/>
    <s v="Internet fees for HoP"/>
    <s v="JV-MP041524-1"/>
    <d v="2024-03-31T00:00:00"/>
    <d v="2024-03-31T00:00:00"/>
    <n v="41.18"/>
    <m/>
    <x v="55"/>
    <s v="9999"/>
    <s v="Gam"/>
    <s v="JV"/>
    <s v="3007"/>
  </r>
  <r>
    <s v="6511"/>
    <x v="8"/>
    <s v="Gambia-MAR 24"/>
    <s v="RTGS Charges on funds transfer to TYW"/>
    <s v="JV-MP041024"/>
    <d v="2024-03-31T00:00:00"/>
    <d v="2024-03-31T00:00:00"/>
    <n v="3.39"/>
    <m/>
    <x v="56"/>
    <s v="9999"/>
    <s v="Gam"/>
    <s v="JV"/>
    <s v="3007"/>
  </r>
  <r>
    <s v="6511"/>
    <x v="8"/>
    <s v="Gambia-MAR 24"/>
    <s v="RTGS Charges on funds transfer to PAG"/>
    <s v="JV-MP041024"/>
    <d v="2024-03-31T00:00:00"/>
    <d v="2024-03-31T00:00:00"/>
    <n v="3.39"/>
    <m/>
    <x v="56"/>
    <s v="9999"/>
    <s v="Gam"/>
    <s v="JV"/>
    <s v="3007"/>
  </r>
  <r>
    <s v="6513"/>
    <x v="9"/>
    <s v="Gambia-JAN 24"/>
    <s v="T-Shirts &amp; Banner PMT  for P-P Dialogue to Unique Graphics"/>
    <s v="JV-MP021424"/>
    <d v="2024-01-31T00:00:00"/>
    <d v="2024-01-31T00:00:00"/>
    <n v="666.09"/>
    <m/>
    <x v="57"/>
    <s v="9999"/>
    <s v="Gam"/>
    <s v="JV"/>
    <s v="3007"/>
  </r>
  <r>
    <s v="6513"/>
    <x v="9"/>
    <s v="Gambia-MAR 24"/>
    <s v="50% pmt for to Yelef for Podcast Production-WP Summary"/>
    <s v="JV-MP041024"/>
    <d v="2024-03-31T00:00:00"/>
    <d v="2024-03-31T00:00:00"/>
    <n v="425.27"/>
    <m/>
    <x v="58"/>
    <s v="9999"/>
    <s v="Gam"/>
    <s v="JV"/>
    <s v="3007"/>
  </r>
  <r>
    <s v="8502"/>
    <x v="10"/>
    <s v="Gambia-JAN 24"/>
    <s v="Vehicle Hire-UNPBF P-P Dialogue to Afriqcars Motors"/>
    <s v="JV-MP021424"/>
    <d v="2024-01-31T00:00:00"/>
    <d v="2024-01-31T00:00:00"/>
    <n v="633.9"/>
    <m/>
    <x v="59"/>
    <s v="9999"/>
    <s v="Gam"/>
    <s v="JV"/>
    <s v="3007"/>
  </r>
  <r>
    <s v="8502"/>
    <x v="10"/>
    <s v="Gambia-adv 0124"/>
    <s v="Taxi Service for Transportation"/>
    <s v="JV-MP021424"/>
    <d v="2024-01-31T00:00:00"/>
    <d v="2024-01-31T00:00:00"/>
    <n v="7.48"/>
    <m/>
    <x v="44"/>
    <s v="9999"/>
    <s v="Gam"/>
    <s v="JV"/>
    <s v="3007"/>
  </r>
  <r>
    <s v="8502"/>
    <x v="10"/>
    <s v="Gambia-adv 0124"/>
    <s v="Transport Refund Invited Guest (NGO Affairs)"/>
    <s v="JV-MP021424"/>
    <d v="2024-01-31T00:00:00"/>
    <d v="2024-01-31T00:00:00"/>
    <n v="7.48"/>
    <m/>
    <x v="44"/>
    <s v="9999"/>
    <s v="Gam"/>
    <s v="JV"/>
    <s v="3007"/>
  </r>
  <r>
    <s v="8502"/>
    <x v="10"/>
    <s v="Gambia-adv 0124"/>
    <s v="DSA for team"/>
    <s v="JV-MP021424"/>
    <d v="2024-01-31T00:00:00"/>
    <d v="2024-01-31T00:00:00"/>
    <n v="598.73"/>
    <m/>
    <x v="60"/>
    <s v="9999"/>
    <s v="Gam"/>
    <s v="JV"/>
    <s v="3007"/>
  </r>
  <r>
    <s v="8502"/>
    <x v="10"/>
    <s v="Gambia-JAN 24"/>
    <s v="Taxi Hire, meals for Monitoting of TWY &amp; ONOV by Program Ass"/>
    <s v="JV-MP021424"/>
    <d v="2024-01-31T00:00:00"/>
    <d v="2024-01-31T00:00:00"/>
    <n v="296.37"/>
    <m/>
    <x v="61"/>
    <s v="9999"/>
    <s v="Gam"/>
    <s v="JV"/>
    <s v="3007"/>
  </r>
  <r>
    <s v="8502"/>
    <x v="10"/>
    <s v="Gambia-adv 0124"/>
    <s v="Transport Refund for Participants and Peer trainers"/>
    <s v="JV-MP021424"/>
    <d v="2024-01-31T00:00:00"/>
    <d v="2024-01-31T00:00:00"/>
    <n v="763.38"/>
    <m/>
    <x v="62"/>
    <s v="9999"/>
    <s v="Gam"/>
    <s v="JV"/>
    <s v="3007"/>
  </r>
  <r>
    <s v="8502"/>
    <x v="10"/>
    <s v="Gambia-adv 0124"/>
    <s v="Fuel for HOP"/>
    <s v="JV-MP021424"/>
    <d v="2024-01-31T00:00:00"/>
    <d v="2024-01-31T00:00:00"/>
    <n v="74.84"/>
    <m/>
    <x v="21"/>
    <s v="9999"/>
    <s v="Gam"/>
    <s v="JV"/>
    <s v="3007"/>
  </r>
  <r>
    <s v="8502"/>
    <x v="10"/>
    <s v="Gambia-adv 0224"/>
    <s v="Transport Refund to Participants"/>
    <s v="JV-MP031224"/>
    <d v="2024-02-29T00:00:00"/>
    <d v="2024-02-29T00:00:00"/>
    <n v="59"/>
    <m/>
    <x v="63"/>
    <s v="9999"/>
    <s v="Gam"/>
    <s v="JV"/>
    <s v="3007"/>
  </r>
  <r>
    <s v="8502"/>
    <x v="10"/>
    <s v="Gambia-adv 0224"/>
    <s v="Delivery Charges"/>
    <s v="JV-MP031224"/>
    <d v="2024-02-29T00:00:00"/>
    <d v="2024-02-29T00:00:00"/>
    <n v="4.43"/>
    <m/>
    <x v="29"/>
    <s v="9999"/>
    <s v="Gam"/>
    <s v="JV"/>
    <s v="3007"/>
  </r>
  <r>
    <s v="8502"/>
    <x v="10"/>
    <s v="Gambia-adv 0224"/>
    <s v="Transport Refund to Participants"/>
    <s v="JV-MP031224"/>
    <d v="2024-02-29T00:00:00"/>
    <d v="2024-02-29T00:00:00"/>
    <n v="36.880000000000003"/>
    <m/>
    <x v="64"/>
    <s v="9999"/>
    <s v="Gam"/>
    <s v="JV"/>
    <s v="3007"/>
  </r>
  <r>
    <s v="8502"/>
    <x v="10"/>
    <s v="Gambia-adv 0224"/>
    <s v="Delivery Charges"/>
    <s v="JV-MP031224"/>
    <d v="2024-02-29T00:00:00"/>
    <d v="2024-02-29T00:00:00"/>
    <n v="4.43"/>
    <m/>
    <x v="29"/>
    <s v="9999"/>
    <s v="Gam"/>
    <s v="JV"/>
    <s v="3007"/>
  </r>
  <r>
    <s v="8502"/>
    <x v="10"/>
    <s v="Gambia-adv 0224"/>
    <s v="Taxi Service for Transportation"/>
    <s v="JV-MP031224"/>
    <d v="2024-02-29T00:00:00"/>
    <d v="2024-02-29T00:00:00"/>
    <n v="11.8"/>
    <m/>
    <x v="43"/>
    <s v="9999"/>
    <s v="Gam"/>
    <s v="JV"/>
    <s v="3007"/>
  </r>
  <r>
    <s v="8502"/>
    <x v="10"/>
    <s v="Gambia-adv 0324"/>
    <s v="Taxi Service for Transportation"/>
    <s v="JV-MP041024"/>
    <d v="2024-03-31T00:00:00"/>
    <d v="2024-03-31T00:00:00"/>
    <n v="8.85"/>
    <m/>
    <x v="65"/>
    <s v="9999"/>
    <s v="Gam"/>
    <s v="JV"/>
    <s v="3007"/>
  </r>
  <r>
    <s v="8502"/>
    <x v="10"/>
    <s v="Gambia-MAR 24"/>
    <s v="Taxi Services incurred for Office Operations"/>
    <s v="JV-MP041024"/>
    <d v="2024-03-31T00:00:00"/>
    <d v="2024-03-31T00:00:00"/>
    <n v="46.82"/>
    <m/>
    <x v="66"/>
    <s v="9999"/>
    <s v="Gam"/>
    <s v="JV"/>
    <s v="3007"/>
  </r>
  <r>
    <s v="8502"/>
    <x v="10"/>
    <s v="Gambia-MAR 24"/>
    <s v="Taxi Services to attend UNDP Workshop"/>
    <s v="JV-MP041024"/>
    <d v="2024-03-31T00:00:00"/>
    <d v="2024-03-31T00:00:00"/>
    <n v="17.7"/>
    <m/>
    <x v="67"/>
    <s v="9999"/>
    <s v="Gam"/>
    <s v="JV"/>
    <s v="3007"/>
  </r>
  <r>
    <s v="8502"/>
    <x v="10"/>
    <s v="Gambia-MAR 24"/>
    <s v="Taxi Services for Programs Ass. To attend UNBPF Meeting"/>
    <s v="JV-MP041024"/>
    <d v="2024-03-31T00:00:00"/>
    <d v="2024-03-31T00:00:00"/>
    <n v="7.37"/>
    <m/>
    <x v="68"/>
    <s v="9999"/>
    <s v="Gam"/>
    <s v="JV"/>
    <s v="3007"/>
  </r>
  <r>
    <s v="8504"/>
    <x v="11"/>
    <s v="Gambia-adv 0124"/>
    <s v="Food and Refreshment for two days"/>
    <s v="JV-MP021424"/>
    <d v="2024-01-31T00:00:00"/>
    <d v="2024-01-31T00:00:00"/>
    <n v="889.11"/>
    <m/>
    <x v="69"/>
    <s v="9999"/>
    <s v="Gam"/>
    <s v="JV"/>
    <s v="3007"/>
  </r>
  <r>
    <s v="8504"/>
    <x v="11"/>
    <s v="Gambia-JAN 24"/>
    <s v="DSA for Hop for UNPBF P-P Dialogue in Basse"/>
    <s v="JV-MP021424"/>
    <d v="2024-01-31T00:00:00"/>
    <d v="2024-01-31T00:00:00"/>
    <n v="74.84"/>
    <m/>
    <x v="21"/>
    <s v="9999"/>
    <s v="Gam"/>
    <s v="JV"/>
    <s v="3007"/>
  </r>
  <r>
    <s v="8504"/>
    <x v="11"/>
    <s v="Gambia-JAN 24"/>
    <s v="DSA for FO for UNPBF P-P Dialogue in Basse"/>
    <s v="JV-MP021424"/>
    <d v="2024-01-31T00:00:00"/>
    <d v="2024-01-31T00:00:00"/>
    <n v="74.84"/>
    <m/>
    <x v="21"/>
    <s v="9999"/>
    <s v="Gam"/>
    <s v="JV"/>
    <s v="3007"/>
  </r>
  <r>
    <s v="8504"/>
    <x v="11"/>
    <s v="Gambia-adv 0224"/>
    <s v="Snacks and Soft Drinks"/>
    <s v="JV-MP031224"/>
    <d v="2024-02-29T00:00:00"/>
    <d v="2024-02-29T00:00:00"/>
    <n v="44.25"/>
    <m/>
    <x v="70"/>
    <s v="9999"/>
    <s v="Gam"/>
    <s v="JV"/>
    <s v="3007"/>
  </r>
  <r>
    <s v="8504"/>
    <x v="11"/>
    <s v="Gambia-adv 0224"/>
    <s v="Snacks for Participants"/>
    <s v="JV-MP031224"/>
    <d v="2024-02-29T00:00:00"/>
    <d v="2024-02-29T00:00:00"/>
    <n v="47.94"/>
    <m/>
    <x v="71"/>
    <s v="9999"/>
    <s v="Gam"/>
    <s v="JV"/>
    <s v="3007"/>
  </r>
  <r>
    <s v="8600"/>
    <x v="12"/>
    <s v="Gambia-adv 0124"/>
    <s v="Venue"/>
    <s v="JV-MP021424"/>
    <d v="2024-01-31T00:00:00"/>
    <d v="2024-01-31T00:00:00"/>
    <n v="89.81"/>
    <m/>
    <x v="72"/>
    <s v="9999"/>
    <s v="Gam"/>
    <s v="JV"/>
    <s v="3007"/>
  </r>
  <r>
    <s v="9300"/>
    <x v="13"/>
    <s v="Gambia-MAR 24"/>
    <s v="UNPBF Sub-Grant to PAG"/>
    <s v="JV-MP041024"/>
    <d v="2024-03-31T00:00:00"/>
    <d v="2024-03-31T00:00:00"/>
    <n v="11543.31"/>
    <m/>
    <x v="73"/>
    <s v=""/>
    <s v=""/>
    <s v="JV"/>
    <s v="3007"/>
  </r>
  <r>
    <s v="9300"/>
    <x v="13"/>
    <s v="Gambia-MAR 24"/>
    <s v="UNPBF Sub-Grant to FANTANKA"/>
    <s v="JV-MP041024"/>
    <d v="2024-03-31T00:00:00"/>
    <d v="2024-03-31T00:00:00"/>
    <n v="12136.84"/>
    <m/>
    <x v="74"/>
    <s v=""/>
    <s v=""/>
    <s v="JV"/>
    <s v="3007"/>
  </r>
  <r>
    <s v="9300"/>
    <x v="13"/>
    <s v="Gambia-MAR 24"/>
    <s v="UNPBF Sub-Grant to ONOV"/>
    <s v="JV-MP041024"/>
    <d v="2024-03-31T00:00:00"/>
    <d v="2024-03-31T00:00:00"/>
    <n v="12268.82"/>
    <m/>
    <x v="75"/>
    <s v=""/>
    <s v=""/>
    <s v="JV"/>
    <s v="3007"/>
  </r>
  <r>
    <s v="9300"/>
    <x v="13"/>
    <s v="Gambia-MAR 24"/>
    <s v="UNPBF Sub-Grant to TYW"/>
    <s v="JV-MP041024"/>
    <d v="2024-03-31T00:00:00"/>
    <d v="2024-03-31T00:00:00"/>
    <n v="12121.36"/>
    <m/>
    <x v="76"/>
    <s v=""/>
    <s v=""/>
    <s v="JV"/>
    <s v="3007"/>
  </r>
</pivotCacheRecords>
</file>

<file path=xl/pivotCache/pivotCacheRecords2.xml><?xml version="1.0" encoding="utf-8"?>
<pivotCacheRecords xmlns="http://schemas.openxmlformats.org/spreadsheetml/2006/main" xmlns:r="http://schemas.openxmlformats.org/officeDocument/2006/relationships" count="758">
  <r>
    <x v="0"/>
    <s v=" "/>
    <x v="0"/>
    <s v=" "/>
    <x v="0"/>
    <s v=" "/>
    <s v=" "/>
    <s v=" "/>
    <s v=" "/>
    <s v=" "/>
    <s v=" "/>
  </r>
  <r>
    <x v="1"/>
    <s v="Salary &amp; Fringes Fund Allocation"/>
    <x v="1"/>
    <s v="Opening Balance"/>
    <x v="1"/>
    <n v="0"/>
    <m/>
    <s v="9999"/>
    <s v="9999"/>
    <s v="3007"/>
    <s v="UN Peace Building Fund (PBF) - The Gambia 01/2023-12/2025"/>
  </r>
  <r>
    <x v="1"/>
    <s v="Salary &amp; Fringes Fund Allocation"/>
    <x v="2"/>
    <s v="JV-JS043023 Sal Alloc"/>
    <x v="2"/>
    <n v="563.28"/>
    <m/>
    <s v="9999"/>
    <s v="9999"/>
    <s v="3007"/>
    <s v="UN Peace Building Fund (PBF) - The Gambia 01/2023-12/2025"/>
  </r>
  <r>
    <x v="1"/>
    <s v="Salary &amp; Fringes Fund Allocation"/>
    <x v="3"/>
    <s v="JV-JS043023 Sal Alloc"/>
    <x v="2"/>
    <n v="436.8"/>
    <m/>
    <s v="9999"/>
    <s v="9999"/>
    <s v="3007"/>
    <s v="UN Peace Building Fund (PBF) - The Gambia 01/2023-12/2025"/>
  </r>
  <r>
    <x v="1"/>
    <s v="Salary &amp; Fringes Fund Allocation"/>
    <x v="4"/>
    <s v="JV-JS043023 Sal Alloc"/>
    <x v="2"/>
    <n v="720"/>
    <m/>
    <s v="9999"/>
    <s v="9999"/>
    <s v="3007"/>
    <s v="UN Peace Building Fund (PBF) - The Gambia 01/2023-12/2025"/>
  </r>
  <r>
    <x v="2"/>
    <s v="Ground (Car/Mileage, Rail, Taxi/Shuttle)"/>
    <x v="5"/>
    <s v="JV-MP061623"/>
    <x v="2"/>
    <n v="41.12"/>
    <m/>
    <s v="9999"/>
    <s v="Gam"/>
    <s v="3007"/>
    <s v="UN Peace Building Fund (PBF) - The Gambia 01/2023-12/2025"/>
  </r>
  <r>
    <x v="3"/>
    <s v="Printing &amp; Publications"/>
    <x v="6"/>
    <s v="JV-MP061623"/>
    <x v="2"/>
    <n v="65.790000000000006"/>
    <m/>
    <s v="9999"/>
    <s v="Gam"/>
    <s v="3007"/>
    <s v="UN Peace Building Fund (PBF) - The Gambia 01/2023-12/2025"/>
  </r>
  <r>
    <x v="1"/>
    <s v="Salary &amp; Fringes Fund Allocation"/>
    <x v="2"/>
    <s v="JV-JS053123 Sal Alloc"/>
    <x v="3"/>
    <n v="563.28"/>
    <m/>
    <s v="9999"/>
    <s v="9999"/>
    <s v="3007"/>
    <s v="UN Peace Building Fund (PBF) - The Gambia 01/2023-12/2025"/>
  </r>
  <r>
    <x v="1"/>
    <s v="Salary &amp; Fringes Fund Allocation"/>
    <x v="3"/>
    <s v="JV-JS053123 Sal Alloc"/>
    <x v="3"/>
    <n v="436.8"/>
    <m/>
    <s v="9999"/>
    <s v="9999"/>
    <s v="3007"/>
    <s v="UN Peace Building Fund (PBF) - The Gambia 01/2023-12/2025"/>
  </r>
  <r>
    <x v="1"/>
    <s v="Salary &amp; Fringes Fund Allocation"/>
    <x v="4"/>
    <s v="JV-JS053123 Sal Alloc"/>
    <x v="3"/>
    <n v="720"/>
    <m/>
    <s v="9999"/>
    <s v="9999"/>
    <s v="3007"/>
    <s v="UN Peace Building Fund (PBF) - The Gambia 01/2023-12/2025"/>
  </r>
  <r>
    <x v="4"/>
    <s v="International Office Rent"/>
    <x v="7"/>
    <s v="JV-MP071923"/>
    <x v="3"/>
    <n v="999.46"/>
    <m/>
    <s v="9999"/>
    <s v="Gam"/>
    <s v="3007"/>
    <s v="UN Peace Building Fund (PBF) - The Gambia 01/2023-12/2025"/>
  </r>
  <r>
    <x v="5"/>
    <s v="Wages - International - Full Time"/>
    <x v="8"/>
    <s v="JV-MP071923"/>
    <x v="3"/>
    <n v="837.89"/>
    <m/>
    <s v="9999"/>
    <s v="Gam"/>
    <s v="3007"/>
    <s v="UN Peace Building Fund (PBF) - The Gambia 01/2023-12/2025"/>
  </r>
  <r>
    <x v="6"/>
    <s v="Wages - International - Part Time"/>
    <x v="9"/>
    <s v="JV-MP071923"/>
    <x v="3"/>
    <n v="498.74"/>
    <m/>
    <s v="9999"/>
    <s v="Gam"/>
    <s v="3007"/>
    <s v="UN Peace Building Fund (PBF) - The Gambia 01/2023-12/2025"/>
  </r>
  <r>
    <x v="2"/>
    <s v="Ground (Car/Mileage, Rail, Taxi/Shuttle)"/>
    <x v="10"/>
    <s v="JV-MP071923"/>
    <x v="3"/>
    <n v="33.6"/>
    <m/>
    <s v="9999"/>
    <s v="Gam"/>
    <s v="3007"/>
    <s v="UN Peace Building Fund (PBF) - The Gambia 01/2023-12/2025"/>
  </r>
  <r>
    <x v="7"/>
    <s v="Office Supplies / Materials"/>
    <x v="11"/>
    <s v="JV-MP071923"/>
    <x v="3"/>
    <n v="125.99"/>
    <m/>
    <s v="9999"/>
    <s v="Gam"/>
    <s v="3007"/>
    <s v="UN Peace Building Fund (PBF) - The Gambia 01/2023-12/2025"/>
  </r>
  <r>
    <x v="3"/>
    <s v="Printing &amp; Publications"/>
    <x v="12"/>
    <s v="JV-MP071923"/>
    <x v="3"/>
    <n v="748.4"/>
    <m/>
    <s v="9999"/>
    <s v="Gam"/>
    <s v="3007"/>
    <s v="UN Peace Building Fund (PBF) - The Gambia 01/2023-12/2025"/>
  </r>
  <r>
    <x v="8"/>
    <s v="Meals &amp; Per Diem"/>
    <x v="13"/>
    <s v="JV-MP071923"/>
    <x v="3"/>
    <n v="4125.2"/>
    <m/>
    <s v="9999"/>
    <s v="Gam"/>
    <s v="3007"/>
    <s v="UN Peace Building Fund (PBF) - The Gambia 01/2023-12/2025"/>
  </r>
  <r>
    <x v="2"/>
    <s v="Ground (Car/Mileage, Rail, Taxi/Shuttle)"/>
    <x v="14"/>
    <s v="JV-MP071923"/>
    <x v="3"/>
    <n v="604.77"/>
    <m/>
    <s v="9999"/>
    <s v="Gam"/>
    <s v="3007"/>
    <s v="UN Peace Building Fund (PBF) - The Gambia 01/2023-12/2025"/>
  </r>
  <r>
    <x v="3"/>
    <s v="Printing &amp; Publications"/>
    <x v="15"/>
    <s v="JV-MP071923"/>
    <x v="3"/>
    <n v="281.39"/>
    <m/>
    <s v="9999"/>
    <s v="Gam"/>
    <s v="3007"/>
    <s v="UN Peace Building Fund (PBF) - The Gambia 01/2023-12/2025"/>
  </r>
  <r>
    <x v="2"/>
    <s v="Ground (Car/Mileage, Rail, Taxi/Shuttle)"/>
    <x v="16"/>
    <s v="JV-MP071923"/>
    <x v="3"/>
    <n v="33.6"/>
    <m/>
    <s v="9999"/>
    <s v="Gam"/>
    <s v="3007"/>
    <s v="UN Peace Building Fund (PBF) - The Gambia 01/2023-12/2025"/>
  </r>
  <r>
    <x v="8"/>
    <s v="Meals &amp; Per Diem"/>
    <x v="17"/>
    <s v="JV-MP071923"/>
    <x v="3"/>
    <n v="56.45"/>
    <m/>
    <s v="9999"/>
    <s v="Gam"/>
    <s v="3007"/>
    <s v="UN Peace Building Fund (PBF) - The Gambia 01/2023-12/2025"/>
  </r>
  <r>
    <x v="2"/>
    <s v="Ground (Car/Mileage, Rail, Taxi/Shuttle)"/>
    <x v="18"/>
    <s v="JV-MP071923"/>
    <x v="3"/>
    <n v="436.78"/>
    <m/>
    <s v="9999"/>
    <s v="Gam"/>
    <s v="3007"/>
    <s v="UN Peace Building Fund (PBF) - The Gambia 01/2023-12/2025"/>
  </r>
  <r>
    <x v="8"/>
    <s v="Meals &amp; Per Diem"/>
    <x v="19"/>
    <s v="JV-MP071923"/>
    <x v="3"/>
    <n v="1310.33"/>
    <m/>
    <s v="9999"/>
    <s v="Gam"/>
    <s v="3007"/>
    <s v="UN Peace Building Fund (PBF) - The Gambia 01/2023-12/2025"/>
  </r>
  <r>
    <x v="9"/>
    <s v="Other Expenses"/>
    <x v="20"/>
    <s v="JV-MP071923"/>
    <x v="3"/>
    <n v="100.79"/>
    <m/>
    <s v="9999"/>
    <s v="Gam"/>
    <s v="3007"/>
    <s v="UN Peace Building Fund (PBF) - The Gambia 01/2023-12/2025"/>
  </r>
  <r>
    <x v="2"/>
    <s v="Ground (Car/Mileage, Rail, Taxi/Shuttle)"/>
    <x v="21"/>
    <s v="JV-MP071923"/>
    <x v="3"/>
    <n v="33.6"/>
    <m/>
    <s v="9999"/>
    <s v="Gam"/>
    <s v="3007"/>
    <s v="UN Peace Building Fund (PBF) - The Gambia 01/2023-12/2025"/>
  </r>
  <r>
    <x v="2"/>
    <s v="Ground (Car/Mileage, Rail, Taxi/Shuttle)"/>
    <x v="22"/>
    <s v="JV-MP071923"/>
    <x v="3"/>
    <n v="67.2"/>
    <m/>
    <s v="9999"/>
    <s v="Gam"/>
    <s v="3007"/>
    <s v="UN Peace Building Fund (PBF) - The Gambia 01/2023-12/2025"/>
  </r>
  <r>
    <x v="7"/>
    <s v="Office Supplies / Materials"/>
    <x v="23"/>
    <s v="JV-MP071923"/>
    <x v="3"/>
    <n v="113.31"/>
    <m/>
    <s v="9999"/>
    <s v="Gam"/>
    <s v="3007"/>
    <s v="UN Peace Building Fund (PBF) - The Gambia 01/2023-12/2025"/>
  </r>
  <r>
    <x v="7"/>
    <s v="Office Supplies / Materials"/>
    <x v="24"/>
    <s v="JV-MP071923"/>
    <x v="3"/>
    <n v="75.599999999999994"/>
    <m/>
    <s v="9999"/>
    <s v="Gam"/>
    <s v="3007"/>
    <s v="UN Peace Building Fund (PBF) - The Gambia 01/2023-12/2025"/>
  </r>
  <r>
    <x v="8"/>
    <s v="Meals &amp; Per Diem"/>
    <x v="25"/>
    <s v="JV-MP071923"/>
    <x v="3"/>
    <n v="43.68"/>
    <m/>
    <s v="9999"/>
    <s v="Gam"/>
    <s v="3007"/>
    <s v="UN Peace Building Fund (PBF) - The Gambia 01/2023-12/2025"/>
  </r>
  <r>
    <x v="10"/>
    <s v="Consultants"/>
    <x v="26"/>
    <s v="cv060923"/>
    <x v="4"/>
    <n v="4000"/>
    <m/>
    <s v="9999"/>
    <s v="Gam"/>
    <s v="3007"/>
    <s v="UN Peace Building Fund (PBF) - The Gambia 01/2023-12/2025"/>
  </r>
  <r>
    <x v="1"/>
    <s v="Salary &amp; Fringes Fund Allocation"/>
    <x v="2"/>
    <s v="JV-JS063023 Sal Alloc"/>
    <x v="5"/>
    <n v="563.28"/>
    <m/>
    <s v="9999"/>
    <s v="9999"/>
    <s v="3007"/>
    <s v="UN Peace Building Fund (PBF) - The Gambia 01/2023-12/2025"/>
  </r>
  <r>
    <x v="1"/>
    <s v="Salary &amp; Fringes Fund Allocation"/>
    <x v="3"/>
    <s v="JV-JS063023 Sal Alloc"/>
    <x v="5"/>
    <n v="436.8"/>
    <m/>
    <s v="9999"/>
    <s v="9999"/>
    <s v="3007"/>
    <s v="UN Peace Building Fund (PBF) - The Gambia 01/2023-12/2025"/>
  </r>
  <r>
    <x v="1"/>
    <s v="Salary &amp; Fringes Fund Allocation"/>
    <x v="4"/>
    <s v="JV-JS063023 Sal Alloc"/>
    <x v="5"/>
    <n v="720"/>
    <m/>
    <s v="9999"/>
    <s v="9999"/>
    <s v="3007"/>
    <s v="UN Peace Building Fund (PBF) - The Gambia 01/2023-12/2025"/>
  </r>
  <r>
    <x v="5"/>
    <s v="Wages - International - Full Time"/>
    <x v="27"/>
    <s v="JV-MP072723-1"/>
    <x v="5"/>
    <n v="839.01"/>
    <m/>
    <s v="9999"/>
    <s v="Gam"/>
    <s v="3007"/>
    <s v="UN Peace Building Fund (PBF) - The Gambia 01/2023-12/2025"/>
  </r>
  <r>
    <x v="6"/>
    <s v="Wages - International - Part Time"/>
    <x v="28"/>
    <s v="JV-MP072723-1"/>
    <x v="5"/>
    <n v="499.41"/>
    <m/>
    <s v="9999"/>
    <s v="Gam"/>
    <s v="3007"/>
    <s v="UN Peace Building Fund (PBF) - The Gambia 01/2023-12/2025"/>
  </r>
  <r>
    <x v="2"/>
    <s v="Ground (Car/Mileage, Rail, Taxi/Shuttle)"/>
    <x v="29"/>
    <s v="JV-MP072723-1"/>
    <x v="5"/>
    <n v="25.32"/>
    <m/>
    <s v="9999"/>
    <s v="Gam"/>
    <s v="3007"/>
    <s v="UN Peace Building Fund (PBF) - The Gambia 01/2023-12/2025"/>
  </r>
  <r>
    <x v="2"/>
    <s v="Ground (Car/Mileage, Rail, Taxi/Shuttle)"/>
    <x v="30"/>
    <s v="JV-MP072723-1"/>
    <x v="5"/>
    <n v="25.32"/>
    <m/>
    <s v="9999"/>
    <s v="Gam"/>
    <s v="3007"/>
    <s v="UN Peace Building Fund (PBF) - The Gambia 01/2023-12/2025"/>
  </r>
  <r>
    <x v="8"/>
    <s v="Meals &amp; Per Diem"/>
    <x v="31"/>
    <s v="JV-MP072723-1"/>
    <x v="5"/>
    <n v="18.309999999999999"/>
    <m/>
    <s v="9999"/>
    <s v="Gam"/>
    <s v="3007"/>
    <s v="UN Peace Building Fund (PBF) - The Gambia 01/2023-12/2025"/>
  </r>
  <r>
    <x v="2"/>
    <s v="Ground (Car/Mileage, Rail, Taxi/Shuttle)"/>
    <x v="32"/>
    <s v="JV-MP072723-1"/>
    <x v="5"/>
    <n v="6.75"/>
    <m/>
    <s v="9999"/>
    <s v="Gam"/>
    <s v="3007"/>
    <s v="UN Peace Building Fund (PBF) - The Gambia 01/2023-12/2025"/>
  </r>
  <r>
    <x v="2"/>
    <s v="Ground (Car/Mileage, Rail, Taxi/Shuttle)"/>
    <x v="18"/>
    <s v="JV-MP072723-1"/>
    <x v="5"/>
    <n v="42.2"/>
    <m/>
    <s v="9999"/>
    <s v="Gam"/>
    <s v="3007"/>
    <s v="UN Peace Building Fund (PBF) - The Gambia 01/2023-12/2025"/>
  </r>
  <r>
    <x v="2"/>
    <s v="Ground (Car/Mileage, Rail, Taxi/Shuttle)"/>
    <x v="18"/>
    <s v="JV-MP072723-1"/>
    <x v="5"/>
    <n v="25.32"/>
    <m/>
    <s v="9999"/>
    <s v="Gam"/>
    <s v="3007"/>
    <s v="UN Peace Building Fund (PBF) - The Gambia 01/2023-12/2025"/>
  </r>
  <r>
    <x v="10"/>
    <s v="Consultants"/>
    <x v="33"/>
    <s v="cv072423"/>
    <x v="6"/>
    <n v="4000"/>
    <m/>
    <s v="9999"/>
    <s v="Gam"/>
    <s v="3007"/>
    <s v="UN Peace Building Fund (PBF) - The Gambia 01/2023-12/2025"/>
  </r>
  <r>
    <x v="1"/>
    <s v="Salary &amp; Fringes Fund Allocation"/>
    <x v="2"/>
    <s v="JV-JS073123 Sal Alloc"/>
    <x v="7"/>
    <n v="563.29"/>
    <m/>
    <s v="9999"/>
    <s v="9999"/>
    <s v="3007"/>
    <s v="UN Peace Building Fund (PBF) - The Gambia 01/2023-12/2025"/>
  </r>
  <r>
    <x v="1"/>
    <s v="Salary &amp; Fringes Fund Allocation"/>
    <x v="3"/>
    <s v="JV-JS073123 Sal Alloc"/>
    <x v="7"/>
    <n v="436.8"/>
    <m/>
    <s v="9999"/>
    <s v="9999"/>
    <s v="3007"/>
    <s v="UN Peace Building Fund (PBF) - The Gambia 01/2023-12/2025"/>
  </r>
  <r>
    <x v="1"/>
    <s v="Salary &amp; Fringes Fund Allocation"/>
    <x v="4"/>
    <s v="JV-JS073123 Sal Alloc"/>
    <x v="7"/>
    <n v="720"/>
    <m/>
    <s v="9999"/>
    <s v="9999"/>
    <s v="3007"/>
    <s v="UN Peace Building Fund (PBF) - The Gambia 01/2023-12/2025"/>
  </r>
  <r>
    <x v="11"/>
    <s v="Rental Halls / Convention Center"/>
    <x v="34"/>
    <s v="JV-MP100923"/>
    <x v="7"/>
    <n v="2278.6"/>
    <m/>
    <s v="9999"/>
    <s v="Gam"/>
    <s v="3007"/>
    <s v="UN Peace Building Fund (PBF) - The Gambia 01/2023-12/2025"/>
  </r>
  <r>
    <x v="2"/>
    <s v="Ground (Car/Mileage, Rail, Taxi/Shuttle)"/>
    <x v="35"/>
    <s v="JV-MP100923"/>
    <x v="7"/>
    <n v="25.24"/>
    <m/>
    <s v="9999"/>
    <s v="Gam"/>
    <s v="3007"/>
    <s v="UN Peace Building Fund (PBF) - The Gambia 01/2023-12/2025"/>
  </r>
  <r>
    <x v="5"/>
    <s v="Wages - International - Full Time"/>
    <x v="36"/>
    <s v="JV-MP100923"/>
    <x v="7"/>
    <n v="839.67"/>
    <m/>
    <s v="9999"/>
    <s v="Gam"/>
    <s v="3007"/>
    <s v="UN Peace Building Fund (PBF) - The Gambia 01/2023-12/2025"/>
  </r>
  <r>
    <x v="8"/>
    <s v="Meals &amp; Per Diem"/>
    <x v="31"/>
    <s v="JV-MP100923"/>
    <x v="7"/>
    <n v="16.82"/>
    <m/>
    <s v="9999"/>
    <s v="Gam"/>
    <s v="3007"/>
    <s v="UN Peace Building Fund (PBF) - The Gambia 01/2023-12/2025"/>
  </r>
  <r>
    <x v="2"/>
    <s v="Ground (Car/Mileage, Rail, Taxi/Shuttle)"/>
    <x v="32"/>
    <s v="JV-MP100923"/>
    <x v="7"/>
    <n v="6.73"/>
    <m/>
    <s v="9999"/>
    <s v="Gam"/>
    <s v="3007"/>
    <s v="UN Peace Building Fund (PBF) - The Gambia 01/2023-12/2025"/>
  </r>
  <r>
    <x v="2"/>
    <s v="Ground (Car/Mileage, Rail, Taxi/Shuttle)"/>
    <x v="18"/>
    <s v="JV-MP100923"/>
    <x v="7"/>
    <n v="50.47"/>
    <m/>
    <s v="9999"/>
    <s v="Gam"/>
    <s v="3007"/>
    <s v="UN Peace Building Fund (PBF) - The Gambia 01/2023-12/2025"/>
  </r>
  <r>
    <x v="8"/>
    <s v="Meals &amp; Per Diem"/>
    <x v="31"/>
    <s v="JV-MP100923"/>
    <x v="7"/>
    <n v="45.42"/>
    <m/>
    <s v="9999"/>
    <s v="Gam"/>
    <s v="3007"/>
    <s v="UN Peace Building Fund (PBF) - The Gambia 01/2023-12/2025"/>
  </r>
  <r>
    <x v="2"/>
    <s v="Ground (Car/Mileage, Rail, Taxi/Shuttle)"/>
    <x v="32"/>
    <s v="JV-MP100923"/>
    <x v="7"/>
    <n v="3.36"/>
    <m/>
    <s v="9999"/>
    <s v="Gam"/>
    <s v="3007"/>
    <s v="UN Peace Building Fund (PBF) - The Gambia 01/2023-12/2025"/>
  </r>
  <r>
    <x v="2"/>
    <s v="Ground (Car/Mileage, Rail, Taxi/Shuttle)"/>
    <x v="18"/>
    <s v="JV-MP100923"/>
    <x v="7"/>
    <n v="126.18"/>
    <m/>
    <s v="9999"/>
    <s v="Gam"/>
    <s v="3007"/>
    <s v="UN Peace Building Fund (PBF) - The Gambia 01/2023-12/2025"/>
  </r>
  <r>
    <x v="8"/>
    <s v="Meals &amp; Per Diem"/>
    <x v="37"/>
    <s v="JV-MP100923"/>
    <x v="7"/>
    <n v="1211.31"/>
    <m/>
    <s v="9999"/>
    <s v="Gam"/>
    <s v="3007"/>
    <s v="UN Peace Building Fund (PBF) - The Gambia 01/2023-12/2025"/>
  </r>
  <r>
    <x v="7"/>
    <s v="Office Supplies / Materials"/>
    <x v="38"/>
    <s v="JV-MP100923"/>
    <x v="7"/>
    <n v="63.09"/>
    <m/>
    <s v="9999"/>
    <s v="Gam"/>
    <s v="3007"/>
    <s v="UN Peace Building Fund (PBF) - The Gambia 01/2023-12/2025"/>
  </r>
  <r>
    <x v="12"/>
    <s v="Professional Development"/>
    <x v="39"/>
    <s v="JV-MP100923"/>
    <x v="7"/>
    <n v="100.94"/>
    <m/>
    <s v="9999"/>
    <s v="Gam"/>
    <s v="3007"/>
    <s v="UN Peace Building Fund (PBF) - The Gambia 01/2023-12/2025"/>
  </r>
  <r>
    <x v="2"/>
    <s v="Ground (Car/Mileage, Rail, Taxi/Shuttle)"/>
    <x v="40"/>
    <s v="JV-MP100923"/>
    <x v="7"/>
    <n v="8.41"/>
    <m/>
    <s v="9999"/>
    <s v="Gam"/>
    <s v="3007"/>
    <s v="UN Peace Building Fund (PBF) - The Gambia 01/2023-12/2025"/>
  </r>
  <r>
    <x v="2"/>
    <s v="Ground (Car/Mileage, Rail, Taxi/Shuttle)"/>
    <x v="41"/>
    <s v="JV-MP100923"/>
    <x v="7"/>
    <n v="436.41"/>
    <m/>
    <s v="9999"/>
    <s v="Gam"/>
    <s v="3007"/>
    <s v="UN Peace Building Fund (PBF) - The Gambia 01/2023-12/2025"/>
  </r>
  <r>
    <x v="10"/>
    <s v="Consultants"/>
    <x v="42"/>
    <s v="CV082823"/>
    <x v="8"/>
    <n v="1000"/>
    <m/>
    <s v="9999"/>
    <s v="Gam"/>
    <s v="3007"/>
    <s v="UN Peace Building Fund (PBF) - The Gambia 01/2023-12/2025"/>
  </r>
  <r>
    <x v="1"/>
    <s v="Salary &amp; Fringes Fund Allocation"/>
    <x v="2"/>
    <s v="JV-JS083123 Sal Alloc"/>
    <x v="9"/>
    <n v="563.29"/>
    <m/>
    <s v="9999"/>
    <s v="9999"/>
    <s v="3007"/>
    <s v="UN Peace Building Fund (PBF) - The Gambia 01/2023-12/2025"/>
  </r>
  <r>
    <x v="1"/>
    <s v="Salary &amp; Fringes Fund Allocation"/>
    <x v="3"/>
    <s v="JV-JS083123 Sal Alloc"/>
    <x v="9"/>
    <n v="436.8"/>
    <m/>
    <s v="9999"/>
    <s v="9999"/>
    <s v="3007"/>
    <s v="UN Peace Building Fund (PBF) - The Gambia 01/2023-12/2025"/>
  </r>
  <r>
    <x v="1"/>
    <s v="Salary &amp; Fringes Fund Allocation"/>
    <x v="4"/>
    <s v="JV-JS083123 Sal Alloc"/>
    <x v="9"/>
    <n v="720"/>
    <m/>
    <s v="9999"/>
    <s v="9999"/>
    <s v="3007"/>
    <s v="UN Peace Building Fund (PBF) - The Gambia 01/2023-12/2025"/>
  </r>
  <r>
    <x v="5"/>
    <s v="Wages - International - Full Time"/>
    <x v="43"/>
    <s v="JV-MP101023"/>
    <x v="9"/>
    <n v="490.19"/>
    <m/>
    <s v="9999"/>
    <s v="Gam"/>
    <s v="3007"/>
    <s v="UN Peace Building Fund (PBF) - The Gambia 01/2023-12/2025"/>
  </r>
  <r>
    <x v="2"/>
    <s v="Ground (Car/Mileage, Rail, Taxi/Shuttle)"/>
    <x v="44"/>
    <s v="JV-MP101023"/>
    <x v="9"/>
    <n v="49.48"/>
    <m/>
    <s v="9999"/>
    <s v="Gam"/>
    <s v="3007"/>
    <s v="UN Peace Building Fund (PBF) - The Gambia 01/2023-12/2025"/>
  </r>
  <r>
    <x v="13"/>
    <s v="Recruitment / Placement"/>
    <x v="45"/>
    <s v="JV-MP101023"/>
    <x v="9"/>
    <n v="65.97"/>
    <m/>
    <s v="9999"/>
    <s v="Gam"/>
    <s v="3007"/>
    <s v="UN Peace Building Fund (PBF) - The Gambia 01/2023-12/2025"/>
  </r>
  <r>
    <x v="11"/>
    <s v="Rental Halls / Convention Center"/>
    <x v="46"/>
    <s v="JV-MP101023"/>
    <x v="9"/>
    <n v="2307.44"/>
    <m/>
    <s v="9999"/>
    <s v="Gam"/>
    <s v="3007"/>
    <s v="UN Peace Building Fund (PBF) - The Gambia 01/2023-12/2025"/>
  </r>
  <r>
    <x v="5"/>
    <s v="Wages - International - Full Time"/>
    <x v="47"/>
    <s v="JV-MP101023"/>
    <x v="9"/>
    <n v="837.49"/>
    <m/>
    <s v="9999"/>
    <s v="Gam"/>
    <s v="3007"/>
    <s v="UN Peace Building Fund (PBF) - The Gambia 01/2023-12/2025"/>
  </r>
  <r>
    <x v="5"/>
    <s v="Wages - International - Full Time"/>
    <x v="48"/>
    <s v="JV-MP101023"/>
    <x v="9"/>
    <n v="498.51"/>
    <m/>
    <s v="9999"/>
    <s v="Gam"/>
    <s v="3007"/>
    <s v="UN Peace Building Fund (PBF) - The Gambia 01/2023-12/2025"/>
  </r>
  <r>
    <x v="8"/>
    <s v="Meals &amp; Per Diem"/>
    <x v="37"/>
    <s v="JV-MP101023"/>
    <x v="9"/>
    <n v="1055.58"/>
    <m/>
    <s v="9999"/>
    <s v="Gam"/>
    <s v="3007"/>
    <s v="UN Peace Building Fund (PBF) - The Gambia 01/2023-12/2025"/>
  </r>
  <r>
    <x v="11"/>
    <s v="Rental Halls / Convention Center"/>
    <x v="49"/>
    <s v="JV-MP101023"/>
    <x v="9"/>
    <n v="164.93"/>
    <m/>
    <s v="9999"/>
    <s v="Gam"/>
    <s v="3007"/>
    <s v="UN Peace Building Fund (PBF) - The Gambia 01/2023-12/2025"/>
  </r>
  <r>
    <x v="12"/>
    <s v="Professional Development"/>
    <x v="39"/>
    <s v="JV-MP101023"/>
    <x v="9"/>
    <n v="49.48"/>
    <m/>
    <s v="9999"/>
    <s v="Gam"/>
    <s v="3007"/>
    <s v="UN Peace Building Fund (PBF) - The Gambia 01/2023-12/2025"/>
  </r>
  <r>
    <x v="8"/>
    <s v="Meals &amp; Per Diem"/>
    <x v="50"/>
    <s v="JV-MP101023"/>
    <x v="9"/>
    <n v="204.52"/>
    <m/>
    <s v="9999"/>
    <s v="Gam"/>
    <s v="3007"/>
    <s v="UN Peace Building Fund (PBF) - The Gambia 01/2023-12/2025"/>
  </r>
  <r>
    <x v="8"/>
    <s v="Meals &amp; Per Diem"/>
    <x v="51"/>
    <s v="JV-MP101023"/>
    <x v="9"/>
    <n v="715.82"/>
    <m/>
    <s v="9999"/>
    <s v="Gam"/>
    <s v="3007"/>
    <s v="UN Peace Building Fund (PBF) - The Gambia 01/2023-12/2025"/>
  </r>
  <r>
    <x v="2"/>
    <s v="Ground (Car/Mileage, Rail, Taxi/Shuttle)"/>
    <x v="41"/>
    <s v="JV-MP101023"/>
    <x v="9"/>
    <n v="387.93"/>
    <m/>
    <s v="9999"/>
    <s v="Gam"/>
    <s v="3007"/>
    <s v="UN Peace Building Fund (PBF) - The Gambia 01/2023-12/2025"/>
  </r>
  <r>
    <x v="1"/>
    <s v="Salary &amp; Fringes Fund Allocation"/>
    <x v="2"/>
    <s v="JV-JS093023 Sal Alloc"/>
    <x v="10"/>
    <n v="563.29"/>
    <m/>
    <s v="9999"/>
    <s v="9999"/>
    <s v="3007"/>
    <s v="UN Peace Building Fund (PBF) - The Gambia 01/2023-12/2025"/>
  </r>
  <r>
    <x v="1"/>
    <s v="Salary &amp; Fringes Fund Allocation"/>
    <x v="3"/>
    <s v="JV-JS093023 Sal Alloc"/>
    <x v="10"/>
    <n v="436.8"/>
    <m/>
    <s v="9999"/>
    <s v="9999"/>
    <s v="3007"/>
    <s v="UN Peace Building Fund (PBF) - The Gambia 01/2023-12/2025"/>
  </r>
  <r>
    <x v="1"/>
    <s v="Salary &amp; Fringes Fund Allocation"/>
    <x v="4"/>
    <s v="JV-JS093023 Sal Alloc"/>
    <x v="10"/>
    <n v="720"/>
    <m/>
    <s v="9999"/>
    <s v="9999"/>
    <s v="3007"/>
    <s v="UN Peace Building Fund (PBF) - The Gambia 01/2023-12/2025"/>
  </r>
  <r>
    <x v="14"/>
    <s v="Telephone &amp; Internet Access"/>
    <x v="52"/>
    <s v="JV-MP102123-3"/>
    <x v="10"/>
    <n v="598.91"/>
    <m/>
    <s v="9999"/>
    <s v="Gam"/>
    <s v="3007"/>
    <s v="UN Peace Building Fund (PBF) - The Gambia 01/2023-12/2025"/>
  </r>
  <r>
    <x v="5"/>
    <s v="Wages - International - Full Time"/>
    <x v="53"/>
    <s v="JV-MP102123-3"/>
    <x v="10"/>
    <n v="802.26"/>
    <m/>
    <s v="9999"/>
    <s v="Gam"/>
    <s v="3007"/>
    <s v="UN Peace Building Fund (PBF) - The Gambia 01/2023-12/2025"/>
  </r>
  <r>
    <x v="5"/>
    <s v="Wages - International - Full Time"/>
    <x v="54"/>
    <s v="JV-MP102123-3"/>
    <x v="10"/>
    <n v="477.53"/>
    <m/>
    <s v="9999"/>
    <s v="Gam"/>
    <s v="3007"/>
    <s v="UN Peace Building Fund (PBF) - The Gambia 01/2023-12/2025"/>
  </r>
  <r>
    <x v="5"/>
    <s v="Wages - International - Full Time"/>
    <x v="55"/>
    <s v="JV-MP102123-3"/>
    <x v="10"/>
    <n v="764.05"/>
    <m/>
    <s v="9999"/>
    <s v="Gam"/>
    <s v="3007"/>
    <s v="UN Peace Building Fund (PBF) - The Gambia 01/2023-12/2025"/>
  </r>
  <r>
    <x v="8"/>
    <s v="Meals &amp; Per Diem"/>
    <x v="37"/>
    <s v="JV-MP102123-3"/>
    <x v="10"/>
    <n v="1026.71"/>
    <m/>
    <s v="9999"/>
    <s v="Gam"/>
    <s v="3007"/>
    <s v="UN Peace Building Fund (PBF) - The Gambia 01/2023-12/2025"/>
  </r>
  <r>
    <x v="11"/>
    <s v="Rental Halls / Convention Center"/>
    <x v="49"/>
    <s v="JV-MP102123-3"/>
    <x v="10"/>
    <n v="155.56"/>
    <m/>
    <s v="9999"/>
    <s v="Gam"/>
    <s v="3007"/>
    <s v="UN Peace Building Fund (PBF) - The Gambia 01/2023-12/2025"/>
  </r>
  <r>
    <x v="15"/>
    <s v="Event Planning / Organization"/>
    <x v="39"/>
    <s v="JV-MP102123-3"/>
    <x v="10"/>
    <n v="93.34"/>
    <m/>
    <s v="9999"/>
    <s v="Gam"/>
    <s v="3007"/>
    <s v="UN Peace Building Fund (PBF) - The Gambia 01/2023-12/2025"/>
  </r>
  <r>
    <x v="15"/>
    <s v="Event Planning / Organization"/>
    <x v="56"/>
    <s v="JV-MP102123-3"/>
    <x v="10"/>
    <n v="116.67"/>
    <m/>
    <s v="9999"/>
    <s v="Gam"/>
    <s v="3007"/>
    <s v="UN Peace Building Fund (PBF) - The Gambia 01/2023-12/2025"/>
  </r>
  <r>
    <x v="8"/>
    <s v="Meals &amp; Per Diem"/>
    <x v="50"/>
    <s v="JV-MP102123-3"/>
    <x v="10"/>
    <n v="192.9"/>
    <m/>
    <s v="9999"/>
    <s v="Gam"/>
    <s v="3007"/>
    <s v="UN Peace Building Fund (PBF) - The Gambia 01/2023-12/2025"/>
  </r>
  <r>
    <x v="8"/>
    <s v="Meals &amp; Per Diem"/>
    <x v="51"/>
    <s v="JV-MP102123-3"/>
    <x v="10"/>
    <n v="675.14"/>
    <m/>
    <s v="9999"/>
    <s v="Gam"/>
    <s v="3007"/>
    <s v="UN Peace Building Fund (PBF) - The Gambia 01/2023-12/2025"/>
  </r>
  <r>
    <x v="2"/>
    <s v="Ground (Car/Mileage, Rail, Taxi/Shuttle)"/>
    <x v="41"/>
    <s v="JV-MP102123-3"/>
    <x v="10"/>
    <n v="357.48"/>
    <m/>
    <s v="9999"/>
    <s v="Gam"/>
    <s v="3007"/>
    <s v="UN Peace Building Fund (PBF) - The Gambia 01/2023-12/2025"/>
  </r>
  <r>
    <x v="10"/>
    <s v="Consultants"/>
    <x v="57"/>
    <s v="cv100623"/>
    <x v="11"/>
    <n v="2000"/>
    <m/>
    <s v="9999"/>
    <s v="Gam"/>
    <s v="3007"/>
    <s v="UN Peace Building Fund (PBF) - The Gambia 01/2023-12/2025"/>
  </r>
  <r>
    <x v="10"/>
    <s v="Consultants"/>
    <x v="58"/>
    <s v="cv100623"/>
    <x v="11"/>
    <n v="2500"/>
    <m/>
    <s v="9999"/>
    <s v="Gam"/>
    <s v="3007"/>
    <s v="UN Peace Building Fund (PBF) - The Gambia 01/2023-12/2025"/>
  </r>
  <r>
    <x v="1"/>
    <s v="Salary &amp; Fringes Fund Allocation"/>
    <x v="2"/>
    <s v="JV-JS103123 Sal Alloc"/>
    <x v="12"/>
    <n v="563.29"/>
    <m/>
    <s v="9999"/>
    <s v="9999"/>
    <s v="3007"/>
    <s v="UN Peace Building Fund (PBF) - The Gambia 01/2023-12/2025"/>
  </r>
  <r>
    <x v="1"/>
    <s v="Salary &amp; Fringes Fund Allocation"/>
    <x v="3"/>
    <s v="JV-JS103123 Sal Alloc"/>
    <x v="12"/>
    <n v="436.8"/>
    <m/>
    <s v="9999"/>
    <s v="9999"/>
    <s v="3007"/>
    <s v="UN Peace Building Fund (PBF) - The Gambia 01/2023-12/2025"/>
  </r>
  <r>
    <x v="1"/>
    <s v="Salary &amp; Fringes Fund Allocation"/>
    <x v="4"/>
    <s v="JV-JS103123 Sal Alloc"/>
    <x v="12"/>
    <n v="720"/>
    <m/>
    <s v="9999"/>
    <s v="9999"/>
    <s v="3007"/>
    <s v="UN Peace Building Fund (PBF) - The Gambia 01/2023-12/2025"/>
  </r>
  <r>
    <x v="8"/>
    <s v="Meals &amp; Per Diem"/>
    <x v="31"/>
    <s v="JV-MP111623"/>
    <x v="12"/>
    <n v="84.94"/>
    <m/>
    <s v="9999"/>
    <s v="Gam"/>
    <s v="3007"/>
    <s v="UN Peace Building Fund (PBF) - The Gambia 01/2023-12/2025"/>
  </r>
  <r>
    <x v="2"/>
    <s v="Ground (Car/Mileage, Rail, Taxi/Shuttle)"/>
    <x v="18"/>
    <s v="JV-MP111623"/>
    <x v="12"/>
    <n v="60.57"/>
    <m/>
    <s v="9999"/>
    <s v="Gam"/>
    <s v="3007"/>
    <s v="UN Peace Building Fund (PBF) - The Gambia 01/2023-12/2025"/>
  </r>
  <r>
    <x v="2"/>
    <s v="Ground (Car/Mileage, Rail, Taxi/Shuttle)"/>
    <x v="59"/>
    <s v="JV-MP111623"/>
    <x v="12"/>
    <n v="4.47"/>
    <m/>
    <s v="9999"/>
    <s v="Gam"/>
    <s v="3007"/>
    <s v="UN Peace Building Fund (PBF) - The Gambia 01/2023-12/2025"/>
  </r>
  <r>
    <x v="5"/>
    <s v="Wages - International - Full Time"/>
    <x v="60"/>
    <s v="JV-MP111623-1"/>
    <x v="12"/>
    <n v="501.9"/>
    <m/>
    <s v="9999"/>
    <s v="Gam"/>
    <s v="3007"/>
    <s v="UN Peace Building Fund (PBF) - The Gambia 01/2023-12/2025"/>
  </r>
  <r>
    <x v="5"/>
    <s v="Wages - International - Full Time"/>
    <x v="61"/>
    <s v="JV-MP111623-1"/>
    <x v="12"/>
    <n v="445.69"/>
    <m/>
    <s v="9999"/>
    <s v="Gam"/>
    <s v="3007"/>
    <s v="UN Peace Building Fund (PBF) - The Gambia 01/2023-12/2025"/>
  </r>
  <r>
    <x v="10"/>
    <s v="Consultants"/>
    <x v="62"/>
    <s v="cv110923"/>
    <x v="13"/>
    <n v="2500"/>
    <m/>
    <s v="9999"/>
    <s v="9999"/>
    <s v="3007"/>
    <s v="UN Peace Building Fund (PBF) - The Gambia 01/2023-12/2025"/>
  </r>
  <r>
    <x v="16"/>
    <s v="Grants / Subcontracts Awarded"/>
    <x v="63"/>
    <s v="JV-MP121523"/>
    <x v="14"/>
    <n v="14160.24"/>
    <m/>
    <s v=""/>
    <s v=""/>
    <s v="3007"/>
    <s v="UN Peace Building Fund (PBF) - The Gambia 01/2023-12/2025"/>
  </r>
  <r>
    <x v="16"/>
    <s v="Grants / Subcontracts Awarded"/>
    <x v="64"/>
    <s v="JV-MP121523"/>
    <x v="14"/>
    <n v="14890.03"/>
    <m/>
    <s v=""/>
    <s v=""/>
    <s v="3007"/>
    <s v="UN Peace Building Fund (PBF) - The Gambia 01/2023-12/2025"/>
  </r>
  <r>
    <x v="16"/>
    <s v="Grants / Subcontracts Awarded"/>
    <x v="65"/>
    <s v="JV-MP121523"/>
    <x v="14"/>
    <n v="13811.75"/>
    <m/>
    <s v=""/>
    <s v=""/>
    <s v="3007"/>
    <s v="UN Peace Building Fund (PBF) - The Gambia 01/2023-12/2025"/>
  </r>
  <r>
    <x v="16"/>
    <s v="Grants / Subcontracts Awarded"/>
    <x v="66"/>
    <s v="JV-MP121523"/>
    <x v="14"/>
    <n v="15271.44"/>
    <m/>
    <s v=""/>
    <s v=""/>
    <s v="3007"/>
    <s v="UN Peace Building Fund (PBF) - The Gambia 01/2023-12/2025"/>
  </r>
  <r>
    <x v="1"/>
    <s v="Salary &amp; Fringes Fund Allocation"/>
    <x v="2"/>
    <s v="JV-JS113023 Sal Alloc"/>
    <x v="14"/>
    <n v="563.29"/>
    <m/>
    <s v="9999"/>
    <s v="9999"/>
    <s v="3007"/>
    <s v="UN Peace Building Fund (PBF) - The Gambia 01/2023-12/2025"/>
  </r>
  <r>
    <x v="1"/>
    <s v="Salary &amp; Fringes Fund Allocation"/>
    <x v="3"/>
    <s v="JV-JS113023 Sal Alloc"/>
    <x v="14"/>
    <n v="436.8"/>
    <m/>
    <s v="9999"/>
    <s v="9999"/>
    <s v="3007"/>
    <s v="UN Peace Building Fund (PBF) - The Gambia 01/2023-12/2025"/>
  </r>
  <r>
    <x v="1"/>
    <s v="Salary &amp; Fringes Fund Allocation"/>
    <x v="4"/>
    <s v="JV-JS113023 Sal Alloc"/>
    <x v="14"/>
    <n v="720"/>
    <m/>
    <s v="9999"/>
    <s v="9999"/>
    <s v="3007"/>
    <s v="UN Peace Building Fund (PBF) - The Gambia 01/2023-12/2025"/>
  </r>
  <r>
    <x v="17"/>
    <s v="Banking / Credit Cards Fee"/>
    <x v="67"/>
    <s v="JV-MP121523"/>
    <x v="14"/>
    <n v="3.45"/>
    <m/>
    <s v="9999"/>
    <s v="Gam"/>
    <s v="3007"/>
    <s v="UN Peace Building Fund (PBF) - The Gambia 01/2023-12/2025"/>
  </r>
  <r>
    <x v="17"/>
    <s v="Banking / Credit Cards Fee"/>
    <x v="68"/>
    <s v="JV-MP121523"/>
    <x v="14"/>
    <n v="3.45"/>
    <m/>
    <s v="9999"/>
    <s v="Gam"/>
    <s v="3007"/>
    <s v="UN Peace Building Fund (PBF) - The Gambia 01/2023-12/2025"/>
  </r>
  <r>
    <x v="2"/>
    <s v="Ground (Car/Mileage, Rail, Taxi/Shuttle)"/>
    <x v="69"/>
    <s v="JV-MP121523"/>
    <x v="14"/>
    <n v="60.06"/>
    <m/>
    <s v="9999"/>
    <s v="Gam"/>
    <s v="3007"/>
    <s v="UN Peace Building Fund (PBF) - The Gambia 01/2023-12/2025"/>
  </r>
  <r>
    <x v="8"/>
    <s v="Meals &amp; Per Diem"/>
    <x v="70"/>
    <s v="JV-MP121523"/>
    <x v="14"/>
    <n v="60.06"/>
    <m/>
    <s v="9999"/>
    <s v="Gam"/>
    <s v="3007"/>
    <s v="UN Peace Building Fund (PBF) - The Gambia 01/2023-12/2025"/>
  </r>
  <r>
    <x v="2"/>
    <s v="Ground (Car/Mileage, Rail, Taxi/Shuttle)"/>
    <x v="71"/>
    <s v="JV-MP121523"/>
    <x v="14"/>
    <n v="4.5"/>
    <m/>
    <s v="9999"/>
    <s v="Gam"/>
    <s v="3007"/>
    <s v="UN Peace Building Fund (PBF) - The Gambia 01/2023-12/2025"/>
  </r>
  <r>
    <x v="18"/>
    <s v="Computer Equipment &amp; Software (below $2,000)"/>
    <x v="72"/>
    <s v="JV-MP121523"/>
    <x v="14"/>
    <n v="600.65"/>
    <m/>
    <s v="9999"/>
    <s v="Gam"/>
    <s v="3007"/>
    <s v="UN Peace Building Fund (PBF) - The Gambia 01/2023-12/2025"/>
  </r>
  <r>
    <x v="19"/>
    <s v="IT Consulting, Services, and Support"/>
    <x v="73"/>
    <s v="JV-MP121523"/>
    <x v="14"/>
    <n v="15.02"/>
    <m/>
    <s v="9999"/>
    <s v="Gam"/>
    <s v="3007"/>
    <s v="UN Peace Building Fund (PBF) - The Gambia 01/2023-12/2025"/>
  </r>
  <r>
    <x v="5"/>
    <s v="Wages - International - Full Time"/>
    <x v="74"/>
    <s v="JV-MP121523"/>
    <x v="14"/>
    <n v="498.84"/>
    <m/>
    <s v="9999"/>
    <s v="Gam"/>
    <s v="3007"/>
    <s v="UN Peace Building Fund (PBF) - The Gambia 01/2023-12/2025"/>
  </r>
  <r>
    <x v="10"/>
    <s v="Consultants"/>
    <x v="75"/>
    <s v="cv122023"/>
    <x v="15"/>
    <n v="1000"/>
    <m/>
    <s v="9999"/>
    <s v="Gam"/>
    <s v="3007"/>
    <s v="UN Peace Building Fund (PBF) - The Gambia 01/2023-12/2025"/>
  </r>
  <r>
    <x v="10"/>
    <s v="Consultants"/>
    <x v="76"/>
    <s v="cv122023"/>
    <x v="15"/>
    <n v="2844.12"/>
    <m/>
    <s v="9999"/>
    <s v="Gam"/>
    <s v="3007"/>
    <s v="UN Peace Building Fund (PBF) - The Gambia 01/2023-12/2025"/>
  </r>
  <r>
    <x v="1"/>
    <s v="Salary &amp; Fringes Fund Allocation"/>
    <x v="2"/>
    <s v="JV-JS123123 Sal Alloc"/>
    <x v="16"/>
    <n v="563.29"/>
    <m/>
    <s v="9999"/>
    <s v="9999"/>
    <s v="3007"/>
    <s v="UN Peace Building Fund (PBF) - The Gambia 01/2023-12/2025"/>
  </r>
  <r>
    <x v="1"/>
    <s v="Salary &amp; Fringes Fund Allocation"/>
    <x v="3"/>
    <s v="JV-JS123123 Sal Alloc"/>
    <x v="16"/>
    <n v="436.8"/>
    <m/>
    <s v="9999"/>
    <s v="9999"/>
    <s v="3007"/>
    <s v="UN Peace Building Fund (PBF) - The Gambia 01/2023-12/2025"/>
  </r>
  <r>
    <x v="1"/>
    <s v="Salary &amp; Fringes Fund Allocation"/>
    <x v="4"/>
    <s v="JV-JS123123 Sal Alloc"/>
    <x v="16"/>
    <n v="720"/>
    <m/>
    <s v="9999"/>
    <s v="9999"/>
    <s v="3007"/>
    <s v="UN Peace Building Fund (PBF) - The Gambia 01/2023-12/2025"/>
  </r>
  <r>
    <x v="20"/>
    <s v="Airline"/>
    <x v="77"/>
    <s v="JV-JS231231Amex"/>
    <x v="16"/>
    <n v="35"/>
    <m/>
    <s v="9999"/>
    <s v="9999"/>
    <s v="3007"/>
    <s v="UN Peace Building Fund (PBF) - The Gambia 01/2023-12/2025"/>
  </r>
  <r>
    <x v="20"/>
    <s v="Airline"/>
    <x v="78"/>
    <s v="JV-JS231231Amex"/>
    <x v="16"/>
    <n v="831"/>
    <m/>
    <s v="9999"/>
    <s v="9999"/>
    <s v="3007"/>
    <s v="UN Peace Building Fund (PBF) - The Gambia 01/2023-12/2025"/>
  </r>
  <r>
    <x v="5"/>
    <s v="Wages - International - Full Time"/>
    <x v="79"/>
    <s v="JV-MP012324-1"/>
    <x v="16"/>
    <n v="500.8"/>
    <m/>
    <s v="9999"/>
    <s v="Gam"/>
    <s v="3007"/>
    <s v="UN Peace Building Fund (PBF) - The Gambia 01/2023-12/2025"/>
  </r>
  <r>
    <x v="2"/>
    <s v="Ground (Car/Mileage, Rail, Taxi/Shuttle)"/>
    <x v="80"/>
    <s v="JV-MP012324-1"/>
    <x v="16"/>
    <n v="629.85"/>
    <m/>
    <s v="9999"/>
    <s v="Gam"/>
    <s v="3007"/>
    <s v="UN Peace Building Fund (PBF) - The Gambia 01/2023-12/2025"/>
  </r>
  <r>
    <x v="14"/>
    <s v="Telephone &amp; Internet Access"/>
    <x v="81"/>
    <s v="JV-MP012324-1"/>
    <x v="16"/>
    <n v="50.94"/>
    <m/>
    <s v="9999"/>
    <s v="Gam"/>
    <s v="3007"/>
    <s v="UN Peace Building Fund (PBF) - The Gambia 01/2023-12/2025"/>
  </r>
  <r>
    <x v="7"/>
    <s v="Office Supplies / Materials"/>
    <x v="82"/>
    <s v="JV-MP012324-1"/>
    <x v="16"/>
    <n v="3.6"/>
    <m/>
    <s v="9999"/>
    <s v="Gam"/>
    <s v="3007"/>
    <s v="UN Peace Building Fund (PBF) - The Gambia 01/2023-12/2025"/>
  </r>
  <r>
    <x v="7"/>
    <s v="Office Supplies / Materials"/>
    <x v="83"/>
    <s v="JV-MP012324-1"/>
    <x v="16"/>
    <n v="4.3499999999999996"/>
    <m/>
    <s v="9999"/>
    <s v="Gam"/>
    <s v="3007"/>
    <s v="UN Peace Building Fund (PBF) - The Gambia 01/2023-12/2025"/>
  </r>
  <r>
    <x v="7"/>
    <s v="Office Supplies / Materials"/>
    <x v="84"/>
    <s v="JV-MP012324-1"/>
    <x v="16"/>
    <n v="7.0000000000000007E-2"/>
    <m/>
    <s v="9999"/>
    <s v="Gam"/>
    <s v="3007"/>
    <s v="UN Peace Building Fund (PBF) - The Gambia 01/2023-12/2025"/>
  </r>
  <r>
    <x v="2"/>
    <s v="Ground (Car/Mileage, Rail, Taxi/Shuttle)"/>
    <x v="69"/>
    <s v="JV-MP012324-1"/>
    <x v="16"/>
    <n v="15"/>
    <m/>
    <s v="9999"/>
    <s v="Gam"/>
    <s v="3007"/>
    <s v="UN Peace Building Fund (PBF) - The Gambia 01/2023-12/2025"/>
  </r>
  <r>
    <x v="8"/>
    <s v="Meals &amp; Per Diem"/>
    <x v="85"/>
    <s v="JV-MP012324-1"/>
    <x v="16"/>
    <n v="25.49"/>
    <m/>
    <s v="9999"/>
    <s v="Gam"/>
    <s v="3007"/>
    <s v="UN Peace Building Fund (PBF) - The Gambia 01/2023-12/2025"/>
  </r>
  <r>
    <x v="2"/>
    <s v="Ground (Car/Mileage, Rail, Taxi/Shuttle)"/>
    <x v="86"/>
    <s v="JV-MP012324-1"/>
    <x v="16"/>
    <n v="149.96"/>
    <m/>
    <s v="9999"/>
    <s v="Gam"/>
    <s v="3007"/>
    <s v="UN Peace Building Fund (PBF) - The Gambia 01/2023-12/2025"/>
  </r>
  <r>
    <x v="8"/>
    <s v="Meals &amp; Per Diem"/>
    <x v="87"/>
    <s v="JV-MP012324-1"/>
    <x v="16"/>
    <n v="18"/>
    <m/>
    <s v="9999"/>
    <s v="Gam"/>
    <s v="3007"/>
    <s v="UN Peace Building Fund (PBF) - The Gambia 01/2023-12/2025"/>
  </r>
  <r>
    <x v="2"/>
    <s v="Ground (Car/Mileage, Rail, Taxi/Shuttle)"/>
    <x v="88"/>
    <s v="JV-MP012324-1"/>
    <x v="16"/>
    <n v="239.94"/>
    <m/>
    <s v="9999"/>
    <s v="Gam"/>
    <s v="3007"/>
    <s v="UN Peace Building Fund (PBF) - The Gambia 01/2023-12/2025"/>
  </r>
  <r>
    <x v="8"/>
    <s v="Meals &amp; Per Diem"/>
    <x v="89"/>
    <s v="JV-MP012324-1"/>
    <x v="16"/>
    <n v="467.89"/>
    <m/>
    <s v="9999"/>
    <s v="Gam"/>
    <s v="3007"/>
    <s v="UN Peace Building Fund (PBF) - The Gambia 01/2023-12/2025"/>
  </r>
  <r>
    <x v="8"/>
    <s v="Meals &amp; Per Diem"/>
    <x v="90"/>
    <s v="JV-MP012324-1"/>
    <x v="16"/>
    <n v="779.81"/>
    <m/>
    <s v="9999"/>
    <s v="Gam"/>
    <s v="3007"/>
    <s v="UN Peace Building Fund (PBF) - The Gambia 01/2023-12/2025"/>
  </r>
  <r>
    <x v="2"/>
    <s v="Ground (Car/Mileage, Rail, Taxi/Shuttle)"/>
    <x v="18"/>
    <s v="JV-MP012324-1"/>
    <x v="16"/>
    <n v="749.82"/>
    <m/>
    <s v="9999"/>
    <s v="Gam"/>
    <s v="3007"/>
    <s v="UN Peace Building Fund (PBF) - The Gambia 01/2023-12/2025"/>
  </r>
  <r>
    <x v="10"/>
    <s v="Consultants"/>
    <x v="91"/>
    <s v="JV-MP012324-1"/>
    <x v="16"/>
    <n v="149.96"/>
    <m/>
    <s v="9999"/>
    <s v="Gam"/>
    <s v="3007"/>
    <s v="UN Peace Building Fund (PBF) - The Gambia 01/2023-12/2025"/>
  </r>
  <r>
    <x v="11"/>
    <s v="Rental Halls / Convention Center"/>
    <x v="49"/>
    <s v="JV-MP012324-1"/>
    <x v="16"/>
    <n v="89.98"/>
    <m/>
    <s v="9999"/>
    <s v="Gam"/>
    <s v="3007"/>
    <s v="UN Peace Building Fund (PBF) - The Gambia 01/2023-12/2025"/>
  </r>
  <r>
    <x v="7"/>
    <s v="Office Supplies / Materials"/>
    <x v="92"/>
    <s v="JV-MP012324-1"/>
    <x v="16"/>
    <n v="34.49"/>
    <m/>
    <s v="9999"/>
    <s v="Gam"/>
    <s v="3007"/>
    <s v="UN Peace Building Fund (PBF) - The Gambia 01/2023-12/2025"/>
  </r>
  <r>
    <x v="2"/>
    <s v="Ground (Car/Mileage, Rail, Taxi/Shuttle)"/>
    <x v="93"/>
    <s v="JV-MP012324-1"/>
    <x v="16"/>
    <n v="7.5"/>
    <m/>
    <s v="9999"/>
    <s v="Gam"/>
    <s v="3007"/>
    <s v="UN Peace Building Fund (PBF) - The Gambia 01/2023-12/2025"/>
  </r>
  <r>
    <x v="2"/>
    <s v="Ground (Car/Mileage, Rail, Taxi/Shuttle)"/>
    <x v="94"/>
    <s v="JV-MP012324-1"/>
    <x v="16"/>
    <n v="29.99"/>
    <m/>
    <s v="9999"/>
    <s v="Gam"/>
    <s v="3007"/>
    <s v="UN Peace Building Fund (PBF) - The Gambia 01/2023-12/2025"/>
  </r>
  <r>
    <x v="10"/>
    <s v="Consultants"/>
    <x v="95"/>
    <s v="cv012424"/>
    <x v="17"/>
    <n v="500"/>
    <m/>
    <s v="9999"/>
    <s v="Gam"/>
    <s v="3007"/>
    <s v="UN Peace Building Fund (PBF) - The Gambia 01/2023-12/2025"/>
  </r>
  <r>
    <x v="1"/>
    <s v="Salary &amp; Fringes Fund Allocation"/>
    <x v="2"/>
    <s v="JV-JS013124 Sal Alloc"/>
    <x v="18"/>
    <n v="563.29"/>
    <m/>
    <s v="9999"/>
    <s v="9999"/>
    <s v="3007"/>
    <s v="UN Peace Building Fund (PBF) - The Gambia 01/2023-12/2025"/>
  </r>
  <r>
    <x v="1"/>
    <s v="Salary &amp; Fringes Fund Allocation"/>
    <x v="3"/>
    <s v="JV-JS013124 Sal Alloc"/>
    <x v="18"/>
    <n v="436.8"/>
    <m/>
    <s v="9999"/>
    <s v="9999"/>
    <s v="3007"/>
    <s v="UN Peace Building Fund (PBF) - The Gambia 01/2023-12/2025"/>
  </r>
  <r>
    <x v="1"/>
    <s v="Salary &amp; Fringes Fund Allocation"/>
    <x v="4"/>
    <s v="JV-JS013124 Sal Alloc"/>
    <x v="18"/>
    <n v="720"/>
    <m/>
    <s v="9999"/>
    <s v="9999"/>
    <s v="3007"/>
    <s v="UN Peace Building Fund (PBF) - The Gambia 01/2023-12/2025"/>
  </r>
  <r>
    <x v="14"/>
    <s v="Telephone &amp; Internet Access"/>
    <x v="96"/>
    <s v="JV-MP021424"/>
    <x v="18"/>
    <n v="39.9"/>
    <m/>
    <s v="9999"/>
    <s v="Gam"/>
    <s v="3007"/>
    <s v="UN Peace Building Fund (PBF) - The Gambia 01/2023-12/2025"/>
  </r>
  <r>
    <x v="5"/>
    <s v="Wages - International - Full Time"/>
    <x v="97"/>
    <s v="JV-MP021424"/>
    <x v="18"/>
    <n v="497.69"/>
    <m/>
    <s v="9999"/>
    <s v="Gam"/>
    <s v="3007"/>
    <s v="UN Peace Building Fund (PBF) - The Gambia 01/2023-12/2025"/>
  </r>
  <r>
    <x v="8"/>
    <s v="Meals &amp; Per Diem"/>
    <x v="98"/>
    <s v="JV-MP021424"/>
    <x v="18"/>
    <n v="74.84"/>
    <m/>
    <s v="9999"/>
    <s v="Gam"/>
    <s v="3007"/>
    <s v="UN Peace Building Fund (PBF) - The Gambia 01/2023-12/2025"/>
  </r>
  <r>
    <x v="8"/>
    <s v="Meals &amp; Per Diem"/>
    <x v="99"/>
    <s v="JV-MP021424"/>
    <x v="18"/>
    <n v="74.84"/>
    <m/>
    <s v="9999"/>
    <s v="Gam"/>
    <s v="3007"/>
    <s v="UN Peace Building Fund (PBF) - The Gambia 01/2023-12/2025"/>
  </r>
  <r>
    <x v="2"/>
    <s v="Ground (Car/Mileage, Rail, Taxi/Shuttle)"/>
    <x v="100"/>
    <s v="JV-MP021424"/>
    <x v="18"/>
    <n v="296.37"/>
    <m/>
    <s v="9999"/>
    <s v="Gam"/>
    <s v="3007"/>
    <s v="UN Peace Building Fund (PBF) - The Gambia 01/2023-12/2025"/>
  </r>
  <r>
    <x v="21"/>
    <s v="Media Outreach / Publicity"/>
    <x v="101"/>
    <s v="JV-MP021424"/>
    <x v="18"/>
    <n v="666.09"/>
    <m/>
    <s v="9999"/>
    <s v="Gam"/>
    <s v="3007"/>
    <s v="UN Peace Building Fund (PBF) - The Gambia 01/2023-12/2025"/>
  </r>
  <r>
    <x v="2"/>
    <s v="Ground (Car/Mileage, Rail, Taxi/Shuttle)"/>
    <x v="102"/>
    <s v="JV-MP021424"/>
    <x v="18"/>
    <n v="633.9"/>
    <m/>
    <s v="9999"/>
    <s v="Gam"/>
    <s v="3007"/>
    <s v="UN Peace Building Fund (PBF) - The Gambia 01/2023-12/2025"/>
  </r>
  <r>
    <x v="14"/>
    <s v="Telephone &amp; Internet Access"/>
    <x v="81"/>
    <s v="JV-MP021424"/>
    <x v="18"/>
    <n v="50.87"/>
    <m/>
    <s v="9999"/>
    <s v="Gam"/>
    <s v="3007"/>
    <s v="UN Peace Building Fund (PBF) - The Gambia 01/2023-12/2025"/>
  </r>
  <r>
    <x v="14"/>
    <s v="Telephone &amp; Internet Access"/>
    <x v="103"/>
    <s v="JV-MP021424"/>
    <x v="18"/>
    <n v="39.9"/>
    <m/>
    <s v="9999"/>
    <s v="Gam"/>
    <s v="3007"/>
    <s v="UN Peace Building Fund (PBF) - The Gambia 01/2023-12/2025"/>
  </r>
  <r>
    <x v="14"/>
    <s v="Telephone &amp; Internet Access"/>
    <x v="104"/>
    <s v="JV-MP021424"/>
    <x v="18"/>
    <n v="40.9"/>
    <m/>
    <s v="9999"/>
    <s v="Gam"/>
    <s v="3007"/>
    <s v="UN Peace Building Fund (PBF) - The Gambia 01/2023-12/2025"/>
  </r>
  <r>
    <x v="14"/>
    <s v="Telephone &amp; Internet Access"/>
    <x v="105"/>
    <s v="JV-MP021424"/>
    <x v="18"/>
    <n v="40.9"/>
    <m/>
    <s v="9999"/>
    <s v="Gam"/>
    <s v="3007"/>
    <s v="UN Peace Building Fund (PBF) - The Gambia 01/2023-12/2025"/>
  </r>
  <r>
    <x v="14"/>
    <s v="Telephone &amp; Internet Access"/>
    <x v="106"/>
    <s v="JV-MP021424"/>
    <x v="18"/>
    <n v="28.44"/>
    <m/>
    <s v="9999"/>
    <s v="Gam"/>
    <s v="3007"/>
    <s v="UN Peace Building Fund (PBF) - The Gambia 01/2023-12/2025"/>
  </r>
  <r>
    <x v="7"/>
    <s v="Office Supplies / Materials"/>
    <x v="107"/>
    <s v="JV-MP021424"/>
    <x v="18"/>
    <n v="9.58"/>
    <m/>
    <s v="9999"/>
    <s v="Gam"/>
    <s v="3007"/>
    <s v="UN Peace Building Fund (PBF) - The Gambia 01/2023-12/2025"/>
  </r>
  <r>
    <x v="2"/>
    <s v="Ground (Car/Mileage, Rail, Taxi/Shuttle)"/>
    <x v="108"/>
    <s v="JV-MP021424"/>
    <x v="18"/>
    <n v="7.48"/>
    <m/>
    <s v="9999"/>
    <s v="Gam"/>
    <s v="3007"/>
    <s v="UN Peace Building Fund (PBF) - The Gambia 01/2023-12/2025"/>
  </r>
  <r>
    <x v="7"/>
    <s v="Office Supplies / Materials"/>
    <x v="109"/>
    <s v="JV-MP021424"/>
    <x v="18"/>
    <n v="10.4"/>
    <m/>
    <s v="9999"/>
    <s v="Gam"/>
    <s v="3007"/>
    <s v="UN Peace Building Fund (PBF) - The Gambia 01/2023-12/2025"/>
  </r>
  <r>
    <x v="7"/>
    <s v="Office Supplies / Materials"/>
    <x v="110"/>
    <s v="JV-MP021424"/>
    <x v="18"/>
    <n v="7.86"/>
    <m/>
    <s v="9999"/>
    <s v="Gam"/>
    <s v="3007"/>
    <s v="UN Peace Building Fund (PBF) - The Gambia 01/2023-12/2025"/>
  </r>
  <r>
    <x v="7"/>
    <s v="Office Supplies / Materials"/>
    <x v="82"/>
    <s v="JV-MP021424"/>
    <x v="18"/>
    <n v="0.9"/>
    <m/>
    <s v="9999"/>
    <s v="Gam"/>
    <s v="3007"/>
    <s v="UN Peace Building Fund (PBF) - The Gambia 01/2023-12/2025"/>
  </r>
  <r>
    <x v="7"/>
    <s v="Office Supplies / Materials"/>
    <x v="111"/>
    <s v="JV-MP021424"/>
    <x v="18"/>
    <n v="3.89"/>
    <m/>
    <s v="9999"/>
    <s v="Gam"/>
    <s v="3007"/>
    <s v="UN Peace Building Fund (PBF) - The Gambia 01/2023-12/2025"/>
  </r>
  <r>
    <x v="7"/>
    <s v="Office Supplies / Materials"/>
    <x v="112"/>
    <s v="JV-MP021424"/>
    <x v="18"/>
    <n v="74.84"/>
    <m/>
    <s v="9999"/>
    <s v="Gam"/>
    <s v="3007"/>
    <s v="UN Peace Building Fund (PBF) - The Gambia 01/2023-12/2025"/>
  </r>
  <r>
    <x v="7"/>
    <s v="Office Supplies / Materials"/>
    <x v="113"/>
    <s v="JV-MP021424"/>
    <x v="18"/>
    <n v="3.59"/>
    <m/>
    <s v="9999"/>
    <s v="Gam"/>
    <s v="3007"/>
    <s v="UN Peace Building Fund (PBF) - The Gambia 01/2023-12/2025"/>
  </r>
  <r>
    <x v="7"/>
    <s v="Office Supplies / Materials"/>
    <x v="84"/>
    <s v="JV-MP021424"/>
    <x v="18"/>
    <n v="7.0000000000000007E-2"/>
    <m/>
    <s v="9999"/>
    <s v="Gam"/>
    <s v="3007"/>
    <s v="UN Peace Building Fund (PBF) - The Gambia 01/2023-12/2025"/>
  </r>
  <r>
    <x v="2"/>
    <s v="Ground (Car/Mileage, Rail, Taxi/Shuttle)"/>
    <x v="88"/>
    <s v="JV-MP021424"/>
    <x v="18"/>
    <n v="598.73"/>
    <m/>
    <s v="9999"/>
    <s v="Gam"/>
    <s v="3007"/>
    <s v="UN Peace Building Fund (PBF) - The Gambia 01/2023-12/2025"/>
  </r>
  <r>
    <x v="8"/>
    <s v="Meals &amp; Per Diem"/>
    <x v="114"/>
    <s v="JV-MP021424"/>
    <x v="18"/>
    <n v="889.11"/>
    <m/>
    <s v="9999"/>
    <s v="Gam"/>
    <s v="3007"/>
    <s v="UN Peace Building Fund (PBF) - The Gambia 01/2023-12/2025"/>
  </r>
  <r>
    <x v="2"/>
    <s v="Ground (Car/Mileage, Rail, Taxi/Shuttle)"/>
    <x v="115"/>
    <s v="JV-MP021424"/>
    <x v="18"/>
    <n v="763.38"/>
    <m/>
    <s v="9999"/>
    <s v="Gam"/>
    <s v="3007"/>
    <s v="UN Peace Building Fund (PBF) - The Gambia 01/2023-12/2025"/>
  </r>
  <r>
    <x v="10"/>
    <s v="Consultants"/>
    <x v="116"/>
    <s v="JV-MP021424"/>
    <x v="18"/>
    <n v="149.68"/>
    <m/>
    <s v="9999"/>
    <s v="Gam"/>
    <s v="3007"/>
    <s v="UN Peace Building Fund (PBF) - The Gambia 01/2023-12/2025"/>
  </r>
  <r>
    <x v="14"/>
    <s v="Telephone &amp; Internet Access"/>
    <x v="117"/>
    <s v="JV-MP021424"/>
    <x v="18"/>
    <n v="7.48"/>
    <m/>
    <s v="9999"/>
    <s v="Gam"/>
    <s v="3007"/>
    <s v="UN Peace Building Fund (PBF) - The Gambia 01/2023-12/2025"/>
  </r>
  <r>
    <x v="2"/>
    <s v="Ground (Car/Mileage, Rail, Taxi/Shuttle)"/>
    <x v="118"/>
    <s v="JV-MP021424"/>
    <x v="18"/>
    <n v="7.48"/>
    <m/>
    <s v="9999"/>
    <s v="Gam"/>
    <s v="3007"/>
    <s v="UN Peace Building Fund (PBF) - The Gambia 01/2023-12/2025"/>
  </r>
  <r>
    <x v="11"/>
    <s v="Rental Halls / Convention Center"/>
    <x v="119"/>
    <s v="JV-MP021424"/>
    <x v="18"/>
    <n v="89.81"/>
    <m/>
    <s v="9999"/>
    <s v="Gam"/>
    <s v="3007"/>
    <s v="UN Peace Building Fund (PBF) - The Gambia 01/2023-12/2025"/>
  </r>
  <r>
    <x v="2"/>
    <s v="Ground (Car/Mileage, Rail, Taxi/Shuttle)"/>
    <x v="120"/>
    <s v="JV-MP021424"/>
    <x v="18"/>
    <n v="74.84"/>
    <m/>
    <s v="9999"/>
    <s v="Gam"/>
    <s v="3007"/>
    <s v="UN Peace Building Fund (PBF) - The Gambia 01/2023-12/2025"/>
  </r>
  <r>
    <x v="1"/>
    <s v="Salary &amp; Fringes Fund Allocation"/>
    <x v="2"/>
    <s v="JV-JS022924 Sal Alloc"/>
    <x v="19"/>
    <n v="563.29"/>
    <m/>
    <s v="9999"/>
    <s v="9999"/>
    <s v="3007"/>
    <s v="UN Peace Building Fund (PBF) - The Gambia 01/2023-12/2025"/>
  </r>
  <r>
    <x v="1"/>
    <s v="Salary &amp; Fringes Fund Allocation"/>
    <x v="3"/>
    <s v="JV-JS022924 Sal Alloc"/>
    <x v="19"/>
    <n v="436.8"/>
    <m/>
    <s v="9999"/>
    <s v="9999"/>
    <s v="3007"/>
    <s v="UN Peace Building Fund (PBF) - The Gambia 01/2023-12/2025"/>
  </r>
  <r>
    <x v="1"/>
    <s v="Salary &amp; Fringes Fund Allocation"/>
    <x v="4"/>
    <s v="JV-JS022924 Sal Alloc"/>
    <x v="19"/>
    <n v="720"/>
    <m/>
    <s v="9999"/>
    <s v="9999"/>
    <s v="3007"/>
    <s v="UN Peace Building Fund (PBF) - The Gambia 01/2023-12/2025"/>
  </r>
  <r>
    <x v="5"/>
    <s v="Wages - International - Full Time"/>
    <x v="121"/>
    <s v="JV-MP031224"/>
    <x v="19"/>
    <n v="564.84"/>
    <m/>
    <s v="9999"/>
    <s v="Gam"/>
    <s v="3007"/>
    <s v="UN Peace Building Fund (PBF) - The Gambia 01/2023-12/2025"/>
  </r>
  <r>
    <x v="5"/>
    <s v="Wages - International - Full Time"/>
    <x v="122"/>
    <s v="JV-MP031224"/>
    <x v="19"/>
    <n v="1113.32"/>
    <m/>
    <s v="9999"/>
    <s v="Gam"/>
    <s v="3007"/>
    <s v="UN Peace Building Fund (PBF) - The Gambia 01/2023-12/2025"/>
  </r>
  <r>
    <x v="5"/>
    <s v="Wages - International - Full Time"/>
    <x v="123"/>
    <s v="JV-MP031224"/>
    <x v="19"/>
    <n v="497.02"/>
    <m/>
    <s v="9999"/>
    <s v="Gam"/>
    <s v="3007"/>
    <s v="UN Peace Building Fund (PBF) - The Gambia 01/2023-12/2025"/>
  </r>
  <r>
    <x v="14"/>
    <s v="Telephone &amp; Internet Access"/>
    <x v="81"/>
    <s v="JV-MP031224"/>
    <x v="19"/>
    <n v="50.25"/>
    <m/>
    <s v="9999"/>
    <s v="Gam"/>
    <s v="3007"/>
    <s v="UN Peace Building Fund (PBF) - The Gambia 01/2023-12/2025"/>
  </r>
  <r>
    <x v="14"/>
    <s v="Telephone &amp; Internet Access"/>
    <x v="103"/>
    <s v="JV-MP031224"/>
    <x v="19"/>
    <n v="39.409999999999997"/>
    <m/>
    <s v="9999"/>
    <s v="Gam"/>
    <s v="3007"/>
    <s v="UN Peace Building Fund (PBF) - The Gambia 01/2023-12/2025"/>
  </r>
  <r>
    <x v="14"/>
    <s v="Telephone &amp; Internet Access"/>
    <x v="124"/>
    <s v="JV-MP031224"/>
    <x v="19"/>
    <n v="39.409999999999997"/>
    <m/>
    <s v="9999"/>
    <s v="Gam"/>
    <s v="3007"/>
    <s v="UN Peace Building Fund (PBF) - The Gambia 01/2023-12/2025"/>
  </r>
  <r>
    <x v="14"/>
    <s v="Telephone &amp; Internet Access"/>
    <x v="104"/>
    <s v="JV-MP031224"/>
    <x v="19"/>
    <n v="40.4"/>
    <m/>
    <s v="9999"/>
    <s v="Gam"/>
    <s v="3007"/>
    <s v="UN Peace Building Fund (PBF) - The Gambia 01/2023-12/2025"/>
  </r>
  <r>
    <x v="14"/>
    <s v="Telephone &amp; Internet Access"/>
    <x v="105"/>
    <s v="JV-MP031224"/>
    <x v="19"/>
    <n v="40.4"/>
    <m/>
    <s v="9999"/>
    <s v="Gam"/>
    <s v="3007"/>
    <s v="UN Peace Building Fund (PBF) - The Gambia 01/2023-12/2025"/>
  </r>
  <r>
    <x v="7"/>
    <s v="Office Supplies / Materials"/>
    <x v="107"/>
    <s v="JV-MP031224"/>
    <x v="19"/>
    <n v="12.98"/>
    <m/>
    <s v="9999"/>
    <s v="Gam"/>
    <s v="3007"/>
    <s v="UN Peace Building Fund (PBF) - The Gambia 01/2023-12/2025"/>
  </r>
  <r>
    <x v="2"/>
    <s v="Ground (Car/Mileage, Rail, Taxi/Shuttle)"/>
    <x v="108"/>
    <s v="JV-MP031224"/>
    <x v="19"/>
    <n v="11.8"/>
    <m/>
    <s v="9999"/>
    <s v="Gam"/>
    <s v="3007"/>
    <s v="UN Peace Building Fund (PBF) - The Gambia 01/2023-12/2025"/>
  </r>
  <r>
    <x v="7"/>
    <s v="Office Supplies / Materials"/>
    <x v="109"/>
    <s v="JV-MP031224"/>
    <x v="19"/>
    <n v="10.25"/>
    <m/>
    <s v="9999"/>
    <s v="Gam"/>
    <s v="3007"/>
    <s v="UN Peace Building Fund (PBF) - The Gambia 01/2023-12/2025"/>
  </r>
  <r>
    <x v="7"/>
    <s v="Office Supplies / Materials"/>
    <x v="110"/>
    <s v="JV-MP031224"/>
    <x v="19"/>
    <n v="7.74"/>
    <m/>
    <s v="9999"/>
    <s v="Gam"/>
    <s v="3007"/>
    <s v="UN Peace Building Fund (PBF) - The Gambia 01/2023-12/2025"/>
  </r>
  <r>
    <x v="7"/>
    <s v="Office Supplies / Materials"/>
    <x v="82"/>
    <s v="JV-MP031224"/>
    <x v="19"/>
    <n v="3.54"/>
    <m/>
    <s v="9999"/>
    <s v="Gam"/>
    <s v="3007"/>
    <s v="UN Peace Building Fund (PBF) - The Gambia 01/2023-12/2025"/>
  </r>
  <r>
    <x v="7"/>
    <s v="Office Supplies / Materials"/>
    <x v="112"/>
    <s v="JV-MP031224"/>
    <x v="19"/>
    <n v="73.75"/>
    <m/>
    <s v="9999"/>
    <s v="Gam"/>
    <s v="3007"/>
    <s v="UN Peace Building Fund (PBF) - The Gambia 01/2023-12/2025"/>
  </r>
  <r>
    <x v="7"/>
    <s v="Office Supplies / Materials"/>
    <x v="84"/>
    <s v="JV-MP031224"/>
    <x v="19"/>
    <n v="7.0000000000000007E-2"/>
    <m/>
    <s v="9999"/>
    <s v="Gam"/>
    <s v="3007"/>
    <s v="UN Peace Building Fund (PBF) - The Gambia 01/2023-12/2025"/>
  </r>
  <r>
    <x v="7"/>
    <s v="Office Supplies / Materials"/>
    <x v="125"/>
    <s v="JV-MP031224"/>
    <x v="19"/>
    <n v="4.43"/>
    <m/>
    <s v="9999"/>
    <s v="Gam"/>
    <s v="3007"/>
    <s v="UN Peace Building Fund (PBF) - The Gambia 01/2023-12/2025"/>
  </r>
  <r>
    <x v="7"/>
    <s v="Office Supplies / Materials"/>
    <x v="126"/>
    <s v="JV-MP031224"/>
    <x v="19"/>
    <n v="2.95"/>
    <m/>
    <s v="9999"/>
    <s v="Gam"/>
    <s v="3007"/>
    <s v="UN Peace Building Fund (PBF) - The Gambia 01/2023-12/2025"/>
  </r>
  <r>
    <x v="7"/>
    <s v="Office Supplies / Materials"/>
    <x v="127"/>
    <s v="JV-MP031224"/>
    <x v="19"/>
    <n v="10.33"/>
    <m/>
    <s v="9999"/>
    <s v="Gam"/>
    <s v="3007"/>
    <s v="UN Peace Building Fund (PBF) - The Gambia 01/2023-12/2025"/>
  </r>
  <r>
    <x v="7"/>
    <s v="Office Supplies / Materials"/>
    <x v="128"/>
    <s v="JV-MP031224"/>
    <x v="19"/>
    <n v="17.04"/>
    <m/>
    <s v="9999"/>
    <s v="Gam"/>
    <s v="3007"/>
    <s v="UN Peace Building Fund (PBF) - The Gambia 01/2023-12/2025"/>
  </r>
  <r>
    <x v="7"/>
    <s v="Office Supplies / Materials"/>
    <x v="129"/>
    <s v="JV-MP031224"/>
    <x v="19"/>
    <n v="1.48"/>
    <m/>
    <s v="9999"/>
    <s v="Gam"/>
    <s v="3007"/>
    <s v="UN Peace Building Fund (PBF) - The Gambia 01/2023-12/2025"/>
  </r>
  <r>
    <x v="7"/>
    <s v="Office Supplies / Materials"/>
    <x v="130"/>
    <s v="JV-MP031224"/>
    <x v="19"/>
    <n v="35.4"/>
    <m/>
    <s v="9999"/>
    <s v="Gam"/>
    <s v="3007"/>
    <s v="UN Peace Building Fund (PBF) - The Gambia 01/2023-12/2025"/>
  </r>
  <r>
    <x v="7"/>
    <s v="Office Supplies / Materials"/>
    <x v="131"/>
    <s v="JV-MP031224"/>
    <x v="19"/>
    <n v="2.21"/>
    <m/>
    <s v="9999"/>
    <s v="Gam"/>
    <s v="3007"/>
    <s v="UN Peace Building Fund (PBF) - The Gambia 01/2023-12/2025"/>
  </r>
  <r>
    <x v="7"/>
    <s v="Office Supplies / Materials"/>
    <x v="132"/>
    <s v="JV-MP031224"/>
    <x v="19"/>
    <n v="10.62"/>
    <m/>
    <s v="9999"/>
    <s v="Gam"/>
    <s v="3007"/>
    <s v="UN Peace Building Fund (PBF) - The Gambia 01/2023-12/2025"/>
  </r>
  <r>
    <x v="7"/>
    <s v="Office Supplies / Materials"/>
    <x v="133"/>
    <s v="JV-MP031224"/>
    <x v="19"/>
    <n v="6.05"/>
    <m/>
    <s v="9999"/>
    <s v="Gam"/>
    <s v="3007"/>
    <s v="UN Peace Building Fund (PBF) - The Gambia 01/2023-12/2025"/>
  </r>
  <r>
    <x v="7"/>
    <s v="Office Supplies / Materials"/>
    <x v="134"/>
    <s v="JV-MP031224"/>
    <x v="19"/>
    <n v="3.54"/>
    <m/>
    <s v="9999"/>
    <s v="Gam"/>
    <s v="3007"/>
    <s v="UN Peace Building Fund (PBF) - The Gambia 01/2023-12/2025"/>
  </r>
  <r>
    <x v="8"/>
    <s v="Meals &amp; Per Diem"/>
    <x v="31"/>
    <s v="JV-MP031224"/>
    <x v="19"/>
    <n v="47.94"/>
    <m/>
    <s v="9999"/>
    <s v="Gam"/>
    <s v="3007"/>
    <s v="UN Peace Building Fund (PBF) - The Gambia 01/2023-12/2025"/>
  </r>
  <r>
    <x v="2"/>
    <s v="Ground (Car/Mileage, Rail, Taxi/Shuttle)"/>
    <x v="69"/>
    <s v="JV-MP031224"/>
    <x v="19"/>
    <n v="59"/>
    <m/>
    <s v="9999"/>
    <s v="Gam"/>
    <s v="3007"/>
    <s v="UN Peace Building Fund (PBF) - The Gambia 01/2023-12/2025"/>
  </r>
  <r>
    <x v="2"/>
    <s v="Ground (Car/Mileage, Rail, Taxi/Shuttle)"/>
    <x v="135"/>
    <s v="JV-MP031224"/>
    <x v="19"/>
    <n v="4.43"/>
    <m/>
    <s v="9999"/>
    <s v="Gam"/>
    <s v="3007"/>
    <s v="UN Peace Building Fund (PBF) - The Gambia 01/2023-12/2025"/>
  </r>
  <r>
    <x v="8"/>
    <s v="Meals &amp; Per Diem"/>
    <x v="136"/>
    <s v="JV-MP031224"/>
    <x v="19"/>
    <n v="44.25"/>
    <m/>
    <s v="9999"/>
    <s v="Gam"/>
    <s v="3007"/>
    <s v="UN Peace Building Fund (PBF) - The Gambia 01/2023-12/2025"/>
  </r>
  <r>
    <x v="2"/>
    <s v="Ground (Car/Mileage, Rail, Taxi/Shuttle)"/>
    <x v="69"/>
    <s v="JV-MP031224"/>
    <x v="19"/>
    <n v="36.880000000000003"/>
    <m/>
    <s v="9999"/>
    <s v="Gam"/>
    <s v="3007"/>
    <s v="UN Peace Building Fund (PBF) - The Gambia 01/2023-12/2025"/>
  </r>
  <r>
    <x v="2"/>
    <s v="Ground (Car/Mileage, Rail, Taxi/Shuttle)"/>
    <x v="135"/>
    <s v="JV-MP031224"/>
    <x v="19"/>
    <n v="4.43"/>
    <m/>
    <s v="9999"/>
    <s v="Gam"/>
    <s v="3007"/>
    <s v="UN Peace Building Fund (PBF) - The Gambia 01/2023-12/2025"/>
  </r>
  <r>
    <x v="10"/>
    <s v="Consultants"/>
    <x v="137"/>
    <s v="cv032524"/>
    <x v="20"/>
    <n v="2500"/>
    <m/>
    <s v="9999"/>
    <s v="Gam"/>
    <s v="3007"/>
    <s v="UN Peace Building Fund (PBF) - The Gambia 01/2023-12/2025"/>
  </r>
  <r>
    <x v="16"/>
    <s v="Grants / Subcontracts Awarded"/>
    <x v="138"/>
    <s v="JV-MP041024"/>
    <x v="21"/>
    <n v="11543.31"/>
    <m/>
    <s v=""/>
    <s v=""/>
    <s v="3007"/>
    <s v="UN Peace Building Fund (PBF) - The Gambia 01/2023-12/2025"/>
  </r>
  <r>
    <x v="16"/>
    <s v="Grants / Subcontracts Awarded"/>
    <x v="139"/>
    <s v="JV-MP041024"/>
    <x v="21"/>
    <n v="12121.36"/>
    <m/>
    <s v=""/>
    <s v=""/>
    <s v="3007"/>
    <s v="UN Peace Building Fund (PBF) - The Gambia 01/2023-12/2025"/>
  </r>
  <r>
    <x v="16"/>
    <s v="Grants / Subcontracts Awarded"/>
    <x v="140"/>
    <s v="JV-MP041024"/>
    <x v="21"/>
    <n v="12136.84"/>
    <m/>
    <s v=""/>
    <s v=""/>
    <s v="3007"/>
    <s v="UN Peace Building Fund (PBF) - The Gambia 01/2023-12/2025"/>
  </r>
  <r>
    <x v="16"/>
    <s v="Grants / Subcontracts Awarded"/>
    <x v="141"/>
    <s v="JV-MP041024"/>
    <x v="21"/>
    <n v="12268.82"/>
    <m/>
    <s v=""/>
    <s v=""/>
    <s v="3007"/>
    <s v="UN Peace Building Fund (PBF) - The Gambia 01/2023-12/2025"/>
  </r>
  <r>
    <x v="1"/>
    <s v="Salary &amp; Fringes Fund Allocation"/>
    <x v="2"/>
    <s v="JV-JS033124 Sal Alloc"/>
    <x v="21"/>
    <n v="563.29"/>
    <m/>
    <s v="9999"/>
    <s v="9999"/>
    <s v="3007"/>
    <s v="UN Peace Building Fund (PBF) - The Gambia 01/2023-12/2025"/>
  </r>
  <r>
    <x v="1"/>
    <s v="Salary &amp; Fringes Fund Allocation"/>
    <x v="3"/>
    <s v="JV-JS033124 Sal Alloc"/>
    <x v="21"/>
    <n v="436.8"/>
    <m/>
    <s v="9999"/>
    <s v="9999"/>
    <s v="3007"/>
    <s v="UN Peace Building Fund (PBF) - The Gambia 01/2023-12/2025"/>
  </r>
  <r>
    <x v="1"/>
    <s v="Salary &amp; Fringes Fund Allocation"/>
    <x v="4"/>
    <s v="JV-JS033124 Sal Alloc"/>
    <x v="21"/>
    <n v="720"/>
    <m/>
    <s v="9999"/>
    <s v="9999"/>
    <s v="3007"/>
    <s v="UN Peace Building Fund (PBF) - The Gambia 01/2023-12/2025"/>
  </r>
  <r>
    <x v="2"/>
    <s v="Ground (Car/Mileage, Rail, Taxi/Shuttle)"/>
    <x v="142"/>
    <s v="JV-MP041024"/>
    <x v="21"/>
    <n v="46.82"/>
    <m/>
    <s v="9999"/>
    <s v="Gam"/>
    <s v="3007"/>
    <s v="UN Peace Building Fund (PBF) - The Gambia 01/2023-12/2025"/>
  </r>
  <r>
    <x v="21"/>
    <s v="Media Outreach / Publicity"/>
    <x v="143"/>
    <s v="JV-MP041024"/>
    <x v="21"/>
    <n v="425.27"/>
    <m/>
    <s v="9999"/>
    <s v="Gam"/>
    <s v="3007"/>
    <s v="UN Peace Building Fund (PBF) - The Gambia 01/2023-12/2025"/>
  </r>
  <r>
    <x v="17"/>
    <s v="Banking / Credit Cards Fee"/>
    <x v="68"/>
    <s v="JV-MP041024"/>
    <x v="21"/>
    <n v="3.39"/>
    <m/>
    <s v="9999"/>
    <s v="Gam"/>
    <s v="3007"/>
    <s v="UN Peace Building Fund (PBF) - The Gambia 01/2023-12/2025"/>
  </r>
  <r>
    <x v="5"/>
    <s v="Wages - International - Full Time"/>
    <x v="144"/>
    <s v="JV-MP041024"/>
    <x v="21"/>
    <n v="500.26"/>
    <m/>
    <s v="9999"/>
    <s v="Gam"/>
    <s v="3007"/>
    <s v="UN Peace Building Fund (PBF) - The Gambia 01/2023-12/2025"/>
  </r>
  <r>
    <x v="5"/>
    <s v="Wages - International - Full Time"/>
    <x v="145"/>
    <s v="JV-MP041024"/>
    <x v="21"/>
    <n v="1200.6300000000001"/>
    <m/>
    <s v="9999"/>
    <s v="Gam"/>
    <s v="3007"/>
    <s v="UN Peace Building Fund (PBF) - The Gambia 01/2023-12/2025"/>
  </r>
  <r>
    <x v="5"/>
    <s v="Wages - International - Full Time"/>
    <x v="146"/>
    <s v="JV-MP041024"/>
    <x v="21"/>
    <n v="1120.5899999999999"/>
    <m/>
    <s v="9999"/>
    <s v="Gam"/>
    <s v="3007"/>
    <s v="UN Peace Building Fund (PBF) - The Gambia 01/2023-12/2025"/>
  </r>
  <r>
    <x v="2"/>
    <s v="Ground (Car/Mileage, Rail, Taxi/Shuttle)"/>
    <x v="147"/>
    <s v="JV-MP041024"/>
    <x v="21"/>
    <n v="17.7"/>
    <m/>
    <s v="9999"/>
    <s v="Gam"/>
    <s v="3007"/>
    <s v="UN Peace Building Fund (PBF) - The Gambia 01/2023-12/2025"/>
  </r>
  <r>
    <x v="2"/>
    <s v="Ground (Car/Mileage, Rail, Taxi/Shuttle)"/>
    <x v="148"/>
    <s v="JV-MP041024"/>
    <x v="21"/>
    <n v="7.37"/>
    <m/>
    <s v="9999"/>
    <s v="Gam"/>
    <s v="3007"/>
    <s v="UN Peace Building Fund (PBF) - The Gambia 01/2023-12/2025"/>
  </r>
  <r>
    <x v="14"/>
    <s v="Telephone &amp; Internet Access"/>
    <x v="81"/>
    <s v="JV-MP041024"/>
    <x v="21"/>
    <n v="51.01"/>
    <m/>
    <s v="9999"/>
    <s v="Gam"/>
    <s v="3007"/>
    <s v="UN Peace Building Fund (PBF) - The Gambia 01/2023-12/2025"/>
  </r>
  <r>
    <x v="14"/>
    <s v="Telephone &amp; Internet Access"/>
    <x v="103"/>
    <s v="JV-MP041024"/>
    <x v="21"/>
    <n v="40.01"/>
    <m/>
    <s v="9999"/>
    <s v="Gam"/>
    <s v="3007"/>
    <s v="UN Peace Building Fund (PBF) - The Gambia 01/2023-12/2025"/>
  </r>
  <r>
    <x v="14"/>
    <s v="Telephone &amp; Internet Access"/>
    <x v="124"/>
    <s v="JV-MP041024"/>
    <x v="21"/>
    <n v="40.01"/>
    <m/>
    <s v="9999"/>
    <s v="Gam"/>
    <s v="3007"/>
    <s v="UN Peace Building Fund (PBF) - The Gambia 01/2023-12/2025"/>
  </r>
  <r>
    <x v="14"/>
    <s v="Telephone &amp; Internet Access"/>
    <x v="104"/>
    <s v="JV-MP041024"/>
    <x v="21"/>
    <n v="41.01"/>
    <m/>
    <s v="9999"/>
    <s v="Gam"/>
    <s v="3007"/>
    <s v="UN Peace Building Fund (PBF) - The Gambia 01/2023-12/2025"/>
  </r>
  <r>
    <x v="14"/>
    <s v="Telephone &amp; Internet Access"/>
    <x v="105"/>
    <s v="JV-MP041024"/>
    <x v="21"/>
    <n v="41.01"/>
    <m/>
    <s v="9999"/>
    <s v="Gam"/>
    <s v="3007"/>
    <s v="UN Peace Building Fund (PBF) - The Gambia 01/2023-12/2025"/>
  </r>
  <r>
    <x v="22"/>
    <s v="Subscriptions &amp; Membership Fees"/>
    <x v="107"/>
    <s v="JV-MP041024"/>
    <x v="21"/>
    <n v="11.8"/>
    <m/>
    <s v="9999"/>
    <s v="Gam"/>
    <s v="3007"/>
    <s v="UN Peace Building Fund (PBF) - The Gambia 01/2023-12/2025"/>
  </r>
  <r>
    <x v="2"/>
    <s v="Ground (Car/Mileage, Rail, Taxi/Shuttle)"/>
    <x v="108"/>
    <s v="JV-MP041024"/>
    <x v="21"/>
    <n v="8.85"/>
    <m/>
    <s v="9999"/>
    <s v="Gam"/>
    <s v="3007"/>
    <s v="UN Peace Building Fund (PBF) - The Gambia 01/2023-12/2025"/>
  </r>
  <r>
    <x v="7"/>
    <s v="Office Supplies / Materials"/>
    <x v="109"/>
    <s v="JV-MP041024"/>
    <x v="21"/>
    <n v="10.25"/>
    <m/>
    <s v="9999"/>
    <s v="Gam"/>
    <s v="3007"/>
    <s v="UN Peace Building Fund (PBF) - The Gambia 01/2023-12/2025"/>
  </r>
  <r>
    <x v="7"/>
    <s v="Office Supplies / Materials"/>
    <x v="110"/>
    <s v="JV-MP041024"/>
    <x v="21"/>
    <n v="7"/>
    <m/>
    <s v="9999"/>
    <s v="Gam"/>
    <s v="3007"/>
    <s v="UN Peace Building Fund (PBF) - The Gambia 01/2023-12/2025"/>
  </r>
  <r>
    <x v="7"/>
    <s v="Office Supplies / Materials"/>
    <x v="82"/>
    <s v="JV-MP041024"/>
    <x v="21"/>
    <n v="3.54"/>
    <m/>
    <s v="9999"/>
    <s v="Gam"/>
    <s v="3007"/>
    <s v="UN Peace Building Fund (PBF) - The Gambia 01/2023-12/2025"/>
  </r>
  <r>
    <x v="7"/>
    <s v="Office Supplies / Materials"/>
    <x v="149"/>
    <s v="JV-MP041024"/>
    <x v="21"/>
    <n v="73.73"/>
    <m/>
    <s v="9999"/>
    <s v="Gam"/>
    <s v="3007"/>
    <s v="UN Peace Building Fund (PBF) - The Gambia 01/2023-12/2025"/>
  </r>
  <r>
    <x v="7"/>
    <s v="Office Supplies / Materials"/>
    <x v="84"/>
    <s v="JV-MP041024"/>
    <x v="21"/>
    <n v="7.0000000000000007E-2"/>
    <m/>
    <s v="9999"/>
    <s v="Gam"/>
    <s v="3007"/>
    <s v="UN Peace Building Fund (PBF) - The Gambia 01/2023-12/2025"/>
  </r>
  <r>
    <x v="7"/>
    <s v="Office Supplies / Materials"/>
    <x v="150"/>
    <s v="JV-MP041024"/>
    <x v="21"/>
    <n v="3.98"/>
    <m/>
    <s v="9999"/>
    <s v="Gam"/>
    <s v="3007"/>
    <s v="UN Peace Building Fund (PBF) - The Gambia 01/2023-12/2025"/>
  </r>
  <r>
    <x v="7"/>
    <s v="Office Supplies / Materials"/>
    <x v="151"/>
    <s v="JV-MP041024"/>
    <x v="21"/>
    <n v="2.21"/>
    <m/>
    <s v="9999"/>
    <s v="Gam"/>
    <s v="3007"/>
    <s v="UN Peace Building Fund (PBF) - The Gambia 01/2023-12/2025"/>
  </r>
  <r>
    <x v="7"/>
    <s v="Office Supplies / Materials"/>
    <x v="152"/>
    <s v="JV-MP041024"/>
    <x v="21"/>
    <n v="3.47"/>
    <m/>
    <s v="9999"/>
    <s v="Gam"/>
    <s v="3007"/>
    <s v="UN Peace Building Fund (PBF) - The Gambia 01/2023-12/2025"/>
  </r>
  <r>
    <x v="7"/>
    <s v="Office Supplies / Materials"/>
    <x v="153"/>
    <s v="JV-MP041024"/>
    <x v="21"/>
    <n v="7.08"/>
    <m/>
    <s v="9999"/>
    <s v="Gam"/>
    <s v="3007"/>
    <s v="UN Peace Building Fund (PBF) - The Gambia 01/2023-12/2025"/>
  </r>
  <r>
    <x v="7"/>
    <s v="Office Supplies / Materials"/>
    <x v="134"/>
    <s v="JV-MP041024"/>
    <x v="21"/>
    <n v="3.54"/>
    <m/>
    <s v="9999"/>
    <s v="Gam"/>
    <s v="3007"/>
    <s v="UN Peace Building Fund (PBF) - The Gambia 01/2023-12/2025"/>
  </r>
  <r>
    <x v="14"/>
    <s v="Telephone &amp; Internet Access"/>
    <x v="154"/>
    <s v="JV-MP041524-1"/>
    <x v="21"/>
    <n v="41.18"/>
    <m/>
    <s v="9999"/>
    <s v="Gam"/>
    <s v="3007"/>
    <s v="UN Peace Building Fund (PBF) - The Gambia 01/2023-12/2025"/>
  </r>
  <r>
    <x v="17"/>
    <s v="Banking / Credit Cards Fee"/>
    <x v="155"/>
    <s v="JV-MP041024"/>
    <x v="21"/>
    <n v="3.39"/>
    <m/>
    <s v="9999"/>
    <s v="Gam"/>
    <s v="3007"/>
    <s v="UN Peace Building Fund (PBF) - The Gambia 01/2023-12/2025"/>
  </r>
  <r>
    <x v="10"/>
    <s v="Consultants"/>
    <x v="156"/>
    <s v="cv042924"/>
    <x v="22"/>
    <n v="2000"/>
    <m/>
    <s v="9999"/>
    <s v="Gam"/>
    <s v="3007"/>
    <s v="UN Peace Building Fund (PBF) - The Gambia 01/2023-12/2025"/>
  </r>
  <r>
    <x v="2"/>
    <s v="Ground (Car/Mileage, Rail, Taxi/Shuttle)"/>
    <x v="157"/>
    <s v="JV-MP060524-2"/>
    <x v="23"/>
    <n v="44.25"/>
    <m/>
    <s v="2.1"/>
    <s v="Gam"/>
    <s v="3007"/>
    <s v="UN Peace Building Fund (PBF) - The Gambia 01/2023-12/2025"/>
  </r>
  <r>
    <x v="8"/>
    <s v="Meals &amp; Per Diem"/>
    <x v="158"/>
    <s v="JV-MP060524-2"/>
    <x v="23"/>
    <n v="53.1"/>
    <m/>
    <s v="2.1"/>
    <s v="Gam"/>
    <s v="3007"/>
    <s v="UN Peace Building Fund (PBF) - The Gambia 01/2023-12/2025"/>
  </r>
  <r>
    <x v="2"/>
    <s v="Ground (Car/Mileage, Rail, Taxi/Shuttle)"/>
    <x v="159"/>
    <s v="JV-MP060524-2"/>
    <x v="23"/>
    <n v="4.43"/>
    <m/>
    <s v="2.1"/>
    <s v="Gam"/>
    <s v="3007"/>
    <s v="UN Peace Building Fund (PBF) - The Gambia 01/2023-12/2025"/>
  </r>
  <r>
    <x v="8"/>
    <s v="Meals &amp; Per Diem"/>
    <x v="88"/>
    <s v="JV-MP060524-2"/>
    <x v="23"/>
    <n v="1032.5899999999999"/>
    <m/>
    <s v="2.4"/>
    <s v="Gam"/>
    <s v="3007"/>
    <s v="UN Peace Building Fund (PBF) - The Gambia 01/2023-12/2025"/>
  </r>
  <r>
    <x v="8"/>
    <s v="Meals &amp; Per Diem"/>
    <x v="160"/>
    <s v="JV-MP060524-2"/>
    <x v="23"/>
    <n v="1567.33"/>
    <m/>
    <s v="2.4"/>
    <s v="Gam"/>
    <s v="3007"/>
    <s v="UN Peace Building Fund (PBF) - The Gambia 01/2023-12/2025"/>
  </r>
  <r>
    <x v="2"/>
    <s v="Ground (Car/Mileage, Rail, Taxi/Shuttle)"/>
    <x v="161"/>
    <s v="JV-MP060524-2"/>
    <x v="23"/>
    <n v="147.51"/>
    <m/>
    <s v="2.4"/>
    <s v="Gam"/>
    <s v="3007"/>
    <s v="UN Peace Building Fund (PBF) - The Gambia 01/2023-12/2025"/>
  </r>
  <r>
    <x v="10"/>
    <s v="Consultants"/>
    <x v="116"/>
    <s v="JV-MP060524-2"/>
    <x v="23"/>
    <n v="295.02999999999997"/>
    <m/>
    <s v="2.4"/>
    <s v="Gam"/>
    <s v="3007"/>
    <s v="UN Peace Building Fund (PBF) - The Gambia 01/2023-12/2025"/>
  </r>
  <r>
    <x v="15"/>
    <s v="Event Planning / Organization"/>
    <x v="162"/>
    <s v="JV-MP060524-2"/>
    <x v="23"/>
    <n v="22.13"/>
    <m/>
    <s v="2.4"/>
    <s v="Gam"/>
    <s v="3007"/>
    <s v="UN Peace Building Fund (PBF) - The Gambia 01/2023-12/2025"/>
  </r>
  <r>
    <x v="2"/>
    <s v="Ground (Car/Mileage, Rail, Taxi/Shuttle)"/>
    <x v="163"/>
    <s v="JV-MP060524-2"/>
    <x v="23"/>
    <n v="11.8"/>
    <m/>
    <s v="2.4"/>
    <s v="Gam"/>
    <s v="3007"/>
    <s v="UN Peace Building Fund (PBF) - The Gambia 01/2023-12/2025"/>
  </r>
  <r>
    <x v="11"/>
    <s v="Rental Halls / Convention Center"/>
    <x v="119"/>
    <s v="JV-MP060524-2"/>
    <x v="23"/>
    <n v="36.880000000000003"/>
    <m/>
    <s v="2.4"/>
    <s v="Gam"/>
    <s v="3007"/>
    <s v="UN Peace Building Fund (PBF) - The Gambia 01/2023-12/2025"/>
  </r>
  <r>
    <x v="15"/>
    <s v="Event Planning / Organization"/>
    <x v="164"/>
    <s v="JV-MP060524-2"/>
    <x v="23"/>
    <n v="1.03"/>
    <m/>
    <s v="2.4"/>
    <s v="Gam"/>
    <s v="3007"/>
    <s v="UN Peace Building Fund (PBF) - The Gambia 01/2023-12/2025"/>
  </r>
  <r>
    <x v="2"/>
    <s v="Ground (Car/Mileage, Rail, Taxi/Shuttle)"/>
    <x v="165"/>
    <s v="JV-MP060524-2"/>
    <x v="23"/>
    <n v="44.25"/>
    <m/>
    <s v="2.4"/>
    <s v="Gam"/>
    <s v="3007"/>
    <s v="UN Peace Building Fund (PBF) - The Gambia 01/2023-12/2025"/>
  </r>
  <r>
    <x v="3"/>
    <s v="Printing &amp; Publications"/>
    <x v="166"/>
    <s v="JV-MP060524-2"/>
    <x v="23"/>
    <n v="162.26"/>
    <m/>
    <s v="2.4"/>
    <s v="Gam"/>
    <s v="3007"/>
    <s v="UN Peace Building Fund (PBF) - The Gambia 01/2023-12/2025"/>
  </r>
  <r>
    <x v="23"/>
    <s v="Office Equipment (below $2,000)"/>
    <x v="167"/>
    <s v="JV-MP060524-2"/>
    <x v="23"/>
    <n v="221.27"/>
    <m/>
    <s v="2.4"/>
    <s v="Gam"/>
    <s v="3007"/>
    <s v="UN Peace Building Fund (PBF) - The Gambia 01/2023-12/2025"/>
  </r>
  <r>
    <x v="5"/>
    <s v="Wages - International - Full Time"/>
    <x v="168"/>
    <s v="JV-MP060524-2"/>
    <x v="23"/>
    <n v="1200.08"/>
    <m/>
    <s v="5.2"/>
    <s v="Gam"/>
    <s v="3007"/>
    <s v="UN Peace Building Fund (PBF) - The Gambia 01/2023-12/2025"/>
  </r>
  <r>
    <x v="5"/>
    <s v="Wages - International - Full Time"/>
    <x v="169"/>
    <s v="JV-MP060524-2"/>
    <x v="23"/>
    <n v="500.04"/>
    <m/>
    <s v="5.3"/>
    <s v="Gam"/>
    <s v="3007"/>
    <s v="UN Peace Building Fund (PBF) - The Gambia 01/2023-12/2025"/>
  </r>
  <r>
    <x v="5"/>
    <s v="Wages - International - Full Time"/>
    <x v="170"/>
    <s v="JV-MP060524-2"/>
    <x v="23"/>
    <n v="1120.07"/>
    <m/>
    <s v="5.4"/>
    <s v="Gam"/>
    <s v="3007"/>
    <s v="UN Peace Building Fund (PBF) - The Gambia 01/2023-12/2025"/>
  </r>
  <r>
    <x v="5"/>
    <s v="Wages - International - Full Time"/>
    <x v="171"/>
    <s v="JV-MP060524-2"/>
    <x v="23"/>
    <n v="59.01"/>
    <m/>
    <s v="6"/>
    <s v="Gam"/>
    <s v="3007"/>
    <s v="UN Peace Building Fund (PBF) - The Gambia 01/2023-12/2025"/>
  </r>
  <r>
    <x v="14"/>
    <s v="Telephone &amp; Internet Access"/>
    <x v="81"/>
    <s v="JV-MP060524-2"/>
    <x v="23"/>
    <n v="50.99"/>
    <m/>
    <s v="6"/>
    <s v="Gam"/>
    <s v="3007"/>
    <s v="UN Peace Building Fund (PBF) - The Gambia 01/2023-12/2025"/>
  </r>
  <r>
    <x v="14"/>
    <s v="Telephone &amp; Internet Access"/>
    <x v="103"/>
    <s v="JV-MP060524-2"/>
    <x v="23"/>
    <n v="39.99"/>
    <m/>
    <s v="6"/>
    <s v="Gam"/>
    <s v="3007"/>
    <s v="UN Peace Building Fund (PBF) - The Gambia 01/2023-12/2025"/>
  </r>
  <r>
    <x v="14"/>
    <s v="Telephone &amp; Internet Access"/>
    <x v="124"/>
    <s v="JV-MP060524-2"/>
    <x v="23"/>
    <n v="39.99"/>
    <m/>
    <s v="6"/>
    <s v="Gam"/>
    <s v="3007"/>
    <s v="UN Peace Building Fund (PBF) - The Gambia 01/2023-12/2025"/>
  </r>
  <r>
    <x v="14"/>
    <s v="Telephone &amp; Internet Access"/>
    <x v="104"/>
    <s v="JV-MP060524-2"/>
    <x v="23"/>
    <n v="40.99"/>
    <m/>
    <s v="6"/>
    <s v="Gam"/>
    <s v="3007"/>
    <s v="UN Peace Building Fund (PBF) - The Gambia 01/2023-12/2025"/>
  </r>
  <r>
    <x v="14"/>
    <s v="Telephone &amp; Internet Access"/>
    <x v="105"/>
    <s v="JV-MP060524-2"/>
    <x v="23"/>
    <n v="40.99"/>
    <m/>
    <s v="6"/>
    <s v="Gam"/>
    <s v="3007"/>
    <s v="UN Peace Building Fund (PBF) - The Gambia 01/2023-12/2025"/>
  </r>
  <r>
    <x v="22"/>
    <s v="Subscriptions &amp; Membership Fees"/>
    <x v="107"/>
    <s v="JV-MP060524-2"/>
    <x v="23"/>
    <n v="11.8"/>
    <m/>
    <s v="6"/>
    <s v="Gam"/>
    <s v="3007"/>
    <s v="UN Peace Building Fund (PBF) - The Gambia 01/2023-12/2025"/>
  </r>
  <r>
    <x v="2"/>
    <s v="Ground (Car/Mileage, Rail, Taxi/Shuttle)"/>
    <x v="108"/>
    <s v="JV-MP060524-2"/>
    <x v="23"/>
    <n v="7.38"/>
    <m/>
    <s v="6"/>
    <s v="Gam"/>
    <s v="3007"/>
    <s v="UN Peace Building Fund (PBF) - The Gambia 01/2023-12/2025"/>
  </r>
  <r>
    <x v="7"/>
    <s v="Office Supplies / Materials"/>
    <x v="109"/>
    <s v="JV-MP060524-2"/>
    <x v="23"/>
    <n v="73.760000000000005"/>
    <m/>
    <s v="6"/>
    <s v="Gam"/>
    <s v="3007"/>
    <s v="UN Peace Building Fund (PBF) - The Gambia 01/2023-12/2025"/>
  </r>
  <r>
    <x v="7"/>
    <s v="Office Supplies / Materials"/>
    <x v="110"/>
    <s v="JV-MP060524-2"/>
    <x v="23"/>
    <n v="7.0000000000000007E-2"/>
    <m/>
    <s v="6"/>
    <s v="Gam"/>
    <s v="3007"/>
    <s v="UN Peace Building Fund (PBF) - The Gambia 01/2023-12/2025"/>
  </r>
  <r>
    <x v="7"/>
    <s v="Office Supplies / Materials"/>
    <x v="82"/>
    <s v="JV-MP060524-2"/>
    <x v="23"/>
    <n v="7.82"/>
    <m/>
    <s v="6"/>
    <s v="Gam"/>
    <s v="3007"/>
    <s v="UN Peace Building Fund (PBF) - The Gambia 01/2023-12/2025"/>
  </r>
  <r>
    <x v="7"/>
    <s v="Office Supplies / Materials"/>
    <x v="149"/>
    <s v="JV-MP060524-2"/>
    <x v="23"/>
    <n v="1.84"/>
    <m/>
    <s v="6"/>
    <s v="Gam"/>
    <s v="3007"/>
    <s v="UN Peace Building Fund (PBF) - The Gambia 01/2023-12/2025"/>
  </r>
  <r>
    <x v="7"/>
    <s v="Office Supplies / Materials"/>
    <x v="84"/>
    <s v="JV-MP060524-2"/>
    <x v="23"/>
    <n v="3.54"/>
    <m/>
    <s v="6"/>
    <s v="Gam"/>
    <s v="3007"/>
    <s v="UN Peace Building Fund (PBF) - The Gambia 01/2023-12/2025"/>
  </r>
  <r>
    <x v="2"/>
    <s v="Ground (Car/Mileage, Rail, Taxi/Shuttle)"/>
    <x v="142"/>
    <s v="JV-MP060524-2"/>
    <x v="23"/>
    <n v="16.23"/>
    <m/>
    <s v="6"/>
    <s v="Gam"/>
    <s v="3007"/>
    <s v="UN Peace Building Fund (PBF) - The Gambia 01/2023-12/2025"/>
  </r>
  <r>
    <x v="4"/>
    <s v="International Office Rent"/>
    <x v="172"/>
    <s v="JV-MP060524-2"/>
    <x v="23"/>
    <n v="1678.04"/>
    <m/>
    <s v="6"/>
    <s v="Gam"/>
    <s v="3007"/>
    <s v="UN Peace Building Fund (PBF) - The Gambia 01/2023-12/2025"/>
  </r>
  <r>
    <x v="2"/>
    <s v="Ground (Car/Mileage, Rail, Taxi/Shuttle)"/>
    <x v="142"/>
    <s v="JV-MP060524-2"/>
    <x v="23"/>
    <n v="32.450000000000003"/>
    <m/>
    <s v="6"/>
    <s v="Gam"/>
    <s v="3007"/>
    <s v="UN Peace Building Fund (PBF) - The Gambia 01/2023-12/2025"/>
  </r>
  <r>
    <x v="1"/>
    <s v="Salary &amp; Fringes Fund Allocation"/>
    <x v="2"/>
    <s v="JV-JS043024 Sal Alloc"/>
    <x v="23"/>
    <n v="563.28"/>
    <m/>
    <s v="9999"/>
    <s v="9999"/>
    <s v="3007"/>
    <s v="UN Peace Building Fund (PBF) - The Gambia 01/2023-12/2025"/>
  </r>
  <r>
    <x v="1"/>
    <s v="Salary &amp; Fringes Fund Allocation"/>
    <x v="3"/>
    <s v="JV-JS043024 Sal Alloc"/>
    <x v="23"/>
    <n v="436.8"/>
    <m/>
    <s v="9999"/>
    <s v="9999"/>
    <s v="3007"/>
    <s v="UN Peace Building Fund (PBF) - The Gambia 01/2023-12/2025"/>
  </r>
  <r>
    <x v="1"/>
    <s v="Salary &amp; Fringes Fund Allocation"/>
    <x v="4"/>
    <s v="JV-JS043024 Sal Alloc"/>
    <x v="23"/>
    <n v="720"/>
    <m/>
    <s v="9999"/>
    <s v="9999"/>
    <s v="3007"/>
    <s v="UN Peace Building Fund (PBF) - The Gambia 01/2023-12/2025"/>
  </r>
  <r>
    <x v="19"/>
    <s v="IT Consulting, Services, and Support"/>
    <x v="173"/>
    <s v="JV-JS043024 IT &amp; Comm"/>
    <x v="23"/>
    <n v="225"/>
    <m/>
    <s v="9999"/>
    <s v="9999"/>
    <s v="3007"/>
    <s v="UN Peace Building Fund (PBF) - The Gambia 01/2023-12/2025"/>
  </r>
  <r>
    <x v="21"/>
    <s v="Media Outreach / Publicity"/>
    <x v="174"/>
    <s v="JV-JS043024 IT &amp; Comm"/>
    <x v="23"/>
    <n v="164"/>
    <m/>
    <s v="9999"/>
    <s v="9999"/>
    <s v="3007"/>
    <s v="UN Peace Building Fund (PBF) - The Gambia 01/2023-12/2025"/>
  </r>
  <r>
    <x v="10"/>
    <s v="Consultants"/>
    <x v="175"/>
    <s v="cv052024"/>
    <x v="24"/>
    <n v="500"/>
    <m/>
    <s v="9999"/>
    <s v="Gam"/>
    <s v="3007"/>
    <s v="UN Peace Building Fund (PBF) - The Gambia 01/2023-12/2025"/>
  </r>
  <r>
    <x v="2"/>
    <s v="Ground (Car/Mileage, Rail, Taxi/Shuttle)"/>
    <x v="176"/>
    <s v="JV-MP063024-3"/>
    <x v="25"/>
    <n v="955.07"/>
    <m/>
    <s v="2.4"/>
    <s v="Gam"/>
    <s v="3007"/>
    <s v="UN Peace Building Fund (PBF) - The Gambia 01/2023-12/2025"/>
  </r>
  <r>
    <x v="5"/>
    <s v="Wages - International - Full Time"/>
    <x v="177"/>
    <s v="JV-MP063024-3"/>
    <x v="25"/>
    <n v="1199.49"/>
    <m/>
    <s v="5.2"/>
    <s v="Gam"/>
    <s v="3007"/>
    <s v="UN Peace Building Fund (PBF) - The Gambia 01/2023-12/2025"/>
  </r>
  <r>
    <x v="5"/>
    <s v="Wages - International - Full Time"/>
    <x v="178"/>
    <s v="JV-MP063024-3"/>
    <x v="25"/>
    <n v="499.79"/>
    <m/>
    <s v="5.3"/>
    <s v="Gam"/>
    <s v="3007"/>
    <s v="UN Peace Building Fund (PBF) - The Gambia 01/2023-12/2025"/>
  </r>
  <r>
    <x v="5"/>
    <s v="Wages - International - Full Time"/>
    <x v="179"/>
    <s v="JV-MP063024-3"/>
    <x v="25"/>
    <n v="1119.52"/>
    <m/>
    <s v="5.4"/>
    <s v="Gam"/>
    <s v="3007"/>
    <s v="UN Peace Building Fund (PBF) - The Gambia 01/2023-12/2025"/>
  </r>
  <r>
    <x v="17"/>
    <s v="Banking / Credit Cards Fee"/>
    <x v="180"/>
    <s v="JV-MP063024-3"/>
    <x v="25"/>
    <n v="2.67"/>
    <m/>
    <s v="6"/>
    <s v="Gam"/>
    <s v="3007"/>
    <s v="UN Peace Building Fund (PBF) - The Gambia 01/2023-12/2025"/>
  </r>
  <r>
    <x v="17"/>
    <s v="Banking / Credit Cards Fee"/>
    <x v="181"/>
    <s v="JV-MP063024-3"/>
    <x v="25"/>
    <n v="0.4"/>
    <m/>
    <s v="6"/>
    <s v="Gam"/>
    <s v="3007"/>
    <s v="UN Peace Building Fund (PBF) - The Gambia 01/2023-12/2025"/>
  </r>
  <r>
    <x v="14"/>
    <s v="Telephone &amp; Internet Access"/>
    <x v="81"/>
    <s v="JV-MP063024-3"/>
    <x v="25"/>
    <n v="51.08"/>
    <m/>
    <s v="6"/>
    <s v="Gam"/>
    <s v="3007"/>
    <s v="UN Peace Building Fund (PBF) - The Gambia 01/2023-12/2025"/>
  </r>
  <r>
    <x v="14"/>
    <s v="Telephone &amp; Internet Access"/>
    <x v="103"/>
    <s v="JV-MP063024-3"/>
    <x v="25"/>
    <n v="40.06"/>
    <m/>
    <s v="6"/>
    <s v="Gam"/>
    <s v="3007"/>
    <s v="UN Peace Building Fund (PBF) - The Gambia 01/2023-12/2025"/>
  </r>
  <r>
    <x v="14"/>
    <s v="Telephone &amp; Internet Access"/>
    <x v="124"/>
    <s v="JV-MP063024-3"/>
    <x v="25"/>
    <n v="40.06"/>
    <m/>
    <s v="6"/>
    <s v="Gam"/>
    <s v="3007"/>
    <s v="UN Peace Building Fund (PBF) - The Gambia 01/2023-12/2025"/>
  </r>
  <r>
    <x v="14"/>
    <s v="Telephone &amp; Internet Access"/>
    <x v="104"/>
    <s v="JV-MP063024-3"/>
    <x v="25"/>
    <n v="41.06"/>
    <m/>
    <s v="6"/>
    <s v="Gam"/>
    <s v="3007"/>
    <s v="UN Peace Building Fund (PBF) - The Gambia 01/2023-12/2025"/>
  </r>
  <r>
    <x v="14"/>
    <s v="Telephone &amp; Internet Access"/>
    <x v="105"/>
    <s v="JV-MP063024-3"/>
    <x v="25"/>
    <n v="41.06"/>
    <m/>
    <s v="6"/>
    <s v="Gam"/>
    <s v="3007"/>
    <s v="UN Peace Building Fund (PBF) - The Gambia 01/2023-12/2025"/>
  </r>
  <r>
    <x v="7"/>
    <s v="Office Supplies / Materials"/>
    <x v="107"/>
    <s v="JV-MP063024-3"/>
    <x v="25"/>
    <n v="11.25"/>
    <m/>
    <s v="6"/>
    <s v="Gam"/>
    <s v="3007"/>
    <s v="UN Peace Building Fund (PBF) - The Gambia 01/2023-12/2025"/>
  </r>
  <r>
    <x v="2"/>
    <s v="Ground (Car/Mileage, Rail, Taxi/Shuttle)"/>
    <x v="108"/>
    <s v="JV-MP063024-3"/>
    <x v="25"/>
    <n v="7.4"/>
    <m/>
    <s v="6"/>
    <s v="Gam"/>
    <s v="3007"/>
    <s v="UN Peace Building Fund (PBF) - The Gambia 01/2023-12/2025"/>
  </r>
  <r>
    <x v="7"/>
    <s v="Office Supplies / Materials"/>
    <x v="182"/>
    <s v="JV-MP063024-3"/>
    <x v="25"/>
    <n v="74.040000000000006"/>
    <m/>
    <s v="6"/>
    <s v="Gam"/>
    <s v="3007"/>
    <s v="UN Peace Building Fund (PBF) - The Gambia 01/2023-12/2025"/>
  </r>
  <r>
    <x v="7"/>
    <s v="Office Supplies / Materials"/>
    <x v="84"/>
    <s v="JV-MP063024-3"/>
    <x v="25"/>
    <n v="7.0000000000000007E-2"/>
    <m/>
    <s v="6"/>
    <s v="Gam"/>
    <s v="3007"/>
    <s v="UN Peace Building Fund (PBF) - The Gambia 01/2023-12/2025"/>
  </r>
  <r>
    <x v="7"/>
    <s v="Office Supplies / Materials"/>
    <x v="183"/>
    <s v="JV-MP063024-3"/>
    <x v="25"/>
    <n v="7.11"/>
    <m/>
    <s v="6"/>
    <s v="Gam"/>
    <s v="3007"/>
    <s v="UN Peace Building Fund (PBF) - The Gambia 01/2023-12/2025"/>
  </r>
  <r>
    <x v="7"/>
    <s v="Office Supplies / Materials"/>
    <x v="184"/>
    <s v="JV-MP063024-3"/>
    <x v="25"/>
    <n v="7.03"/>
    <m/>
    <s v="6"/>
    <s v="Gam"/>
    <s v="3007"/>
    <s v="UN Peace Building Fund (PBF) - The Gambia 01/2023-12/2025"/>
  </r>
  <r>
    <x v="7"/>
    <s v="Office Supplies / Materials"/>
    <x v="185"/>
    <s v="JV-MP063024-3"/>
    <x v="25"/>
    <n v="10.29"/>
    <m/>
    <s v="6"/>
    <s v="Gam"/>
    <s v="3007"/>
    <s v="UN Peace Building Fund (PBF) - The Gambia 01/2023-12/2025"/>
  </r>
  <r>
    <x v="7"/>
    <s v="Office Supplies / Materials"/>
    <x v="186"/>
    <s v="JV-MP063024-3"/>
    <x v="25"/>
    <n v="2.67"/>
    <m/>
    <s v="6"/>
    <s v="Gam"/>
    <s v="3007"/>
    <s v="UN Peace Building Fund (PBF) - The Gambia 01/2023-12/2025"/>
  </r>
  <r>
    <x v="7"/>
    <s v="Office Supplies / Materials"/>
    <x v="187"/>
    <s v="JV-MP063024-3"/>
    <x v="25"/>
    <n v="11.11"/>
    <m/>
    <s v="6"/>
    <s v="Gam"/>
    <s v="3007"/>
    <s v="UN Peace Building Fund (PBF) - The Gambia 01/2023-12/2025"/>
  </r>
  <r>
    <x v="7"/>
    <s v="Office Supplies / Materials"/>
    <x v="188"/>
    <s v="JV-MP063024-3"/>
    <x v="25"/>
    <n v="22.21"/>
    <m/>
    <s v="6"/>
    <s v="Gam"/>
    <s v="3007"/>
    <s v="UN Peace Building Fund (PBF) - The Gambia 01/2023-12/2025"/>
  </r>
  <r>
    <x v="7"/>
    <s v="Office Supplies / Materials"/>
    <x v="134"/>
    <s v="JV-MP063024-3"/>
    <x v="25"/>
    <n v="3.55"/>
    <m/>
    <s v="6"/>
    <s v="Gam"/>
    <s v="3007"/>
    <s v="UN Peace Building Fund (PBF) - The Gambia 01/2023-12/2025"/>
  </r>
  <r>
    <x v="14"/>
    <s v="Telephone &amp; Internet Access"/>
    <x v="189"/>
    <s v="JV-MP063024-3"/>
    <x v="25"/>
    <n v="355.37"/>
    <m/>
    <s v="6"/>
    <s v="Gam"/>
    <s v="3007"/>
    <s v="UN Peace Building Fund (PBF) - The Gambia 01/2023-12/2025"/>
  </r>
  <r>
    <x v="2"/>
    <s v="Ground (Car/Mileage, Rail, Taxi/Shuttle)"/>
    <x v="142"/>
    <s v="JV-MP063024-3"/>
    <x v="25"/>
    <n v="17.77"/>
    <m/>
    <s v="6"/>
    <s v="Gam"/>
    <s v="3007"/>
    <s v="UN Peace Building Fund (PBF) - The Gambia 01/2023-12/2025"/>
  </r>
  <r>
    <x v="14"/>
    <s v="Telephone &amp; Internet Access"/>
    <x v="190"/>
    <s v="JV-MP063024-3"/>
    <x v="25"/>
    <n v="40.86"/>
    <m/>
    <s v="6"/>
    <s v="Gam"/>
    <s v="3007"/>
    <s v="UN Peace Building Fund (PBF) - The Gambia 01/2023-12/2025"/>
  </r>
  <r>
    <x v="22"/>
    <s v="Subscriptions &amp; Membership Fees"/>
    <x v="191"/>
    <s v="JV-MP063024-3"/>
    <x v="25"/>
    <n v="65.819999999999993"/>
    <m/>
    <s v="6"/>
    <s v="Gam"/>
    <s v="3007"/>
    <s v="UN Peace Building Fund (PBF) - The Gambia 01/2023-12/2025"/>
  </r>
  <r>
    <x v="3"/>
    <s v="Printing &amp; Publications"/>
    <x v="192"/>
    <s v="JV-MP063024-3"/>
    <x v="25"/>
    <n v="213.52"/>
    <m/>
    <s v="6"/>
    <s v="Gam"/>
    <s v="3007"/>
    <s v="UN Peace Building Fund (PBF) - The Gambia 01/2023-12/2025"/>
  </r>
  <r>
    <x v="2"/>
    <s v="Ground (Car/Mileage, Rail, Taxi/Shuttle)"/>
    <x v="142"/>
    <s v="JV-MP063024-3"/>
    <x v="25"/>
    <n v="53.31"/>
    <m/>
    <s v="6"/>
    <s v="Gam"/>
    <s v="3007"/>
    <s v="UN Peace Building Fund (PBF) - The Gambia 01/2023-12/2025"/>
  </r>
  <r>
    <x v="5"/>
    <s v="Wages - International - Full Time"/>
    <x v="193"/>
    <s v="JV-MP063024-3"/>
    <x v="25"/>
    <n v="59.23"/>
    <m/>
    <s v="6"/>
    <s v="Gam"/>
    <s v="3007"/>
    <s v="UN Peace Building Fund (PBF) - The Gambia 01/2023-12/2025"/>
  </r>
  <r>
    <x v="17"/>
    <s v="Banking / Credit Cards Fee"/>
    <x v="194"/>
    <s v="JV-MP063024-3"/>
    <x v="25"/>
    <n v="7.0000000000000007E-2"/>
    <m/>
    <s v="6"/>
    <s v="Gam"/>
    <s v="3007"/>
    <s v="UN Peace Building Fund (PBF) - The Gambia 01/2023-12/2025"/>
  </r>
  <r>
    <x v="17"/>
    <s v="Banking / Credit Cards Fee"/>
    <x v="195"/>
    <s v="JV-MP063024-3"/>
    <x v="25"/>
    <n v="2.96"/>
    <m/>
    <s v="6"/>
    <s v="Gam"/>
    <s v="3007"/>
    <s v="UN Peace Building Fund (PBF) - The Gambia 01/2023-12/2025"/>
  </r>
  <r>
    <x v="2"/>
    <s v="Ground (Car/Mileage, Rail, Taxi/Shuttle)"/>
    <x v="196"/>
    <s v="JV-MP063024-3"/>
    <x v="25"/>
    <n v="25.17"/>
    <m/>
    <s v="6"/>
    <s v="Gam"/>
    <s v="3007"/>
    <s v="UN Peace Building Fund (PBF) - The Gambia 01/2023-12/2025"/>
  </r>
  <r>
    <x v="9"/>
    <s v="Other Expenses"/>
    <x v="197"/>
    <s v="JV-MP063024-3"/>
    <x v="25"/>
    <n v="14.81"/>
    <m/>
    <s v="6"/>
    <s v="Gam"/>
    <s v="3007"/>
    <s v="UN Peace Building Fund (PBF) - The Gambia 01/2023-12/2025"/>
  </r>
  <r>
    <x v="2"/>
    <s v="Ground (Car/Mileage, Rail, Taxi/Shuttle)"/>
    <x v="198"/>
    <s v="JV-MP063024-3"/>
    <x v="25"/>
    <n v="39.979999999999997"/>
    <m/>
    <s v="6"/>
    <s v="Gam"/>
    <s v="3007"/>
    <s v="UN Peace Building Fund (PBF) - The Gambia 01/2023-12/2025"/>
  </r>
  <r>
    <x v="8"/>
    <s v="Meals &amp; Per Diem"/>
    <x v="199"/>
    <s v="JV-MP063024-3"/>
    <x v="25"/>
    <n v="25.17"/>
    <m/>
    <s v="6"/>
    <s v="Gam"/>
    <s v="3007"/>
    <s v="UN Peace Building Fund (PBF) - The Gambia 01/2023-12/2025"/>
  </r>
  <r>
    <x v="19"/>
    <s v="IT Consulting, Services, and Support"/>
    <x v="173"/>
    <s v="JV-JS053124 IT &amp; Comm Alloc"/>
    <x v="25"/>
    <n v="225"/>
    <m/>
    <s v="9999"/>
    <s v="9999"/>
    <s v="3007"/>
    <s v="UN Peace Building Fund (PBF) - The Gambia 01/2023-12/2025"/>
  </r>
  <r>
    <x v="21"/>
    <s v="Media Outreach / Publicity"/>
    <x v="174"/>
    <s v="JV-JS053124 IT &amp; Comm Alloc"/>
    <x v="25"/>
    <n v="164"/>
    <m/>
    <s v="9999"/>
    <s v="9999"/>
    <s v="3007"/>
    <s v="UN Peace Building Fund (PBF) - The Gambia 01/2023-12/2025"/>
  </r>
  <r>
    <x v="1"/>
    <s v="Salary &amp; Fringes Fund Allocation"/>
    <x v="2"/>
    <s v="JV-JS053124 Sal Alloc"/>
    <x v="25"/>
    <n v="563.28"/>
    <m/>
    <s v="9999"/>
    <s v="9999"/>
    <s v="3007"/>
    <s v="UN Peace Building Fund (PBF) - The Gambia 01/2023-12/2025"/>
  </r>
  <r>
    <x v="1"/>
    <s v="Salary &amp; Fringes Fund Allocation"/>
    <x v="3"/>
    <s v="JV-JS053124 Sal Alloc"/>
    <x v="25"/>
    <n v="436.8"/>
    <m/>
    <s v="9999"/>
    <s v="9999"/>
    <s v="3007"/>
    <s v="UN Peace Building Fund (PBF) - The Gambia 01/2023-12/2025"/>
  </r>
  <r>
    <x v="1"/>
    <s v="Salary &amp; Fringes Fund Allocation"/>
    <x v="4"/>
    <s v="JV-JS053124 Sal Alloc"/>
    <x v="25"/>
    <n v="720"/>
    <m/>
    <s v="9999"/>
    <s v="9999"/>
    <s v="3007"/>
    <s v="UN Peace Building Fund (PBF) - The Gambia 01/2023-12/2025"/>
  </r>
  <r>
    <x v="10"/>
    <s v="Consultants"/>
    <x v="200"/>
    <s v="AP-RW061424"/>
    <x v="26"/>
    <n v="1000"/>
    <m/>
    <s v="9999"/>
    <s v="Gam"/>
    <s v="3007"/>
    <s v="UN Peace Building Fund (PBF) - The Gambia 01/2023-12/2025"/>
  </r>
  <r>
    <x v="16"/>
    <s v="Grants / Subcontracts Awarded"/>
    <x v="201"/>
    <s v="JV-MP072824"/>
    <x v="27"/>
    <n v="4472.16"/>
    <m/>
    <s v=""/>
    <s v=""/>
    <s v="3007"/>
    <s v="UN Peace Building Fund (PBF) - The Gambia 01/2023-12/2025"/>
  </r>
  <r>
    <x v="16"/>
    <s v="Grants / Subcontracts Awarded"/>
    <x v="202"/>
    <s v="JV-MP072824"/>
    <x v="27"/>
    <n v="4138.97"/>
    <m/>
    <s v=""/>
    <s v=""/>
    <s v="3007"/>
    <s v="UN Peace Building Fund (PBF) - The Gambia 01/2023-12/2025"/>
  </r>
  <r>
    <x v="16"/>
    <s v="Grants / Subcontracts Awarded"/>
    <x v="203"/>
    <s v="JV-MP072824"/>
    <x v="27"/>
    <n v="4442.54"/>
    <m/>
    <s v=""/>
    <s v=""/>
    <s v="3007"/>
    <s v="UN Peace Building Fund (PBF) - The Gambia 01/2023-12/2025"/>
  </r>
  <r>
    <x v="16"/>
    <s v="Grants / Subcontracts Awarded"/>
    <x v="204"/>
    <s v="JV-MP072824"/>
    <x v="27"/>
    <n v="4509.18"/>
    <m/>
    <s v=""/>
    <s v=""/>
    <s v="3007"/>
    <s v="UN Peace Building Fund (PBF) - The Gambia 01/2023-12/2025"/>
  </r>
  <r>
    <x v="2"/>
    <s v="Ground (Car/Mileage, Rail, Taxi/Shuttle)"/>
    <x v="18"/>
    <s v="JV-MP072824"/>
    <x v="27"/>
    <n v="59.23"/>
    <m/>
    <s v="2.1"/>
    <s v="Gam"/>
    <s v="3007"/>
    <s v="UN Peace Building Fund (PBF) - The Gambia 01/2023-12/2025"/>
  </r>
  <r>
    <x v="8"/>
    <s v="Meals &amp; Per Diem"/>
    <x v="205"/>
    <s v="JV-MP072824"/>
    <x v="27"/>
    <n v="42.8"/>
    <m/>
    <s v="2.1"/>
    <s v="Gam"/>
    <s v="3007"/>
    <s v="UN Peace Building Fund (PBF) - The Gambia 01/2023-12/2025"/>
  </r>
  <r>
    <x v="8"/>
    <s v="Meals &amp; Per Diem"/>
    <x v="206"/>
    <s v="JV-MP072824"/>
    <x v="27"/>
    <n v="49.61"/>
    <m/>
    <s v="2.1"/>
    <s v="Gam"/>
    <s v="3007"/>
    <s v="UN Peace Building Fund (PBF) - The Gambia 01/2023-12/2025"/>
  </r>
  <r>
    <x v="2"/>
    <s v="Ground (Car/Mileage, Rail, Taxi/Shuttle)"/>
    <x v="18"/>
    <s v="JV-MP072824"/>
    <x v="27"/>
    <n v="44.43"/>
    <m/>
    <s v="2.1"/>
    <s v="Gam"/>
    <s v="3007"/>
    <s v="UN Peace Building Fund (PBF) - The Gambia 01/2023-12/2025"/>
  </r>
  <r>
    <x v="8"/>
    <s v="Meals &amp; Per Diem"/>
    <x v="85"/>
    <s v="JV-MP072824"/>
    <x v="27"/>
    <n v="40.72"/>
    <m/>
    <s v="2.1"/>
    <s v="Gam"/>
    <s v="3007"/>
    <s v="UN Peace Building Fund (PBF) - The Gambia 01/2023-12/2025"/>
  </r>
  <r>
    <x v="8"/>
    <s v="Meals &amp; Per Diem"/>
    <x v="207"/>
    <s v="JV-MP072824"/>
    <x v="27"/>
    <n v="4.4400000000000004"/>
    <m/>
    <s v="2.1"/>
    <s v="Gam"/>
    <s v="3007"/>
    <s v="UN Peace Building Fund (PBF) - The Gambia 01/2023-12/2025"/>
  </r>
  <r>
    <x v="2"/>
    <s v="Ground (Car/Mileage, Rail, Taxi/Shuttle)"/>
    <x v="18"/>
    <s v="JV-MP072824"/>
    <x v="27"/>
    <n v="59.23"/>
    <m/>
    <s v="2.1"/>
    <s v="Gam"/>
    <s v="3007"/>
    <s v="UN Peace Building Fund (PBF) - The Gambia 01/2023-12/2025"/>
  </r>
  <r>
    <x v="8"/>
    <s v="Meals &amp; Per Diem"/>
    <x v="208"/>
    <s v="JV-MP072824"/>
    <x v="27"/>
    <n v="44.43"/>
    <m/>
    <s v="2.1"/>
    <s v="Gam"/>
    <s v="3007"/>
    <s v="UN Peace Building Fund (PBF) - The Gambia 01/2023-12/2025"/>
  </r>
  <r>
    <x v="2"/>
    <s v="Ground (Car/Mileage, Rail, Taxi/Shuttle)"/>
    <x v="209"/>
    <s v="JV-MP072824"/>
    <x v="27"/>
    <n v="4.4400000000000004"/>
    <m/>
    <s v="2.1"/>
    <s v="Gam"/>
    <s v="3007"/>
    <s v="UN Peace Building Fund (PBF) - The Gambia 01/2023-12/2025"/>
  </r>
  <r>
    <x v="2"/>
    <s v="Ground (Car/Mileage, Rail, Taxi/Shuttle)"/>
    <x v="210"/>
    <s v="JV-MP072824"/>
    <x v="27"/>
    <n v="29.62"/>
    <m/>
    <s v="2.1"/>
    <s v="Gam"/>
    <s v="3007"/>
    <s v="UN Peace Building Fund (PBF) - The Gambia 01/2023-12/2025"/>
  </r>
  <r>
    <x v="11"/>
    <s v="Rental Halls / Convention Center"/>
    <x v="211"/>
    <s v="JV-MP072824"/>
    <x v="27"/>
    <n v="55.53"/>
    <m/>
    <s v="2.1"/>
    <s v="Gam"/>
    <s v="3007"/>
    <s v="UN Peace Building Fund (PBF) - The Gambia 01/2023-12/2025"/>
  </r>
  <r>
    <x v="8"/>
    <s v="Meals &amp; Per Diem"/>
    <x v="212"/>
    <s v="JV-MP072824"/>
    <x v="27"/>
    <n v="114.95"/>
    <m/>
    <s v="2.1"/>
    <s v="Gam"/>
    <s v="3007"/>
    <s v="UN Peace Building Fund (PBF) - The Gambia 01/2023-12/2025"/>
  </r>
  <r>
    <x v="8"/>
    <s v="Meals &amp; Per Diem"/>
    <x v="213"/>
    <s v="JV-MP072824"/>
    <x v="27"/>
    <n v="114.95"/>
    <m/>
    <s v="2.1"/>
    <s v="Gam"/>
    <s v="3007"/>
    <s v="UN Peace Building Fund (PBF) - The Gambia 01/2023-12/2025"/>
  </r>
  <r>
    <x v="11"/>
    <s v="Rental Halls / Convention Center"/>
    <x v="214"/>
    <s v="JV-MP072824"/>
    <x v="27"/>
    <n v="55.53"/>
    <m/>
    <s v="2.1"/>
    <s v="Gam"/>
    <s v="3007"/>
    <s v="UN Peace Building Fund (PBF) - The Gambia 01/2023-12/2025"/>
  </r>
  <r>
    <x v="2"/>
    <s v="Ground (Car/Mileage, Rail, Taxi/Shuttle)"/>
    <x v="215"/>
    <s v="JV-MP072824"/>
    <x v="27"/>
    <n v="74.040000000000006"/>
    <m/>
    <s v="2.2"/>
    <s v="Gam"/>
    <s v="3007"/>
    <s v="UN Peace Building Fund (PBF) - The Gambia 01/2023-12/2025"/>
  </r>
  <r>
    <x v="8"/>
    <s v="Meals &amp; Per Diem"/>
    <x v="216"/>
    <s v="JV-MP072824"/>
    <x v="27"/>
    <n v="192.51"/>
    <m/>
    <s v="2.2"/>
    <s v="Gam"/>
    <s v="3007"/>
    <s v="UN Peace Building Fund (PBF) - The Gambia 01/2023-12/2025"/>
  </r>
  <r>
    <x v="2"/>
    <s v="Ground (Car/Mileage, Rail, Taxi/Shuttle)"/>
    <x v="69"/>
    <s v="JV-MP072824"/>
    <x v="27"/>
    <n v="177.7"/>
    <m/>
    <s v="2.2"/>
    <s v="Gam"/>
    <s v="3007"/>
    <s v="UN Peace Building Fund (PBF) - The Gambia 01/2023-12/2025"/>
  </r>
  <r>
    <x v="8"/>
    <s v="Meals &amp; Per Diem"/>
    <x v="217"/>
    <s v="JV-MP072824"/>
    <x v="27"/>
    <n v="8.89"/>
    <m/>
    <s v="2.2"/>
    <s v="Gam"/>
    <s v="3007"/>
    <s v="UN Peace Building Fund (PBF) - The Gambia 01/2023-12/2025"/>
  </r>
  <r>
    <x v="5"/>
    <s v="Wages - International - Full Time"/>
    <x v="218"/>
    <s v="JV-MP072824"/>
    <x v="27"/>
    <n v="1200.1099999999999"/>
    <m/>
    <s v="5.2"/>
    <s v="Gam"/>
    <s v="3007"/>
    <s v="UN Peace Building Fund (PBF) - The Gambia 01/2023-12/2025"/>
  </r>
  <r>
    <x v="5"/>
    <s v="Wages - International - Full Time"/>
    <x v="219"/>
    <s v="JV-MP072824"/>
    <x v="27"/>
    <n v="500.05"/>
    <m/>
    <s v="5.3"/>
    <s v="Gam"/>
    <s v="3007"/>
    <s v="UN Peace Building Fund (PBF) - The Gambia 01/2023-12/2025"/>
  </r>
  <r>
    <x v="24"/>
    <s v="Office Maintenance &amp; Repairs"/>
    <x v="220"/>
    <s v="JV-MP072824"/>
    <x v="27"/>
    <n v="25.91"/>
    <m/>
    <s v="6"/>
    <s v="Gam"/>
    <s v="3007"/>
    <s v="UN Peace Building Fund (PBF) - The Gambia 01/2023-12/2025"/>
  </r>
  <r>
    <x v="17"/>
    <s v="Banking / Credit Cards Fee"/>
    <x v="221"/>
    <s v="JV-MP072824"/>
    <x v="27"/>
    <n v="2.96"/>
    <m/>
    <s v="6"/>
    <s v="Gam"/>
    <s v="3007"/>
    <s v="UN Peace Building Fund (PBF) - The Gambia 01/2023-12/2025"/>
  </r>
  <r>
    <x v="17"/>
    <s v="Banking / Credit Cards Fee"/>
    <x v="222"/>
    <s v="JV-MP072824"/>
    <x v="27"/>
    <n v="2.96"/>
    <m/>
    <s v="6"/>
    <s v="Gam"/>
    <s v="3007"/>
    <s v="UN Peace Building Fund (PBF) - The Gambia 01/2023-12/2025"/>
  </r>
  <r>
    <x v="14"/>
    <s v="Telephone &amp; Internet Access"/>
    <x v="81"/>
    <s v="JV-MP072824"/>
    <x v="27"/>
    <n v="51"/>
    <m/>
    <s v="6"/>
    <s v="Gam"/>
    <s v="3007"/>
    <s v="UN Peace Building Fund (PBF) - The Gambia 01/2023-12/2025"/>
  </r>
  <r>
    <x v="14"/>
    <s v="Telephone &amp; Internet Access"/>
    <x v="124"/>
    <s v="JV-MP072824"/>
    <x v="27"/>
    <n v="40"/>
    <m/>
    <s v="6"/>
    <s v="Gam"/>
    <s v="3007"/>
    <s v="UN Peace Building Fund (PBF) - The Gambia 01/2023-12/2025"/>
  </r>
  <r>
    <x v="14"/>
    <s v="Telephone &amp; Internet Access"/>
    <x v="104"/>
    <s v="JV-MP072824"/>
    <x v="27"/>
    <n v="41"/>
    <m/>
    <s v="6"/>
    <s v="Gam"/>
    <s v="3007"/>
    <s v="UN Peace Building Fund (PBF) - The Gambia 01/2023-12/2025"/>
  </r>
  <r>
    <x v="14"/>
    <s v="Telephone &amp; Internet Access"/>
    <x v="105"/>
    <s v="JV-MP072824"/>
    <x v="27"/>
    <n v="41"/>
    <m/>
    <s v="6"/>
    <s v="Gam"/>
    <s v="3007"/>
    <s v="UN Peace Building Fund (PBF) - The Gambia 01/2023-12/2025"/>
  </r>
  <r>
    <x v="14"/>
    <s v="Telephone &amp; Internet Access"/>
    <x v="223"/>
    <s v="JV-MP072824"/>
    <x v="27"/>
    <n v="40.799999999999997"/>
    <m/>
    <s v="6"/>
    <s v="Gam"/>
    <s v="3007"/>
    <s v="UN Peace Building Fund (PBF) - The Gambia 01/2023-12/2025"/>
  </r>
  <r>
    <x v="7"/>
    <s v="Office Supplies / Materials"/>
    <x v="107"/>
    <s v="JV-MP072824"/>
    <x v="27"/>
    <n v="12.44"/>
    <m/>
    <s v="6"/>
    <s v="Gam"/>
    <s v="3007"/>
    <s v="UN Peace Building Fund (PBF) - The Gambia 01/2023-12/2025"/>
  </r>
  <r>
    <x v="2"/>
    <s v="Ground (Car/Mileage, Rail, Taxi/Shuttle)"/>
    <x v="108"/>
    <s v="JV-MP072824"/>
    <x v="27"/>
    <n v="8.89"/>
    <m/>
    <s v="6"/>
    <s v="Gam"/>
    <s v="3007"/>
    <s v="UN Peace Building Fund (PBF) - The Gambia 01/2023-12/2025"/>
  </r>
  <r>
    <x v="7"/>
    <s v="Office Supplies / Materials"/>
    <x v="224"/>
    <s v="JV-MP072824"/>
    <x v="27"/>
    <n v="74.040000000000006"/>
    <m/>
    <s v="6"/>
    <s v="Gam"/>
    <s v="3007"/>
    <s v="UN Peace Building Fund (PBF) - The Gambia 01/2023-12/2025"/>
  </r>
  <r>
    <x v="7"/>
    <s v="Office Supplies / Materials"/>
    <x v="84"/>
    <s v="JV-MP072824"/>
    <x v="27"/>
    <n v="7.0000000000000007E-2"/>
    <m/>
    <s v="6"/>
    <s v="Gam"/>
    <s v="3007"/>
    <s v="UN Peace Building Fund (PBF) - The Gambia 01/2023-12/2025"/>
  </r>
  <r>
    <x v="7"/>
    <s v="Office Supplies / Materials"/>
    <x v="183"/>
    <s v="JV-MP072824"/>
    <x v="27"/>
    <n v="7.11"/>
    <m/>
    <s v="6"/>
    <s v="Gam"/>
    <s v="3007"/>
    <s v="UN Peace Building Fund (PBF) - The Gambia 01/2023-12/2025"/>
  </r>
  <r>
    <x v="7"/>
    <s v="Office Supplies / Materials"/>
    <x v="225"/>
    <s v="JV-MP072824"/>
    <x v="27"/>
    <n v="7.03"/>
    <m/>
    <s v="6"/>
    <s v="Gam"/>
    <s v="3007"/>
    <s v="UN Peace Building Fund (PBF) - The Gambia 01/2023-12/2025"/>
  </r>
  <r>
    <x v="7"/>
    <s v="Office Supplies / Materials"/>
    <x v="185"/>
    <s v="JV-MP072824"/>
    <x v="27"/>
    <n v="10.29"/>
    <m/>
    <s v="6"/>
    <s v="Gam"/>
    <s v="3007"/>
    <s v="UN Peace Building Fund (PBF) - The Gambia 01/2023-12/2025"/>
  </r>
  <r>
    <x v="7"/>
    <s v="Office Supplies / Materials"/>
    <x v="186"/>
    <s v="JV-MP072824"/>
    <x v="27"/>
    <n v="3.33"/>
    <m/>
    <s v="6"/>
    <s v="Gam"/>
    <s v="3007"/>
    <s v="UN Peace Building Fund (PBF) - The Gambia 01/2023-12/2025"/>
  </r>
  <r>
    <x v="7"/>
    <s v="Office Supplies / Materials"/>
    <x v="226"/>
    <s v="JV-MP072824"/>
    <x v="27"/>
    <n v="2.0699999999999998"/>
    <m/>
    <s v="6"/>
    <s v="Gam"/>
    <s v="3007"/>
    <s v="UN Peace Building Fund (PBF) - The Gambia 01/2023-12/2025"/>
  </r>
  <r>
    <x v="7"/>
    <s v="Office Supplies / Materials"/>
    <x v="227"/>
    <s v="JV-MP072824"/>
    <x v="27"/>
    <n v="4"/>
    <m/>
    <s v="6"/>
    <s v="Gam"/>
    <s v="3007"/>
    <s v="UN Peace Building Fund (PBF) - The Gambia 01/2023-12/2025"/>
  </r>
  <r>
    <x v="7"/>
    <s v="Office Supplies / Materials"/>
    <x v="228"/>
    <s v="JV-MP072824"/>
    <x v="27"/>
    <n v="5.92"/>
    <m/>
    <s v="6"/>
    <s v="Gam"/>
    <s v="3007"/>
    <s v="UN Peace Building Fund (PBF) - The Gambia 01/2023-12/2025"/>
  </r>
  <r>
    <x v="7"/>
    <s v="Office Supplies / Materials"/>
    <x v="229"/>
    <s v="JV-MP072824"/>
    <x v="27"/>
    <n v="2.96"/>
    <m/>
    <s v="6"/>
    <s v="Gam"/>
    <s v="3007"/>
    <s v="UN Peace Building Fund (PBF) - The Gambia 01/2023-12/2025"/>
  </r>
  <r>
    <x v="7"/>
    <s v="Office Supplies / Materials"/>
    <x v="134"/>
    <s v="JV-MP072824"/>
    <x v="27"/>
    <n v="2.96"/>
    <m/>
    <s v="6"/>
    <s v="Gam"/>
    <s v="3007"/>
    <s v="UN Peace Building Fund (PBF) - The Gambia 01/2023-12/2025"/>
  </r>
  <r>
    <x v="17"/>
    <s v="Banking / Credit Cards Fee"/>
    <x v="230"/>
    <s v="JV-MP072824"/>
    <x v="27"/>
    <m/>
    <n v="7.0000000000000007E-2"/>
    <s v="6"/>
    <s v="Gam"/>
    <s v="3007"/>
    <s v="UN Peace Building Fund (PBF) - The Gambia 01/2023-12/2025"/>
  </r>
  <r>
    <x v="17"/>
    <s v="Banking / Credit Cards Fee"/>
    <x v="221"/>
    <s v="JV-MP072824"/>
    <x v="27"/>
    <n v="2.96"/>
    <m/>
    <s v="6"/>
    <s v="Gam"/>
    <s v="3007"/>
    <s v="UN Peace Building Fund (PBF) - The Gambia 01/2023-12/2025"/>
  </r>
  <r>
    <x v="5"/>
    <s v="Wages - International - Full Time"/>
    <x v="231"/>
    <s v="JV-MP072824"/>
    <x v="27"/>
    <n v="59.23"/>
    <m/>
    <s v="6"/>
    <s v="Gam"/>
    <s v="3007"/>
    <s v="UN Peace Building Fund (PBF) - The Gambia 01/2023-12/2025"/>
  </r>
  <r>
    <x v="1"/>
    <s v="Salary &amp; Fringes Fund Allocation"/>
    <x v="2"/>
    <s v="JV-JS063024 Sal Alloc"/>
    <x v="27"/>
    <n v="563.28"/>
    <m/>
    <s v="9999"/>
    <s v="9999"/>
    <s v="3007"/>
    <s v="UN Peace Building Fund (PBF) - The Gambia 01/2023-12/2025"/>
  </r>
  <r>
    <x v="1"/>
    <s v="Salary &amp; Fringes Fund Allocation"/>
    <x v="3"/>
    <s v="JV-JS063024 Sal Alloc"/>
    <x v="27"/>
    <n v="436.8"/>
    <m/>
    <s v="9999"/>
    <s v="9999"/>
    <s v="3007"/>
    <s v="UN Peace Building Fund (PBF) - The Gambia 01/2023-12/2025"/>
  </r>
  <r>
    <x v="1"/>
    <s v="Salary &amp; Fringes Fund Allocation"/>
    <x v="4"/>
    <s v="JV-JS063024 Sal Alloc"/>
    <x v="27"/>
    <n v="720"/>
    <m/>
    <s v="9999"/>
    <s v="9999"/>
    <s v="3007"/>
    <s v="UN Peace Building Fund (PBF) - The Gambia 01/2023-12/2025"/>
  </r>
  <r>
    <x v="19"/>
    <s v="IT Consulting, Services, and Support"/>
    <x v="173"/>
    <s v="JV-JS063024 IT &amp; Comm Alloc"/>
    <x v="27"/>
    <n v="225"/>
    <m/>
    <s v="9999"/>
    <s v="9999"/>
    <s v="3007"/>
    <s v="UN Peace Building Fund (PBF) - The Gambia 01/2023-12/2025"/>
  </r>
  <r>
    <x v="21"/>
    <s v="Media Outreach / Publicity"/>
    <x v="174"/>
    <s v="JV-JS063024 IT &amp; Comm Alloc"/>
    <x v="27"/>
    <n v="164"/>
    <m/>
    <s v="9999"/>
    <s v="9999"/>
    <s v="3007"/>
    <s v="UN Peace Building Fund (PBF) - The Gambia 01/2023-12/2025"/>
  </r>
  <r>
    <x v="10"/>
    <s v="Consultants"/>
    <x v="232"/>
    <s v="AP-RW070824"/>
    <x v="28"/>
    <n v="2000"/>
    <m/>
    <s v="9999"/>
    <s v="Gam"/>
    <s v="3007"/>
    <s v="UN Peace Building Fund (PBF) - The Gambia 01/2023-12/2025"/>
  </r>
  <r>
    <x v="21"/>
    <s v="Media Outreach / Publicity"/>
    <x v="233"/>
    <s v="JV-RW082824"/>
    <x v="29"/>
    <n v="44.35"/>
    <m/>
    <s v="2.1"/>
    <s v="Gam"/>
    <s v="3007"/>
    <s v="UN Peace Building Fund (PBF) - The Gambia 01/2023-12/2025"/>
  </r>
  <r>
    <x v="21"/>
    <s v="Media Outreach / Publicity"/>
    <x v="234"/>
    <s v="JV-RW082824"/>
    <x v="29"/>
    <n v="177.39"/>
    <m/>
    <s v="2.1"/>
    <s v="Gam"/>
    <s v="3007"/>
    <s v="UN Peace Building Fund (PBF) - The Gambia 01/2023-12/2025"/>
  </r>
  <r>
    <x v="2"/>
    <s v="Ground (Car/Mileage, Rail, Taxi/Shuttle)"/>
    <x v="18"/>
    <s v="JV-RW082824"/>
    <x v="29"/>
    <n v="248.34"/>
    <m/>
    <s v="2.2"/>
    <s v="Gam"/>
    <s v="3007"/>
    <s v="UN Peace Building Fund (PBF) - The Gambia 01/2023-12/2025"/>
  </r>
  <r>
    <x v="15"/>
    <s v="Event Planning / Organization"/>
    <x v="162"/>
    <s v="JV-RW082824"/>
    <x v="29"/>
    <n v="22.17"/>
    <m/>
    <s v="2.2"/>
    <s v="Gam"/>
    <s v="3007"/>
    <s v="UN Peace Building Fund (PBF) - The Gambia 01/2023-12/2025"/>
  </r>
  <r>
    <x v="8"/>
    <s v="Meals &amp; Per Diem"/>
    <x v="235"/>
    <s v="JV-RW082824"/>
    <x v="29"/>
    <n v="642.34"/>
    <m/>
    <s v="2.2"/>
    <s v="Gam"/>
    <s v="3007"/>
    <s v="UN Peace Building Fund (PBF) - The Gambia 01/2023-12/2025"/>
  </r>
  <r>
    <x v="21"/>
    <s v="Media Outreach / Publicity"/>
    <x v="236"/>
    <s v="JV-RW082824"/>
    <x v="29"/>
    <n v="975.63"/>
    <m/>
    <s v="2.3"/>
    <s v="Gam"/>
    <s v="3007"/>
    <s v="UN Peace Building Fund (PBF) - The Gambia 01/2023-12/2025"/>
  </r>
  <r>
    <x v="21"/>
    <s v="Media Outreach / Publicity"/>
    <x v="237"/>
    <s v="JV-RW082824"/>
    <x v="29"/>
    <n v="4251.95"/>
    <m/>
    <s v="2.3"/>
    <s v="Gam"/>
    <s v="3007"/>
    <s v="UN Peace Building Fund (PBF) - The Gambia 01/2023-12/2025"/>
  </r>
  <r>
    <x v="2"/>
    <s v="Ground (Car/Mileage, Rail, Taxi/Shuttle)"/>
    <x v="238"/>
    <s v="JV-RW082824"/>
    <x v="29"/>
    <n v="2660.8"/>
    <m/>
    <s v="2.3"/>
    <s v="Gam"/>
    <s v="3007"/>
    <s v="UN Peace Building Fund (PBF) - The Gambia 01/2023-12/2025"/>
  </r>
  <r>
    <x v="2"/>
    <s v="Ground (Car/Mileage, Rail, Taxi/Shuttle)"/>
    <x v="239"/>
    <s v="JV-RW082824"/>
    <x v="29"/>
    <n v="724.33"/>
    <m/>
    <s v="2.3"/>
    <s v="Gam"/>
    <s v="3007"/>
    <s v="UN Peace Building Fund (PBF) - The Gambia 01/2023-12/2025"/>
  </r>
  <r>
    <x v="25"/>
    <s v="Equipment Leasing"/>
    <x v="240"/>
    <s v="JV-RW082824"/>
    <x v="29"/>
    <n v="1219.53"/>
    <m/>
    <s v="2.3"/>
    <s v="Gam"/>
    <s v="3007"/>
    <s v="UN Peace Building Fund (PBF) - The Gambia 01/2023-12/2025"/>
  </r>
  <r>
    <x v="21"/>
    <s v="Media Outreach / Publicity"/>
    <x v="241"/>
    <s v="JV-RW082824"/>
    <x v="29"/>
    <n v="2834.64"/>
    <m/>
    <s v="2.3"/>
    <s v="Gam"/>
    <s v="3007"/>
    <s v="UN Peace Building Fund (PBF) - The Gambia 01/2023-12/2025"/>
  </r>
  <r>
    <x v="21"/>
    <s v="Media Outreach / Publicity"/>
    <x v="242"/>
    <s v="JV-RW082824"/>
    <x v="29"/>
    <n v="975.63"/>
    <m/>
    <s v="2.3"/>
    <s v="Gam"/>
    <s v="3007"/>
    <s v="UN Peace Building Fund (PBF) - The Gambia 01/2023-12/2025"/>
  </r>
  <r>
    <x v="25"/>
    <s v="Equipment Leasing"/>
    <x v="243"/>
    <s v="JV-RW082824"/>
    <x v="29"/>
    <n v="1219.53"/>
    <m/>
    <s v="2.3"/>
    <s v="Gam"/>
    <s v="3007"/>
    <s v="UN Peace Building Fund (PBF) - The Gambia 01/2023-12/2025"/>
  </r>
  <r>
    <x v="21"/>
    <s v="Media Outreach / Publicity"/>
    <x v="244"/>
    <s v="JV-RW082824"/>
    <x v="29"/>
    <n v="221.73"/>
    <m/>
    <s v="2.3"/>
    <s v="Gam"/>
    <s v="3007"/>
    <s v="UN Peace Building Fund (PBF) - The Gambia 01/2023-12/2025"/>
  </r>
  <r>
    <x v="8"/>
    <s v="Meals &amp; Per Diem"/>
    <x v="88"/>
    <s v="JV-RW082824"/>
    <x v="29"/>
    <n v="7243.28"/>
    <m/>
    <s v="2.3"/>
    <s v="Gam"/>
    <s v="3007"/>
    <s v="UN Peace Building Fund (PBF) - The Gambia 01/2023-12/2025"/>
  </r>
  <r>
    <x v="2"/>
    <s v="Ground (Car/Mileage, Rail, Taxi/Shuttle)"/>
    <x v="245"/>
    <s v="JV-RW082824"/>
    <x v="29"/>
    <n v="88.69"/>
    <m/>
    <s v="2.3"/>
    <s v="Gam"/>
    <s v="3007"/>
    <s v="UN Peace Building Fund (PBF) - The Gambia 01/2023-12/2025"/>
  </r>
  <r>
    <x v="15"/>
    <s v="Event Planning / Organization"/>
    <x v="246"/>
    <s v="JV-RW082824"/>
    <x v="29"/>
    <n v="66.52"/>
    <m/>
    <s v="2.3"/>
    <s v="Gam"/>
    <s v="3007"/>
    <s v="UN Peace Building Fund (PBF) - The Gambia 01/2023-12/2025"/>
  </r>
  <r>
    <x v="2"/>
    <s v="Ground (Car/Mileage, Rail, Taxi/Shuttle)"/>
    <x v="247"/>
    <s v="JV-RW082824"/>
    <x v="29"/>
    <n v="88.69"/>
    <m/>
    <s v="2.3"/>
    <s v="Gam"/>
    <s v="3007"/>
    <s v="UN Peace Building Fund (PBF) - The Gambia 01/2023-12/2025"/>
  </r>
  <r>
    <x v="10"/>
    <s v="Consultants"/>
    <x v="248"/>
    <s v="JV-RW082824"/>
    <x v="29"/>
    <n v="229.12"/>
    <m/>
    <s v="2.3"/>
    <s v="Gam"/>
    <s v="3007"/>
    <s v="UN Peace Building Fund (PBF) - The Gambia 01/2023-12/2025"/>
  </r>
  <r>
    <x v="10"/>
    <s v="Consultants"/>
    <x v="249"/>
    <s v="JV-RW082824"/>
    <x v="29"/>
    <n v="886.93"/>
    <m/>
    <s v="2.3"/>
    <s v="Gam"/>
    <s v="3007"/>
    <s v="UN Peace Building Fund (PBF) - The Gambia 01/2023-12/2025"/>
  </r>
  <r>
    <x v="21"/>
    <s v="Media Outreach / Publicity"/>
    <x v="250"/>
    <s v="JV-RW082824"/>
    <x v="29"/>
    <n v="581.09"/>
    <m/>
    <s v="2.3"/>
    <s v="Gam"/>
    <s v="3007"/>
    <s v="UN Peace Building Fund (PBF) - The Gambia 01/2023-12/2025"/>
  </r>
  <r>
    <x v="2"/>
    <s v="Ground (Car/Mileage, Rail, Taxi/Shuttle)"/>
    <x v="251"/>
    <s v="JV-RW082824"/>
    <x v="29"/>
    <n v="451.67"/>
    <m/>
    <s v="2.3"/>
    <s v="Gam"/>
    <s v="3007"/>
    <s v="UN Peace Building Fund (PBF) - The Gambia 01/2023-12/2025"/>
  </r>
  <r>
    <x v="2"/>
    <s v="Ground (Car/Mileage, Rail, Taxi/Shuttle)"/>
    <x v="252"/>
    <s v="JV-RW082824"/>
    <x v="29"/>
    <n v="67.48"/>
    <m/>
    <s v="2.3"/>
    <s v="Gam"/>
    <s v="3007"/>
    <s v="UN Peace Building Fund (PBF) - The Gambia 01/2023-12/2025"/>
  </r>
  <r>
    <x v="8"/>
    <s v="Meals &amp; Per Diem"/>
    <x v="253"/>
    <s v="JV-RW082824"/>
    <x v="29"/>
    <n v="214.42"/>
    <m/>
    <s v="2.3"/>
    <s v="Gam"/>
    <s v="3007"/>
    <s v="UN Peace Building Fund (PBF) - The Gambia 01/2023-12/2025"/>
  </r>
  <r>
    <x v="9"/>
    <s v="Other Expenses"/>
    <x v="254"/>
    <s v="JV-RW082824"/>
    <x v="29"/>
    <n v="64.3"/>
    <m/>
    <s v="2.3"/>
    <s v="Gam"/>
    <s v="3007"/>
    <s v="UN Peace Building Fund (PBF) - The Gambia 01/2023-12/2025"/>
  </r>
  <r>
    <x v="2"/>
    <s v="Ground (Car/Mileage, Rail, Taxi/Shuttle)"/>
    <x v="207"/>
    <s v="JV-RW082824"/>
    <x v="29"/>
    <n v="65.040000000000006"/>
    <m/>
    <s v="2.3"/>
    <s v="Gam"/>
    <s v="3007"/>
    <s v="UN Peace Building Fund (PBF) - The Gambia 01/2023-12/2025"/>
  </r>
  <r>
    <x v="8"/>
    <s v="Meals &amp; Per Diem"/>
    <x v="255"/>
    <s v="JV-RW082824"/>
    <x v="29"/>
    <n v="2635.82"/>
    <m/>
    <s v="2.3"/>
    <s v="Gam"/>
    <s v="3007"/>
    <s v="UN Peace Building Fund (PBF) - The Gambia 01/2023-12/2025"/>
  </r>
  <r>
    <x v="2"/>
    <s v="Ground (Car/Mileage, Rail, Taxi/Shuttle)"/>
    <x v="256"/>
    <s v="JV-RW082824"/>
    <x v="29"/>
    <n v="266.08"/>
    <m/>
    <s v="2.5"/>
    <s v="Gam"/>
    <s v="3007"/>
    <s v="UN Peace Building Fund (PBF) - The Gambia 01/2023-12/2025"/>
  </r>
  <r>
    <x v="8"/>
    <s v="Meals &amp; Per Diem"/>
    <x v="257"/>
    <s v="JV-RW082824"/>
    <x v="29"/>
    <n v="886.93"/>
    <m/>
    <s v="2.5"/>
    <s v="Gam"/>
    <s v="3007"/>
    <s v="UN Peace Building Fund (PBF) - The Gambia 01/2023-12/2025"/>
  </r>
  <r>
    <x v="10"/>
    <s v="Consultants"/>
    <x v="258"/>
    <s v="JV-RW082824"/>
    <x v="29"/>
    <n v="147.82"/>
    <m/>
    <s v="2.5"/>
    <s v="Gam"/>
    <s v="3007"/>
    <s v="UN Peace Building Fund (PBF) - The Gambia 01/2023-12/2025"/>
  </r>
  <r>
    <x v="11"/>
    <s v="Rental Halls / Convention Center"/>
    <x v="259"/>
    <s v="JV-RW082824"/>
    <x v="29"/>
    <n v="177.39"/>
    <m/>
    <s v="2.5"/>
    <s v="Gam"/>
    <s v="3007"/>
    <s v="UN Peace Building Fund (PBF) - The Gambia 01/2023-12/2025"/>
  </r>
  <r>
    <x v="9"/>
    <s v="Other Expenses"/>
    <x v="260"/>
    <s v="JV-RW082824"/>
    <x v="29"/>
    <n v="88.69"/>
    <m/>
    <s v="2.5"/>
    <s v="Gam"/>
    <s v="3007"/>
    <s v="UN Peace Building Fund (PBF) - The Gambia 01/2023-12/2025"/>
  </r>
  <r>
    <x v="8"/>
    <s v="Meals &amp; Per Diem"/>
    <x v="257"/>
    <s v="JV-RW082824"/>
    <x v="29"/>
    <n v="191.43"/>
    <m/>
    <s v="2.5"/>
    <s v="Gam"/>
    <s v="3007"/>
    <s v="UN Peace Building Fund (PBF) - The Gambia 01/2023-12/2025"/>
  </r>
  <r>
    <x v="8"/>
    <s v="Meals &amp; Per Diem"/>
    <x v="257"/>
    <s v="JV-RW082824"/>
    <x v="29"/>
    <n v="321.17"/>
    <m/>
    <s v="2.5"/>
    <s v="Gam"/>
    <s v="3007"/>
    <s v="UN Peace Building Fund (PBF) - The Gambia 01/2023-12/2025"/>
  </r>
  <r>
    <x v="5"/>
    <s v="Wages - International - Full Time"/>
    <x v="261"/>
    <s v="JV-RW082824"/>
    <x v="29"/>
    <n v="1199.03"/>
    <m/>
    <s v="5.2"/>
    <s v="Gam"/>
    <s v="3007"/>
    <s v="UN Peace Building Fund (PBF) - The Gambia 01/2023-12/2025"/>
  </r>
  <r>
    <x v="5"/>
    <s v="Wages - International - Full Time"/>
    <x v="262"/>
    <s v="JV-RW082824"/>
    <x v="29"/>
    <n v="499.6"/>
    <m/>
    <s v="5.3"/>
    <s v="Gam"/>
    <s v="3007"/>
    <s v="UN Peace Building Fund (PBF) - The Gambia 01/2023-12/2025"/>
  </r>
  <r>
    <x v="17"/>
    <s v="Banking / Credit Cards Fee"/>
    <x v="263"/>
    <s v="JV-RW082824"/>
    <x v="29"/>
    <n v="2.96"/>
    <m/>
    <s v="6"/>
    <s v="Gam"/>
    <s v="3007"/>
    <s v="UN Peace Building Fund (PBF) - The Gambia 01/2023-12/2025"/>
  </r>
  <r>
    <x v="5"/>
    <s v="Wages - International - Full Time"/>
    <x v="264"/>
    <s v="JV-RW082824"/>
    <x v="29"/>
    <n v="59.13"/>
    <m/>
    <s v="6"/>
    <s v="Gam"/>
    <s v="3007"/>
    <s v="UN Peace Building Fund (PBF) - The Gambia 01/2023-12/2025"/>
  </r>
  <r>
    <x v="17"/>
    <s v="Banking / Credit Cards Fee"/>
    <x v="263"/>
    <s v="JV-RW082824"/>
    <x v="29"/>
    <n v="2.96"/>
    <m/>
    <s v="6"/>
    <s v="Gam"/>
    <s v="3007"/>
    <s v="UN Peace Building Fund (PBF) - The Gambia 01/2023-12/2025"/>
  </r>
  <r>
    <x v="14"/>
    <s v="Telephone &amp; Internet Access"/>
    <x v="81"/>
    <s v="JV-RW082824"/>
    <x v="29"/>
    <n v="51"/>
    <m/>
    <s v="6"/>
    <s v="Gam"/>
    <s v="3007"/>
    <s v="UN Peace Building Fund (PBF) - The Gambia 01/2023-12/2025"/>
  </r>
  <r>
    <x v="14"/>
    <s v="Telephone &amp; Internet Access"/>
    <x v="124"/>
    <s v="JV-RW082824"/>
    <x v="29"/>
    <n v="40.96"/>
    <m/>
    <s v="6"/>
    <s v="Gam"/>
    <s v="3007"/>
    <s v="UN Peace Building Fund (PBF) - The Gambia 01/2023-12/2025"/>
  </r>
  <r>
    <x v="14"/>
    <s v="Telephone &amp; Internet Access"/>
    <x v="104"/>
    <s v="JV-RW082824"/>
    <x v="29"/>
    <n v="40.96"/>
    <m/>
    <s v="6"/>
    <s v="Gam"/>
    <s v="3007"/>
    <s v="UN Peace Building Fund (PBF) - The Gambia 01/2023-12/2025"/>
  </r>
  <r>
    <x v="14"/>
    <s v="Telephone &amp; Internet Access"/>
    <x v="105"/>
    <s v="JV-RW082824"/>
    <x v="29"/>
    <n v="40.96"/>
    <m/>
    <s v="6"/>
    <s v="Gam"/>
    <s v="3007"/>
    <s v="UN Peace Building Fund (PBF) - The Gambia 01/2023-12/2025"/>
  </r>
  <r>
    <x v="14"/>
    <s v="Telephone &amp; Internet Access"/>
    <x v="223"/>
    <s v="JV-RW082824"/>
    <x v="29"/>
    <n v="40.72"/>
    <m/>
    <s v="6"/>
    <s v="Gam"/>
    <s v="3007"/>
    <s v="UN Peace Building Fund (PBF) - The Gambia 01/2023-12/2025"/>
  </r>
  <r>
    <x v="7"/>
    <s v="Office Supplies / Materials"/>
    <x v="107"/>
    <s v="JV-RW082824"/>
    <x v="29"/>
    <n v="11.23"/>
    <m/>
    <s v="6"/>
    <s v="Gam"/>
    <s v="3007"/>
    <s v="UN Peace Building Fund (PBF) - The Gambia 01/2023-12/2025"/>
  </r>
  <r>
    <x v="2"/>
    <s v="Ground (Car/Mileage, Rail, Taxi/Shuttle)"/>
    <x v="108"/>
    <s v="JV-RW082824"/>
    <x v="29"/>
    <n v="10.35"/>
    <m/>
    <s v="6"/>
    <s v="Gam"/>
    <s v="3007"/>
    <s v="UN Peace Building Fund (PBF) - The Gambia 01/2023-12/2025"/>
  </r>
  <r>
    <x v="7"/>
    <s v="Office Supplies / Materials"/>
    <x v="84"/>
    <s v="JV-RW082824"/>
    <x v="29"/>
    <n v="7.0000000000000007E-2"/>
    <m/>
    <s v="6"/>
    <s v="Gam"/>
    <s v="3007"/>
    <s v="UN Peace Building Fund (PBF) - The Gambia 01/2023-12/2025"/>
  </r>
  <r>
    <x v="7"/>
    <s v="Office Supplies / Materials"/>
    <x v="265"/>
    <s v="JV-RW082824"/>
    <x v="29"/>
    <n v="73.91"/>
    <m/>
    <s v="6"/>
    <s v="Gam"/>
    <s v="3007"/>
    <s v="UN Peace Building Fund (PBF) - The Gambia 01/2023-12/2025"/>
  </r>
  <r>
    <x v="7"/>
    <s v="Office Supplies / Materials"/>
    <x v="183"/>
    <s v="JV-RW082824"/>
    <x v="29"/>
    <n v="7.1"/>
    <m/>
    <s v="6"/>
    <s v="Gam"/>
    <s v="3007"/>
    <s v="UN Peace Building Fund (PBF) - The Gambia 01/2023-12/2025"/>
  </r>
  <r>
    <x v="7"/>
    <s v="Office Supplies / Materials"/>
    <x v="225"/>
    <s v="JV-RW082824"/>
    <x v="29"/>
    <n v="7.02"/>
    <m/>
    <s v="6"/>
    <s v="Gam"/>
    <s v="3007"/>
    <s v="UN Peace Building Fund (PBF) - The Gambia 01/2023-12/2025"/>
  </r>
  <r>
    <x v="7"/>
    <s v="Office Supplies / Materials"/>
    <x v="185"/>
    <s v="JV-RW082824"/>
    <x v="29"/>
    <n v="10.27"/>
    <m/>
    <s v="6"/>
    <s v="Gam"/>
    <s v="3007"/>
    <s v="UN Peace Building Fund (PBF) - The Gambia 01/2023-12/2025"/>
  </r>
  <r>
    <x v="7"/>
    <s v="Office Supplies / Materials"/>
    <x v="266"/>
    <s v="JV-RW082824"/>
    <x v="29"/>
    <n v="4.43"/>
    <m/>
    <s v="6"/>
    <s v="Gam"/>
    <s v="3007"/>
    <s v="UN Peace Building Fund (PBF) - The Gambia 01/2023-12/2025"/>
  </r>
  <r>
    <x v="7"/>
    <s v="Office Supplies / Materials"/>
    <x v="227"/>
    <s v="JV-RW082824"/>
    <x v="29"/>
    <n v="3.99"/>
    <m/>
    <s v="6"/>
    <s v="Gam"/>
    <s v="3007"/>
    <s v="UN Peace Building Fund (PBF) - The Gambia 01/2023-12/2025"/>
  </r>
  <r>
    <x v="7"/>
    <s v="Office Supplies / Materials"/>
    <x v="134"/>
    <s v="JV-RW082824"/>
    <x v="29"/>
    <n v="3.55"/>
    <m/>
    <s v="6"/>
    <s v="Gam"/>
    <s v="3007"/>
    <s v="UN Peace Building Fund (PBF) - The Gambia 01/2023-12/2025"/>
  </r>
  <r>
    <x v="7"/>
    <s v="Office Supplies / Materials"/>
    <x v="267"/>
    <s v="JV-RW082824"/>
    <x v="29"/>
    <n v="5.91"/>
    <m/>
    <s v="6"/>
    <s v="Gam"/>
    <s v="3007"/>
    <s v="UN Peace Building Fund (PBF) - The Gambia 01/2023-12/2025"/>
  </r>
  <r>
    <x v="7"/>
    <s v="Office Supplies / Materials"/>
    <x v="229"/>
    <s v="JV-RW082824"/>
    <x v="29"/>
    <n v="8.8699999999999992"/>
    <m/>
    <s v="6"/>
    <s v="Gam"/>
    <s v="3007"/>
    <s v="UN Peace Building Fund (PBF) - The Gambia 01/2023-12/2025"/>
  </r>
  <r>
    <x v="7"/>
    <s v="Office Supplies / Materials"/>
    <x v="268"/>
    <s v="JV-RW082824"/>
    <x v="29"/>
    <n v="38.43"/>
    <m/>
    <s v="6"/>
    <s v="Gam"/>
    <s v="3007"/>
    <s v="UN Peace Building Fund (PBF) - The Gambia 01/2023-12/2025"/>
  </r>
  <r>
    <x v="7"/>
    <s v="Office Supplies / Materials"/>
    <x v="269"/>
    <s v="JV-RW082824"/>
    <x v="29"/>
    <n v="17.739999999999998"/>
    <m/>
    <s v="6"/>
    <s v="Gam"/>
    <s v="3007"/>
    <s v="UN Peace Building Fund (PBF) - The Gambia 01/2023-12/2025"/>
  </r>
  <r>
    <x v="7"/>
    <s v="Office Supplies / Materials"/>
    <x v="270"/>
    <s v="JV-RW082824"/>
    <x v="29"/>
    <n v="2.96"/>
    <m/>
    <s v="6"/>
    <s v="Gam"/>
    <s v="3007"/>
    <s v="UN Peace Building Fund (PBF) - The Gambia 01/2023-12/2025"/>
  </r>
  <r>
    <x v="7"/>
    <s v="Office Supplies / Materials"/>
    <x v="271"/>
    <s v="JV-RW082824"/>
    <x v="29"/>
    <n v="5.91"/>
    <m/>
    <s v="6"/>
    <s v="Gam"/>
    <s v="3007"/>
    <s v="UN Peace Building Fund (PBF) - The Gambia 01/2023-12/2025"/>
  </r>
  <r>
    <x v="7"/>
    <s v="Office Supplies / Materials"/>
    <x v="272"/>
    <s v="JV-RW082824"/>
    <x v="29"/>
    <n v="17.739999999999998"/>
    <m/>
    <s v="6"/>
    <s v="Gam"/>
    <s v="3007"/>
    <s v="UN Peace Building Fund (PBF) - The Gambia 01/2023-12/2025"/>
  </r>
  <r>
    <x v="7"/>
    <s v="Office Supplies / Materials"/>
    <x v="273"/>
    <s v="JV-RW082824"/>
    <x v="29"/>
    <n v="29.56"/>
    <m/>
    <s v="6"/>
    <s v="Gam"/>
    <s v="3007"/>
    <s v="UN Peace Building Fund (PBF) - The Gambia 01/2023-12/2025"/>
  </r>
  <r>
    <x v="7"/>
    <s v="Office Supplies / Materials"/>
    <x v="274"/>
    <s v="JV-RW082824"/>
    <x v="29"/>
    <n v="20.7"/>
    <m/>
    <s v="6"/>
    <s v="Gam"/>
    <s v="3007"/>
    <s v="UN Peace Building Fund (PBF) - The Gambia 01/2023-12/2025"/>
  </r>
  <r>
    <x v="7"/>
    <s v="Office Supplies / Materials"/>
    <x v="275"/>
    <s v="JV-RW082824"/>
    <x v="29"/>
    <n v="5.17"/>
    <m/>
    <s v="6"/>
    <s v="Gam"/>
    <s v="3007"/>
    <s v="UN Peace Building Fund (PBF) - The Gambia 01/2023-12/2025"/>
  </r>
  <r>
    <x v="7"/>
    <s v="Office Supplies / Materials"/>
    <x v="276"/>
    <s v="JV-RW082824"/>
    <x v="29"/>
    <n v="3.55"/>
    <m/>
    <s v="6"/>
    <s v="Gam"/>
    <s v="3007"/>
    <s v="UN Peace Building Fund (PBF) - The Gambia 01/2023-12/2025"/>
  </r>
  <r>
    <x v="2"/>
    <s v="Ground (Car/Mileage, Rail, Taxi/Shuttle)"/>
    <x v="277"/>
    <s v="JV-RW082824"/>
    <x v="29"/>
    <n v="14.78"/>
    <m/>
    <s v="6"/>
    <s v="Gam"/>
    <s v="3007"/>
    <s v="UN Peace Building Fund (PBF) - The Gambia 01/2023-12/2025"/>
  </r>
  <r>
    <x v="2"/>
    <s v="Ground (Car/Mileage, Rail, Taxi/Shuttle)"/>
    <x v="277"/>
    <s v="JV-RW082824"/>
    <x v="29"/>
    <n v="29.56"/>
    <m/>
    <s v="6"/>
    <s v="Gam"/>
    <s v="3007"/>
    <s v="UN Peace Building Fund (PBF) - The Gambia 01/2023-12/2025"/>
  </r>
  <r>
    <x v="2"/>
    <s v="Ground (Car/Mileage, Rail, Taxi/Shuttle)"/>
    <x v="277"/>
    <s v="JV-RW082824"/>
    <x v="29"/>
    <n v="29.56"/>
    <m/>
    <s v="6"/>
    <s v="Gam"/>
    <s v="3007"/>
    <s v="UN Peace Building Fund (PBF) - The Gambia 01/2023-12/2025"/>
  </r>
  <r>
    <x v="2"/>
    <s v="Ground (Car/Mileage, Rail, Taxi/Shuttle)"/>
    <x v="277"/>
    <s v="JV-RW082824"/>
    <x v="29"/>
    <n v="29.56"/>
    <m/>
    <s v="6"/>
    <s v="Gam"/>
    <s v="3007"/>
    <s v="UN Peace Building Fund (PBF) - The Gambia 01/2023-12/2025"/>
  </r>
  <r>
    <x v="23"/>
    <s v="Office Equipment (below $2,000)"/>
    <x v="278"/>
    <s v="JV-RW082824"/>
    <x v="29"/>
    <n v="407.51"/>
    <m/>
    <s v="6"/>
    <s v="Gam"/>
    <s v="3007"/>
    <s v="UN Peace Building Fund (PBF) - The Gambia 01/2023-12/2025"/>
  </r>
  <r>
    <x v="19"/>
    <s v="IT Consulting, Services, and Support"/>
    <x v="173"/>
    <s v="JV-JS073124 IT &amp; Comm Alloc"/>
    <x v="29"/>
    <n v="225"/>
    <m/>
    <s v="9999"/>
    <s v="9999"/>
    <s v="3007"/>
    <s v="UN Peace Building Fund (PBF) - The Gambia 01/2023-12/2025"/>
  </r>
  <r>
    <x v="21"/>
    <s v="Media Outreach / Publicity"/>
    <x v="174"/>
    <s v="JV-JS073124 IT &amp; Comm Alloc"/>
    <x v="29"/>
    <n v="164"/>
    <m/>
    <s v="9999"/>
    <s v="9999"/>
    <s v="3007"/>
    <s v="UN Peace Building Fund (PBF) - The Gambia 01/2023-12/2025"/>
  </r>
  <r>
    <x v="1"/>
    <s v="Salary &amp; Fringes Fund Allocation"/>
    <x v="2"/>
    <s v="JV-JS073124 Sal Alloc"/>
    <x v="29"/>
    <n v="563.28"/>
    <m/>
    <s v="9999"/>
    <s v="9999"/>
    <s v="3007"/>
    <s v="UN Peace Building Fund (PBF) - The Gambia 01/2023-12/2025"/>
  </r>
  <r>
    <x v="1"/>
    <s v="Salary &amp; Fringes Fund Allocation"/>
    <x v="3"/>
    <s v="JV-JS073124 Sal Alloc"/>
    <x v="29"/>
    <n v="436.8"/>
    <m/>
    <s v="9999"/>
    <s v="9999"/>
    <s v="3007"/>
    <s v="UN Peace Building Fund (PBF) - The Gambia 01/2023-12/2025"/>
  </r>
  <r>
    <x v="1"/>
    <s v="Salary &amp; Fringes Fund Allocation"/>
    <x v="4"/>
    <s v="JV-JS073124 Sal Alloc"/>
    <x v="29"/>
    <n v="720"/>
    <m/>
    <s v="9999"/>
    <s v="9999"/>
    <s v="3007"/>
    <s v="UN Peace Building Fund (PBF) - The Gambia 01/2023-12/2025"/>
  </r>
  <r>
    <x v="10"/>
    <s v="Consultants"/>
    <x v="279"/>
    <s v="AP-RW080724"/>
    <x v="30"/>
    <n v="2000"/>
    <m/>
    <s v="9999"/>
    <s v="Gam"/>
    <s v="3007"/>
    <s v="UN Peace Building Fund (PBF) - The Gambia 01/2023-12/2025"/>
  </r>
  <r>
    <x v="8"/>
    <s v="Meals &amp; Per Diem"/>
    <x v="85"/>
    <s v="JV-RW101624-1"/>
    <x v="31"/>
    <n v="47.54"/>
    <m/>
    <s v="2.1"/>
    <s v="Gam"/>
    <s v="3007"/>
    <s v="UN Peace Building Fund (PBF) - The Gambia 01/2023-12/2025"/>
  </r>
  <r>
    <x v="2"/>
    <s v="Ground (Car/Mileage, Rail, Taxi/Shuttle)"/>
    <x v="280"/>
    <s v="JV-RW101624-1"/>
    <x v="31"/>
    <n v="50.42"/>
    <m/>
    <s v="2.1"/>
    <s v="Gam"/>
    <s v="3007"/>
    <s v="UN Peace Building Fund (PBF) - The Gambia 01/2023-12/2025"/>
  </r>
  <r>
    <x v="21"/>
    <s v="Media Outreach / Publicity"/>
    <x v="281"/>
    <s v="JV-RW101624-1"/>
    <x v="31"/>
    <n v="43.22"/>
    <m/>
    <s v="2.3"/>
    <s v="Gam"/>
    <s v="3007"/>
    <s v="UN Peace Building Fund (PBF) - The Gambia 01/2023-12/2025"/>
  </r>
  <r>
    <x v="21"/>
    <s v="Media Outreach / Publicity"/>
    <x v="282"/>
    <s v="JV-RW101624-1"/>
    <x v="31"/>
    <n v="46.1"/>
    <m/>
    <s v="2.3"/>
    <s v="Gam"/>
    <s v="3007"/>
    <s v="UN Peace Building Fund (PBF) - The Gambia 01/2023-12/2025"/>
  </r>
  <r>
    <x v="2"/>
    <s v="Ground (Car/Mileage, Rail, Taxi/Shuttle)"/>
    <x v="283"/>
    <s v="JV-RW101624-1"/>
    <x v="31"/>
    <n v="97.96"/>
    <m/>
    <s v="2.3"/>
    <s v="Gam"/>
    <s v="3007"/>
    <s v="UN Peace Building Fund (PBF) - The Gambia 01/2023-12/2025"/>
  </r>
  <r>
    <x v="5"/>
    <s v="Wages - International - Full Time"/>
    <x v="284"/>
    <s v="JV-RW101624-1"/>
    <x v="31"/>
    <n v="491.25"/>
    <m/>
    <s v="5.3"/>
    <s v="Gam"/>
    <s v="3007"/>
    <s v="UN Peace Building Fund (PBF) - The Gambia 01/2023-12/2025"/>
  </r>
  <r>
    <x v="5"/>
    <s v="Wages - International - Full Time"/>
    <x v="285"/>
    <s v="JV-RW101624-1"/>
    <x v="31"/>
    <n v="562.71"/>
    <m/>
    <s v="5.7"/>
    <s v="Gam"/>
    <s v="3007"/>
    <s v="UN Peace Building Fund (PBF) - The Gambia 01/2023-12/2025"/>
  </r>
  <r>
    <x v="17"/>
    <s v="Banking / Credit Cards Fee"/>
    <x v="286"/>
    <s v="JV-RW101624-1"/>
    <x v="31"/>
    <n v="2.88"/>
    <m/>
    <s v="6"/>
    <s v="Gam"/>
    <s v="3007"/>
    <s v="UN Peace Building Fund (PBF) - The Gambia 01/2023-12/2025"/>
  </r>
  <r>
    <x v="2"/>
    <s v="Ground (Car/Mileage, Rail, Taxi/Shuttle)"/>
    <x v="287"/>
    <s v="JV-RW101624-1"/>
    <x v="31"/>
    <n v="48.98"/>
    <m/>
    <s v="6"/>
    <s v="Gam"/>
    <s v="3007"/>
    <s v="UN Peace Building Fund (PBF) - The Gambia 01/2023-12/2025"/>
  </r>
  <r>
    <x v="26"/>
    <s v="Immigration / VISA Fees"/>
    <x v="288"/>
    <s v="JV-RW101624-1"/>
    <x v="31"/>
    <n v="178.57"/>
    <m/>
    <s v="6"/>
    <s v="Gam"/>
    <s v="3007"/>
    <s v="UN Peace Building Fund (PBF) - The Gambia 01/2023-12/2025"/>
  </r>
  <r>
    <x v="2"/>
    <s v="Ground (Car/Mileage, Rail, Taxi/Shuttle)"/>
    <x v="289"/>
    <s v="JV-RW101624-1"/>
    <x v="31"/>
    <n v="34.58"/>
    <m/>
    <s v="6"/>
    <s v="Gam"/>
    <s v="3007"/>
    <s v="UN Peace Building Fund (PBF) - The Gambia 01/2023-12/2025"/>
  </r>
  <r>
    <x v="14"/>
    <s v="Telephone &amp; Internet Access"/>
    <x v="81"/>
    <s v="JV-RW101624-1"/>
    <x v="31"/>
    <n v="50.64"/>
    <m/>
    <s v="6"/>
    <s v="Gam"/>
    <s v="3007"/>
    <s v="UN Peace Building Fund (PBF) - The Gambia 01/2023-12/2025"/>
  </r>
  <r>
    <x v="14"/>
    <s v="Telephone &amp; Internet Access"/>
    <x v="124"/>
    <s v="JV-RW101624-1"/>
    <x v="31"/>
    <n v="40.71"/>
    <m/>
    <s v="6"/>
    <s v="Gam"/>
    <s v="3007"/>
    <s v="UN Peace Building Fund (PBF) - The Gambia 01/2023-12/2025"/>
  </r>
  <r>
    <x v="14"/>
    <s v="Telephone &amp; Internet Access"/>
    <x v="104"/>
    <s v="JV-RW101624-1"/>
    <x v="31"/>
    <n v="40.71"/>
    <m/>
    <s v="6"/>
    <s v="Gam"/>
    <s v="3007"/>
    <s v="UN Peace Building Fund (PBF) - The Gambia 01/2023-12/2025"/>
  </r>
  <r>
    <x v="14"/>
    <s v="Telephone &amp; Internet Access"/>
    <x v="105"/>
    <s v="JV-RW101624-1"/>
    <x v="31"/>
    <n v="40.71"/>
    <m/>
    <s v="6"/>
    <s v="Gam"/>
    <s v="3007"/>
    <s v="UN Peace Building Fund (PBF) - The Gambia 01/2023-12/2025"/>
  </r>
  <r>
    <x v="14"/>
    <s v="Telephone &amp; Internet Access"/>
    <x v="223"/>
    <s v="JV-RW101624-1"/>
    <x v="31"/>
    <n v="39.69"/>
    <m/>
    <s v="6"/>
    <s v="Gam"/>
    <s v="3007"/>
    <s v="UN Peace Building Fund (PBF) - The Gambia 01/2023-12/2025"/>
  </r>
  <r>
    <x v="7"/>
    <s v="Office Supplies / Materials"/>
    <x v="107"/>
    <s v="JV-RW101624-1"/>
    <x v="31"/>
    <n v="12.68"/>
    <m/>
    <s v="6"/>
    <s v="Gam"/>
    <s v="3007"/>
    <s v="UN Peace Building Fund (PBF) - The Gambia 01/2023-12/2025"/>
  </r>
  <r>
    <x v="2"/>
    <s v="Ground (Car/Mileage, Rail, Taxi/Shuttle)"/>
    <x v="108"/>
    <s v="JV-RW101624-1"/>
    <x v="31"/>
    <n v="8.64"/>
    <m/>
    <s v="6"/>
    <s v="Gam"/>
    <s v="3007"/>
    <s v="UN Peace Building Fund (PBF) - The Gambia 01/2023-12/2025"/>
  </r>
  <r>
    <x v="7"/>
    <s v="Office Supplies / Materials"/>
    <x v="265"/>
    <s v="JV-RW101624-1"/>
    <x v="31"/>
    <n v="72.03"/>
    <m/>
    <s v="6"/>
    <s v="Gam"/>
    <s v="3007"/>
    <s v="UN Peace Building Fund (PBF) - The Gambia 01/2023-12/2025"/>
  </r>
  <r>
    <x v="7"/>
    <s v="Office Supplies / Materials"/>
    <x v="290"/>
    <s v="JV-RW101624-1"/>
    <x v="31"/>
    <n v="10.08"/>
    <m/>
    <s v="6"/>
    <s v="Gam"/>
    <s v="3007"/>
    <s v="UN Peace Building Fund (PBF) - The Gambia 01/2023-12/2025"/>
  </r>
  <r>
    <x v="7"/>
    <s v="Office Supplies / Materials"/>
    <x v="266"/>
    <s v="JV-RW101624-1"/>
    <x v="31"/>
    <n v="2.88"/>
    <m/>
    <s v="6"/>
    <s v="Gam"/>
    <s v="3007"/>
    <s v="UN Peace Building Fund (PBF) - The Gambia 01/2023-12/2025"/>
  </r>
  <r>
    <x v="7"/>
    <s v="Office Supplies / Materials"/>
    <x v="291"/>
    <s v="JV-RW101624-1"/>
    <x v="31"/>
    <n v="5.04"/>
    <m/>
    <s v="6"/>
    <s v="Gam"/>
    <s v="3007"/>
    <s v="UN Peace Building Fund (PBF) - The Gambia 01/2023-12/2025"/>
  </r>
  <r>
    <x v="2"/>
    <s v="Ground (Car/Mileage, Rail, Taxi/Shuttle)"/>
    <x v="292"/>
    <s v="JV-RW101624-1"/>
    <x v="31"/>
    <n v="31.69"/>
    <m/>
    <s v="6"/>
    <s v="Gam"/>
    <s v="3007"/>
    <s v="UN Peace Building Fund (PBF) - The Gambia 01/2023-12/2025"/>
  </r>
  <r>
    <x v="24"/>
    <s v="Office Maintenance &amp; Repairs"/>
    <x v="293"/>
    <s v="JV-RW101624-1"/>
    <x v="31"/>
    <n v="15.85"/>
    <m/>
    <s v="6"/>
    <s v="Gam"/>
    <s v="3007"/>
    <s v="UN Peace Building Fund (PBF) - The Gambia 01/2023-12/2025"/>
  </r>
  <r>
    <x v="17"/>
    <s v="Banking / Credit Cards Fee"/>
    <x v="294"/>
    <s v="JV-RW101624-1"/>
    <x v="31"/>
    <n v="2.16"/>
    <m/>
    <s v="6"/>
    <s v="Gam"/>
    <s v="3007"/>
    <s v="UN Peace Building Fund (PBF) - The Gambia 01/2023-12/2025"/>
  </r>
  <r>
    <x v="17"/>
    <s v="Banking / Credit Cards Fee"/>
    <x v="295"/>
    <s v="JV-RW101624-1"/>
    <x v="31"/>
    <n v="0.32"/>
    <m/>
    <s v="6"/>
    <s v="Gam"/>
    <s v="3007"/>
    <s v="UN Peace Building Fund (PBF) - The Gambia 01/2023-12/2025"/>
  </r>
  <r>
    <x v="14"/>
    <s v="Telephone &amp; Internet Access"/>
    <x v="296"/>
    <s v="JV-RW101624-1"/>
    <x v="31"/>
    <n v="345.75"/>
    <m/>
    <s v="6"/>
    <s v="Gam"/>
    <s v="3007"/>
    <s v="UN Peace Building Fund (PBF) - The Gambia 01/2023-12/2025"/>
  </r>
  <r>
    <x v="18"/>
    <s v="Computer Equipment &amp; Software (below $2,000)"/>
    <x v="297"/>
    <s v="JV-RW101624-1"/>
    <x v="31"/>
    <n v="792.35"/>
    <m/>
    <s v="6"/>
    <s v="Gam"/>
    <s v="3007"/>
    <s v="UN Peace Building Fund (PBF) - The Gambia 01/2023-12/2025"/>
  </r>
  <r>
    <x v="23"/>
    <s v="Office Equipment (below $2,000)"/>
    <x v="298"/>
    <s v="JV-RW101624-1"/>
    <x v="31"/>
    <n v="489.81"/>
    <m/>
    <s v="6"/>
    <s v="Gam"/>
    <s v="3007"/>
    <s v="UN Peace Building Fund (PBF) - The Gambia 01/2023-12/2025"/>
  </r>
  <r>
    <x v="27"/>
    <s v="Furniture &amp; Equipment (below $2000)"/>
    <x v="299"/>
    <s v="JV-RW101624-1"/>
    <x v="31"/>
    <n v="122.45"/>
    <m/>
    <s v="6"/>
    <s v="Gam"/>
    <s v="3007"/>
    <s v="UN Peace Building Fund (PBF) - The Gambia 01/2023-12/2025"/>
  </r>
  <r>
    <x v="18"/>
    <s v="Computer Equipment &amp; Software (below $2,000)"/>
    <x v="300"/>
    <s v="JV-RW101624-1"/>
    <x v="31"/>
    <n v="288.13"/>
    <m/>
    <s v="6"/>
    <s v="Gam"/>
    <s v="3007"/>
    <s v="UN Peace Building Fund (PBF) - The Gambia 01/2023-12/2025"/>
  </r>
  <r>
    <x v="24"/>
    <s v="Office Maintenance &amp; Repairs"/>
    <x v="301"/>
    <s v="JV-RW101624-1"/>
    <x v="31"/>
    <n v="52.08"/>
    <m/>
    <s v="6"/>
    <s v="Gam"/>
    <s v="3007"/>
    <s v="UN Peace Building Fund (PBF) - The Gambia 01/2023-12/2025"/>
  </r>
  <r>
    <x v="24"/>
    <s v="Office Maintenance &amp; Repairs"/>
    <x v="302"/>
    <s v="JV-RW101624-1"/>
    <x v="31"/>
    <n v="24.49"/>
    <m/>
    <s v="6"/>
    <s v="Gam"/>
    <s v="3007"/>
    <s v="UN Peace Building Fund (PBF) - The Gambia 01/2023-12/2025"/>
  </r>
  <r>
    <x v="2"/>
    <s v="Ground (Car/Mileage, Rail, Taxi/Shuttle)"/>
    <x v="287"/>
    <s v="JV-RW101624-1"/>
    <x v="31"/>
    <n v="36.020000000000003"/>
    <m/>
    <s v="6"/>
    <s v="Gam"/>
    <s v="3007"/>
    <s v="UN Peace Building Fund (PBF) - The Gambia 01/2023-12/2025"/>
  </r>
  <r>
    <x v="5"/>
    <s v="Wages - International - Full Time"/>
    <x v="303"/>
    <s v="JV-RW101624-1"/>
    <x v="31"/>
    <n v="57.63"/>
    <m/>
    <s v="6"/>
    <s v="Gam"/>
    <s v="3007"/>
    <s v="UN Peace Building Fund (PBF) - The Gambia 01/2023-12/2025"/>
  </r>
  <r>
    <x v="7"/>
    <s v="Office Supplies / Materials"/>
    <x v="304"/>
    <s v="JV-RW101624-1"/>
    <x v="31"/>
    <n v="73.180000000000007"/>
    <m/>
    <s v="8"/>
    <s v="Gam"/>
    <s v="3007"/>
    <s v="UN Peace Building Fund (PBF) - The Gambia 01/2023-12/2025"/>
  </r>
  <r>
    <x v="27"/>
    <s v="Furniture &amp; Equipment (below $2000)"/>
    <x v="305"/>
    <s v="JV-RW101624-1"/>
    <x v="31"/>
    <n v="187.28"/>
    <m/>
    <s v="8"/>
    <s v="Gam"/>
    <s v="3007"/>
    <s v="UN Peace Building Fund (PBF) - The Gambia 01/2023-12/2025"/>
  </r>
  <r>
    <x v="1"/>
    <s v="Salary &amp; Fringes Fund Allocation"/>
    <x v="2"/>
    <s v="JV-JS083124 Sal Alloc"/>
    <x v="31"/>
    <n v="563.28"/>
    <m/>
    <s v="9999"/>
    <s v="9999"/>
    <s v="3007"/>
    <s v="UN Peace Building Fund (PBF) - The Gambia 01/2023-12/2025"/>
  </r>
  <r>
    <x v="1"/>
    <s v="Salary &amp; Fringes Fund Allocation"/>
    <x v="3"/>
    <s v="JV-JS083124 Sal Alloc"/>
    <x v="31"/>
    <n v="436.8"/>
    <m/>
    <s v="9999"/>
    <s v="9999"/>
    <s v="3007"/>
    <s v="UN Peace Building Fund (PBF) - The Gambia 01/2023-12/2025"/>
  </r>
  <r>
    <x v="1"/>
    <s v="Salary &amp; Fringes Fund Allocation"/>
    <x v="4"/>
    <s v="JV-JS083124 Sal Alloc"/>
    <x v="31"/>
    <n v="720"/>
    <m/>
    <s v="9999"/>
    <s v="9999"/>
    <s v="3007"/>
    <s v="UN Peace Building Fund (PBF) - The Gambia 01/2023-12/2025"/>
  </r>
  <r>
    <x v="16"/>
    <s v="Grants / Subcontracts Awarded"/>
    <x v="306"/>
    <s v="JV-RW102324"/>
    <x v="32"/>
    <n v="12245.47"/>
    <m/>
    <s v=""/>
    <s v=""/>
    <s v="3007"/>
    <s v="UN Peace Building Fund (PBF) - The Gambia 01/2023-12/2025"/>
  </r>
  <r>
    <x v="16"/>
    <s v="Grants / Subcontracts Awarded"/>
    <x v="307"/>
    <s v="JV-RW102324"/>
    <x v="32"/>
    <n v="12163.44"/>
    <m/>
    <s v=""/>
    <s v=""/>
    <s v="3007"/>
    <s v="UN Peace Building Fund (PBF) - The Gambia 01/2023-12/2025"/>
  </r>
  <r>
    <x v="16"/>
    <s v="Grants / Subcontracts Awarded"/>
    <x v="308"/>
    <s v="JV-RW102324"/>
    <x v="32"/>
    <n v="12252.93"/>
    <m/>
    <s v=""/>
    <s v=""/>
    <s v="3007"/>
    <s v="UN Peace Building Fund (PBF) - The Gambia 01/2023-12/2025"/>
  </r>
  <r>
    <x v="16"/>
    <s v="Grants / Subcontracts Awarded"/>
    <x v="309"/>
    <s v="JV-RW102324"/>
    <x v="32"/>
    <n v="12226.65"/>
    <m/>
    <s v=""/>
    <s v=""/>
    <s v="3007"/>
    <s v="UN Peace Building Fund (PBF) - The Gambia 01/2023-12/2025"/>
  </r>
  <r>
    <x v="11"/>
    <s v="Rental Halls / Convention Center"/>
    <x v="310"/>
    <s v="JV-RW102324"/>
    <x v="32"/>
    <n v="59.66"/>
    <m/>
    <s v="2.1"/>
    <s v="Gam"/>
    <s v="3007"/>
    <s v="UN Peace Building Fund (PBF) - The Gambia 01/2023-12/2025"/>
  </r>
  <r>
    <x v="8"/>
    <s v="Meals &amp; Per Diem"/>
    <x v="311"/>
    <s v="JV-RW102324"/>
    <x v="32"/>
    <n v="100.68"/>
    <m/>
    <s v="2.1"/>
    <s v="Gam"/>
    <s v="3007"/>
    <s v="UN Peace Building Fund (PBF) - The Gambia 01/2023-12/2025"/>
  </r>
  <r>
    <x v="2"/>
    <s v="Ground (Car/Mileage, Rail, Taxi/Shuttle)"/>
    <x v="312"/>
    <s v="JV-RW102324"/>
    <x v="32"/>
    <n v="111.86"/>
    <m/>
    <s v="2.6"/>
    <s v="Gam"/>
    <s v="3007"/>
    <s v="UN Peace Building Fund (PBF) - The Gambia 01/2023-12/2025"/>
  </r>
  <r>
    <x v="8"/>
    <s v="Meals &amp; Per Diem"/>
    <x v="313"/>
    <s v="JV-RW102324"/>
    <x v="32"/>
    <n v="290.85000000000002"/>
    <m/>
    <s v="2.6"/>
    <s v="Gam"/>
    <s v="3007"/>
    <s v="UN Peace Building Fund (PBF) - The Gambia 01/2023-12/2025"/>
  </r>
  <r>
    <x v="2"/>
    <s v="Ground (Car/Mileage, Rail, Taxi/Shuttle)"/>
    <x v="18"/>
    <s v="JV-RW102324"/>
    <x v="32"/>
    <n v="164.07"/>
    <m/>
    <s v="4.3"/>
    <s v="Gam"/>
    <s v="3007"/>
    <s v="UN Peace Building Fund (PBF) - The Gambia 01/2023-12/2025"/>
  </r>
  <r>
    <x v="5"/>
    <s v="Wages - International - Full Time"/>
    <x v="314"/>
    <s v="JV-RW102324"/>
    <x v="32"/>
    <n v="507.59"/>
    <m/>
    <s v="5.3"/>
    <s v="Gam"/>
    <s v="3007"/>
    <s v="UN Peace Building Fund (PBF) - The Gambia 01/2023-12/2025"/>
  </r>
  <r>
    <x v="5"/>
    <s v="Wages - International - Full Time"/>
    <x v="315"/>
    <s v="JV-RW102324"/>
    <x v="32"/>
    <n v="852.76"/>
    <m/>
    <s v="5.7"/>
    <s v="Gam"/>
    <s v="3007"/>
    <s v="UN Peace Building Fund (PBF) - The Gambia 01/2023-12/2025"/>
  </r>
  <r>
    <x v="17"/>
    <s v="Banking / Credit Cards Fee"/>
    <x v="286"/>
    <s v="JV-RW102324"/>
    <x v="32"/>
    <n v="2.98"/>
    <m/>
    <s v="6"/>
    <s v="Gam"/>
    <s v="3007"/>
    <s v="UN Peace Building Fund (PBF) - The Gambia 01/2023-12/2025"/>
  </r>
  <r>
    <x v="17"/>
    <s v="Banking / Credit Cards Fee"/>
    <x v="286"/>
    <s v="JV-RW102324"/>
    <x v="32"/>
    <n v="2.98"/>
    <m/>
    <s v="6"/>
    <s v="Gam"/>
    <s v="3007"/>
    <s v="UN Peace Building Fund (PBF) - The Gambia 01/2023-12/2025"/>
  </r>
  <r>
    <x v="14"/>
    <s v="Telephone &amp; Internet Access"/>
    <x v="81"/>
    <s v="JV-RW102324"/>
    <x v="32"/>
    <n v="52.58"/>
    <m/>
    <s v="6"/>
    <s v="Gam"/>
    <s v="3007"/>
    <s v="UN Peace Building Fund (PBF) - The Gambia 01/2023-12/2025"/>
  </r>
  <r>
    <x v="14"/>
    <s v="Telephone &amp; Internet Access"/>
    <x v="124"/>
    <s v="JV-RW102324"/>
    <x v="32"/>
    <n v="42.23"/>
    <m/>
    <s v="6"/>
    <s v="Gam"/>
    <s v="3007"/>
    <s v="UN Peace Building Fund (PBF) - The Gambia 01/2023-12/2025"/>
  </r>
  <r>
    <x v="14"/>
    <s v="Telephone &amp; Internet Access"/>
    <x v="104"/>
    <s v="JV-RW102324"/>
    <x v="32"/>
    <n v="42.23"/>
    <m/>
    <s v="6"/>
    <s v="Gam"/>
    <s v="3007"/>
    <s v="UN Peace Building Fund (PBF) - The Gambia 01/2023-12/2025"/>
  </r>
  <r>
    <x v="14"/>
    <s v="Telephone &amp; Internet Access"/>
    <x v="105"/>
    <s v="JV-RW102324"/>
    <x v="32"/>
    <n v="42.23"/>
    <m/>
    <s v="6"/>
    <s v="Gam"/>
    <s v="3007"/>
    <s v="UN Peace Building Fund (PBF) - The Gambia 01/2023-12/2025"/>
  </r>
  <r>
    <x v="14"/>
    <s v="Telephone &amp; Internet Access"/>
    <x v="316"/>
    <s v="JV-RW102324"/>
    <x v="32"/>
    <n v="42.23"/>
    <m/>
    <s v="6"/>
    <s v="Gam"/>
    <s v="3007"/>
    <s v="UN Peace Building Fund (PBF) - The Gambia 01/2023-12/2025"/>
  </r>
  <r>
    <x v="14"/>
    <s v="Telephone &amp; Internet Access"/>
    <x v="317"/>
    <s v="JV-RW102324"/>
    <x v="32"/>
    <n v="42.23"/>
    <m/>
    <s v="6"/>
    <s v="Gam"/>
    <s v="3007"/>
    <s v="UN Peace Building Fund (PBF) - The Gambia 01/2023-12/2025"/>
  </r>
  <r>
    <x v="14"/>
    <s v="Telephone &amp; Internet Access"/>
    <x v="223"/>
    <s v="JV-RW102324"/>
    <x v="32"/>
    <n v="28.34"/>
    <m/>
    <s v="6"/>
    <s v="Gam"/>
    <s v="3007"/>
    <s v="UN Peace Building Fund (PBF) - The Gambia 01/2023-12/2025"/>
  </r>
  <r>
    <x v="7"/>
    <s v="Office Supplies / Materials"/>
    <x v="107"/>
    <s v="JV-RW102324"/>
    <x v="32"/>
    <n v="12.53"/>
    <m/>
    <s v="6"/>
    <s v="Gam"/>
    <s v="3007"/>
    <s v="UN Peace Building Fund (PBF) - The Gambia 01/2023-12/2025"/>
  </r>
  <r>
    <x v="2"/>
    <s v="Ground (Car/Mileage, Rail, Taxi/Shuttle)"/>
    <x v="108"/>
    <s v="JV-RW102324"/>
    <x v="32"/>
    <n v="11.93"/>
    <m/>
    <s v="6"/>
    <s v="Gam"/>
    <s v="3007"/>
    <s v="UN Peace Building Fund (PBF) - The Gambia 01/2023-12/2025"/>
  </r>
  <r>
    <x v="7"/>
    <s v="Office Supplies / Materials"/>
    <x v="265"/>
    <s v="JV-RW102324"/>
    <x v="32"/>
    <n v="74.58"/>
    <m/>
    <s v="6"/>
    <s v="Gam"/>
    <s v="3007"/>
    <s v="UN Peace Building Fund (PBF) - The Gambia 01/2023-12/2025"/>
  </r>
  <r>
    <x v="7"/>
    <s v="Office Supplies / Materials"/>
    <x v="318"/>
    <s v="JV-RW102324"/>
    <x v="32"/>
    <n v="14.17"/>
    <m/>
    <s v="6"/>
    <s v="Gam"/>
    <s v="3007"/>
    <s v="UN Peace Building Fund (PBF) - The Gambia 01/2023-12/2025"/>
  </r>
  <r>
    <x v="7"/>
    <s v="Office Supplies / Materials"/>
    <x v="319"/>
    <s v="JV-RW102324"/>
    <x v="32"/>
    <n v="20.73"/>
    <m/>
    <s v="6"/>
    <s v="Gam"/>
    <s v="3007"/>
    <s v="UN Peace Building Fund (PBF) - The Gambia 01/2023-12/2025"/>
  </r>
  <r>
    <x v="7"/>
    <s v="Office Supplies / Materials"/>
    <x v="320"/>
    <s v="JV-RW102324"/>
    <x v="32"/>
    <n v="4.03"/>
    <m/>
    <s v="6"/>
    <s v="Gam"/>
    <s v="3007"/>
    <s v="UN Peace Building Fund (PBF) - The Gambia 01/2023-12/2025"/>
  </r>
  <r>
    <x v="7"/>
    <s v="Office Supplies / Materials"/>
    <x v="84"/>
    <s v="JV-RW102324"/>
    <x v="32"/>
    <n v="7.0000000000000007E-2"/>
    <m/>
    <s v="6"/>
    <s v="Gam"/>
    <s v="3007"/>
    <s v="UN Peace Building Fund (PBF) - The Gambia 01/2023-12/2025"/>
  </r>
  <r>
    <x v="21"/>
    <s v="Media Outreach / Publicity"/>
    <x v="321"/>
    <s v="JV-RW102324"/>
    <x v="32"/>
    <n v="215.08"/>
    <m/>
    <s v="6"/>
    <s v="Gam"/>
    <s v="3007"/>
    <s v="UN Peace Building Fund (PBF) - The Gambia 01/2023-12/2025"/>
  </r>
  <r>
    <x v="17"/>
    <s v="Banking / Credit Cards Fee"/>
    <x v="322"/>
    <s v="JV-RW102324"/>
    <x v="32"/>
    <n v="2.98"/>
    <m/>
    <s v="6"/>
    <s v="Gam"/>
    <s v="3007"/>
    <s v="UN Peace Building Fund (PBF) - The Gambia 01/2023-12/2025"/>
  </r>
  <r>
    <x v="19"/>
    <s v="IT Consulting, Services, and Support"/>
    <x v="323"/>
    <s v="JV-RW102324"/>
    <x v="32"/>
    <n v="64.14"/>
    <m/>
    <s v="6"/>
    <s v="Gam"/>
    <s v="3007"/>
    <s v="UN Peace Building Fund (PBF) - The Gambia 01/2023-12/2025"/>
  </r>
  <r>
    <x v="2"/>
    <s v="Ground (Car/Mileage, Rail, Taxi/Shuttle)"/>
    <x v="324"/>
    <s v="JV-RW102324"/>
    <x v="32"/>
    <n v="38.78"/>
    <m/>
    <s v="6"/>
    <s v="Gam"/>
    <s v="3007"/>
    <s v="UN Peace Building Fund (PBF) - The Gambia 01/2023-12/2025"/>
  </r>
  <r>
    <x v="5"/>
    <s v="Wages - International - Full Time"/>
    <x v="325"/>
    <s v="JV-RW102324"/>
    <x v="32"/>
    <n v="74.58"/>
    <m/>
    <s v="6"/>
    <s v="Gam"/>
    <s v="3007"/>
    <s v="UN Peace Building Fund (PBF) - The Gambia 01/2023-12/2025"/>
  </r>
  <r>
    <x v="17"/>
    <s v="Banking / Credit Cards Fee"/>
    <x v="326"/>
    <s v="JV-RW102324"/>
    <x v="32"/>
    <n v="2.98"/>
    <m/>
    <s v="6"/>
    <s v="Gam"/>
    <s v="3007"/>
    <s v="UN Peace Building Fund (PBF) - The Gambia 01/2023-12/2025"/>
  </r>
  <r>
    <x v="17"/>
    <s v="Banking / Credit Cards Fee"/>
    <x v="327"/>
    <s v="JV-RW102324"/>
    <x v="32"/>
    <n v="2.98"/>
    <m/>
    <s v="6"/>
    <s v="Gam"/>
    <s v="3007"/>
    <s v="UN Peace Building Fund (PBF) - The Gambia 01/2023-12/2025"/>
  </r>
  <r>
    <x v="7"/>
    <s v="Office Supplies / Materials"/>
    <x v="328"/>
    <s v="JV-RW102324"/>
    <x v="32"/>
    <n v="59.66"/>
    <m/>
    <s v="8"/>
    <s v="Gam"/>
    <s v="3007"/>
    <s v="UN Peace Building Fund (PBF) - The Gambia 01/2023-12/2025"/>
  </r>
  <r>
    <x v="27"/>
    <s v="Furniture &amp; Equipment (below $2000)"/>
    <x v="329"/>
    <s v="JV-RW102324"/>
    <x v="32"/>
    <n v="100.68"/>
    <m/>
    <s v="8"/>
    <s v="Gam"/>
    <s v="3007"/>
    <s v="UN Peace Building Fund (PBF) - The Gambia 01/2023-12/2025"/>
  </r>
  <r>
    <x v="1"/>
    <s v="Salary &amp; Fringes Fund Allocation"/>
    <x v="2"/>
    <s v="JV-JS093024 Sal Alloc"/>
    <x v="32"/>
    <n v="563.28"/>
    <m/>
    <s v="9999"/>
    <s v="9999"/>
    <s v="3007"/>
    <s v="UN Peace Building Fund (PBF) - The Gambia 01/2023-12/2025"/>
  </r>
  <r>
    <x v="1"/>
    <s v="Salary &amp; Fringes Fund Allocation"/>
    <x v="3"/>
    <s v="JV-JS093024 Sal Alloc"/>
    <x v="32"/>
    <n v="436.8"/>
    <m/>
    <s v="9999"/>
    <s v="9999"/>
    <s v="3007"/>
    <s v="UN Peace Building Fund (PBF) - The Gambia 01/2023-12/2025"/>
  </r>
  <r>
    <x v="1"/>
    <s v="Salary &amp; Fringes Fund Allocation"/>
    <x v="4"/>
    <s v="JV-JS093024 Sal Alloc"/>
    <x v="32"/>
    <n v="720"/>
    <m/>
    <s v="9999"/>
    <s v="9999"/>
    <s v="3007"/>
    <s v="UN Peace Building Fund (PBF) - The Gambia 01/2023-12/2025"/>
  </r>
  <r>
    <x v="10"/>
    <s v="Consultants"/>
    <x v="330"/>
    <s v="AP-RW101724"/>
    <x v="33"/>
    <n v="2000"/>
    <m/>
    <s v="9999"/>
    <s v="Gam"/>
    <s v="3007"/>
    <s v="UN Peace Building Fund (PBF) - The Gambia 01/2023-12/2025"/>
  </r>
  <r>
    <x v="10"/>
    <s v="Consultants"/>
    <x v="331"/>
    <s v="AP-RW101724"/>
    <x v="33"/>
    <n v="2000"/>
    <m/>
    <s v="9999"/>
    <s v="Gam"/>
    <s v="3007"/>
    <s v="UN Peace Building Fund (PBF) - The Gambia 01/2023-12/2025"/>
  </r>
  <r>
    <x v="2"/>
    <s v="Ground (Car/Mileage, Rail, Taxi/Shuttle)"/>
    <x v="332"/>
    <s v="JV-RW121024"/>
    <x v="34"/>
    <n v="1170.74"/>
    <m/>
    <s v="2.6"/>
    <s v="Gam"/>
    <s v="3007"/>
    <s v="UN Peace Building Fund (PBF) - The Gambia 01/2023-12/2025"/>
  </r>
  <r>
    <x v="8"/>
    <s v="Meals &amp; Per Diem"/>
    <x v="333"/>
    <s v="JV-RW121024"/>
    <x v="34"/>
    <n v="1236.5999999999999"/>
    <m/>
    <s v="2.6"/>
    <s v="Gam"/>
    <s v="3007"/>
    <s v="UN Peace Building Fund (PBF) - The Gambia 01/2023-12/2025"/>
  </r>
  <r>
    <x v="2"/>
    <s v="Ground (Car/Mileage, Rail, Taxi/Shuttle)"/>
    <x v="251"/>
    <s v="JV-RW121024"/>
    <x v="34"/>
    <n v="27.81"/>
    <m/>
    <s v="2.6"/>
    <s v="Gam"/>
    <s v="3007"/>
    <s v="UN Peace Building Fund (PBF) - The Gambia 01/2023-12/2025"/>
  </r>
  <r>
    <x v="11"/>
    <s v="Rental Halls / Convention Center"/>
    <x v="334"/>
    <s v="JV-RW121024"/>
    <x v="34"/>
    <n v="87.81"/>
    <m/>
    <s v="2.6"/>
    <s v="Gam"/>
    <s v="3007"/>
    <s v="UN Peace Building Fund (PBF) - The Gambia 01/2023-12/2025"/>
  </r>
  <r>
    <x v="10"/>
    <s v="Consultants"/>
    <x v="335"/>
    <s v="JV-RW121024"/>
    <x v="34"/>
    <n v="73.17"/>
    <m/>
    <s v="2.6"/>
    <s v="Gam"/>
    <s v="3007"/>
    <s v="UN Peace Building Fund (PBF) - The Gambia 01/2023-12/2025"/>
  </r>
  <r>
    <x v="2"/>
    <s v="Ground (Car/Mileage, Rail, Taxi/Shuttle)"/>
    <x v="280"/>
    <s v="JV-RW121024"/>
    <x v="34"/>
    <n v="834.15"/>
    <m/>
    <s v="2.6"/>
    <s v="Gam"/>
    <s v="3007"/>
    <s v="UN Peace Building Fund (PBF) - The Gambia 01/2023-12/2025"/>
  </r>
  <r>
    <x v="10"/>
    <s v="Consultants"/>
    <x v="336"/>
    <s v="JV-RW121024"/>
    <x v="34"/>
    <n v="87.81"/>
    <m/>
    <s v="2.6"/>
    <s v="Gam"/>
    <s v="3007"/>
    <s v="UN Peace Building Fund (PBF) - The Gambia 01/2023-12/2025"/>
  </r>
  <r>
    <x v="15"/>
    <s v="Event Planning / Organization"/>
    <x v="337"/>
    <s v="JV-RW121024"/>
    <x v="34"/>
    <n v="21.95"/>
    <m/>
    <s v="2.6"/>
    <s v="Gam"/>
    <s v="3007"/>
    <s v="UN Peace Building Fund (PBF) - The Gambia 01/2023-12/2025"/>
  </r>
  <r>
    <x v="7"/>
    <s v="Office Supplies / Materials"/>
    <x v="338"/>
    <s v="JV-RW121024"/>
    <x v="34"/>
    <n v="2.63"/>
    <m/>
    <s v="2.6"/>
    <s v="Gam"/>
    <s v="3007"/>
    <s v="UN Peace Building Fund (PBF) - The Gambia 01/2023-12/2025"/>
  </r>
  <r>
    <x v="8"/>
    <s v="Meals &amp; Per Diem"/>
    <x v="339"/>
    <s v="JV-RW121024"/>
    <x v="34"/>
    <n v="585.37"/>
    <m/>
    <s v="2.6"/>
    <s v="Gam"/>
    <s v="3007"/>
    <s v="UN Peace Building Fund (PBF) - The Gambia 01/2023-12/2025"/>
  </r>
  <r>
    <x v="5"/>
    <s v="Wages - International - Full Time"/>
    <x v="340"/>
    <s v="JV-RW121024"/>
    <x v="34"/>
    <n v="499.64"/>
    <m/>
    <s v="5.3"/>
    <s v="Gam"/>
    <s v="3007"/>
    <s v="UN Peace Building Fund (PBF) - The Gambia 01/2023-12/2025"/>
  </r>
  <r>
    <x v="5"/>
    <s v="Wages - International - Full Time"/>
    <x v="341"/>
    <s v="JV-RW121024"/>
    <x v="34"/>
    <n v="1414.02"/>
    <m/>
    <s v="5.5"/>
    <s v="Gam"/>
    <s v="3007"/>
    <s v="UN Peace Building Fund (PBF) - The Gambia 01/2023-12/2025"/>
  </r>
  <r>
    <x v="17"/>
    <s v="Banking / Credit Cards Fee"/>
    <x v="286"/>
    <s v="JV-RW121024"/>
    <x v="34"/>
    <n v="2.93"/>
    <m/>
    <s v="6"/>
    <s v="Gam"/>
    <s v="3007"/>
    <s v="UN Peace Building Fund (PBF) - The Gambia 01/2023-12/2025"/>
  </r>
  <r>
    <x v="19"/>
    <s v="IT Consulting, Services, and Support"/>
    <x v="342"/>
    <s v="JV-RW121024"/>
    <x v="34"/>
    <n v="29.27"/>
    <m/>
    <s v="6"/>
    <s v="Gam"/>
    <s v="3007"/>
    <s v="UN Peace Building Fund (PBF) - The Gambia 01/2023-12/2025"/>
  </r>
  <r>
    <x v="17"/>
    <s v="Banking / Credit Cards Fee"/>
    <x v="286"/>
    <s v="JV-RW121024"/>
    <x v="34"/>
    <n v="2.93"/>
    <m/>
    <s v="6"/>
    <s v="Gam"/>
    <s v="3007"/>
    <s v="UN Peace Building Fund (PBF) - The Gambia 01/2023-12/2025"/>
  </r>
  <r>
    <x v="17"/>
    <s v="Banking / Credit Cards Fee"/>
    <x v="343"/>
    <s v="JV-RW121024"/>
    <x v="34"/>
    <n v="10.14"/>
    <m/>
    <s v="6"/>
    <s v="Gam"/>
    <s v="3007"/>
    <s v="UN Peace Building Fund (PBF) - The Gambia 01/2023-12/2025"/>
  </r>
  <r>
    <x v="17"/>
    <s v="Banking / Credit Cards Fee"/>
    <x v="344"/>
    <s v="JV-RW121024"/>
    <x v="34"/>
    <n v="0.34"/>
    <m/>
    <s v="6"/>
    <s v="Gam"/>
    <s v="3007"/>
    <s v="UN Peace Building Fund (PBF) - The Gambia 01/2023-12/2025"/>
  </r>
  <r>
    <x v="17"/>
    <s v="Banking / Credit Cards Fee"/>
    <x v="345"/>
    <s v="JV-RW121024"/>
    <x v="34"/>
    <n v="7.0000000000000007E-2"/>
    <m/>
    <s v="6"/>
    <s v="Gam"/>
    <s v="3007"/>
    <s v="UN Peace Building Fund (PBF) - The Gambia 01/2023-12/2025"/>
  </r>
  <r>
    <x v="14"/>
    <s v="Telephone &amp; Internet Access"/>
    <x v="81"/>
    <s v="JV-RW121024"/>
    <x v="34"/>
    <n v="52.98"/>
    <m/>
    <s v="6"/>
    <s v="Gam"/>
    <s v="3007"/>
    <s v="UN Peace Building Fund (PBF) - The Gambia 01/2023-12/2025"/>
  </r>
  <r>
    <x v="14"/>
    <s v="Telephone &amp; Internet Access"/>
    <x v="124"/>
    <s v="JV-RW121024"/>
    <x v="34"/>
    <n v="40.74"/>
    <m/>
    <s v="6"/>
    <s v="Gam"/>
    <s v="3007"/>
    <s v="UN Peace Building Fund (PBF) - The Gambia 01/2023-12/2025"/>
  </r>
  <r>
    <x v="14"/>
    <s v="Telephone &amp; Internet Access"/>
    <x v="316"/>
    <s v="JV-RW121024"/>
    <x v="34"/>
    <n v="40.74"/>
    <m/>
    <s v="6"/>
    <s v="Gam"/>
    <s v="3007"/>
    <s v="UN Peace Building Fund (PBF) - The Gambia 01/2023-12/2025"/>
  </r>
  <r>
    <x v="14"/>
    <s v="Telephone &amp; Internet Access"/>
    <x v="317"/>
    <s v="JV-RW121024"/>
    <x v="34"/>
    <n v="40.74"/>
    <m/>
    <s v="6"/>
    <s v="Gam"/>
    <s v="3007"/>
    <s v="UN Peace Building Fund (PBF) - The Gambia 01/2023-12/2025"/>
  </r>
  <r>
    <x v="14"/>
    <s v="Telephone &amp; Internet Access"/>
    <x v="104"/>
    <s v="JV-RW121024"/>
    <x v="34"/>
    <n v="40.74"/>
    <m/>
    <s v="6"/>
    <s v="Gam"/>
    <s v="3007"/>
    <s v="UN Peace Building Fund (PBF) - The Gambia 01/2023-12/2025"/>
  </r>
  <r>
    <x v="14"/>
    <s v="Telephone &amp; Internet Access"/>
    <x v="105"/>
    <s v="JV-RW121024"/>
    <x v="34"/>
    <n v="40.74"/>
    <m/>
    <s v="6"/>
    <s v="Gam"/>
    <s v="3007"/>
    <s v="UN Peace Building Fund (PBF) - The Gambia 01/2023-12/2025"/>
  </r>
  <r>
    <x v="14"/>
    <s v="Telephone &amp; Internet Access"/>
    <x v="223"/>
    <s v="JV-RW121024"/>
    <x v="34"/>
    <n v="27.81"/>
    <m/>
    <s v="6"/>
    <s v="Gam"/>
    <s v="3007"/>
    <s v="UN Peace Building Fund (PBF) - The Gambia 01/2023-12/2025"/>
  </r>
  <r>
    <x v="7"/>
    <s v="Office Supplies / Materials"/>
    <x v="107"/>
    <s v="JV-RW121024"/>
    <x v="34"/>
    <n v="11.71"/>
    <m/>
    <s v="6"/>
    <s v="Gam"/>
    <s v="3007"/>
    <s v="UN Peace Building Fund (PBF) - The Gambia 01/2023-12/2025"/>
  </r>
  <r>
    <x v="2"/>
    <s v="Ground (Car/Mileage, Rail, Taxi/Shuttle)"/>
    <x v="108"/>
    <s v="JV-RW121024"/>
    <x v="34"/>
    <n v="8.7799999999999994"/>
    <m/>
    <s v="6"/>
    <s v="Gam"/>
    <s v="3007"/>
    <s v="UN Peace Building Fund (PBF) - The Gambia 01/2023-12/2025"/>
  </r>
  <r>
    <x v="7"/>
    <s v="Office Supplies / Materials"/>
    <x v="265"/>
    <s v="JV-RW121024"/>
    <x v="34"/>
    <n v="73.17"/>
    <m/>
    <s v="6"/>
    <s v="Gam"/>
    <s v="3007"/>
    <s v="UN Peace Building Fund (PBF) - The Gambia 01/2023-12/2025"/>
  </r>
  <r>
    <x v="7"/>
    <s v="Office Supplies / Materials"/>
    <x v="184"/>
    <s v="JV-RW121024"/>
    <x v="34"/>
    <n v="15.37"/>
    <m/>
    <s v="6"/>
    <s v="Gam"/>
    <s v="3007"/>
    <s v="UN Peace Building Fund (PBF) - The Gambia 01/2023-12/2025"/>
  </r>
  <r>
    <x v="7"/>
    <s v="Office Supplies / Materials"/>
    <x v="150"/>
    <s v="JV-RW121024"/>
    <x v="34"/>
    <n v="3.95"/>
    <m/>
    <s v="6"/>
    <s v="Gam"/>
    <s v="3007"/>
    <s v="UN Peace Building Fund (PBF) - The Gambia 01/2023-12/2025"/>
  </r>
  <r>
    <x v="7"/>
    <s v="Office Supplies / Materials"/>
    <x v="346"/>
    <s v="JV-RW121024"/>
    <x v="34"/>
    <n v="20.34"/>
    <m/>
    <s v="6"/>
    <s v="Gam"/>
    <s v="3007"/>
    <s v="UN Peace Building Fund (PBF) - The Gambia 01/2023-12/2025"/>
  </r>
  <r>
    <x v="28"/>
    <s v="Postage, Mail, Delivery (Overnight / Currier)"/>
    <x v="266"/>
    <s v="JV-RW121024"/>
    <x v="34"/>
    <n v="8.7799999999999994"/>
    <m/>
    <s v="6"/>
    <s v="Gam"/>
    <s v="3007"/>
    <s v="UN Peace Building Fund (PBF) - The Gambia 01/2023-12/2025"/>
  </r>
  <r>
    <x v="7"/>
    <s v="Office Supplies / Materials"/>
    <x v="347"/>
    <s v="JV-RW121024"/>
    <x v="34"/>
    <n v="11.71"/>
    <m/>
    <s v="6"/>
    <s v="Gam"/>
    <s v="3007"/>
    <s v="UN Peace Building Fund (PBF) - The Gambia 01/2023-12/2025"/>
  </r>
  <r>
    <x v="2"/>
    <s v="Ground (Car/Mileage, Rail, Taxi/Shuttle)"/>
    <x v="348"/>
    <s v="JV-RW121024"/>
    <x v="34"/>
    <n v="292.69"/>
    <m/>
    <s v="6"/>
    <s v="Gam"/>
    <s v="3007"/>
    <s v="UN Peace Building Fund (PBF) - The Gambia 01/2023-12/2025"/>
  </r>
  <r>
    <x v="18"/>
    <s v="Computer Equipment &amp; Software (below $2,000)"/>
    <x v="349"/>
    <s v="JV-RW121024"/>
    <x v="34"/>
    <n v="658.54"/>
    <m/>
    <s v="6"/>
    <s v="Gam"/>
    <s v="3007"/>
    <s v="UN Peace Building Fund (PBF) - The Gambia 01/2023-12/2025"/>
  </r>
  <r>
    <x v="29"/>
    <s v="Business Travel"/>
    <x v="350"/>
    <s v="JV-RW121024"/>
    <x v="34"/>
    <n v="49.61"/>
    <m/>
    <s v="6"/>
    <s v="Gam"/>
    <s v="3007"/>
    <s v="UN Peace Building Fund (PBF) - The Gambia 01/2023-12/2025"/>
  </r>
  <r>
    <x v="18"/>
    <s v="Computer Equipment &amp; Software (below $2,000)"/>
    <x v="351"/>
    <s v="JV-RW121024"/>
    <x v="34"/>
    <n v="159.5"/>
    <m/>
    <s v="6"/>
    <s v="Gam"/>
    <s v="3007"/>
    <s v="UN Peace Building Fund (PBF) - The Gambia 01/2023-12/2025"/>
  </r>
  <r>
    <x v="2"/>
    <s v="Ground (Car/Mileage, Rail, Taxi/Shuttle)"/>
    <x v="352"/>
    <s v="JV-RW121024"/>
    <x v="34"/>
    <n v="38.049999999999997"/>
    <m/>
    <s v="6"/>
    <s v="Gam"/>
    <s v="3007"/>
    <s v="UN Peace Building Fund (PBF) - The Gambia 01/2023-12/2025"/>
  </r>
  <r>
    <x v="5"/>
    <s v="Wages - International - Full Time"/>
    <x v="353"/>
    <s v="JV-RW121024"/>
    <x v="34"/>
    <n v="73.17"/>
    <m/>
    <s v="6"/>
    <s v="Gam"/>
    <s v="3007"/>
    <s v="UN Peace Building Fund (PBF) - The Gambia 01/2023-12/2025"/>
  </r>
  <r>
    <x v="1"/>
    <s v="Salary &amp; Fringes Fund Allocation"/>
    <x v="2"/>
    <s v="JV-JS103124 Sal Alloc"/>
    <x v="34"/>
    <n v="563"/>
    <m/>
    <s v="9999"/>
    <s v="9999"/>
    <s v="3007"/>
    <s v="UN Peace Building Fund (PBF) - The Gambia 01/2023-12/2025"/>
  </r>
  <r>
    <x v="1"/>
    <s v="Salary &amp; Fringes Fund Allocation"/>
    <x v="3"/>
    <s v="JV-JS103124 Sal Alloc"/>
    <x v="34"/>
    <n v="437"/>
    <m/>
    <s v="9999"/>
    <s v="9999"/>
    <s v="3007"/>
    <s v="UN Peace Building Fund (PBF) - The Gambia 01/2023-12/2025"/>
  </r>
  <r>
    <x v="1"/>
    <s v="Salary &amp; Fringes Fund Allocation"/>
    <x v="4"/>
    <s v="JV-JS103124 Sal Alloc"/>
    <x v="34"/>
    <n v="720"/>
    <m/>
    <s v="9999"/>
    <s v="9999"/>
    <s v="3007"/>
    <s v="UN Peace Building Fund (PBF) - The Gambia 01/2023-12/2025"/>
  </r>
  <r>
    <x v="10"/>
    <s v="Consultants"/>
    <x v="354"/>
    <s v="AP-RW111424"/>
    <x v="35"/>
    <n v="3319"/>
    <m/>
    <s v="9999"/>
    <s v="Gam"/>
    <s v="3007"/>
    <s v="UN Peace Building Fund (PBF) - The Gambia 01/2023-12/2025"/>
  </r>
  <r>
    <x v="20"/>
    <s v="Airline"/>
    <x v="355"/>
    <s v="AP-RW111424"/>
    <x v="35"/>
    <n v="662.22"/>
    <m/>
    <s v="9999"/>
    <s v="Gam"/>
    <s v="3007"/>
    <s v="UN Peace Building Fund (PBF) - The Gambia 01/2023-12/2025"/>
  </r>
  <r>
    <x v="2"/>
    <s v="Ground (Car/Mileage, Rail, Taxi/Shuttle)"/>
    <x v="69"/>
    <s v="JV-RW012225"/>
    <x v="36"/>
    <n v="57.16"/>
    <m/>
    <s v="2.1"/>
    <s v="Gam"/>
    <s v="3007"/>
    <s v="UN Peace Building Fund (PBF) - The Gambia 01/2023-12/2025"/>
  </r>
  <r>
    <x v="2"/>
    <s v="Ground (Car/Mileage, Rail, Taxi/Shuttle)"/>
    <x v="32"/>
    <s v="JV-RW012225"/>
    <x v="36"/>
    <n v="4.29"/>
    <m/>
    <s v="2.1"/>
    <s v="Gam"/>
    <s v="3007"/>
    <s v="UN Peace Building Fund (PBF) - The Gambia 01/2023-12/2025"/>
  </r>
  <r>
    <x v="8"/>
    <s v="Meals &amp; Per Diem"/>
    <x v="85"/>
    <s v="JV-RW012225"/>
    <x v="36"/>
    <n v="50.01"/>
    <m/>
    <s v="2.1"/>
    <s v="Gam"/>
    <s v="3007"/>
    <s v="UN Peace Building Fund (PBF) - The Gambia 01/2023-12/2025"/>
  </r>
  <r>
    <x v="21"/>
    <s v="Media Outreach / Publicity"/>
    <x v="356"/>
    <s v="JV-RW012225"/>
    <x v="36"/>
    <n v="507.28"/>
    <m/>
    <s v="2.3"/>
    <s v="Gam"/>
    <s v="3007"/>
    <s v="UN Peace Building Fund (PBF) - The Gambia 01/2023-12/2025"/>
  </r>
  <r>
    <x v="8"/>
    <s v="Meals &amp; Per Diem"/>
    <x v="357"/>
    <s v="JV-RW012225"/>
    <x v="36"/>
    <n v="600.16999999999996"/>
    <m/>
    <s v="2.3"/>
    <s v="Gam"/>
    <s v="3007"/>
    <s v="UN Peace Building Fund (PBF) - The Gambia 01/2023-12/2025"/>
  </r>
  <r>
    <x v="2"/>
    <s v="Ground (Car/Mileage, Rail, Taxi/Shuttle)"/>
    <x v="358"/>
    <s v="JV-RW012225"/>
    <x v="36"/>
    <n v="157.19"/>
    <m/>
    <s v="2.3"/>
    <s v="Gam"/>
    <s v="3007"/>
    <s v="UN Peace Building Fund (PBF) - The Gambia 01/2023-12/2025"/>
  </r>
  <r>
    <x v="2"/>
    <s v="Ground (Car/Mileage, Rail, Taxi/Shuttle)"/>
    <x v="359"/>
    <s v="JV-RW012225"/>
    <x v="36"/>
    <n v="171.48"/>
    <m/>
    <s v="2.3"/>
    <s v="Gam"/>
    <s v="3007"/>
    <s v="UN Peace Building Fund (PBF) - The Gambia 01/2023-12/2025"/>
  </r>
  <r>
    <x v="25"/>
    <s v="Equipment Leasing"/>
    <x v="360"/>
    <s v="JV-RW012225"/>
    <x v="36"/>
    <n v="100.03"/>
    <m/>
    <s v="2.3"/>
    <s v="Gam"/>
    <s v="3007"/>
    <s v="UN Peace Building Fund (PBF) - The Gambia 01/2023-12/2025"/>
  </r>
  <r>
    <x v="15"/>
    <s v="Event Planning / Organization"/>
    <x v="361"/>
    <s v="JV-RW012225"/>
    <x v="36"/>
    <n v="78.59"/>
    <m/>
    <s v="2.3"/>
    <s v="Gam"/>
    <s v="3007"/>
    <s v="UN Peace Building Fund (PBF) - The Gambia 01/2023-12/2025"/>
  </r>
  <r>
    <x v="21"/>
    <s v="Media Outreach / Publicity"/>
    <x v="362"/>
    <s v="JV-RW012225"/>
    <x v="36"/>
    <n v="86.31"/>
    <m/>
    <s v="2.3"/>
    <s v="Gam"/>
    <s v="3007"/>
    <s v="UN Peace Building Fund (PBF) - The Gambia 01/2023-12/2025"/>
  </r>
  <r>
    <x v="8"/>
    <s v="Meals &amp; Per Diem"/>
    <x v="363"/>
    <s v="JV-RW012225"/>
    <x v="36"/>
    <n v="3500.97"/>
    <m/>
    <s v="2.7"/>
    <s v="Gam"/>
    <s v="3007"/>
    <s v="UN Peace Building Fund (PBF) - The Gambia 01/2023-12/2025"/>
  </r>
  <r>
    <x v="8"/>
    <s v="Meals &amp; Per Diem"/>
    <x v="364"/>
    <s v="JV-RW012225"/>
    <x v="36"/>
    <n v="1378.32"/>
    <m/>
    <s v="2.7"/>
    <s v="Gam"/>
    <s v="3007"/>
    <s v="UN Peace Building Fund (PBF) - The Gambia 01/2023-12/2025"/>
  </r>
  <r>
    <x v="2"/>
    <s v="Ground (Car/Mileage, Rail, Taxi/Shuttle)"/>
    <x v="365"/>
    <s v="JV-RW012225"/>
    <x v="36"/>
    <n v="128.75"/>
    <m/>
    <s v="2.7"/>
    <s v="Gam"/>
    <s v="3007"/>
    <s v="UN Peace Building Fund (PBF) - The Gambia 01/2023-12/2025"/>
  </r>
  <r>
    <x v="2"/>
    <s v="Ground (Car/Mileage, Rail, Taxi/Shuttle)"/>
    <x v="366"/>
    <s v="JV-RW012225"/>
    <x v="36"/>
    <n v="158.62"/>
    <m/>
    <s v="2.7"/>
    <s v="Gam"/>
    <s v="3007"/>
    <s v="UN Peace Building Fund (PBF) - The Gambia 01/2023-12/2025"/>
  </r>
  <r>
    <x v="11"/>
    <s v="Rental Halls / Convention Center"/>
    <x v="367"/>
    <s v="JV-RW012225"/>
    <x v="36"/>
    <n v="205.77"/>
    <m/>
    <s v="2.7"/>
    <s v="Gam"/>
    <s v="3007"/>
    <s v="UN Peace Building Fund (PBF) - The Gambia 01/2023-12/2025"/>
  </r>
  <r>
    <x v="2"/>
    <s v="Ground (Car/Mileage, Rail, Taxi/Shuttle)"/>
    <x v="368"/>
    <s v="JV-RW012225"/>
    <x v="36"/>
    <n v="357.24"/>
    <m/>
    <s v="2.7"/>
    <s v="Gam"/>
    <s v="3007"/>
    <s v="UN Peace Building Fund (PBF) - The Gambia 01/2023-12/2025"/>
  </r>
  <r>
    <x v="2"/>
    <s v="Ground (Car/Mileage, Rail, Taxi/Shuttle)"/>
    <x v="369"/>
    <s v="JV-RW012225"/>
    <x v="36"/>
    <n v="538.01"/>
    <m/>
    <s v="2.7"/>
    <s v="Gam"/>
    <s v="3007"/>
    <s v="UN Peace Building Fund (PBF) - The Gambia 01/2023-12/2025"/>
  </r>
  <r>
    <x v="10"/>
    <s v="Consultants"/>
    <x v="370"/>
    <s v="JV-RW012225"/>
    <x v="36"/>
    <n v="814.51"/>
    <m/>
    <s v="2.7"/>
    <s v="Gam"/>
    <s v="3007"/>
    <s v="UN Peace Building Fund (PBF) - The Gambia 01/2023-12/2025"/>
  </r>
  <r>
    <x v="10"/>
    <s v="Consultants"/>
    <x v="371"/>
    <s v="JV-RW012225"/>
    <x v="36"/>
    <n v="85.74"/>
    <m/>
    <s v="2.7"/>
    <s v="Gam"/>
    <s v="3007"/>
    <s v="UN Peace Building Fund (PBF) - The Gambia 01/2023-12/2025"/>
  </r>
  <r>
    <x v="2"/>
    <s v="Ground (Car/Mileage, Rail, Taxi/Shuttle)"/>
    <x v="207"/>
    <s v="JV-RW012225"/>
    <x v="36"/>
    <n v="57.16"/>
    <m/>
    <s v="2.7"/>
    <s v="Gam"/>
    <s v="3007"/>
    <s v="UN Peace Building Fund (PBF) - The Gambia 01/2023-12/2025"/>
  </r>
  <r>
    <x v="2"/>
    <s v="Ground (Car/Mileage, Rail, Taxi/Shuttle)"/>
    <x v="372"/>
    <s v="JV-RW012225"/>
    <x v="36"/>
    <n v="57.16"/>
    <m/>
    <s v="2.7"/>
    <s v="Gam"/>
    <s v="3007"/>
    <s v="UN Peace Building Fund (PBF) - The Gambia 01/2023-12/2025"/>
  </r>
  <r>
    <x v="10"/>
    <s v="Consultants"/>
    <x v="373"/>
    <s v="JV-RW012225"/>
    <x v="36"/>
    <n v="1014.57"/>
    <m/>
    <s v="2.8"/>
    <s v="Gam"/>
    <s v="3007"/>
    <s v="UN Peace Building Fund (PBF) - The Gambia 01/2023-12/2025"/>
  </r>
  <r>
    <x v="30"/>
    <s v="Translation Services"/>
    <x v="374"/>
    <s v="JV-RW012225"/>
    <x v="36"/>
    <n v="720.2"/>
    <m/>
    <s v="2.8"/>
    <s v="Gam"/>
    <s v="3007"/>
    <s v="UN Peace Building Fund (PBF) - The Gambia 01/2023-12/2025"/>
  </r>
  <r>
    <x v="30"/>
    <s v="Translation Services"/>
    <x v="375"/>
    <s v="JV-RW012225"/>
    <x v="36"/>
    <n v="160.76"/>
    <m/>
    <s v="2.8"/>
    <s v="Gam"/>
    <s v="3007"/>
    <s v="UN Peace Building Fund (PBF) - The Gambia 01/2023-12/2025"/>
  </r>
  <r>
    <x v="5"/>
    <s v="Wages - International - Full Time"/>
    <x v="376"/>
    <s v="JV-RW012225"/>
    <x v="36"/>
    <n v="499.47"/>
    <m/>
    <s v="5.3"/>
    <s v="Gam"/>
    <s v="3007"/>
    <s v="UN Peace Building Fund (PBF) - The Gambia 01/2023-12/2025"/>
  </r>
  <r>
    <x v="5"/>
    <s v="Wages - International - Full Time"/>
    <x v="377"/>
    <s v="JV-RW012225"/>
    <x v="36"/>
    <n v="1413.18"/>
    <m/>
    <s v="5.6"/>
    <s v="Gam"/>
    <s v="3007"/>
    <s v="UN Peace Building Fund (PBF) - The Gambia 01/2023-12/2025"/>
  </r>
  <r>
    <x v="14"/>
    <s v="Telephone &amp; Internet Access"/>
    <x v="81"/>
    <s v="JV-RW012225"/>
    <x v="36"/>
    <n v="49.87"/>
    <m/>
    <s v="6"/>
    <s v="Gam"/>
    <s v="3007"/>
    <s v="UN Peace Building Fund (PBF) - The Gambia 01/2023-12/2025"/>
  </r>
  <r>
    <x v="14"/>
    <s v="Telephone &amp; Internet Access"/>
    <x v="124"/>
    <s v="JV-RW012225"/>
    <x v="36"/>
    <n v="40.04"/>
    <m/>
    <s v="6"/>
    <s v="Gam"/>
    <s v="3007"/>
    <s v="UN Peace Building Fund (PBF) - The Gambia 01/2023-12/2025"/>
  </r>
  <r>
    <x v="14"/>
    <s v="Telephone &amp; Internet Access"/>
    <x v="316"/>
    <s v="JV-RW012225"/>
    <x v="36"/>
    <n v="40.04"/>
    <m/>
    <s v="6"/>
    <s v="Gam"/>
    <s v="3007"/>
    <s v="UN Peace Building Fund (PBF) - The Gambia 01/2023-12/2025"/>
  </r>
  <r>
    <x v="14"/>
    <s v="Telephone &amp; Internet Access"/>
    <x v="317"/>
    <s v="JV-RW012225"/>
    <x v="36"/>
    <n v="40.04"/>
    <m/>
    <s v="6"/>
    <s v="Gam"/>
    <s v="3007"/>
    <s v="UN Peace Building Fund (PBF) - The Gambia 01/2023-12/2025"/>
  </r>
  <r>
    <x v="14"/>
    <s v="Telephone &amp; Internet Access"/>
    <x v="104"/>
    <s v="JV-RW012225"/>
    <x v="36"/>
    <n v="40.04"/>
    <m/>
    <s v="6"/>
    <s v="Gam"/>
    <s v="3007"/>
    <s v="UN Peace Building Fund (PBF) - The Gambia 01/2023-12/2025"/>
  </r>
  <r>
    <x v="14"/>
    <s v="Telephone &amp; Internet Access"/>
    <x v="105"/>
    <s v="JV-RW012225"/>
    <x v="36"/>
    <n v="40.04"/>
    <m/>
    <s v="6"/>
    <s v="Gam"/>
    <s v="3007"/>
    <s v="UN Peace Building Fund (PBF) - The Gambia 01/2023-12/2025"/>
  </r>
  <r>
    <x v="14"/>
    <s v="Telephone &amp; Internet Access"/>
    <x v="223"/>
    <s v="JV-RW012225"/>
    <x v="36"/>
    <n v="39.369999999999997"/>
    <m/>
    <s v="6"/>
    <s v="Gam"/>
    <s v="3007"/>
    <s v="UN Peace Building Fund (PBF) - The Gambia 01/2023-12/2025"/>
  </r>
  <r>
    <x v="7"/>
    <s v="Office Supplies / Materials"/>
    <x v="107"/>
    <s v="JV-RW012225"/>
    <x v="36"/>
    <n v="13.15"/>
    <m/>
    <s v="6"/>
    <s v="Gam"/>
    <s v="3007"/>
    <s v="UN Peace Building Fund (PBF) - The Gambia 01/2023-12/2025"/>
  </r>
  <r>
    <x v="2"/>
    <s v="Ground (Car/Mileage, Rail, Taxi/Shuttle)"/>
    <x v="108"/>
    <s v="JV-RW012225"/>
    <x v="36"/>
    <n v="11.43"/>
    <m/>
    <s v="6"/>
    <s v="Gam"/>
    <s v="3007"/>
    <s v="UN Peace Building Fund (PBF) - The Gambia 01/2023-12/2025"/>
  </r>
  <r>
    <x v="7"/>
    <s v="Office Supplies / Materials"/>
    <x v="184"/>
    <s v="JV-RW012225"/>
    <x v="36"/>
    <n v="15"/>
    <m/>
    <s v="6"/>
    <s v="Gam"/>
    <s v="3007"/>
    <s v="UN Peace Building Fund (PBF) - The Gambia 01/2023-12/2025"/>
  </r>
  <r>
    <x v="7"/>
    <s v="Office Supplies / Materials"/>
    <x v="346"/>
    <s v="JV-RW012225"/>
    <x v="36"/>
    <n v="19.86"/>
    <m/>
    <s v="6"/>
    <s v="Gam"/>
    <s v="3007"/>
    <s v="UN Peace Building Fund (PBF) - The Gambia 01/2023-12/2025"/>
  </r>
  <r>
    <x v="7"/>
    <s v="Office Supplies / Materials"/>
    <x v="378"/>
    <s v="JV-RW012225"/>
    <x v="36"/>
    <n v="5.64"/>
    <m/>
    <s v="6"/>
    <s v="Gam"/>
    <s v="3007"/>
    <s v="UN Peace Building Fund (PBF) - The Gambia 01/2023-12/2025"/>
  </r>
  <r>
    <x v="7"/>
    <s v="Office Supplies / Materials"/>
    <x v="379"/>
    <s v="JV-RW012225"/>
    <x v="36"/>
    <n v="4.29"/>
    <m/>
    <s v="6"/>
    <s v="Gam"/>
    <s v="3007"/>
    <s v="UN Peace Building Fund (PBF) - The Gambia 01/2023-12/2025"/>
  </r>
  <r>
    <x v="7"/>
    <s v="Office Supplies / Materials"/>
    <x v="380"/>
    <s v="JV-RW012225"/>
    <x v="36"/>
    <n v="3.86"/>
    <m/>
    <s v="6"/>
    <s v="Gam"/>
    <s v="3007"/>
    <s v="UN Peace Building Fund (PBF) - The Gambia 01/2023-12/2025"/>
  </r>
  <r>
    <x v="7"/>
    <s v="Office Supplies / Materials"/>
    <x v="381"/>
    <s v="JV-RW012225"/>
    <x v="36"/>
    <n v="28.58"/>
    <m/>
    <s v="6"/>
    <s v="Gam"/>
    <s v="3007"/>
    <s v="UN Peace Building Fund (PBF) - The Gambia 01/2023-12/2025"/>
  </r>
  <r>
    <x v="7"/>
    <s v="Office Supplies / Materials"/>
    <x v="382"/>
    <s v="JV-RW012225"/>
    <x v="36"/>
    <n v="22.01"/>
    <m/>
    <s v="6"/>
    <s v="Gam"/>
    <s v="3007"/>
    <s v="UN Peace Building Fund (PBF) - The Gambia 01/2023-12/2025"/>
  </r>
  <r>
    <x v="7"/>
    <s v="Office Supplies / Materials"/>
    <x v="383"/>
    <s v="JV-RW012225"/>
    <x v="36"/>
    <n v="25.72"/>
    <m/>
    <s v="6"/>
    <s v="Gam"/>
    <s v="3007"/>
    <s v="UN Peace Building Fund (PBF) - The Gambia 01/2023-12/2025"/>
  </r>
  <r>
    <x v="7"/>
    <s v="Office Supplies / Materials"/>
    <x v="266"/>
    <s v="JV-RW012225"/>
    <x v="36"/>
    <n v="12.86"/>
    <m/>
    <s v="6"/>
    <s v="Gam"/>
    <s v="3007"/>
    <s v="UN Peace Building Fund (PBF) - The Gambia 01/2023-12/2025"/>
  </r>
  <r>
    <x v="7"/>
    <s v="Office Supplies / Materials"/>
    <x v="384"/>
    <s v="JV-RW012225"/>
    <x v="36"/>
    <n v="5"/>
    <m/>
    <s v="6"/>
    <s v="Gam"/>
    <s v="3007"/>
    <s v="UN Peace Building Fund (PBF) - The Gambia 01/2023-12/2025"/>
  </r>
  <r>
    <x v="7"/>
    <s v="Office Supplies / Materials"/>
    <x v="83"/>
    <s v="JV-RW012225"/>
    <x v="36"/>
    <n v="7.14"/>
    <m/>
    <s v="6"/>
    <s v="Gam"/>
    <s v="3007"/>
    <s v="UN Peace Building Fund (PBF) - The Gambia 01/2023-12/2025"/>
  </r>
  <r>
    <x v="7"/>
    <s v="Office Supplies / Materials"/>
    <x v="385"/>
    <s v="JV-RW012225"/>
    <x v="36"/>
    <n v="2.86"/>
    <m/>
    <s v="6"/>
    <s v="Gam"/>
    <s v="3007"/>
    <s v="UN Peace Building Fund (PBF) - The Gambia 01/2023-12/2025"/>
  </r>
  <r>
    <x v="7"/>
    <s v="Office Supplies / Materials"/>
    <x v="386"/>
    <s v="JV-RW012225"/>
    <x v="36"/>
    <n v="5.14"/>
    <m/>
    <s v="6"/>
    <s v="Gam"/>
    <s v="3007"/>
    <s v="UN Peace Building Fund (PBF) - The Gambia 01/2023-12/2025"/>
  </r>
  <r>
    <x v="7"/>
    <s v="Office Supplies / Materials"/>
    <x v="387"/>
    <s v="JV-RW012225"/>
    <x v="36"/>
    <n v="12.86"/>
    <m/>
    <s v="6"/>
    <s v="Gam"/>
    <s v="3007"/>
    <s v="UN Peace Building Fund (PBF) - The Gambia 01/2023-12/2025"/>
  </r>
  <r>
    <x v="17"/>
    <s v="Banking / Credit Cards Fee"/>
    <x v="388"/>
    <s v="JV-RW012225"/>
    <x v="36"/>
    <n v="7.0000000000000007E-2"/>
    <m/>
    <s v="6"/>
    <s v="Gam"/>
    <s v="3007"/>
    <s v="UN Peace Building Fund (PBF) - The Gambia 01/2023-12/2025"/>
  </r>
  <r>
    <x v="17"/>
    <s v="Banking / Credit Cards Fee"/>
    <x v="389"/>
    <s v="JV-RW012225"/>
    <x v="36"/>
    <n v="2.64"/>
    <m/>
    <s v="6"/>
    <s v="Gam"/>
    <s v="3007"/>
    <s v="UN Peace Building Fund (PBF) - The Gambia 01/2023-12/2025"/>
  </r>
  <r>
    <x v="17"/>
    <s v="Banking / Credit Cards Fee"/>
    <x v="344"/>
    <s v="JV-RW012225"/>
    <x v="36"/>
    <n v="0.4"/>
    <m/>
    <s v="6"/>
    <s v="Gam"/>
    <s v="3007"/>
    <s v="UN Peace Building Fund (PBF) - The Gambia 01/2023-12/2025"/>
  </r>
  <r>
    <x v="17"/>
    <s v="Banking / Credit Cards Fee"/>
    <x v="390"/>
    <s v="JV-RW012225"/>
    <x v="36"/>
    <n v="7.0000000000000007E-2"/>
    <m/>
    <s v="6"/>
    <s v="Gam"/>
    <s v="3007"/>
    <s v="UN Peace Building Fund (PBF) - The Gambia 01/2023-12/2025"/>
  </r>
  <r>
    <x v="14"/>
    <s v="Telephone &amp; Internet Access"/>
    <x v="391"/>
    <s v="JV-RW012225"/>
    <x v="36"/>
    <n v="342.95"/>
    <m/>
    <s v="6"/>
    <s v="Gam"/>
    <s v="3007"/>
    <s v="UN Peace Building Fund (PBF) - The Gambia 01/2023-12/2025"/>
  </r>
  <r>
    <x v="17"/>
    <s v="Banking / Credit Cards Fee"/>
    <x v="392"/>
    <s v="JV-RW012225"/>
    <x v="36"/>
    <n v="2.86"/>
    <m/>
    <s v="6"/>
    <s v="Gam"/>
    <s v="3007"/>
    <s v="UN Peace Building Fund (PBF) - The Gambia 01/2023-12/2025"/>
  </r>
  <r>
    <x v="2"/>
    <s v="Ground (Car/Mileage, Rail, Taxi/Shuttle)"/>
    <x v="352"/>
    <s v="JV-RW012225"/>
    <x v="36"/>
    <n v="51.44"/>
    <m/>
    <s v="6"/>
    <s v="Gam"/>
    <s v="3007"/>
    <s v="UN Peace Building Fund (PBF) - The Gambia 01/2023-12/2025"/>
  </r>
  <r>
    <x v="2"/>
    <s v="Ground (Car/Mileage, Rail, Taxi/Shuttle)"/>
    <x v="393"/>
    <s v="JV-RW012225"/>
    <x v="36"/>
    <n v="42.87"/>
    <m/>
    <s v="6"/>
    <s v="Gam"/>
    <s v="3007"/>
    <s v="UN Peace Building Fund (PBF) - The Gambia 01/2023-12/2025"/>
  </r>
  <r>
    <x v="5"/>
    <s v="Wages - International - Full Time"/>
    <x v="394"/>
    <s v="JV-RW012225"/>
    <x v="36"/>
    <n v="71.45"/>
    <m/>
    <s v="6"/>
    <s v="Gam"/>
    <s v="3007"/>
    <s v="UN Peace Building Fund (PBF) - The Gambia 01/2023-12/2025"/>
  </r>
  <r>
    <x v="2"/>
    <s v="Ground (Car/Mileage, Rail, Taxi/Shuttle)"/>
    <x v="395"/>
    <s v="JV-RW012225"/>
    <x v="36"/>
    <n v="28.58"/>
    <m/>
    <s v="6"/>
    <s v="Gam"/>
    <s v="3007"/>
    <s v="UN Peace Building Fund (PBF) - The Gambia 01/2023-12/2025"/>
  </r>
  <r>
    <x v="2"/>
    <s v="Ground (Car/Mileage, Rail, Taxi/Shuttle)"/>
    <x v="396"/>
    <s v="JV-RW012225"/>
    <x v="36"/>
    <n v="18.579999999999998"/>
    <m/>
    <s v="6"/>
    <s v="Gam"/>
    <s v="3007"/>
    <s v="UN Peace Building Fund (PBF) - The Gambia 01/2023-12/2025"/>
  </r>
  <r>
    <x v="1"/>
    <s v="Salary &amp; Fringes Fund Allocation"/>
    <x v="2"/>
    <s v="JV-JS113024 Sal Alloc"/>
    <x v="36"/>
    <n v="563"/>
    <m/>
    <s v="9999"/>
    <s v="9999"/>
    <s v="3007"/>
    <s v="UN Peace Building Fund (PBF) - The Gambia 01/2023-12/2025"/>
  </r>
  <r>
    <x v="1"/>
    <s v="Salary &amp; Fringes Fund Allocation"/>
    <x v="3"/>
    <s v="JV-JS113024 Sal Alloc"/>
    <x v="36"/>
    <n v="437"/>
    <m/>
    <s v="9999"/>
    <s v="9999"/>
    <s v="3007"/>
    <s v="UN Peace Building Fund (PBF) - The Gambia 01/2023-12/2025"/>
  </r>
  <r>
    <x v="1"/>
    <s v="Salary &amp; Fringes Fund Allocation"/>
    <x v="4"/>
    <s v="JV-JS113024 Sal Alloc"/>
    <x v="36"/>
    <n v="720"/>
    <m/>
    <s v="9999"/>
    <s v="9999"/>
    <s v="3007"/>
    <s v="UN Peace Building Fund (PBF) - The Gambia 01/2023-12/2025"/>
  </r>
  <r>
    <x v="20"/>
    <s v="Airline"/>
    <x v="397"/>
    <s v="JV-JS241130Amex"/>
    <x v="36"/>
    <n v="1430.8"/>
    <m/>
    <s v="9999"/>
    <s v="9999"/>
    <s v="3007"/>
    <s v="UN Peace Building Fund (PBF) - The Gambia 01/2023-12/2025"/>
  </r>
  <r>
    <x v="20"/>
    <s v="Airline"/>
    <x v="398"/>
    <s v="JV-JS241130Amex"/>
    <x v="36"/>
    <n v="35"/>
    <m/>
    <s v="9999"/>
    <s v="9999"/>
    <s v="3007"/>
    <s v="UN Peace Building Fund (PBF) - The Gambia 01/2023-12/2025"/>
  </r>
  <r>
    <x v="20"/>
    <s v="Airline"/>
    <x v="78"/>
    <s v="JV-JS241130Amex"/>
    <x v="36"/>
    <n v="1575.7"/>
    <m/>
    <s v="9999"/>
    <s v="9999"/>
    <s v="3007"/>
    <s v="UN Peace Building Fund (PBF) - The Gambia 01/2023-12/2025"/>
  </r>
  <r>
    <x v="20"/>
    <s v="Airline"/>
    <x v="399"/>
    <s v="JV-JS241130Amex"/>
    <x v="36"/>
    <n v="1619.5"/>
    <m/>
    <s v="9999"/>
    <s v="9999"/>
    <s v="3007"/>
    <s v="UN Peace Building Fund (PBF) - The Gambia 01/2023-12/2025"/>
  </r>
  <r>
    <x v="20"/>
    <s v="Airline"/>
    <x v="400"/>
    <s v="JV-JS241130Amex"/>
    <x v="36"/>
    <n v="35"/>
    <m/>
    <s v="9999"/>
    <s v="9999"/>
    <s v="3007"/>
    <s v="UN Peace Building Fund (PBF) - The Gambia 01/2023-12/2025"/>
  </r>
  <r>
    <x v="20"/>
    <s v="Airline"/>
    <x v="401"/>
    <s v="JV-JS241130Amex"/>
    <x v="36"/>
    <n v="2267.1"/>
    <m/>
    <s v="9999"/>
    <s v="9999"/>
    <s v="3007"/>
    <s v="UN Peace Building Fund (PBF) - The Gambia 01/2023-12/2025"/>
  </r>
  <r>
    <x v="20"/>
    <s v="Airline"/>
    <x v="402"/>
    <s v="JV-JS241130Amex"/>
    <x v="36"/>
    <n v="2006.7"/>
    <m/>
    <s v="9999"/>
    <s v="9999"/>
    <s v="3007"/>
    <s v="UN Peace Building Fund (PBF) - The Gambia 01/2023-12/2025"/>
  </r>
  <r>
    <x v="20"/>
    <s v="Airline"/>
    <x v="403"/>
    <s v="JV-JS241130Amex"/>
    <x v="36"/>
    <n v="35"/>
    <m/>
    <s v="9999"/>
    <s v="9999"/>
    <s v="3007"/>
    <s v="UN Peace Building Fund (PBF) - The Gambia 01/2023-12/2025"/>
  </r>
  <r>
    <x v="20"/>
    <s v="Airline"/>
    <x v="404"/>
    <s v="JV-JS241130Amex"/>
    <x v="36"/>
    <n v="35"/>
    <m/>
    <s v="9999"/>
    <s v="9999"/>
    <s v="3007"/>
    <s v="UN Peace Building Fund (PBF) - The Gambia 01/2023-12/2025"/>
  </r>
  <r>
    <x v="20"/>
    <s v="Airline"/>
    <x v="405"/>
    <s v="JV-JS241130Amex"/>
    <x v="36"/>
    <n v="1509.5"/>
    <m/>
    <s v="9999"/>
    <s v="9999"/>
    <s v="3007"/>
    <s v="UN Peace Building Fund (PBF) - The Gambia 01/2023-12/2025"/>
  </r>
  <r>
    <x v="20"/>
    <s v="Airline"/>
    <x v="406"/>
    <s v="JV-JS241130Amex"/>
    <x v="36"/>
    <n v="35"/>
    <m/>
    <s v="9999"/>
    <s v="9999"/>
    <s v="3007"/>
    <s v="UN Peace Building Fund (PBF) - The Gambia 01/2023-12/2025"/>
  </r>
  <r>
    <x v="20"/>
    <s v="Airline"/>
    <x v="407"/>
    <s v="AP-RW121724"/>
    <x v="37"/>
    <n v="3162"/>
    <m/>
    <s v="9999"/>
    <s v="9999"/>
    <s v="3007"/>
    <s v="UN Peace Building Fund (PBF) - The Gambia 01/2023-12/2025"/>
  </r>
  <r>
    <x v="10"/>
    <s v="Consultants"/>
    <x v="408"/>
    <s v="AP-RW121724"/>
    <x v="37"/>
    <n v="3319"/>
    <m/>
    <s v="9999"/>
    <s v="Gam"/>
    <s v="3007"/>
    <s v="UN Peace Building Fund (PBF) - The Gambia 01/2023-12/2025"/>
  </r>
  <r>
    <x v="2"/>
    <s v="Ground (Car/Mileage, Rail, Taxi/Shuttle)"/>
    <x v="409"/>
    <s v="JV-RW012225-1"/>
    <x v="38"/>
    <n v="448.52"/>
    <m/>
    <s v="2.1"/>
    <s v="Gam"/>
    <s v="3007"/>
    <s v="UN Peace Building Fund (PBF) - The Gambia 01/2023-12/2025"/>
  </r>
  <r>
    <x v="8"/>
    <s v="Meals &amp; Per Diem"/>
    <x v="410"/>
    <s v="JV-RW012225-1"/>
    <x v="38"/>
    <n v="105.78"/>
    <m/>
    <s v="2.1"/>
    <s v="Gam"/>
    <s v="3007"/>
    <s v="UN Peace Building Fund (PBF) - The Gambia 01/2023-12/2025"/>
  </r>
  <r>
    <x v="2"/>
    <s v="Ground (Car/Mileage, Rail, Taxi/Shuttle)"/>
    <x v="69"/>
    <s v="JV-RW012225-1"/>
    <x v="38"/>
    <n v="35.26"/>
    <m/>
    <s v="2.1"/>
    <s v="Gam"/>
    <s v="3007"/>
    <s v="UN Peace Building Fund (PBF) - The Gambia 01/2023-12/2025"/>
  </r>
  <r>
    <x v="2"/>
    <s v="Ground (Car/Mileage, Rail, Taxi/Shuttle)"/>
    <x v="32"/>
    <s v="JV-RW012225-1"/>
    <x v="38"/>
    <n v="4.2300000000000004"/>
    <m/>
    <s v="2.1"/>
    <s v="Gam"/>
    <s v="3007"/>
    <s v="UN Peace Building Fund (PBF) - The Gambia 01/2023-12/2025"/>
  </r>
  <r>
    <x v="8"/>
    <s v="Meals &amp; Per Diem"/>
    <x v="85"/>
    <s v="JV-RW012225-1"/>
    <x v="38"/>
    <n v="45.84"/>
    <m/>
    <s v="2.1"/>
    <s v="Gam"/>
    <s v="3007"/>
    <s v="UN Peace Building Fund (PBF) - The Gambia 01/2023-12/2025"/>
  </r>
  <r>
    <x v="21"/>
    <s v="Media Outreach / Publicity"/>
    <x v="411"/>
    <s v="JV-RW012225-1"/>
    <x v="38"/>
    <n v="45.13"/>
    <m/>
    <s v="2.8"/>
    <s v="Gam"/>
    <s v="3007"/>
    <s v="UN Peace Building Fund (PBF) - The Gambia 01/2023-12/2025"/>
  </r>
  <r>
    <x v="8"/>
    <s v="Meals &amp; Per Diem"/>
    <x v="412"/>
    <s v="JV-RW012225-1"/>
    <x v="38"/>
    <n v="263.33"/>
    <m/>
    <s v="2.8"/>
    <s v="Gam"/>
    <s v="3007"/>
    <s v="UN Peace Building Fund (PBF) - The Gambia 01/2023-12/2025"/>
  </r>
  <r>
    <x v="11"/>
    <s v="Rental Halls / Convention Center"/>
    <x v="413"/>
    <s v="JV-RW012225-1"/>
    <x v="38"/>
    <n v="1269.3900000000001"/>
    <m/>
    <s v="2.8"/>
    <s v="Gam"/>
    <s v="3007"/>
    <s v="UN Peace Building Fund (PBF) - The Gambia 01/2023-12/2025"/>
  </r>
  <r>
    <x v="8"/>
    <s v="Meals &amp; Per Diem"/>
    <x v="414"/>
    <s v="JV-RW012225-1"/>
    <x v="38"/>
    <n v="5898.45"/>
    <m/>
    <s v="2.8"/>
    <s v="Gam"/>
    <s v="3007"/>
    <s v="UN Peace Building Fund (PBF) - The Gambia 01/2023-12/2025"/>
  </r>
  <r>
    <x v="30"/>
    <s v="Translation Services"/>
    <x v="415"/>
    <s v="JV-RW012225-1"/>
    <x v="38"/>
    <n v="846.26"/>
    <m/>
    <s v="2.8"/>
    <s v="Gam"/>
    <s v="3007"/>
    <s v="UN Peace Building Fund (PBF) - The Gambia 01/2023-12/2025"/>
  </r>
  <r>
    <x v="21"/>
    <s v="Media Outreach / Publicity"/>
    <x v="416"/>
    <s v="JV-RW012225-1"/>
    <x v="38"/>
    <n v="158.66999999999999"/>
    <m/>
    <s v="2.8"/>
    <s v="Gam"/>
    <s v="3007"/>
    <s v="UN Peace Building Fund (PBF) - The Gambia 01/2023-12/2025"/>
  </r>
  <r>
    <x v="2"/>
    <s v="Ground (Car/Mileage, Rail, Taxi/Shuttle)"/>
    <x v="417"/>
    <s v="JV-RW012225-1"/>
    <x v="38"/>
    <n v="282.08999999999997"/>
    <m/>
    <s v="2.8"/>
    <s v="Gam"/>
    <s v="3007"/>
    <s v="UN Peace Building Fund (PBF) - The Gambia 01/2023-12/2025"/>
  </r>
  <r>
    <x v="30"/>
    <s v="Translation Services"/>
    <x v="418"/>
    <s v="JV-RW012225-1"/>
    <x v="38"/>
    <n v="710.86"/>
    <m/>
    <s v="2.8"/>
    <s v="Gam"/>
    <s v="3007"/>
    <s v="UN Peace Building Fund (PBF) - The Gambia 01/2023-12/2025"/>
  </r>
  <r>
    <x v="5"/>
    <s v="Wages - International - Full Time"/>
    <x v="419"/>
    <s v="JV-RW012225-1"/>
    <x v="38"/>
    <n v="1415.22"/>
    <m/>
    <s v="5.6"/>
    <s v="Gam"/>
    <s v="3007"/>
    <s v="UN Peace Building Fund (PBF) - The Gambia 01/2023-12/2025"/>
  </r>
  <r>
    <x v="5"/>
    <s v="Wages - International - Full Time"/>
    <x v="420"/>
    <s v="JV-RW012225-1"/>
    <x v="38"/>
    <n v="840.44"/>
    <m/>
    <s v="5.7"/>
    <s v="Gam"/>
    <s v="3007"/>
    <s v="UN Peace Building Fund (PBF) - The Gambia 01/2023-12/2025"/>
  </r>
  <r>
    <x v="24"/>
    <s v="Office Maintenance &amp; Repairs"/>
    <x v="421"/>
    <s v="JV-RW012225-1"/>
    <x v="38"/>
    <n v="1396.33"/>
    <m/>
    <s v="6"/>
    <s v="Gam"/>
    <s v="3007"/>
    <s v="UN Peace Building Fund (PBF) - The Gambia 01/2023-12/2025"/>
  </r>
  <r>
    <x v="2"/>
    <s v="Ground (Car/Mileage, Rail, Taxi/Shuttle)"/>
    <x v="422"/>
    <s v="JV-RW012225-1"/>
    <x v="38"/>
    <n v="42.31"/>
    <m/>
    <s v="6"/>
    <s v="Gam"/>
    <s v="3007"/>
    <s v="UN Peace Building Fund (PBF) - The Gambia 01/2023-12/2025"/>
  </r>
  <r>
    <x v="2"/>
    <s v="Ground (Car/Mileage, Rail, Taxi/Shuttle)"/>
    <x v="423"/>
    <s v="JV-RW012225-1"/>
    <x v="38"/>
    <n v="44.43"/>
    <m/>
    <s v="6"/>
    <s v="Gam"/>
    <s v="3007"/>
    <s v="UN Peace Building Fund (PBF) - The Gambia 01/2023-12/2025"/>
  </r>
  <r>
    <x v="31"/>
    <s v="Travel &amp; Accident Insurance"/>
    <x v="424"/>
    <s v="JV-RW012225-1"/>
    <x v="38"/>
    <n v="14.1"/>
    <m/>
    <s v="6"/>
    <s v="Gam"/>
    <s v="3007"/>
    <s v="UN Peace Building Fund (PBF) - The Gambia 01/2023-12/2025"/>
  </r>
  <r>
    <x v="14"/>
    <s v="Telephone &amp; Internet Access"/>
    <x v="425"/>
    <s v="JV-RW012225-1"/>
    <x v="38"/>
    <n v="39.630000000000003"/>
    <m/>
    <s v="6"/>
    <s v="Gam"/>
    <s v="3007"/>
    <s v="UN Peace Building Fund (PBF) - The Gambia 01/2023-12/2025"/>
  </r>
  <r>
    <x v="17"/>
    <s v="Banking / Credit Cards Fee"/>
    <x v="426"/>
    <s v="JV-RW012225-1"/>
    <x v="38"/>
    <n v="18.04"/>
    <m/>
    <s v="6"/>
    <s v="Gam"/>
    <s v="3007"/>
    <s v="UN Peace Building Fund (PBF) - The Gambia 01/2023-12/2025"/>
  </r>
  <r>
    <x v="17"/>
    <s v="Banking / Credit Cards Fee"/>
    <x v="344"/>
    <s v="JV-RW012225-1"/>
    <x v="38"/>
    <n v="2.71"/>
    <m/>
    <s v="6"/>
    <s v="Gam"/>
    <s v="3007"/>
    <s v="UN Peace Building Fund (PBF) - The Gambia 01/2023-12/2025"/>
  </r>
  <r>
    <x v="17"/>
    <s v="Banking / Credit Cards Fee"/>
    <x v="426"/>
    <s v="JV-RW012225-1"/>
    <x v="38"/>
    <n v="7.23"/>
    <m/>
    <s v="6"/>
    <s v="Gam"/>
    <s v="3007"/>
    <s v="UN Peace Building Fund (PBF) - The Gambia 01/2023-12/2025"/>
  </r>
  <r>
    <x v="17"/>
    <s v="Banking / Credit Cards Fee"/>
    <x v="344"/>
    <s v="JV-RW012225-1"/>
    <x v="38"/>
    <n v="1.08"/>
    <m/>
    <s v="6"/>
    <s v="Gam"/>
    <s v="3007"/>
    <s v="UN Peace Building Fund (PBF) - The Gambia 01/2023-12/2025"/>
  </r>
  <r>
    <x v="14"/>
    <s v="Telephone &amp; Internet Access"/>
    <x v="81"/>
    <s v="JV-RW012225-1"/>
    <x v="38"/>
    <n v="50.35"/>
    <m/>
    <s v="6"/>
    <s v="Gam"/>
    <s v="3007"/>
    <s v="UN Peace Building Fund (PBF) - The Gambia 01/2023-12/2025"/>
  </r>
  <r>
    <x v="14"/>
    <s v="Telephone &amp; Internet Access"/>
    <x v="124"/>
    <s v="JV-RW012225-1"/>
    <x v="38"/>
    <n v="40.479999999999997"/>
    <m/>
    <s v="6"/>
    <s v="Gam"/>
    <s v="3007"/>
    <s v="UN Peace Building Fund (PBF) - The Gambia 01/2023-12/2025"/>
  </r>
  <r>
    <x v="14"/>
    <s v="Telephone &amp; Internet Access"/>
    <x v="316"/>
    <s v="JV-RW012225-1"/>
    <x v="38"/>
    <n v="40.479999999999997"/>
    <m/>
    <s v="6"/>
    <s v="Gam"/>
    <s v="3007"/>
    <s v="UN Peace Building Fund (PBF) - The Gambia 01/2023-12/2025"/>
  </r>
  <r>
    <x v="14"/>
    <s v="Telephone &amp; Internet Access"/>
    <x v="317"/>
    <s v="JV-RW012225-1"/>
    <x v="38"/>
    <n v="40.479999999999997"/>
    <m/>
    <s v="6"/>
    <s v="Gam"/>
    <s v="3007"/>
    <s v="UN Peace Building Fund (PBF) - The Gambia 01/2023-12/2025"/>
  </r>
  <r>
    <x v="14"/>
    <s v="Telephone &amp; Internet Access"/>
    <x v="105"/>
    <s v="JV-RW012225-1"/>
    <x v="38"/>
    <n v="40.479999999999997"/>
    <m/>
    <s v="6"/>
    <s v="Gam"/>
    <s v="3007"/>
    <s v="UN Peace Building Fund (PBF) - The Gambia 01/2023-12/2025"/>
  </r>
  <r>
    <x v="14"/>
    <s v="Telephone &amp; Internet Access"/>
    <x v="223"/>
    <s v="JV-RW012225-1"/>
    <x v="38"/>
    <n v="26.8"/>
    <m/>
    <s v="6"/>
    <s v="Gam"/>
    <s v="3007"/>
    <s v="UN Peace Building Fund (PBF) - The Gambia 01/2023-12/2025"/>
  </r>
  <r>
    <x v="7"/>
    <s v="Office Supplies / Materials"/>
    <x v="107"/>
    <s v="JV-RW012225-1"/>
    <x v="38"/>
    <n v="11.85"/>
    <m/>
    <s v="6"/>
    <s v="Gam"/>
    <s v="3007"/>
    <s v="UN Peace Building Fund (PBF) - The Gambia 01/2023-12/2025"/>
  </r>
  <r>
    <x v="2"/>
    <s v="Ground (Car/Mileage, Rail, Taxi/Shuttle)"/>
    <x v="108"/>
    <s v="JV-RW012225-1"/>
    <x v="38"/>
    <n v="8.4600000000000009"/>
    <m/>
    <s v="6"/>
    <s v="Gam"/>
    <s v="3007"/>
    <s v="UN Peace Building Fund (PBF) - The Gambia 01/2023-12/2025"/>
  </r>
  <r>
    <x v="7"/>
    <s v="Office Supplies / Materials"/>
    <x v="184"/>
    <s v="JV-RW012225-1"/>
    <x v="38"/>
    <n v="7.4"/>
    <m/>
    <s v="6"/>
    <s v="Gam"/>
    <s v="3007"/>
    <s v="UN Peace Building Fund (PBF) - The Gambia 01/2023-12/2025"/>
  </r>
  <r>
    <x v="7"/>
    <s v="Office Supplies / Materials"/>
    <x v="346"/>
    <s v="JV-RW012225-1"/>
    <x v="38"/>
    <n v="19.61"/>
    <m/>
    <s v="6"/>
    <s v="Gam"/>
    <s v="3007"/>
    <s v="UN Peace Building Fund (PBF) - The Gambia 01/2023-12/2025"/>
  </r>
  <r>
    <x v="7"/>
    <s v="Office Supplies / Materials"/>
    <x v="427"/>
    <s v="JV-RW012225-1"/>
    <x v="38"/>
    <n v="70.52"/>
    <m/>
    <s v="6"/>
    <s v="Gam"/>
    <s v="3007"/>
    <s v="UN Peace Building Fund (PBF) - The Gambia 01/2023-12/2025"/>
  </r>
  <r>
    <x v="7"/>
    <s v="Office Supplies / Materials"/>
    <x v="378"/>
    <s v="JV-RW012225-1"/>
    <x v="38"/>
    <n v="5.08"/>
    <m/>
    <s v="6"/>
    <s v="Gam"/>
    <s v="3007"/>
    <s v="UN Peace Building Fund (PBF) - The Gambia 01/2023-12/2025"/>
  </r>
  <r>
    <x v="7"/>
    <s v="Office Supplies / Materials"/>
    <x v="428"/>
    <s v="JV-RW012225-1"/>
    <x v="38"/>
    <n v="14.1"/>
    <m/>
    <s v="6"/>
    <s v="Gam"/>
    <s v="3007"/>
    <s v="UN Peace Building Fund (PBF) - The Gambia 01/2023-12/2025"/>
  </r>
  <r>
    <x v="7"/>
    <s v="Office Supplies / Materials"/>
    <x v="113"/>
    <s v="JV-RW012225-1"/>
    <x v="38"/>
    <n v="3.39"/>
    <m/>
    <s v="6"/>
    <s v="Gam"/>
    <s v="3007"/>
    <s v="UN Peace Building Fund (PBF) - The Gambia 01/2023-12/2025"/>
  </r>
  <r>
    <x v="7"/>
    <s v="Office Supplies / Materials"/>
    <x v="266"/>
    <s v="JV-RW012225-1"/>
    <x v="38"/>
    <n v="12.69"/>
    <m/>
    <s v="6"/>
    <s v="Gam"/>
    <s v="3007"/>
    <s v="UN Peace Building Fund (PBF) - The Gambia 01/2023-12/2025"/>
  </r>
  <r>
    <x v="7"/>
    <s v="Office Supplies / Materials"/>
    <x v="83"/>
    <s v="JV-RW012225-1"/>
    <x v="38"/>
    <n v="7.05"/>
    <m/>
    <s v="6"/>
    <s v="Gam"/>
    <s v="3007"/>
    <s v="UN Peace Building Fund (PBF) - The Gambia 01/2023-12/2025"/>
  </r>
  <r>
    <x v="7"/>
    <s v="Office Supplies / Materials"/>
    <x v="133"/>
    <s v="JV-RW012225-1"/>
    <x v="38"/>
    <n v="5.22"/>
    <m/>
    <s v="6"/>
    <s v="Gam"/>
    <s v="3007"/>
    <s v="UN Peace Building Fund (PBF) - The Gambia 01/2023-12/2025"/>
  </r>
  <r>
    <x v="7"/>
    <s v="Office Supplies / Materials"/>
    <x v="429"/>
    <s v="JV-RW012225-1"/>
    <x v="38"/>
    <n v="11.28"/>
    <m/>
    <s v="6"/>
    <s v="Gam"/>
    <s v="3007"/>
    <s v="UN Peace Building Fund (PBF) - The Gambia 01/2023-12/2025"/>
  </r>
  <r>
    <x v="17"/>
    <s v="Banking / Credit Cards Fee"/>
    <x v="430"/>
    <s v="JV-RW012225-1"/>
    <x v="38"/>
    <n v="7.0000000000000007E-2"/>
    <m/>
    <s v="6"/>
    <s v="Gam"/>
    <s v="3007"/>
    <s v="UN Peace Building Fund (PBF) - The Gambia 01/2023-12/2025"/>
  </r>
  <r>
    <x v="17"/>
    <s v="Banking / Credit Cards Fee"/>
    <x v="431"/>
    <s v="JV-RW012225-1"/>
    <x v="38"/>
    <n v="7.0000000000000007E-2"/>
    <m/>
    <s v="6"/>
    <s v="Gam"/>
    <s v="3007"/>
    <s v="UN Peace Building Fund (PBF) - The Gambia 01/2023-12/2025"/>
  </r>
  <r>
    <x v="17"/>
    <s v="Banking / Credit Cards Fee"/>
    <x v="432"/>
    <s v="JV-RW012225-1"/>
    <x v="38"/>
    <n v="2.82"/>
    <m/>
    <s v="6"/>
    <s v="Gam"/>
    <s v="3007"/>
    <s v="UN Peace Building Fund (PBF) - The Gambia 01/2023-12/2025"/>
  </r>
  <r>
    <x v="2"/>
    <s v="Ground (Car/Mileage, Rail, Taxi/Shuttle)"/>
    <x v="433"/>
    <s v="JV-RW012225-1"/>
    <x v="38"/>
    <n v="63.47"/>
    <m/>
    <s v="6"/>
    <s v="Gam"/>
    <s v="3007"/>
    <s v="UN Peace Building Fund (PBF) - The Gambia 01/2023-12/2025"/>
  </r>
  <r>
    <x v="2"/>
    <s v="Ground (Car/Mileage, Rail, Taxi/Shuttle)"/>
    <x v="433"/>
    <s v="JV-RW012225-1"/>
    <x v="38"/>
    <n v="33.85"/>
    <m/>
    <s v="6"/>
    <s v="Gam"/>
    <s v="3007"/>
    <s v="UN Peace Building Fund (PBF) - The Gambia 01/2023-12/2025"/>
  </r>
  <r>
    <x v="17"/>
    <s v="Banking / Credit Cards Fee"/>
    <x v="434"/>
    <s v="JV-RW012225-1"/>
    <x v="38"/>
    <m/>
    <n v="0.26"/>
    <s v="6"/>
    <s v="Gam"/>
    <s v="3007"/>
    <s v="UN Peace Building Fund (PBF) - The Gambia 01/2023-12/2025"/>
  </r>
  <r>
    <x v="8"/>
    <s v="Meals &amp; Per Diem"/>
    <x v="435"/>
    <s v="JV-RW012225-1"/>
    <x v="38"/>
    <n v="59.94"/>
    <m/>
    <s v="6"/>
    <s v="Gam"/>
    <s v="3007"/>
    <s v="UN Peace Building Fund (PBF) - The Gambia 01/2023-12/2025"/>
  </r>
  <r>
    <x v="2"/>
    <s v="Ground (Car/Mileage, Rail, Taxi/Shuttle)"/>
    <x v="433"/>
    <s v="JV-RW012225-1"/>
    <x v="38"/>
    <n v="40.9"/>
    <m/>
    <s v="6"/>
    <s v="Gam"/>
    <s v="3007"/>
    <s v="UN Peace Building Fund (PBF) - The Gambia 01/2023-12/2025"/>
  </r>
  <r>
    <x v="5"/>
    <s v="Wages - International - Full Time"/>
    <x v="436"/>
    <s v="JV-RW012225-1"/>
    <x v="38"/>
    <n v="70.52"/>
    <m/>
    <s v="6"/>
    <s v="Gam"/>
    <s v="3007"/>
    <s v="UN Peace Building Fund (PBF) - The Gambia 01/2023-12/2025"/>
  </r>
  <r>
    <x v="1"/>
    <s v="Salary &amp; Fringes Fund Allocation"/>
    <x v="2"/>
    <s v="JV-JS123124 Sal Alloc"/>
    <x v="38"/>
    <n v="563"/>
    <m/>
    <s v="9999"/>
    <s v="9999"/>
    <s v="3007"/>
    <s v="UN Peace Building Fund (PBF) - The Gambia 01/2023-12/2025"/>
  </r>
  <r>
    <x v="1"/>
    <s v="Salary &amp; Fringes Fund Allocation"/>
    <x v="3"/>
    <s v="JV-JS123124 Sal Alloc"/>
    <x v="38"/>
    <n v="437"/>
    <m/>
    <s v="9999"/>
    <s v="9999"/>
    <s v="3007"/>
    <s v="UN Peace Building Fund (PBF) - The Gambia 01/2023-12/2025"/>
  </r>
  <r>
    <x v="1"/>
    <s v="Salary &amp; Fringes Fund Allocation"/>
    <x v="4"/>
    <s v="JV-JS123124 Sal Alloc"/>
    <x v="38"/>
    <n v="720"/>
    <m/>
    <s v="9999"/>
    <s v="9999"/>
    <s v="3007"/>
    <s v="UN Peace Building Fund (PBF) - The Gambia 01/2023-12/2025"/>
  </r>
  <r>
    <x v="10"/>
    <s v="Consultants"/>
    <x v="437"/>
    <s v="AP-RW013025"/>
    <x v="39"/>
    <n v="3319"/>
    <m/>
    <s v="9999"/>
    <s v="Gam"/>
    <s v="3007"/>
    <s v="UN Peace Building Fund (PBF) - The Gambia 01/2023-12/2025"/>
  </r>
  <r>
    <x v="2"/>
    <s v="Ground (Car/Mileage, Rail, Taxi/Shuttle)"/>
    <x v="69"/>
    <s v="JV-RW030325-2"/>
    <x v="40"/>
    <n v="35.090000000000003"/>
    <m/>
    <s v="2.1"/>
    <s v="Gam"/>
    <s v="3007"/>
    <s v="UN Peace Building Fund (PBF) - The Gambia 01/2023-12/2025"/>
  </r>
  <r>
    <x v="2"/>
    <s v="Ground (Car/Mileage, Rail, Taxi/Shuttle)"/>
    <x v="32"/>
    <s v="JV-RW030325-2"/>
    <x v="40"/>
    <n v="4.21"/>
    <m/>
    <s v="2.1"/>
    <s v="Gam"/>
    <s v="3007"/>
    <s v="UN Peace Building Fund (PBF) - The Gambia 01/2023-12/2025"/>
  </r>
  <r>
    <x v="8"/>
    <s v="Meals &amp; Per Diem"/>
    <x v="85"/>
    <s v="JV-RW030325-2"/>
    <x v="40"/>
    <n v="38.6"/>
    <m/>
    <s v="2.1"/>
    <s v="Gam"/>
    <s v="3007"/>
    <s v="UN Peace Building Fund (PBF) - The Gambia 01/2023-12/2025"/>
  </r>
  <r>
    <x v="2"/>
    <s v="Ground (Car/Mileage, Rail, Taxi/Shuttle)"/>
    <x v="69"/>
    <s v="JV-RW030325-2"/>
    <x v="40"/>
    <n v="35.090000000000003"/>
    <m/>
    <s v="2.7"/>
    <s v="Gam"/>
    <s v="3007"/>
    <s v="UN Peace Building Fund (PBF) - The Gambia 01/2023-12/2025"/>
  </r>
  <r>
    <x v="2"/>
    <s v="Ground (Car/Mileage, Rail, Taxi/Shuttle)"/>
    <x v="438"/>
    <s v="JV-RW030325-2"/>
    <x v="40"/>
    <n v="168.46"/>
    <m/>
    <s v="2.7"/>
    <s v="Gam"/>
    <s v="3007"/>
    <s v="UN Peace Building Fund (PBF) - The Gambia 01/2023-12/2025"/>
  </r>
  <r>
    <x v="2"/>
    <s v="Ground (Car/Mileage, Rail, Taxi/Shuttle)"/>
    <x v="439"/>
    <s v="JV-RW030325-2"/>
    <x v="40"/>
    <n v="221.1"/>
    <m/>
    <s v="2.7"/>
    <s v="Gam"/>
    <s v="3007"/>
    <s v="UN Peace Building Fund (PBF) - The Gambia 01/2023-12/2025"/>
  </r>
  <r>
    <x v="2"/>
    <s v="Ground (Car/Mileage, Rail, Taxi/Shuttle)"/>
    <x v="440"/>
    <s v="JV-RW030325-2"/>
    <x v="40"/>
    <n v="200.04"/>
    <m/>
    <s v="2.7"/>
    <s v="Gam"/>
    <s v="3007"/>
    <s v="UN Peace Building Fund (PBF) - The Gambia 01/2023-12/2025"/>
  </r>
  <r>
    <x v="2"/>
    <s v="Ground (Car/Mileage, Rail, Taxi/Shuttle)"/>
    <x v="441"/>
    <s v="JV-RW030325-2"/>
    <x v="40"/>
    <n v="157.93"/>
    <m/>
    <s v="2.7"/>
    <s v="Gam"/>
    <s v="3007"/>
    <s v="UN Peace Building Fund (PBF) - The Gambia 01/2023-12/2025"/>
  </r>
  <r>
    <x v="2"/>
    <s v="Ground (Car/Mileage, Rail, Taxi/Shuttle)"/>
    <x v="442"/>
    <s v="JV-RW030325-2"/>
    <x v="40"/>
    <n v="117.92"/>
    <m/>
    <s v="2.7"/>
    <s v="Gam"/>
    <s v="3007"/>
    <s v="UN Peace Building Fund (PBF) - The Gambia 01/2023-12/2025"/>
  </r>
  <r>
    <x v="2"/>
    <s v="Ground (Car/Mileage, Rail, Taxi/Shuttle)"/>
    <x v="443"/>
    <s v="JV-RW030325-2"/>
    <x v="40"/>
    <n v="119.32"/>
    <m/>
    <s v="2.7"/>
    <s v="Gam"/>
    <s v="3007"/>
    <s v="UN Peace Building Fund (PBF) - The Gambia 01/2023-12/2025"/>
  </r>
  <r>
    <x v="2"/>
    <s v="Ground (Car/Mileage, Rail, Taxi/Shuttle)"/>
    <x v="444"/>
    <s v="JV-RW030325-2"/>
    <x v="40"/>
    <n v="112.3"/>
    <m/>
    <s v="2.7"/>
    <s v="Gam"/>
    <s v="3007"/>
    <s v="UN Peace Building Fund (PBF) - The Gambia 01/2023-12/2025"/>
  </r>
  <r>
    <x v="2"/>
    <s v="Ground (Car/Mileage, Rail, Taxi/Shuttle)"/>
    <x v="445"/>
    <s v="JV-RW030325-2"/>
    <x v="40"/>
    <n v="63.17"/>
    <m/>
    <s v="2.7"/>
    <s v="Gam"/>
    <s v="3007"/>
    <s v="UN Peace Building Fund (PBF) - The Gambia 01/2023-12/2025"/>
  </r>
  <r>
    <x v="8"/>
    <s v="Meals &amp; Per Diem"/>
    <x v="363"/>
    <s v="JV-RW030325-2"/>
    <x v="40"/>
    <n v="2702.31"/>
    <m/>
    <s v="2.7"/>
    <s v="Gam"/>
    <s v="3007"/>
    <s v="UN Peace Building Fund (PBF) - The Gambia 01/2023-12/2025"/>
  </r>
  <r>
    <x v="10"/>
    <s v="Consultants"/>
    <x v="446"/>
    <s v="JV-RW030325-2"/>
    <x v="40"/>
    <n v="463.25"/>
    <m/>
    <s v="2.7"/>
    <s v="Gam"/>
    <s v="3007"/>
    <s v="UN Peace Building Fund (PBF) - The Gambia 01/2023-12/2025"/>
  </r>
  <r>
    <x v="21"/>
    <s v="Media Outreach / Publicity"/>
    <x v="447"/>
    <s v="JV-RW030325-2"/>
    <x v="40"/>
    <n v="42.11"/>
    <m/>
    <s v="2.7"/>
    <s v="Gam"/>
    <s v="3007"/>
    <s v="UN Peace Building Fund (PBF) - The Gambia 01/2023-12/2025"/>
  </r>
  <r>
    <x v="2"/>
    <s v="Ground (Car/Mileage, Rail, Taxi/Shuttle)"/>
    <x v="448"/>
    <s v="JV-RW030325-2"/>
    <x v="40"/>
    <n v="8.42"/>
    <m/>
    <s v="2.7"/>
    <s v="Gam"/>
    <s v="3007"/>
    <s v="UN Peace Building Fund (PBF) - The Gambia 01/2023-12/2025"/>
  </r>
  <r>
    <x v="21"/>
    <s v="Media Outreach / Publicity"/>
    <x v="449"/>
    <s v="JV-RW030325-2"/>
    <x v="40"/>
    <n v="409.56"/>
    <m/>
    <s v="2.7"/>
    <s v="Gam"/>
    <s v="3007"/>
    <s v="UN Peace Building Fund (PBF) - The Gambia 01/2023-12/2025"/>
  </r>
  <r>
    <x v="8"/>
    <s v="Meals &amp; Per Diem"/>
    <x v="450"/>
    <s v="JV-RW030325-2"/>
    <x v="40"/>
    <n v="3958.71"/>
    <m/>
    <s v="2.7"/>
    <s v="Gam"/>
    <s v="3007"/>
    <s v="UN Peace Building Fund (PBF) - The Gambia 01/2023-12/2025"/>
  </r>
  <r>
    <x v="11"/>
    <s v="Rental Halls / Convention Center"/>
    <x v="451"/>
    <s v="JV-RW030325-2"/>
    <x v="40"/>
    <n v="280.76"/>
    <m/>
    <s v="2.7"/>
    <s v="Gam"/>
    <s v="3007"/>
    <s v="UN Peace Building Fund (PBF) - The Gambia 01/2023-12/2025"/>
  </r>
  <r>
    <x v="32"/>
    <s v="Hotel"/>
    <x v="452"/>
    <s v="JV-RW030325-2"/>
    <x v="40"/>
    <n v="1768.79"/>
    <m/>
    <s v="2.8"/>
    <s v="Gam"/>
    <s v="3007"/>
    <s v="UN Peace Building Fund (PBF) - The Gambia 01/2023-12/2025"/>
  </r>
  <r>
    <x v="5"/>
    <s v="Wages - International - Full Time"/>
    <x v="453"/>
    <s v="JV-RW030325-2"/>
    <x v="40"/>
    <n v="837.23"/>
    <m/>
    <s v="5.7"/>
    <s v="Gam"/>
    <s v="3007"/>
    <s v="UN Peace Building Fund (PBF) - The Gambia 01/2023-12/2025"/>
  </r>
  <r>
    <x v="31"/>
    <s v="Travel &amp; Accident Insurance"/>
    <x v="454"/>
    <s v="JV-RW030325-2"/>
    <x v="40"/>
    <n v="56.15"/>
    <m/>
    <s v="6"/>
    <s v="Gam"/>
    <s v="3007"/>
    <s v="UN Peace Building Fund (PBF) - The Gambia 01/2023-12/2025"/>
  </r>
  <r>
    <x v="2"/>
    <s v="Ground (Car/Mileage, Rail, Taxi/Shuttle)"/>
    <x v="423"/>
    <s v="JV-RW030325-2"/>
    <x v="40"/>
    <n v="28.08"/>
    <m/>
    <s v="6"/>
    <s v="Gam"/>
    <s v="3007"/>
    <s v="UN Peace Building Fund (PBF) - The Gambia 01/2023-12/2025"/>
  </r>
  <r>
    <x v="5"/>
    <s v="Wages - International - Full Time"/>
    <x v="455"/>
    <s v="JV-RW030325-2"/>
    <x v="40"/>
    <n v="70.19"/>
    <m/>
    <s v="6"/>
    <s v="Gam"/>
    <s v="3007"/>
    <s v="UN Peace Building Fund (PBF) - The Gambia 01/2023-12/2025"/>
  </r>
  <r>
    <x v="27"/>
    <s v="Furniture &amp; Equipment (below $2000)"/>
    <x v="456"/>
    <s v="JV-RW030325-2"/>
    <x v="40"/>
    <n v="238.65"/>
    <m/>
    <s v="6"/>
    <s v="Gam"/>
    <s v="3007"/>
    <s v="UN Peace Building Fund (PBF) - The Gambia 01/2023-12/2025"/>
  </r>
  <r>
    <x v="14"/>
    <s v="Telephone &amp; Internet Access"/>
    <x v="457"/>
    <s v="JV-RW030325-2"/>
    <x v="40"/>
    <n v="673.82"/>
    <m/>
    <s v="6"/>
    <s v="Gam"/>
    <s v="3007"/>
    <s v="UN Peace Building Fund (PBF) - The Gambia 01/2023-12/2025"/>
  </r>
  <r>
    <x v="17"/>
    <s v="Banking / Credit Cards Fee"/>
    <x v="458"/>
    <s v="JV-RW030325-2"/>
    <x v="40"/>
    <n v="2.11"/>
    <m/>
    <s v="6"/>
    <s v="Gam"/>
    <s v="3007"/>
    <s v="UN Peace Building Fund (PBF) - The Gambia 01/2023-12/2025"/>
  </r>
  <r>
    <x v="17"/>
    <s v="Banking / Credit Cards Fee"/>
    <x v="344"/>
    <s v="JV-RW030325-2"/>
    <x v="40"/>
    <n v="0.32"/>
    <m/>
    <s v="6"/>
    <s v="Gam"/>
    <s v="3007"/>
    <s v="UN Peace Building Fund (PBF) - The Gambia 01/2023-12/2025"/>
  </r>
  <r>
    <x v="14"/>
    <s v="Telephone &amp; Internet Access"/>
    <x v="81"/>
    <s v="JV-RW030325-2"/>
    <x v="40"/>
    <n v="50.76"/>
    <m/>
    <s v="6"/>
    <s v="Gam"/>
    <s v="3007"/>
    <s v="UN Peace Building Fund (PBF) - The Gambia 01/2023-12/2025"/>
  </r>
  <r>
    <x v="14"/>
    <s v="Telephone &amp; Internet Access"/>
    <x v="124"/>
    <s v="JV-RW030325-2"/>
    <x v="40"/>
    <n v="40.81"/>
    <m/>
    <s v="6"/>
    <s v="Gam"/>
    <s v="3007"/>
    <s v="UN Peace Building Fund (PBF) - The Gambia 01/2023-12/2025"/>
  </r>
  <r>
    <x v="14"/>
    <s v="Telephone &amp; Internet Access"/>
    <x v="316"/>
    <s v="JV-RW030325-2"/>
    <x v="40"/>
    <n v="40.81"/>
    <m/>
    <s v="6"/>
    <s v="Gam"/>
    <s v="3007"/>
    <s v="UN Peace Building Fund (PBF) - The Gambia 01/2023-12/2025"/>
  </r>
  <r>
    <x v="14"/>
    <s v="Telephone &amp; Internet Access"/>
    <x v="317"/>
    <s v="JV-RW030325-2"/>
    <x v="40"/>
    <n v="40.81"/>
    <m/>
    <s v="6"/>
    <s v="Gam"/>
    <s v="3007"/>
    <s v="UN Peace Building Fund (PBF) - The Gambia 01/2023-12/2025"/>
  </r>
  <r>
    <x v="14"/>
    <s v="Telephone &amp; Internet Access"/>
    <x v="105"/>
    <s v="JV-RW030325-2"/>
    <x v="40"/>
    <n v="40.81"/>
    <m/>
    <s v="6"/>
    <s v="Gam"/>
    <s v="3007"/>
    <s v="UN Peace Building Fund (PBF) - The Gambia 01/2023-12/2025"/>
  </r>
  <r>
    <x v="2"/>
    <s v="Ground (Car/Mileage, Rail, Taxi/Shuttle)"/>
    <x v="459"/>
    <s v="JV-RW030325-2"/>
    <x v="40"/>
    <n v="60.36"/>
    <m/>
    <s v="6"/>
    <s v="Gam"/>
    <s v="3007"/>
    <s v="UN Peace Building Fund (PBF) - The Gambia 01/2023-12/2025"/>
  </r>
  <r>
    <x v="14"/>
    <s v="Telephone &amp; Internet Access"/>
    <x v="460"/>
    <s v="JV-RW030325-2"/>
    <x v="40"/>
    <n v="38.67"/>
    <m/>
    <s v="6"/>
    <s v="Gam"/>
    <s v="3007"/>
    <s v="UN Peace Building Fund (PBF) - The Gambia 01/2023-12/2025"/>
  </r>
  <r>
    <x v="7"/>
    <s v="Office Supplies / Materials"/>
    <x v="107"/>
    <s v="JV-RW030325-2"/>
    <x v="40"/>
    <n v="11.23"/>
    <m/>
    <s v="6"/>
    <s v="Gam"/>
    <s v="3007"/>
    <s v="UN Peace Building Fund (PBF) - The Gambia 01/2023-12/2025"/>
  </r>
  <r>
    <x v="2"/>
    <s v="Ground (Car/Mileage, Rail, Taxi/Shuttle)"/>
    <x v="108"/>
    <s v="JV-RW030325-2"/>
    <x v="40"/>
    <n v="11.23"/>
    <m/>
    <s v="6"/>
    <s v="Gam"/>
    <s v="3007"/>
    <s v="UN Peace Building Fund (PBF) - The Gambia 01/2023-12/2025"/>
  </r>
  <r>
    <x v="7"/>
    <s v="Office Supplies / Materials"/>
    <x v="346"/>
    <s v="JV-RW030325-2"/>
    <x v="40"/>
    <n v="9.9700000000000006"/>
    <m/>
    <s v="6"/>
    <s v="Gam"/>
    <s v="3007"/>
    <s v="UN Peace Building Fund (PBF) - The Gambia 01/2023-12/2025"/>
  </r>
  <r>
    <x v="7"/>
    <s v="Office Supplies / Materials"/>
    <x v="428"/>
    <s v="JV-RW030325-2"/>
    <x v="40"/>
    <n v="8.2799999999999994"/>
    <m/>
    <s v="6"/>
    <s v="Gam"/>
    <s v="3007"/>
    <s v="UN Peace Building Fund (PBF) - The Gambia 01/2023-12/2025"/>
  </r>
  <r>
    <x v="7"/>
    <s v="Office Supplies / Materials"/>
    <x v="461"/>
    <s v="JV-RW030325-2"/>
    <x v="40"/>
    <n v="7.0000000000000007E-2"/>
    <m/>
    <s v="6"/>
    <s v="Gam"/>
    <s v="3007"/>
    <s v="UN Peace Building Fund (PBF) - The Gambia 01/2023-12/2025"/>
  </r>
  <r>
    <x v="7"/>
    <s v="Office Supplies / Materials"/>
    <x v="462"/>
    <s v="JV-RW030325-2"/>
    <x v="40"/>
    <n v="2.11"/>
    <m/>
    <s v="6"/>
    <s v="Gam"/>
    <s v="3007"/>
    <s v="UN Peace Building Fund (PBF) - The Gambia 01/2023-12/2025"/>
  </r>
  <r>
    <x v="7"/>
    <s v="Office Supplies / Materials"/>
    <x v="463"/>
    <s v="JV-RW030325-2"/>
    <x v="40"/>
    <n v="7.02"/>
    <m/>
    <s v="6"/>
    <s v="Gam"/>
    <s v="3007"/>
    <s v="UN Peace Building Fund (PBF) - The Gambia 01/2023-12/2025"/>
  </r>
  <r>
    <x v="7"/>
    <s v="Office Supplies / Materials"/>
    <x v="266"/>
    <s v="JV-RW030325-2"/>
    <x v="40"/>
    <n v="7.02"/>
    <m/>
    <s v="6"/>
    <s v="Gam"/>
    <s v="3007"/>
    <s v="UN Peace Building Fund (PBF) - The Gambia 01/2023-12/2025"/>
  </r>
  <r>
    <x v="7"/>
    <s v="Office Supplies / Materials"/>
    <x v="464"/>
    <s v="JV-RW030325-2"/>
    <x v="40"/>
    <n v="98.27"/>
    <m/>
    <s v="6"/>
    <s v="Gam"/>
    <s v="3007"/>
    <s v="UN Peace Building Fund (PBF) - The Gambia 01/2023-12/2025"/>
  </r>
  <r>
    <x v="7"/>
    <s v="Office Supplies / Materials"/>
    <x v="83"/>
    <s v="JV-RW030325-2"/>
    <x v="40"/>
    <n v="4.7699999999999996"/>
    <m/>
    <s v="6"/>
    <s v="Gam"/>
    <s v="3007"/>
    <s v="UN Peace Building Fund (PBF) - The Gambia 01/2023-12/2025"/>
  </r>
  <r>
    <x v="1"/>
    <s v="Salary &amp; Fringes Fund Allocation"/>
    <x v="2"/>
    <s v="JV-RW022725 Sal Alloc"/>
    <x v="40"/>
    <n v="563"/>
    <m/>
    <s v="9999"/>
    <s v="9999"/>
    <s v="3007"/>
    <s v="UN Peace Building Fund (PBF) - The Gambia 01/2023-12/2025"/>
  </r>
  <r>
    <x v="1"/>
    <s v="Salary &amp; Fringes Fund Allocation"/>
    <x v="3"/>
    <s v="JV-RW022725 Sal Alloc"/>
    <x v="40"/>
    <n v="437"/>
    <m/>
    <s v="9999"/>
    <s v="9999"/>
    <s v="3007"/>
    <s v="UN Peace Building Fund (PBF) - The Gambia 01/2023-12/2025"/>
  </r>
  <r>
    <x v="1"/>
    <s v="Salary &amp; Fringes Fund Allocation"/>
    <x v="4"/>
    <s v="JV-RW022725 Sal Alloc"/>
    <x v="40"/>
    <n v="720"/>
    <m/>
    <s v="9999"/>
    <s v="9999"/>
    <s v="3007"/>
    <s v="UN Peace Building Fund (PBF) - The Gambia 01/2023-12/20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M34:N68" firstHeaderRow="1" firstDataRow="1" firstDataCol="1" rowPageCount="1" colPageCount="1"/>
  <pivotFields count="11">
    <pivotField axis="axisRow" showAll="0">
      <items count="34">
        <item x="0"/>
        <item x="5"/>
        <item x="6"/>
        <item x="1"/>
        <item x="10"/>
        <item x="26"/>
        <item x="19"/>
        <item x="13"/>
        <item x="7"/>
        <item x="28"/>
        <item x="22"/>
        <item x="14"/>
        <item x="17"/>
        <item x="21"/>
        <item x="31"/>
        <item x="12"/>
        <item x="4"/>
        <item x="24"/>
        <item x="27"/>
        <item x="18"/>
        <item x="23"/>
        <item x="25"/>
        <item x="3"/>
        <item x="30"/>
        <item x="29"/>
        <item x="20"/>
        <item x="2"/>
        <item x="32"/>
        <item x="8"/>
        <item x="11"/>
        <item x="15"/>
        <item x="9"/>
        <item x="16"/>
        <item t="default"/>
      </items>
    </pivotField>
    <pivotField showAll="0"/>
    <pivotField showAll="0">
      <items count="466">
        <item x="0"/>
        <item x="241"/>
        <item x="213"/>
        <item x="214"/>
        <item x="328"/>
        <item x="329"/>
        <item x="211"/>
        <item x="310"/>
        <item x="375"/>
        <item x="421"/>
        <item x="212"/>
        <item x="143"/>
        <item x="243"/>
        <item x="374"/>
        <item x="242"/>
        <item x="311"/>
        <item x="172"/>
        <item x="269"/>
        <item x="130"/>
        <item x="463"/>
        <item x="34"/>
        <item x="452"/>
        <item x="305"/>
        <item x="304"/>
        <item x="179"/>
        <item x="347"/>
        <item x="387"/>
        <item x="183"/>
        <item x="153"/>
        <item x="132"/>
        <item x="428"/>
        <item x="382"/>
        <item x="367"/>
        <item x="424"/>
        <item x="454"/>
        <item x="338"/>
        <item x="228"/>
        <item x="191"/>
        <item x="156"/>
        <item x="276"/>
        <item x="373"/>
        <item x="42"/>
        <item x="279"/>
        <item x="461"/>
        <item x="426"/>
        <item x="458"/>
        <item x="389"/>
        <item x="343"/>
        <item x="294"/>
        <item x="295"/>
        <item x="322"/>
        <item x="286"/>
        <item x="392"/>
        <item x="326"/>
        <item x="327"/>
        <item x="263"/>
        <item x="222"/>
        <item x="221"/>
        <item x="195"/>
        <item x="388"/>
        <item x="431"/>
        <item x="390"/>
        <item x="430"/>
        <item x="345"/>
        <item x="194"/>
        <item x="230"/>
        <item x="432"/>
        <item x="434"/>
        <item x="344"/>
        <item x="164"/>
        <item x="113"/>
        <item x="134"/>
        <item x="89"/>
        <item x="50"/>
        <item x="252"/>
        <item x="409"/>
        <item x="348"/>
        <item x="188"/>
        <item x="427"/>
        <item x="255"/>
        <item x="184"/>
        <item x="110"/>
        <item x="180"/>
        <item x="249"/>
        <item x="258"/>
        <item x="105"/>
        <item x="103"/>
        <item x="81"/>
        <item x="124"/>
        <item x="316"/>
        <item x="104"/>
        <item x="317"/>
        <item x="75"/>
        <item x="76"/>
        <item x="408"/>
        <item x="135"/>
        <item x="71"/>
        <item x="210"/>
        <item x="209"/>
        <item x="32"/>
        <item x="59"/>
        <item x="378"/>
        <item x="383"/>
        <item x="187"/>
        <item x="339"/>
        <item x="99"/>
        <item x="98"/>
        <item x="215"/>
        <item x="37"/>
        <item x="363"/>
        <item x="88"/>
        <item x="312"/>
        <item x="410"/>
        <item x="275"/>
        <item x="290"/>
        <item x="299"/>
        <item x="456"/>
        <item x="116"/>
        <item x="300"/>
        <item x="416"/>
        <item x="418"/>
        <item x="240"/>
        <item x="237"/>
        <item x="236"/>
        <item x="321"/>
        <item x="246"/>
        <item x="333"/>
        <item x="160"/>
        <item x="114"/>
        <item x="120"/>
        <item x="196"/>
        <item x="251"/>
        <item x="287"/>
        <item x="45"/>
        <item x="397"/>
        <item x="398"/>
        <item x="78"/>
        <item x="77"/>
        <item x="256"/>
        <item x="334"/>
        <item x="413"/>
        <item x="133"/>
        <item x="131"/>
        <item x="44"/>
        <item x="288"/>
        <item x="297"/>
        <item x="460"/>
        <item x="52"/>
        <item x="154"/>
        <item x="425"/>
        <item x="223"/>
        <item x="73"/>
        <item x="95"/>
        <item x="437"/>
        <item x="33"/>
        <item x="232"/>
        <item x="43"/>
        <item x="26"/>
        <item x="200"/>
        <item x="248"/>
        <item x="399"/>
        <item x="400"/>
        <item x="38"/>
        <item x="2"/>
        <item x="349"/>
        <item x="126"/>
        <item x="270"/>
        <item x="462"/>
        <item x="25"/>
        <item x="151"/>
        <item x="90"/>
        <item x="206"/>
        <item x="51"/>
        <item x="435"/>
        <item x="152"/>
        <item x="175"/>
        <item x="257"/>
        <item x="414"/>
        <item x="357"/>
        <item x="87"/>
        <item x="235"/>
        <item x="185"/>
        <item x="117"/>
        <item x="162"/>
        <item x="337"/>
        <item x="361"/>
        <item x="96"/>
        <item x="229"/>
        <item x="128"/>
        <item x="265"/>
        <item x="224"/>
        <item x="182"/>
        <item x="112"/>
        <item x="149"/>
        <item x="225"/>
        <item x="318"/>
        <item x="447"/>
        <item x="107"/>
        <item x="346"/>
        <item x="319"/>
        <item x="109"/>
        <item x="62"/>
        <item x="355"/>
        <item x="354"/>
        <item x="58"/>
        <item x="330"/>
        <item x="401"/>
        <item x="429"/>
        <item x="189"/>
        <item x="296"/>
        <item x="106"/>
        <item x="423"/>
        <item x="277"/>
        <item x="226"/>
        <item x="272"/>
        <item x="402"/>
        <item x="403"/>
        <item x="404"/>
        <item x="260"/>
        <item x="83"/>
        <item x="267"/>
        <item x="336"/>
        <item x="446"/>
        <item x="19"/>
        <item x="23"/>
        <item x="16"/>
        <item x="298"/>
        <item x="12"/>
        <item x="342"/>
        <item x="7"/>
        <item x="166"/>
        <item x="57"/>
        <item x="137"/>
        <item x="11"/>
        <item x="6"/>
        <item x="335"/>
        <item x="364"/>
        <item x="412"/>
        <item x="234"/>
        <item x="281"/>
        <item x="282"/>
        <item x="323"/>
        <item x="450"/>
        <item x="244"/>
        <item x="449"/>
        <item x="35"/>
        <item x="417"/>
        <item x="233"/>
        <item x="391"/>
        <item x="324"/>
        <item x="411"/>
        <item x="451"/>
        <item x="359"/>
        <item x="3"/>
        <item x="457"/>
        <item x="464"/>
        <item x="15"/>
        <item x="167"/>
        <item x="72"/>
        <item x="13"/>
        <item x="250"/>
        <item x="362"/>
        <item x="371"/>
        <item x="24"/>
        <item x="197"/>
        <item x="293"/>
        <item x="220"/>
        <item x="302"/>
        <item x="301"/>
        <item x="422"/>
        <item x="350"/>
        <item x="351"/>
        <item x="190"/>
        <item x="396"/>
        <item x="278"/>
        <item x="407"/>
        <item x="366"/>
        <item x="365"/>
        <item x="259"/>
        <item x="22"/>
        <item x="21"/>
        <item x="370"/>
        <item x="39"/>
        <item x="20"/>
        <item x="4"/>
        <item x="93"/>
        <item x="155"/>
        <item x="67"/>
        <item x="68"/>
        <item x="171"/>
        <item x="168"/>
        <item x="170"/>
        <item x="169"/>
        <item x="303"/>
        <item x="285"/>
        <item x="284"/>
        <item x="47"/>
        <item x="48"/>
        <item x="436"/>
        <item x="79"/>
        <item x="420"/>
        <item x="419"/>
        <item x="121"/>
        <item x="122"/>
        <item x="123"/>
        <item x="97"/>
        <item x="455"/>
        <item x="453"/>
        <item x="264"/>
        <item x="261"/>
        <item x="262"/>
        <item x="36"/>
        <item x="231"/>
        <item x="218"/>
        <item x="219"/>
        <item x="28"/>
        <item x="27"/>
        <item x="145"/>
        <item x="146"/>
        <item x="144"/>
        <item x="193"/>
        <item x="177"/>
        <item x="178"/>
        <item x="9"/>
        <item x="8"/>
        <item x="74"/>
        <item x="394"/>
        <item x="376"/>
        <item x="377"/>
        <item x="353"/>
        <item x="340"/>
        <item x="341"/>
        <item x="61"/>
        <item x="60"/>
        <item x="325"/>
        <item x="315"/>
        <item x="314"/>
        <item x="55"/>
        <item x="53"/>
        <item x="54"/>
        <item x="254"/>
        <item x="385"/>
        <item x="380"/>
        <item x="192"/>
        <item x="331"/>
        <item x="84"/>
        <item x="129"/>
        <item x="199"/>
        <item x="205"/>
        <item x="85"/>
        <item x="208"/>
        <item x="158"/>
        <item x="17"/>
        <item x="136"/>
        <item x="31"/>
        <item x="70"/>
        <item x="360"/>
        <item x="92"/>
        <item x="125"/>
        <item x="65"/>
        <item x="63"/>
        <item x="64"/>
        <item x="66"/>
        <item x="150"/>
        <item x="111"/>
        <item x="320"/>
        <item x="227"/>
        <item x="201"/>
        <item x="203"/>
        <item x="204"/>
        <item x="202"/>
        <item x="30"/>
        <item x="29"/>
        <item x="216"/>
        <item x="86"/>
        <item x="100"/>
        <item x="395"/>
        <item x="393"/>
        <item x="352"/>
        <item x="108"/>
        <item x="207"/>
        <item x="459"/>
        <item x="217"/>
        <item x="159"/>
        <item x="289"/>
        <item x="148"/>
        <item x="142"/>
        <item x="283"/>
        <item x="198"/>
        <item x="433"/>
        <item x="292"/>
        <item x="147"/>
        <item x="448"/>
        <item x="384"/>
        <item x="174"/>
        <item x="173"/>
        <item x="273"/>
        <item x="381"/>
        <item x="274"/>
        <item x="127"/>
        <item x="268"/>
        <item x="91"/>
        <item x="415"/>
        <item x="165"/>
        <item x="157"/>
        <item x="280"/>
        <item x="161"/>
        <item x="247"/>
        <item x="41"/>
        <item x="18"/>
        <item x="115"/>
        <item x="245"/>
        <item x="94"/>
        <item x="118"/>
        <item x="10"/>
        <item x="368"/>
        <item x="445"/>
        <item x="444"/>
        <item x="69"/>
        <item x="440"/>
        <item x="443"/>
        <item x="441"/>
        <item x="438"/>
        <item x="439"/>
        <item x="442"/>
        <item x="369"/>
        <item x="163"/>
        <item x="40"/>
        <item x="101"/>
        <item x="56"/>
        <item x="5"/>
        <item x="46"/>
        <item x="140"/>
        <item x="308"/>
        <item x="141"/>
        <item x="307"/>
        <item x="138"/>
        <item x="309"/>
        <item x="139"/>
        <item x="306"/>
        <item x="181"/>
        <item x="358"/>
        <item x="14"/>
        <item x="332"/>
        <item x="238"/>
        <item x="239"/>
        <item x="80"/>
        <item x="176"/>
        <item x="102"/>
        <item x="372"/>
        <item x="313"/>
        <item x="119"/>
        <item x="49"/>
        <item x="356"/>
        <item x="186"/>
        <item x="253"/>
        <item x="271"/>
        <item x="291"/>
        <item x="266"/>
        <item x="386"/>
        <item x="82"/>
        <item x="379"/>
        <item x="405"/>
        <item x="406"/>
        <item x="1"/>
        <item t="default"/>
      </items>
    </pivotField>
    <pivotField showAll="0"/>
    <pivotField axis="axisPage" showAll="0">
      <items count="42">
        <item x="0"/>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1"/>
        <item t="default"/>
      </items>
    </pivotField>
    <pivotField dataField="1" showAll="0"/>
    <pivotField showAll="0"/>
    <pivotField showAll="0"/>
    <pivotField showAll="0"/>
    <pivotField showAll="0"/>
    <pivotField showAll="0"/>
  </pivotFields>
  <rowFields count="1">
    <field x="0"/>
  </rowFields>
  <rowItems count="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t="grand">
      <x/>
    </i>
  </rowItems>
  <colItems count="1">
    <i/>
  </colItems>
  <pageFields count="1">
    <pageField fld="4" hier="-1"/>
  </pageFields>
  <dataFields count="1">
    <dataField name="Sum of Debit" fld="5" baseField="2"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M9:N24" firstHeaderRow="1" firstDataRow="1" firstDataCol="1"/>
  <pivotFields count="14">
    <pivotField showAll="0"/>
    <pivotField axis="axisRow" showAll="0">
      <items count="15">
        <item x="0"/>
        <item x="8"/>
        <item x="4"/>
        <item x="13"/>
        <item x="10"/>
        <item x="11"/>
        <item x="9"/>
        <item x="5"/>
        <item x="12"/>
        <item x="3"/>
        <item x="6"/>
        <item x="7"/>
        <item x="2"/>
        <item x="1"/>
        <item t="default"/>
      </items>
    </pivotField>
    <pivotField showAll="0"/>
    <pivotField showAll="0"/>
    <pivotField showAll="0"/>
    <pivotField showAll="0"/>
    <pivotField showAll="0"/>
    <pivotField showAll="0"/>
    <pivotField showAll="0"/>
    <pivotField dataField="1" showAll="0">
      <items count="78">
        <item x="23"/>
        <item x="19"/>
        <item x="33"/>
        <item x="35"/>
        <item x="30"/>
        <item x="56"/>
        <item x="41"/>
        <item x="27"/>
        <item x="22"/>
        <item x="20"/>
        <item x="40"/>
        <item x="29"/>
        <item x="37"/>
        <item x="38"/>
        <item x="42"/>
        <item x="68"/>
        <item x="44"/>
        <item x="26"/>
        <item x="18"/>
        <item x="65"/>
        <item x="16"/>
        <item x="25"/>
        <item x="31"/>
        <item x="17"/>
        <item x="36"/>
        <item x="43"/>
        <item x="24"/>
        <item x="32"/>
        <item x="67"/>
        <item x="48"/>
        <item x="34"/>
        <item x="64"/>
        <item x="50"/>
        <item x="46"/>
        <item x="53"/>
        <item x="51"/>
        <item x="47"/>
        <item x="54"/>
        <item x="55"/>
        <item x="70"/>
        <item x="66"/>
        <item x="71"/>
        <item x="49"/>
        <item x="45"/>
        <item x="52"/>
        <item x="63"/>
        <item x="39"/>
        <item x="28"/>
        <item x="21"/>
        <item x="72"/>
        <item x="13"/>
        <item x="61"/>
        <item x="58"/>
        <item x="10"/>
        <item x="5"/>
        <item x="2"/>
        <item x="12"/>
        <item x="6"/>
        <item x="9"/>
        <item x="3"/>
        <item x="60"/>
        <item x="59"/>
        <item x="57"/>
        <item x="11"/>
        <item x="62"/>
        <item x="69"/>
        <item x="4"/>
        <item x="8"/>
        <item x="7"/>
        <item x="14"/>
        <item x="15"/>
        <item x="73"/>
        <item x="76"/>
        <item x="74"/>
        <item x="75"/>
        <item x="0"/>
        <item x="1"/>
        <item t="default"/>
      </items>
    </pivotField>
    <pivotField showAll="0"/>
    <pivotField showAll="0"/>
    <pivotField showAll="0"/>
    <pivotField showAll="0"/>
  </pivotFields>
  <rowFields count="1">
    <field x="1"/>
  </rowFields>
  <rowItems count="15">
    <i>
      <x/>
    </i>
    <i>
      <x v="1"/>
    </i>
    <i>
      <x v="2"/>
    </i>
    <i>
      <x v="3"/>
    </i>
    <i>
      <x v="4"/>
    </i>
    <i>
      <x v="5"/>
    </i>
    <i>
      <x v="6"/>
    </i>
    <i>
      <x v="7"/>
    </i>
    <i>
      <x v="8"/>
    </i>
    <i>
      <x v="9"/>
    </i>
    <i>
      <x v="10"/>
    </i>
    <i>
      <x v="11"/>
    </i>
    <i>
      <x v="12"/>
    </i>
    <i>
      <x v="13"/>
    </i>
    <i t="grand">
      <x/>
    </i>
  </rowItems>
  <colItems count="1">
    <i/>
  </colItems>
  <dataFields count="1">
    <dataField name="Sum of Net" fld="9" baseField="1" baseItem="0" numFmtId="43"/>
  </dataFields>
  <formats count="1">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93" dT="2025-06-16T16:02:16.98" personId="{9A2ED8F0-7B27-4854-ABE6-39058CFBF54E}" id="{FDBAFCDA-7B6A-406A-82CC-295A27ADE1B3}">
    <text>Part of Activities cost, not suppose to be captured by any other formula again.</text>
  </threadedComment>
</ThreadedComments>
</file>

<file path=xl/threadedComments/threadedComment2.xml><?xml version="1.0" encoding="utf-8"?>
<ThreadedComments xmlns="http://schemas.microsoft.com/office/spreadsheetml/2018/threadedcomments" xmlns:x="http://schemas.openxmlformats.org/spreadsheetml/2006/main">
  <threadedComment ref="D175" dT="2025-06-16T16:07:12.35" personId="{9A2ED8F0-7B27-4854-ABE6-39058CFBF54E}" id="{01DE3E28-38F8-4165-8D99-7A57F0F7E7B8}">
    <text>Was overstated by $41k due to double counting of salaries already treated as part of activity costs.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2:ID250"/>
  <sheetViews>
    <sheetView showGridLines="0" topLeftCell="G226" zoomScale="141" zoomScaleNormal="141" workbookViewId="0">
      <selection activeCell="T230" sqref="T230"/>
    </sheetView>
  </sheetViews>
  <sheetFormatPr defaultColWidth="9.1328125" defaultRowHeight="14.25"/>
  <cols>
    <col min="1" max="1" width="12.86328125" style="1" customWidth="1"/>
    <col min="2" max="2" width="12.86328125" style="2" customWidth="1"/>
    <col min="3" max="3" width="16" style="1" customWidth="1"/>
    <col min="4" max="4" width="28.33203125" style="2" customWidth="1"/>
    <col min="5" max="5" width="9.6640625" style="2" customWidth="1"/>
    <col min="6" max="6" width="8.6640625" style="2" customWidth="1"/>
    <col min="7" max="7" width="8" style="2" customWidth="1"/>
    <col min="8" max="8" width="9.1328125" style="2"/>
    <col min="9" max="9" width="11.1328125" style="2" customWidth="1"/>
    <col min="10" max="10" width="10.86328125" style="2" customWidth="1"/>
    <col min="11" max="11" width="10.53125" style="2" customWidth="1"/>
    <col min="12" max="12" width="10.86328125" style="330" hidden="1" customWidth="1"/>
    <col min="13" max="13" width="12.46484375" style="330" hidden="1" customWidth="1"/>
    <col min="14" max="14" width="13.46484375" style="330" hidden="1" customWidth="1"/>
    <col min="15" max="15" width="12.46484375" style="330" hidden="1" customWidth="1"/>
    <col min="16" max="16" width="11" style="330" hidden="1" customWidth="1"/>
    <col min="17" max="19" width="10.86328125" style="330" hidden="1" customWidth="1"/>
    <col min="20" max="20" width="10.86328125" style="129" customWidth="1"/>
    <col min="21" max="21" width="10.86328125" style="337" customWidth="1"/>
    <col min="22" max="22" width="12.86328125" style="2" customWidth="1"/>
    <col min="23" max="23" width="10.86328125" style="2" customWidth="1"/>
    <col min="24" max="16384" width="9.1328125" style="2"/>
  </cols>
  <sheetData>
    <row r="2" spans="1:23">
      <c r="D2" s="147" t="s">
        <v>0</v>
      </c>
      <c r="E2" s="4"/>
      <c r="F2" s="4"/>
      <c r="G2" s="4"/>
      <c r="H2" s="4"/>
      <c r="I2" s="4"/>
      <c r="J2" s="4"/>
      <c r="K2" s="4"/>
      <c r="L2" s="320"/>
      <c r="M2" s="320"/>
      <c r="N2" s="320"/>
      <c r="O2" s="320"/>
      <c r="P2" s="320"/>
      <c r="Q2" s="320"/>
      <c r="R2" s="320"/>
      <c r="S2" s="320"/>
      <c r="T2" s="5"/>
      <c r="U2" s="336"/>
      <c r="V2" s="4"/>
      <c r="W2" s="4"/>
    </row>
    <row r="3" spans="1:23">
      <c r="C3" s="7"/>
      <c r="D3" s="4"/>
      <c r="E3" s="4"/>
      <c r="F3" s="4"/>
      <c r="G3" s="4"/>
      <c r="H3" s="4"/>
      <c r="I3" s="4"/>
      <c r="J3" s="4"/>
      <c r="K3" s="4"/>
      <c r="L3" s="320"/>
      <c r="M3" s="320"/>
      <c r="N3" s="320"/>
      <c r="O3" s="320"/>
      <c r="P3" s="320"/>
      <c r="Q3" s="320"/>
      <c r="R3" s="320"/>
      <c r="S3" s="320"/>
      <c r="T3" s="5"/>
      <c r="U3" s="336"/>
      <c r="V3" s="4"/>
      <c r="W3" s="4"/>
    </row>
    <row r="4" spans="1:23">
      <c r="D4" s="8" t="s">
        <v>1</v>
      </c>
      <c r="E4" s="4" t="s">
        <v>2</v>
      </c>
      <c r="G4" s="4"/>
      <c r="H4" s="4"/>
      <c r="I4" s="4"/>
      <c r="J4" s="4"/>
      <c r="K4" s="4"/>
      <c r="L4" s="320"/>
      <c r="M4" s="320"/>
      <c r="N4" s="320"/>
      <c r="O4" s="320"/>
      <c r="P4" s="320"/>
      <c r="Q4" s="320"/>
      <c r="R4" s="320"/>
      <c r="S4" s="320"/>
      <c r="T4" s="5"/>
      <c r="U4" s="336"/>
      <c r="V4" s="4"/>
      <c r="W4" s="4"/>
    </row>
    <row r="5" spans="1:23">
      <c r="C5" s="8"/>
      <c r="D5" s="9"/>
      <c r="E5" s="4"/>
      <c r="F5" s="4"/>
      <c r="G5" s="10"/>
      <c r="H5" s="11">
        <v>1</v>
      </c>
      <c r="I5" s="4"/>
      <c r="J5" s="4"/>
      <c r="K5" s="4"/>
      <c r="L5" s="320"/>
      <c r="M5" s="320"/>
      <c r="N5" s="320"/>
      <c r="O5" s="320"/>
      <c r="P5" s="320"/>
      <c r="Q5" s="320"/>
      <c r="R5" s="320"/>
      <c r="S5" s="320"/>
      <c r="T5" s="5"/>
      <c r="U5" s="336"/>
      <c r="V5" s="4"/>
      <c r="W5" s="4"/>
    </row>
    <row r="6" spans="1:23">
      <c r="D6" s="8" t="s">
        <v>3</v>
      </c>
      <c r="E6" s="12">
        <f>I231</f>
        <v>500000.2144</v>
      </c>
      <c r="F6" s="4"/>
      <c r="G6" s="4"/>
      <c r="H6" s="4"/>
      <c r="I6" s="4"/>
      <c r="J6" s="4"/>
      <c r="K6" s="4"/>
      <c r="L6" s="320"/>
      <c r="M6" s="320"/>
      <c r="N6" s="320"/>
      <c r="O6" s="320"/>
      <c r="P6" s="320"/>
      <c r="Q6" s="320"/>
      <c r="R6" s="320"/>
      <c r="S6" s="320"/>
      <c r="T6" s="5"/>
      <c r="U6" s="336"/>
      <c r="V6" s="4"/>
      <c r="W6" s="4"/>
    </row>
    <row r="7" spans="1:23" ht="14.65" thickBot="1">
      <c r="C7" s="13"/>
      <c r="D7" s="14"/>
      <c r="E7" s="4"/>
      <c r="F7" s="4"/>
      <c r="G7" s="4"/>
      <c r="H7" s="4"/>
      <c r="I7" s="4"/>
      <c r="J7" s="4"/>
      <c r="K7" s="4"/>
      <c r="L7" s="320"/>
      <c r="M7" s="320"/>
      <c r="N7" s="320"/>
      <c r="O7" s="320"/>
      <c r="P7" s="320"/>
      <c r="Q7" s="320"/>
      <c r="R7" s="320"/>
      <c r="S7" s="320"/>
      <c r="T7" s="5"/>
      <c r="U7" s="336"/>
      <c r="V7" s="4"/>
      <c r="W7" s="4"/>
    </row>
    <row r="8" spans="1:23" ht="58.15">
      <c r="C8" s="15" t="s">
        <v>4</v>
      </c>
      <c r="D8" s="16" t="s">
        <v>5</v>
      </c>
      <c r="E8" s="16" t="s">
        <v>6</v>
      </c>
      <c r="F8" s="16" t="s">
        <v>7</v>
      </c>
      <c r="G8" s="16" t="s">
        <v>8</v>
      </c>
      <c r="H8" s="16" t="s">
        <v>9</v>
      </c>
      <c r="I8" s="17" t="s">
        <v>10</v>
      </c>
      <c r="J8" s="17" t="s">
        <v>10</v>
      </c>
      <c r="K8" s="18" t="s">
        <v>11</v>
      </c>
      <c r="L8" s="154" t="s">
        <v>12</v>
      </c>
      <c r="M8" s="154" t="s">
        <v>13</v>
      </c>
      <c r="N8" s="155" t="s">
        <v>14</v>
      </c>
      <c r="O8" s="154" t="s">
        <v>15</v>
      </c>
      <c r="P8" s="154" t="s">
        <v>16</v>
      </c>
      <c r="Q8" s="154" t="s">
        <v>17</v>
      </c>
      <c r="R8" s="154" t="s">
        <v>18</v>
      </c>
      <c r="S8" s="154" t="s">
        <v>19</v>
      </c>
      <c r="T8" s="154" t="s">
        <v>20</v>
      </c>
      <c r="U8" s="294" t="s">
        <v>21</v>
      </c>
      <c r="V8" s="148" t="s">
        <v>22</v>
      </c>
      <c r="W8" s="150" t="s">
        <v>23</v>
      </c>
    </row>
    <row r="9" spans="1:23">
      <c r="C9" s="19"/>
      <c r="D9" s="20"/>
      <c r="E9" s="20"/>
      <c r="F9" s="20"/>
      <c r="G9" s="20"/>
      <c r="H9" s="20"/>
      <c r="I9" s="20"/>
      <c r="J9" s="21"/>
      <c r="K9" s="22"/>
      <c r="L9" s="23"/>
      <c r="M9" s="23"/>
      <c r="N9" s="23"/>
      <c r="O9" s="23"/>
      <c r="P9" s="23"/>
      <c r="Q9" s="23"/>
      <c r="R9" s="23"/>
      <c r="S9" s="23"/>
      <c r="T9" s="23"/>
      <c r="U9" s="295"/>
      <c r="V9" s="134"/>
      <c r="W9" s="24"/>
    </row>
    <row r="10" spans="1:23" ht="15.75">
      <c r="C10" s="372" t="s">
        <v>24</v>
      </c>
      <c r="D10" s="372"/>
      <c r="E10" s="372"/>
      <c r="F10" s="372"/>
      <c r="G10" s="372"/>
      <c r="H10" s="372"/>
      <c r="I10" s="372"/>
      <c r="J10" s="372"/>
      <c r="K10" s="25"/>
      <c r="L10" s="26"/>
      <c r="M10" s="26"/>
      <c r="N10" s="26"/>
      <c r="O10" s="26"/>
      <c r="P10" s="26"/>
      <c r="Q10" s="26"/>
      <c r="R10" s="26"/>
      <c r="S10" s="26"/>
      <c r="T10" s="26"/>
      <c r="U10" s="296"/>
      <c r="V10" s="135"/>
      <c r="W10" s="27"/>
    </row>
    <row r="11" spans="1:23" ht="24.75" customHeight="1">
      <c r="B11" s="28" t="s">
        <v>25</v>
      </c>
      <c r="C11" s="29" t="s">
        <v>26</v>
      </c>
      <c r="D11" s="30" t="s">
        <v>27</v>
      </c>
      <c r="E11" s="31" t="s">
        <v>6</v>
      </c>
      <c r="F11" s="31" t="s">
        <v>7</v>
      </c>
      <c r="G11" s="31" t="s">
        <v>8</v>
      </c>
      <c r="H11" s="31" t="s">
        <v>9</v>
      </c>
      <c r="I11" s="31" t="s">
        <v>28</v>
      </c>
      <c r="J11" s="32" t="s">
        <v>10</v>
      </c>
      <c r="K11" s="33" t="str">
        <f>K8</f>
        <v>ICTJ</v>
      </c>
      <c r="L11" s="34"/>
      <c r="M11" s="34"/>
      <c r="N11" s="34"/>
      <c r="O11" s="34"/>
      <c r="P11" s="34"/>
      <c r="Q11" s="34"/>
      <c r="R11" s="34"/>
      <c r="S11" s="34"/>
      <c r="T11" s="34"/>
      <c r="U11" s="297"/>
      <c r="V11" s="136"/>
      <c r="W11" s="35"/>
    </row>
    <row r="12" spans="1:23">
      <c r="A12" s="36">
        <v>2</v>
      </c>
      <c r="B12" s="2" t="s">
        <v>29</v>
      </c>
      <c r="C12" s="7" t="s">
        <v>30</v>
      </c>
      <c r="D12" s="37" t="s">
        <v>31</v>
      </c>
      <c r="E12" s="37" t="s">
        <v>32</v>
      </c>
      <c r="F12" s="37">
        <v>1</v>
      </c>
      <c r="G12" s="37">
        <v>3</v>
      </c>
      <c r="H12" s="37">
        <v>200</v>
      </c>
      <c r="I12" s="37">
        <f>F12*G12*H12</f>
        <v>600</v>
      </c>
      <c r="J12" s="38">
        <f>I12/$H$5</f>
        <v>600</v>
      </c>
      <c r="K12" s="39">
        <f>I12</f>
        <v>600</v>
      </c>
      <c r="L12" s="321"/>
      <c r="M12" s="321">
        <v>600</v>
      </c>
      <c r="N12" s="321"/>
      <c r="O12" s="321"/>
      <c r="P12" s="321"/>
      <c r="Q12" s="321"/>
      <c r="R12" s="321"/>
      <c r="S12" s="321"/>
      <c r="T12" s="40"/>
      <c r="U12" s="298">
        <f>+L12+M12+N12+O12+P12+Q12+R12+S12+T12</f>
        <v>600</v>
      </c>
      <c r="V12" s="131">
        <f>J12-L12-M12-N12-O12-P12-Q12-R12-T12</f>
        <v>0</v>
      </c>
      <c r="W12" s="41"/>
    </row>
    <row r="13" spans="1:23">
      <c r="A13" s="36">
        <v>2</v>
      </c>
      <c r="C13" s="7"/>
      <c r="D13" s="37" t="s">
        <v>33</v>
      </c>
      <c r="E13" s="37"/>
      <c r="F13" s="37"/>
      <c r="G13" s="37"/>
      <c r="H13" s="37"/>
      <c r="I13" s="37"/>
      <c r="J13" s="38"/>
      <c r="K13" s="39">
        <f>I13</f>
        <v>0</v>
      </c>
      <c r="L13" s="321"/>
      <c r="M13" s="321">
        <v>1781.65</v>
      </c>
      <c r="N13" s="321"/>
      <c r="O13" s="321"/>
      <c r="P13" s="321"/>
      <c r="Q13" s="321"/>
      <c r="R13" s="321"/>
      <c r="S13" s="321"/>
      <c r="T13" s="40"/>
      <c r="U13" s="298">
        <f t="shared" ref="U13:U29" si="0">+L13+M13+N13+O13+P13+Q13+R13+S13+T13</f>
        <v>1781.65</v>
      </c>
      <c r="V13" s="131">
        <f t="shared" ref="V13:V29" si="1">J13-L13-M13-N13-O13-P13-Q13-R13-T13</f>
        <v>-1781.65</v>
      </c>
      <c r="W13" s="41"/>
    </row>
    <row r="14" spans="1:23">
      <c r="A14" s="36">
        <v>2</v>
      </c>
      <c r="B14" s="2" t="s">
        <v>29</v>
      </c>
      <c r="C14" s="7" t="s">
        <v>30</v>
      </c>
      <c r="D14" s="37" t="s">
        <v>34</v>
      </c>
      <c r="E14" s="37" t="s">
        <v>35</v>
      </c>
      <c r="F14" s="37">
        <v>30</v>
      </c>
      <c r="G14" s="37">
        <v>3</v>
      </c>
      <c r="H14" s="37">
        <v>20</v>
      </c>
      <c r="I14" s="37">
        <f>F14*G14*H14</f>
        <v>1800</v>
      </c>
      <c r="J14" s="38">
        <f>I14/$H$5</f>
        <v>1800</v>
      </c>
      <c r="K14" s="39">
        <f>I14</f>
        <v>1800</v>
      </c>
      <c r="L14" s="321"/>
      <c r="M14" s="321">
        <v>1800</v>
      </c>
      <c r="N14" s="321"/>
      <c r="O14" s="321"/>
      <c r="P14" s="321"/>
      <c r="Q14" s="321"/>
      <c r="R14" s="321"/>
      <c r="S14" s="321"/>
      <c r="T14" s="40"/>
      <c r="U14" s="298">
        <f t="shared" si="0"/>
        <v>1800</v>
      </c>
      <c r="V14" s="131">
        <f t="shared" si="1"/>
        <v>0</v>
      </c>
      <c r="W14" s="41"/>
    </row>
    <row r="15" spans="1:23">
      <c r="A15" s="36">
        <v>5</v>
      </c>
      <c r="B15" s="2" t="s">
        <v>36</v>
      </c>
      <c r="C15" s="7" t="s">
        <v>30</v>
      </c>
      <c r="D15" s="37" t="s">
        <v>37</v>
      </c>
      <c r="E15" s="37" t="s">
        <v>35</v>
      </c>
      <c r="F15" s="37">
        <v>30</v>
      </c>
      <c r="G15" s="37">
        <v>1</v>
      </c>
      <c r="H15" s="37">
        <v>10</v>
      </c>
      <c r="I15" s="37">
        <f t="shared" ref="I15:I29" si="2">F15*G15*H15</f>
        <v>300</v>
      </c>
      <c r="J15" s="38">
        <f t="shared" ref="J15:J22" si="3">I15/$H$5</f>
        <v>300</v>
      </c>
      <c r="K15" s="39">
        <f t="shared" ref="K15:K29" si="4">I15</f>
        <v>300</v>
      </c>
      <c r="L15" s="321"/>
      <c r="M15" s="321">
        <v>480.38</v>
      </c>
      <c r="N15" s="321"/>
      <c r="O15" s="321"/>
      <c r="P15" s="321"/>
      <c r="Q15" s="321"/>
      <c r="R15" s="321"/>
      <c r="S15" s="321"/>
      <c r="T15" s="40"/>
      <c r="U15" s="298">
        <f t="shared" si="0"/>
        <v>480.38</v>
      </c>
      <c r="V15" s="131">
        <f t="shared" si="1"/>
        <v>-180.38</v>
      </c>
      <c r="W15" s="41"/>
    </row>
    <row r="16" spans="1:23">
      <c r="A16" s="36">
        <v>5</v>
      </c>
      <c r="B16" s="2" t="s">
        <v>36</v>
      </c>
      <c r="C16" s="7" t="s">
        <v>30</v>
      </c>
      <c r="D16" s="37" t="s">
        <v>38</v>
      </c>
      <c r="E16" s="37" t="s">
        <v>35</v>
      </c>
      <c r="F16" s="37">
        <v>30</v>
      </c>
      <c r="G16" s="37">
        <v>3</v>
      </c>
      <c r="H16" s="37">
        <v>40</v>
      </c>
      <c r="I16" s="37">
        <f t="shared" si="2"/>
        <v>3600</v>
      </c>
      <c r="J16" s="38">
        <f t="shared" si="3"/>
        <v>3600</v>
      </c>
      <c r="K16" s="39">
        <f t="shared" si="4"/>
        <v>3600</v>
      </c>
      <c r="L16" s="321"/>
      <c r="M16" s="321">
        <v>1310.33</v>
      </c>
      <c r="N16" s="321">
        <v>2278.6</v>
      </c>
      <c r="O16" s="321"/>
      <c r="P16" s="321"/>
      <c r="Q16" s="321"/>
      <c r="R16" s="321"/>
      <c r="S16" s="321"/>
      <c r="T16" s="40"/>
      <c r="U16" s="298">
        <f>+L16+M16+N16+O16+P16+Q16+R16+S16+T16</f>
        <v>3588.93</v>
      </c>
      <c r="V16" s="131">
        <f t="shared" si="1"/>
        <v>11.070000000000164</v>
      </c>
      <c r="W16" s="41"/>
    </row>
    <row r="17" spans="1:23">
      <c r="A17" s="36">
        <v>3</v>
      </c>
      <c r="B17" s="28" t="s">
        <v>39</v>
      </c>
      <c r="C17" s="7" t="s">
        <v>30</v>
      </c>
      <c r="D17" s="37" t="s">
        <v>40</v>
      </c>
      <c r="E17" s="37" t="s">
        <v>35</v>
      </c>
      <c r="F17" s="37">
        <v>1</v>
      </c>
      <c r="G17" s="37">
        <v>4</v>
      </c>
      <c r="H17" s="37">
        <v>200</v>
      </c>
      <c r="I17" s="37">
        <f t="shared" si="2"/>
        <v>800</v>
      </c>
      <c r="J17" s="38">
        <f t="shared" si="3"/>
        <v>800</v>
      </c>
      <c r="K17" s="39">
        <f t="shared" si="4"/>
        <v>800</v>
      </c>
      <c r="L17" s="321"/>
      <c r="M17" s="321">
        <v>604.77</v>
      </c>
      <c r="N17" s="321"/>
      <c r="O17" s="321"/>
      <c r="P17" s="321"/>
      <c r="Q17" s="321"/>
      <c r="R17" s="321"/>
      <c r="S17" s="321"/>
      <c r="T17" s="40"/>
      <c r="U17" s="298">
        <f t="shared" si="0"/>
        <v>604.77</v>
      </c>
      <c r="V17" s="131">
        <f t="shared" si="1"/>
        <v>195.23000000000002</v>
      </c>
      <c r="W17" s="41"/>
    </row>
    <row r="18" spans="1:23">
      <c r="A18" s="36">
        <v>5</v>
      </c>
      <c r="B18" s="28"/>
      <c r="C18" s="7"/>
      <c r="D18" s="37" t="s">
        <v>41</v>
      </c>
      <c r="E18" s="37"/>
      <c r="F18" s="37"/>
      <c r="G18" s="37"/>
      <c r="H18" s="37"/>
      <c r="I18" s="37"/>
      <c r="J18" s="38">
        <f t="shared" si="3"/>
        <v>0</v>
      </c>
      <c r="K18" s="39">
        <f t="shared" si="4"/>
        <v>0</v>
      </c>
      <c r="L18" s="321"/>
      <c r="M18" s="321">
        <v>43.68</v>
      </c>
      <c r="N18" s="321"/>
      <c r="O18" s="321"/>
      <c r="P18" s="321"/>
      <c r="Q18" s="321"/>
      <c r="R18" s="321"/>
      <c r="S18" s="321"/>
      <c r="T18" s="40"/>
      <c r="U18" s="298">
        <f t="shared" si="0"/>
        <v>43.68</v>
      </c>
      <c r="V18" s="131">
        <f t="shared" si="1"/>
        <v>-43.68</v>
      </c>
      <c r="W18" s="41"/>
    </row>
    <row r="19" spans="1:23" ht="24">
      <c r="A19" s="36">
        <v>5</v>
      </c>
      <c r="B19" s="28"/>
      <c r="C19" s="7"/>
      <c r="D19" s="42" t="s">
        <v>42</v>
      </c>
      <c r="E19" s="37"/>
      <c r="F19" s="37"/>
      <c r="G19" s="37"/>
      <c r="H19" s="37"/>
      <c r="I19" s="37"/>
      <c r="J19" s="38">
        <f t="shared" si="3"/>
        <v>0</v>
      </c>
      <c r="K19" s="39">
        <f t="shared" si="4"/>
        <v>0</v>
      </c>
      <c r="L19" s="321"/>
      <c r="M19" s="321">
        <v>134.4</v>
      </c>
      <c r="N19" s="321"/>
      <c r="O19" s="321"/>
      <c r="P19" s="321"/>
      <c r="Q19" s="321"/>
      <c r="R19" s="321"/>
      <c r="S19" s="321"/>
      <c r="T19" s="40"/>
      <c r="U19" s="298">
        <f t="shared" si="0"/>
        <v>134.4</v>
      </c>
      <c r="V19" s="131">
        <f t="shared" si="1"/>
        <v>-134.4</v>
      </c>
      <c r="W19" s="41"/>
    </row>
    <row r="20" spans="1:23">
      <c r="A20" s="36">
        <v>4</v>
      </c>
      <c r="B20" s="28"/>
      <c r="C20" s="7"/>
      <c r="D20" s="37" t="s">
        <v>43</v>
      </c>
      <c r="E20" s="37"/>
      <c r="F20" s="37"/>
      <c r="G20" s="37"/>
      <c r="H20" s="37"/>
      <c r="I20" s="37"/>
      <c r="J20" s="38">
        <f t="shared" si="3"/>
        <v>0</v>
      </c>
      <c r="K20" s="39">
        <f t="shared" si="4"/>
        <v>0</v>
      </c>
      <c r="L20" s="321"/>
      <c r="M20" s="321">
        <v>100.79</v>
      </c>
      <c r="N20" s="321"/>
      <c r="O20" s="321"/>
      <c r="P20" s="321"/>
      <c r="Q20" s="321"/>
      <c r="R20" s="321"/>
      <c r="S20" s="321"/>
      <c r="T20" s="40"/>
      <c r="U20" s="298">
        <f t="shared" si="0"/>
        <v>100.79</v>
      </c>
      <c r="V20" s="131">
        <f t="shared" si="1"/>
        <v>-100.79</v>
      </c>
      <c r="W20" s="41"/>
    </row>
    <row r="21" spans="1:23">
      <c r="A21" s="36">
        <v>2</v>
      </c>
      <c r="B21" s="28"/>
      <c r="C21" s="7"/>
      <c r="D21" s="37" t="s">
        <v>44</v>
      </c>
      <c r="E21" s="37"/>
      <c r="F21" s="37"/>
      <c r="G21" s="37"/>
      <c r="H21" s="37"/>
      <c r="I21" s="37"/>
      <c r="J21" s="38">
        <f t="shared" si="3"/>
        <v>0</v>
      </c>
      <c r="K21" s="39">
        <f t="shared" si="4"/>
        <v>0</v>
      </c>
      <c r="L21" s="321"/>
      <c r="M21" s="321">
        <v>748.4</v>
      </c>
      <c r="N21" s="321"/>
      <c r="O21" s="321"/>
      <c r="P21" s="321"/>
      <c r="Q21" s="321"/>
      <c r="R21" s="321"/>
      <c r="S21" s="321"/>
      <c r="T21" s="40"/>
      <c r="U21" s="298">
        <f t="shared" si="0"/>
        <v>748.4</v>
      </c>
      <c r="V21" s="131">
        <f t="shared" si="1"/>
        <v>-748.4</v>
      </c>
      <c r="W21" s="41"/>
    </row>
    <row r="22" spans="1:23">
      <c r="A22" s="36">
        <v>5</v>
      </c>
      <c r="B22" s="2" t="s">
        <v>36</v>
      </c>
      <c r="C22" s="7" t="s">
        <v>30</v>
      </c>
      <c r="D22" s="37" t="s">
        <v>45</v>
      </c>
      <c r="E22" s="37" t="s">
        <v>32</v>
      </c>
      <c r="F22" s="37">
        <v>1</v>
      </c>
      <c r="G22" s="37">
        <v>4</v>
      </c>
      <c r="H22" s="37">
        <v>50</v>
      </c>
      <c r="I22" s="37">
        <f t="shared" si="2"/>
        <v>200</v>
      </c>
      <c r="J22" s="38">
        <f t="shared" si="3"/>
        <v>200</v>
      </c>
      <c r="K22" s="39">
        <f t="shared" si="4"/>
        <v>200</v>
      </c>
      <c r="L22" s="321"/>
      <c r="M22" s="321">
        <v>51</v>
      </c>
      <c r="N22" s="321"/>
      <c r="O22" s="321"/>
      <c r="P22" s="321"/>
      <c r="Q22" s="321"/>
      <c r="R22" s="321"/>
      <c r="S22" s="321"/>
      <c r="T22" s="40"/>
      <c r="U22" s="298">
        <f t="shared" si="0"/>
        <v>51</v>
      </c>
      <c r="V22" s="131">
        <f t="shared" si="1"/>
        <v>149</v>
      </c>
      <c r="W22" s="41"/>
    </row>
    <row r="23" spans="1:23">
      <c r="A23" s="36">
        <v>2</v>
      </c>
      <c r="B23" s="2" t="s">
        <v>29</v>
      </c>
      <c r="C23" s="7" t="s">
        <v>30</v>
      </c>
      <c r="D23" s="37" t="s">
        <v>46</v>
      </c>
      <c r="E23" s="37" t="s">
        <v>35</v>
      </c>
      <c r="F23" s="37">
        <v>30</v>
      </c>
      <c r="G23" s="37">
        <v>1</v>
      </c>
      <c r="H23" s="37">
        <v>5</v>
      </c>
      <c r="I23" s="37">
        <f t="shared" si="2"/>
        <v>150</v>
      </c>
      <c r="J23" s="38">
        <f>I23/$H$5</f>
        <v>150</v>
      </c>
      <c r="K23" s="39">
        <f t="shared" si="4"/>
        <v>150</v>
      </c>
      <c r="L23" s="321"/>
      <c r="M23" s="321">
        <v>470.3</v>
      </c>
      <c r="N23" s="321"/>
      <c r="O23" s="321"/>
      <c r="P23" s="321"/>
      <c r="Q23" s="321"/>
      <c r="R23" s="321"/>
      <c r="S23" s="321"/>
      <c r="T23" s="40"/>
      <c r="U23" s="298">
        <f t="shared" si="0"/>
        <v>470.3</v>
      </c>
      <c r="V23" s="131">
        <f t="shared" si="1"/>
        <v>-320.3</v>
      </c>
      <c r="W23" s="41"/>
    </row>
    <row r="24" spans="1:23">
      <c r="A24" s="36">
        <v>5</v>
      </c>
      <c r="B24" s="2" t="s">
        <v>36</v>
      </c>
      <c r="C24" s="7" t="s">
        <v>30</v>
      </c>
      <c r="D24" s="37" t="s">
        <v>47</v>
      </c>
      <c r="E24" s="37" t="s">
        <v>35</v>
      </c>
      <c r="F24" s="37">
        <v>1</v>
      </c>
      <c r="G24" s="37">
        <v>1</v>
      </c>
      <c r="H24" s="37">
        <v>1200</v>
      </c>
      <c r="I24" s="37">
        <f t="shared" si="2"/>
        <v>1200</v>
      </c>
      <c r="J24" s="38">
        <f t="shared" ref="J24:J29" si="5">I24/$H$5</f>
        <v>1200</v>
      </c>
      <c r="K24" s="39">
        <f t="shared" si="4"/>
        <v>1200</v>
      </c>
      <c r="L24" s="321"/>
      <c r="M24" s="321"/>
      <c r="N24" s="321"/>
      <c r="O24" s="321"/>
      <c r="P24" s="321"/>
      <c r="Q24" s="321"/>
      <c r="R24" s="321"/>
      <c r="S24" s="321"/>
      <c r="T24" s="40">
        <v>1200</v>
      </c>
      <c r="U24" s="298">
        <f t="shared" si="0"/>
        <v>1200</v>
      </c>
      <c r="V24" s="131">
        <f t="shared" si="1"/>
        <v>0</v>
      </c>
      <c r="W24" s="41"/>
    </row>
    <row r="25" spans="1:23">
      <c r="A25" s="36">
        <v>5</v>
      </c>
      <c r="B25" s="2" t="s">
        <v>36</v>
      </c>
      <c r="C25" s="7" t="s">
        <v>30</v>
      </c>
      <c r="D25" s="37" t="s">
        <v>48</v>
      </c>
      <c r="E25" s="37" t="s">
        <v>49</v>
      </c>
      <c r="F25" s="37">
        <v>1</v>
      </c>
      <c r="G25" s="37">
        <v>5</v>
      </c>
      <c r="H25" s="37">
        <v>200</v>
      </c>
      <c r="I25" s="37">
        <f t="shared" si="2"/>
        <v>1000</v>
      </c>
      <c r="J25" s="38">
        <f t="shared" si="5"/>
        <v>1000</v>
      </c>
      <c r="K25" s="39">
        <f t="shared" si="4"/>
        <v>1000</v>
      </c>
      <c r="L25" s="321"/>
      <c r="M25" s="321"/>
      <c r="N25" s="321"/>
      <c r="O25" s="321"/>
      <c r="P25" s="321"/>
      <c r="Q25" s="321"/>
      <c r="R25" s="321"/>
      <c r="S25" s="321"/>
      <c r="T25" s="40">
        <v>1000</v>
      </c>
      <c r="U25" s="298">
        <f t="shared" si="0"/>
        <v>1000</v>
      </c>
      <c r="V25" s="131">
        <f t="shared" si="1"/>
        <v>0</v>
      </c>
      <c r="W25" s="41"/>
    </row>
    <row r="26" spans="1:23">
      <c r="A26" s="36">
        <v>5</v>
      </c>
      <c r="B26" s="2" t="s">
        <v>36</v>
      </c>
      <c r="C26" s="7" t="s">
        <v>30</v>
      </c>
      <c r="D26" s="37" t="s">
        <v>50</v>
      </c>
      <c r="E26" s="37" t="s">
        <v>35</v>
      </c>
      <c r="F26" s="37">
        <v>1</v>
      </c>
      <c r="G26" s="37">
        <v>2</v>
      </c>
      <c r="H26" s="37">
        <v>40</v>
      </c>
      <c r="I26" s="37">
        <f t="shared" si="2"/>
        <v>80</v>
      </c>
      <c r="J26" s="38">
        <f t="shared" si="5"/>
        <v>80</v>
      </c>
      <c r="K26" s="39">
        <f t="shared" si="4"/>
        <v>80</v>
      </c>
      <c r="L26" s="321"/>
      <c r="M26" s="321"/>
      <c r="N26" s="321"/>
      <c r="O26" s="321"/>
      <c r="P26" s="321"/>
      <c r="Q26" s="321"/>
      <c r="R26" s="321"/>
      <c r="S26" s="321"/>
      <c r="T26" s="40"/>
      <c r="U26" s="298">
        <f t="shared" si="0"/>
        <v>0</v>
      </c>
      <c r="V26" s="131">
        <f t="shared" si="1"/>
        <v>80</v>
      </c>
      <c r="W26" s="41"/>
    </row>
    <row r="27" spans="1:23">
      <c r="A27" s="36">
        <v>4</v>
      </c>
      <c r="B27" s="2" t="s">
        <v>51</v>
      </c>
      <c r="C27" s="7" t="s">
        <v>30</v>
      </c>
      <c r="D27" s="37" t="s">
        <v>52</v>
      </c>
      <c r="E27" s="37" t="s">
        <v>32</v>
      </c>
      <c r="F27" s="37">
        <v>1</v>
      </c>
      <c r="G27" s="37">
        <v>1</v>
      </c>
      <c r="H27" s="37">
        <v>1000</v>
      </c>
      <c r="I27" s="37">
        <f t="shared" si="2"/>
        <v>1000</v>
      </c>
      <c r="J27" s="38">
        <f t="shared" si="5"/>
        <v>1000</v>
      </c>
      <c r="K27" s="39">
        <f t="shared" si="4"/>
        <v>1000</v>
      </c>
      <c r="L27" s="321"/>
      <c r="M27" s="321"/>
      <c r="N27" s="321">
        <v>490.19</v>
      </c>
      <c r="O27" s="321"/>
      <c r="P27" s="321"/>
      <c r="Q27" s="321">
        <v>499.79</v>
      </c>
      <c r="R27" s="321"/>
      <c r="S27" s="321"/>
      <c r="T27" s="40"/>
      <c r="U27" s="298">
        <f t="shared" si="0"/>
        <v>989.98</v>
      </c>
      <c r="V27" s="131">
        <f t="shared" si="1"/>
        <v>10.019999999999982</v>
      </c>
      <c r="W27" s="41"/>
    </row>
    <row r="28" spans="1:23">
      <c r="A28" s="36">
        <v>4</v>
      </c>
      <c r="B28" s="2" t="s">
        <v>51</v>
      </c>
      <c r="C28" s="7" t="s">
        <v>30</v>
      </c>
      <c r="D28" s="37" t="s">
        <v>53</v>
      </c>
      <c r="E28" s="37" t="s">
        <v>32</v>
      </c>
      <c r="F28" s="37">
        <v>1</v>
      </c>
      <c r="G28" s="37">
        <v>1</v>
      </c>
      <c r="H28" s="37">
        <v>1700</v>
      </c>
      <c r="I28" s="37">
        <f t="shared" si="2"/>
        <v>1700</v>
      </c>
      <c r="J28" s="38">
        <f t="shared" si="5"/>
        <v>1700</v>
      </c>
      <c r="K28" s="39">
        <f t="shared" si="4"/>
        <v>1700</v>
      </c>
      <c r="L28" s="321"/>
      <c r="M28" s="321">
        <v>837.89</v>
      </c>
      <c r="N28" s="321">
        <v>839.67</v>
      </c>
      <c r="O28" s="321"/>
      <c r="P28" s="321"/>
      <c r="Q28" s="321"/>
      <c r="R28" s="321"/>
      <c r="S28" s="321"/>
      <c r="T28" s="40"/>
      <c r="U28" s="298">
        <f t="shared" si="0"/>
        <v>1677.56</v>
      </c>
      <c r="V28" s="131">
        <f t="shared" si="1"/>
        <v>22.440000000000055</v>
      </c>
      <c r="W28" s="41"/>
    </row>
    <row r="29" spans="1:23">
      <c r="A29" s="36">
        <v>4</v>
      </c>
      <c r="B29" s="2" t="s">
        <v>51</v>
      </c>
      <c r="C29" s="7" t="s">
        <v>30</v>
      </c>
      <c r="D29" s="37" t="s">
        <v>54</v>
      </c>
      <c r="E29" s="37" t="s">
        <v>32</v>
      </c>
      <c r="F29" s="37">
        <v>1</v>
      </c>
      <c r="G29" s="37">
        <v>1</v>
      </c>
      <c r="H29" s="37">
        <v>750</v>
      </c>
      <c r="I29" s="37">
        <f t="shared" si="2"/>
        <v>750</v>
      </c>
      <c r="J29" s="38">
        <f t="shared" si="5"/>
        <v>750</v>
      </c>
      <c r="K29" s="39">
        <f t="shared" si="4"/>
        <v>750</v>
      </c>
      <c r="L29" s="321"/>
      <c r="M29" s="321"/>
      <c r="N29" s="321"/>
      <c r="O29" s="321"/>
      <c r="P29" s="321"/>
      <c r="Q29" s="321"/>
      <c r="R29" s="321"/>
      <c r="S29" s="321"/>
      <c r="T29" s="40">
        <v>750</v>
      </c>
      <c r="U29" s="298">
        <f t="shared" si="0"/>
        <v>750</v>
      </c>
      <c r="V29" s="131">
        <f t="shared" si="1"/>
        <v>0</v>
      </c>
      <c r="W29" s="41"/>
    </row>
    <row r="30" spans="1:23">
      <c r="A30" s="36"/>
      <c r="B30" s="28" t="s">
        <v>55</v>
      </c>
      <c r="C30" s="49" t="s">
        <v>56</v>
      </c>
      <c r="D30" s="50"/>
      <c r="E30" s="51"/>
      <c r="F30" s="51"/>
      <c r="G30" s="52"/>
      <c r="H30" s="52"/>
      <c r="I30" s="53">
        <f t="shared" ref="I30:R30" si="6">SUM(I12:I29)</f>
        <v>13180</v>
      </c>
      <c r="J30" s="53">
        <f t="shared" si="6"/>
        <v>13180</v>
      </c>
      <c r="K30" s="54">
        <f t="shared" si="6"/>
        <v>13180</v>
      </c>
      <c r="L30" s="55">
        <f t="shared" si="6"/>
        <v>0</v>
      </c>
      <c r="M30" s="55">
        <f t="shared" si="6"/>
        <v>8963.5899999999983</v>
      </c>
      <c r="N30" s="55">
        <f t="shared" si="6"/>
        <v>3608.46</v>
      </c>
      <c r="O30" s="55">
        <f t="shared" si="6"/>
        <v>0</v>
      </c>
      <c r="P30" s="55">
        <f t="shared" si="6"/>
        <v>0</v>
      </c>
      <c r="Q30" s="55">
        <f t="shared" si="6"/>
        <v>499.79</v>
      </c>
      <c r="R30" s="55">
        <f t="shared" si="6"/>
        <v>0</v>
      </c>
      <c r="S30" s="55">
        <f t="shared" ref="S30:T30" si="7">SUM(S12:S29)</f>
        <v>0</v>
      </c>
      <c r="T30" s="55">
        <f t="shared" si="7"/>
        <v>2950</v>
      </c>
      <c r="U30" s="92">
        <f>SUM(U12:U29)</f>
        <v>16021.839999999998</v>
      </c>
      <c r="V30" s="132">
        <f>SUM(V12:V29)</f>
        <v>-2841.84</v>
      </c>
      <c r="W30" s="56">
        <v>10013.65</v>
      </c>
    </row>
    <row r="31" spans="1:23">
      <c r="A31" s="36"/>
      <c r="B31" s="28" t="s">
        <v>55</v>
      </c>
      <c r="C31" s="57" t="s">
        <v>57</v>
      </c>
      <c r="D31" s="58" t="s">
        <v>58</v>
      </c>
      <c r="E31" s="59"/>
      <c r="F31" s="58"/>
      <c r="G31" s="58"/>
      <c r="H31" s="59"/>
      <c r="I31" s="59"/>
      <c r="J31" s="59"/>
      <c r="K31" s="60"/>
      <c r="L31" s="322"/>
      <c r="M31" s="322"/>
      <c r="N31" s="322"/>
      <c r="O31" s="322"/>
      <c r="P31" s="322"/>
      <c r="Q31" s="322"/>
      <c r="R31" s="322"/>
      <c r="S31" s="322"/>
      <c r="T31" s="61"/>
      <c r="U31" s="299"/>
      <c r="V31" s="137"/>
      <c r="W31" s="62"/>
    </row>
    <row r="32" spans="1:23">
      <c r="A32" s="36">
        <v>2</v>
      </c>
      <c r="B32" s="2" t="s">
        <v>29</v>
      </c>
      <c r="C32" s="7" t="s">
        <v>59</v>
      </c>
      <c r="D32" s="37" t="s">
        <v>60</v>
      </c>
      <c r="E32" s="37" t="s">
        <v>32</v>
      </c>
      <c r="F32" s="37">
        <f>2</f>
        <v>2</v>
      </c>
      <c r="G32" s="37">
        <v>3</v>
      </c>
      <c r="H32" s="37">
        <v>200</v>
      </c>
      <c r="I32" s="37">
        <f>F32*G32*H32</f>
        <v>1200</v>
      </c>
      <c r="J32" s="38">
        <f>I32/$H$5</f>
        <v>1200</v>
      </c>
      <c r="K32" s="39">
        <f>I32</f>
        <v>1200</v>
      </c>
      <c r="L32" s="321"/>
      <c r="M32" s="321"/>
      <c r="N32" s="321">
        <v>2627.93</v>
      </c>
      <c r="O32" s="321"/>
      <c r="P32" s="321"/>
      <c r="Q32" s="321"/>
      <c r="R32" s="321"/>
      <c r="S32" s="321"/>
      <c r="T32" s="40"/>
      <c r="U32" s="298">
        <f>+L32+M32+N32+O32+P32+Q32+R32+S32+T32</f>
        <v>2627.93</v>
      </c>
      <c r="V32" s="131">
        <f>J32-L32-M32-N32-O32-P32-Q32-R32-T32</f>
        <v>-1427.9299999999998</v>
      </c>
      <c r="W32" s="41"/>
    </row>
    <row r="33" spans="1:24">
      <c r="A33" s="36">
        <v>2</v>
      </c>
      <c r="B33" s="2" t="s">
        <v>29</v>
      </c>
      <c r="C33" s="7" t="s">
        <v>59</v>
      </c>
      <c r="D33" s="37" t="s">
        <v>61</v>
      </c>
      <c r="E33" s="37" t="s">
        <v>35</v>
      </c>
      <c r="F33" s="37">
        <f>25*2</f>
        <v>50</v>
      </c>
      <c r="G33" s="37">
        <v>3</v>
      </c>
      <c r="H33" s="37">
        <v>20</v>
      </c>
      <c r="I33" s="37">
        <f t="shared" ref="I33:I36" si="8">F33*G33*H33</f>
        <v>3000</v>
      </c>
      <c r="J33" s="38">
        <f t="shared" ref="J33:J37" si="9">I33/$H$5</f>
        <v>3000</v>
      </c>
      <c r="K33" s="39">
        <f t="shared" ref="K33:K41" si="10">I33</f>
        <v>3000</v>
      </c>
      <c r="L33" s="321"/>
      <c r="M33" s="321"/>
      <c r="N33" s="321">
        <v>1869.12</v>
      </c>
      <c r="O33" s="321"/>
      <c r="P33" s="321"/>
      <c r="Q33" s="321"/>
      <c r="R33" s="321"/>
      <c r="S33" s="321"/>
      <c r="T33" s="40"/>
      <c r="U33" s="298">
        <f t="shared" ref="U33:U41" si="11">+L33+M33+N33+O33+P33+Q33+R33+S33+T33</f>
        <v>1869.12</v>
      </c>
      <c r="V33" s="131">
        <f t="shared" ref="V33:V41" si="12">J33-L33-M33-N33-O33-P33-Q33-R33-T33</f>
        <v>1130.8800000000001</v>
      </c>
      <c r="W33" s="41"/>
    </row>
    <row r="34" spans="1:24">
      <c r="A34" s="36">
        <v>2</v>
      </c>
      <c r="B34" s="2" t="s">
        <v>29</v>
      </c>
      <c r="C34" s="7" t="s">
        <v>59</v>
      </c>
      <c r="D34" s="37" t="s">
        <v>62</v>
      </c>
      <c r="E34" s="37" t="s">
        <v>35</v>
      </c>
      <c r="F34" s="37">
        <v>25</v>
      </c>
      <c r="G34" s="37">
        <v>3</v>
      </c>
      <c r="H34" s="37">
        <v>5</v>
      </c>
      <c r="I34" s="37">
        <f t="shared" si="8"/>
        <v>375</v>
      </c>
      <c r="J34" s="38">
        <f t="shared" si="9"/>
        <v>375</v>
      </c>
      <c r="K34" s="39">
        <f t="shared" si="10"/>
        <v>375</v>
      </c>
      <c r="L34" s="321"/>
      <c r="M34" s="321"/>
      <c r="N34" s="321">
        <v>205</v>
      </c>
      <c r="O34" s="321"/>
      <c r="P34" s="321"/>
      <c r="Q34" s="321"/>
      <c r="R34" s="321"/>
      <c r="S34" s="321"/>
      <c r="T34" s="40"/>
      <c r="U34" s="298">
        <f t="shared" si="11"/>
        <v>205</v>
      </c>
      <c r="V34" s="131">
        <f t="shared" si="12"/>
        <v>170</v>
      </c>
      <c r="W34" s="41"/>
    </row>
    <row r="35" spans="1:24">
      <c r="A35" s="36">
        <v>5</v>
      </c>
      <c r="B35" s="28" t="s">
        <v>36</v>
      </c>
      <c r="C35" s="7" t="s">
        <v>59</v>
      </c>
      <c r="D35" s="37" t="s">
        <v>63</v>
      </c>
      <c r="E35" s="37" t="s">
        <v>35</v>
      </c>
      <c r="F35" s="37">
        <f>25*2</f>
        <v>50</v>
      </c>
      <c r="G35" s="37">
        <v>3</v>
      </c>
      <c r="H35" s="37">
        <v>10</v>
      </c>
      <c r="I35" s="37">
        <f t="shared" si="8"/>
        <v>1500</v>
      </c>
      <c r="J35" s="38">
        <f t="shared" si="9"/>
        <v>1500</v>
      </c>
      <c r="K35" s="39">
        <f t="shared" si="10"/>
        <v>1500</v>
      </c>
      <c r="L35" s="321"/>
      <c r="M35" s="321"/>
      <c r="N35" s="321">
        <v>1358.47</v>
      </c>
      <c r="O35" s="321"/>
      <c r="P35" s="321"/>
      <c r="Q35" s="321"/>
      <c r="R35" s="321"/>
      <c r="S35" s="321"/>
      <c r="T35" s="40"/>
      <c r="U35" s="298">
        <f t="shared" si="11"/>
        <v>1358.47</v>
      </c>
      <c r="V35" s="131">
        <f t="shared" si="12"/>
        <v>141.52999999999997</v>
      </c>
      <c r="W35" s="41"/>
    </row>
    <row r="36" spans="1:24">
      <c r="A36" s="36">
        <v>4</v>
      </c>
      <c r="B36" s="2" t="s">
        <v>51</v>
      </c>
      <c r="C36" s="7" t="s">
        <v>59</v>
      </c>
      <c r="D36" s="37" t="s">
        <v>64</v>
      </c>
      <c r="E36" s="37" t="s">
        <v>35</v>
      </c>
      <c r="F36" s="37">
        <v>1</v>
      </c>
      <c r="G36" s="37">
        <v>3</v>
      </c>
      <c r="H36" s="37">
        <v>100</v>
      </c>
      <c r="I36" s="37">
        <f t="shared" si="8"/>
        <v>300</v>
      </c>
      <c r="J36" s="38">
        <f t="shared" si="9"/>
        <v>300</v>
      </c>
      <c r="K36" s="39">
        <f t="shared" si="10"/>
        <v>300</v>
      </c>
      <c r="L36" s="321"/>
      <c r="M36" s="321"/>
      <c r="N36" s="321">
        <v>243.76</v>
      </c>
      <c r="O36" s="321"/>
      <c r="P36" s="321"/>
      <c r="Q36" s="321"/>
      <c r="R36" s="321"/>
      <c r="S36" s="321"/>
      <c r="T36" s="40"/>
      <c r="U36" s="298">
        <f t="shared" si="11"/>
        <v>243.76</v>
      </c>
      <c r="V36" s="131">
        <f t="shared" si="12"/>
        <v>56.240000000000009</v>
      </c>
      <c r="W36" s="41"/>
    </row>
    <row r="37" spans="1:24">
      <c r="A37" s="43">
        <v>5</v>
      </c>
      <c r="B37" s="6" t="s">
        <v>36</v>
      </c>
      <c r="C37" s="44">
        <v>1.1000000000000001</v>
      </c>
      <c r="D37" s="45" t="s">
        <v>65</v>
      </c>
      <c r="E37" s="45" t="s">
        <v>35</v>
      </c>
      <c r="F37" s="45">
        <v>25</v>
      </c>
      <c r="G37" s="45">
        <v>3</v>
      </c>
      <c r="H37" s="45">
        <v>0</v>
      </c>
      <c r="I37" s="46">
        <v>0</v>
      </c>
      <c r="J37" s="38">
        <f t="shared" si="9"/>
        <v>0</v>
      </c>
      <c r="K37" s="39">
        <f t="shared" si="10"/>
        <v>0</v>
      </c>
      <c r="L37" s="323"/>
      <c r="M37" s="324"/>
      <c r="N37" s="324">
        <v>3293.6</v>
      </c>
      <c r="O37" s="324"/>
      <c r="P37" s="321"/>
      <c r="Q37" s="321"/>
      <c r="R37" s="321"/>
      <c r="S37" s="321"/>
      <c r="T37" s="40"/>
      <c r="U37" s="298">
        <f t="shared" si="11"/>
        <v>3293.6</v>
      </c>
      <c r="V37" s="131">
        <f t="shared" si="12"/>
        <v>-3293.6</v>
      </c>
      <c r="W37" s="151"/>
    </row>
    <row r="38" spans="1:24">
      <c r="A38" s="36">
        <v>2</v>
      </c>
      <c r="B38" s="2" t="s">
        <v>29</v>
      </c>
      <c r="C38" s="7" t="s">
        <v>59</v>
      </c>
      <c r="D38" s="37" t="s">
        <v>66</v>
      </c>
      <c r="E38" s="37" t="s">
        <v>32</v>
      </c>
      <c r="F38" s="37">
        <v>1</v>
      </c>
      <c r="G38" s="37">
        <v>3</v>
      </c>
      <c r="H38" s="37">
        <v>39</v>
      </c>
      <c r="I38" s="37">
        <f>F38*G38*H38</f>
        <v>117</v>
      </c>
      <c r="J38" s="38">
        <f>I38/$H$5</f>
        <v>117</v>
      </c>
      <c r="K38" s="39">
        <f t="shared" si="10"/>
        <v>117</v>
      </c>
      <c r="L38" s="321"/>
      <c r="M38" s="321"/>
      <c r="N38" s="321"/>
      <c r="O38" s="321"/>
      <c r="P38" s="321"/>
      <c r="Q38" s="321"/>
      <c r="R38" s="321"/>
      <c r="S38" s="321"/>
      <c r="T38" s="40"/>
      <c r="U38" s="298">
        <f t="shared" si="11"/>
        <v>0</v>
      </c>
      <c r="V38" s="131">
        <f>J38-L38-M38-N38-O38-P38-Q38-R38-T38</f>
        <v>117</v>
      </c>
      <c r="W38" s="41"/>
    </row>
    <row r="39" spans="1:24">
      <c r="A39" s="43">
        <v>4</v>
      </c>
      <c r="B39" s="6" t="s">
        <v>51</v>
      </c>
      <c r="C39" s="44" t="s">
        <v>59</v>
      </c>
      <c r="D39" s="45" t="s">
        <v>52</v>
      </c>
      <c r="E39" s="45" t="s">
        <v>32</v>
      </c>
      <c r="F39" s="45">
        <v>1</v>
      </c>
      <c r="G39" s="45">
        <v>1</v>
      </c>
      <c r="H39" s="45">
        <v>1000</v>
      </c>
      <c r="I39" s="46">
        <f t="shared" ref="I39:I41" si="13">F39*G39*H39</f>
        <v>1000</v>
      </c>
      <c r="J39" s="38">
        <f t="shared" ref="J39:J41" si="14">I39/$H$5</f>
        <v>1000</v>
      </c>
      <c r="K39" s="39">
        <f t="shared" si="10"/>
        <v>1000</v>
      </c>
      <c r="L39" s="323"/>
      <c r="M39" s="324"/>
      <c r="N39" s="324">
        <v>498.51</v>
      </c>
      <c r="O39" s="324"/>
      <c r="P39" s="321"/>
      <c r="Q39" s="321"/>
      <c r="R39" s="321"/>
      <c r="S39" s="321"/>
      <c r="T39" s="40"/>
      <c r="U39" s="298">
        <f t="shared" si="11"/>
        <v>498.51</v>
      </c>
      <c r="V39" s="131">
        <f t="shared" si="12"/>
        <v>501.49</v>
      </c>
      <c r="W39" s="151"/>
    </row>
    <row r="40" spans="1:24">
      <c r="A40" s="43">
        <v>4</v>
      </c>
      <c r="B40" s="6" t="s">
        <v>51</v>
      </c>
      <c r="C40" s="44" t="s">
        <v>59</v>
      </c>
      <c r="D40" s="45" t="s">
        <v>53</v>
      </c>
      <c r="E40" s="45" t="s">
        <v>32</v>
      </c>
      <c r="F40" s="45">
        <v>1</v>
      </c>
      <c r="G40" s="45">
        <v>1</v>
      </c>
      <c r="H40" s="45">
        <v>1700</v>
      </c>
      <c r="I40" s="46">
        <f t="shared" si="13"/>
        <v>1700</v>
      </c>
      <c r="J40" s="38">
        <f t="shared" si="14"/>
        <v>1700</v>
      </c>
      <c r="K40" s="39">
        <f t="shared" si="10"/>
        <v>1700</v>
      </c>
      <c r="L40" s="323"/>
      <c r="M40" s="324">
        <v>839.01</v>
      </c>
      <c r="N40" s="324">
        <v>837.49</v>
      </c>
      <c r="O40" s="324"/>
      <c r="P40" s="321"/>
      <c r="Q40" s="321"/>
      <c r="R40" s="321"/>
      <c r="S40" s="321"/>
      <c r="T40" s="40"/>
      <c r="U40" s="298">
        <f t="shared" si="11"/>
        <v>1676.5</v>
      </c>
      <c r="V40" s="131">
        <f t="shared" si="12"/>
        <v>23.5</v>
      </c>
      <c r="W40" s="151"/>
    </row>
    <row r="41" spans="1:24">
      <c r="A41" s="43">
        <v>4</v>
      </c>
      <c r="B41" s="6" t="s">
        <v>51</v>
      </c>
      <c r="C41" s="44" t="s">
        <v>59</v>
      </c>
      <c r="D41" s="45" t="s">
        <v>54</v>
      </c>
      <c r="E41" s="45" t="s">
        <v>32</v>
      </c>
      <c r="F41" s="45">
        <v>1</v>
      </c>
      <c r="G41" s="45">
        <v>1</v>
      </c>
      <c r="H41" s="45">
        <v>750</v>
      </c>
      <c r="I41" s="46">
        <f t="shared" si="13"/>
        <v>750</v>
      </c>
      <c r="J41" s="38">
        <f t="shared" si="14"/>
        <v>750</v>
      </c>
      <c r="K41" s="39">
        <f t="shared" si="10"/>
        <v>750</v>
      </c>
      <c r="L41" s="323"/>
      <c r="M41" s="324"/>
      <c r="N41" s="324"/>
      <c r="O41" s="324"/>
      <c r="P41" s="321"/>
      <c r="Q41" s="321"/>
      <c r="R41" s="321"/>
      <c r="S41" s="321"/>
      <c r="T41" s="40"/>
      <c r="U41" s="298">
        <f t="shared" si="11"/>
        <v>0</v>
      </c>
      <c r="V41" s="131">
        <f t="shared" si="12"/>
        <v>750</v>
      </c>
      <c r="W41" s="151"/>
    </row>
    <row r="42" spans="1:24">
      <c r="A42" s="36"/>
      <c r="B42" s="28" t="s">
        <v>55</v>
      </c>
      <c r="C42" s="49" t="s">
        <v>67</v>
      </c>
      <c r="D42" s="50"/>
      <c r="E42" s="51"/>
      <c r="F42" s="51"/>
      <c r="G42" s="52"/>
      <c r="H42" s="52"/>
      <c r="I42" s="53">
        <f>SUM(I32:I41)</f>
        <v>9942</v>
      </c>
      <c r="J42" s="53">
        <f>SUM(J32:J41)</f>
        <v>9942</v>
      </c>
      <c r="K42" s="54">
        <f>SUM(K32:K41)</f>
        <v>9942</v>
      </c>
      <c r="L42" s="55">
        <f>SUM(L32:L38)</f>
        <v>0</v>
      </c>
      <c r="M42" s="55">
        <f t="shared" ref="M42:V42" si="15">SUM(M32:M41)</f>
        <v>839.01</v>
      </c>
      <c r="N42" s="55">
        <f t="shared" si="15"/>
        <v>10933.88</v>
      </c>
      <c r="O42" s="55">
        <f t="shared" si="15"/>
        <v>0</v>
      </c>
      <c r="P42" s="55">
        <f t="shared" si="15"/>
        <v>0</v>
      </c>
      <c r="Q42" s="55">
        <f t="shared" si="15"/>
        <v>0</v>
      </c>
      <c r="R42" s="55">
        <f t="shared" si="15"/>
        <v>0</v>
      </c>
      <c r="S42" s="55">
        <f t="shared" ref="S42:T42" si="16">SUM(S32:S41)</f>
        <v>0</v>
      </c>
      <c r="T42" s="55">
        <f t="shared" si="16"/>
        <v>0</v>
      </c>
      <c r="U42" s="92">
        <f>SUM(U32:U41)</f>
        <v>11772.89</v>
      </c>
      <c r="V42" s="132">
        <f t="shared" si="15"/>
        <v>-1830.8899999999994</v>
      </c>
      <c r="W42" s="56">
        <v>7778.3938461538464</v>
      </c>
      <c r="X42" s="291"/>
    </row>
    <row r="43" spans="1:24">
      <c r="A43" s="36"/>
      <c r="B43" s="28" t="s">
        <v>55</v>
      </c>
      <c r="C43" s="57" t="s">
        <v>68</v>
      </c>
      <c r="D43" s="58" t="s">
        <v>69</v>
      </c>
      <c r="E43" s="59"/>
      <c r="F43" s="58"/>
      <c r="G43" s="58"/>
      <c r="H43" s="59"/>
      <c r="I43" s="59"/>
      <c r="J43" s="59"/>
      <c r="K43" s="60"/>
      <c r="L43" s="322"/>
      <c r="M43" s="322"/>
      <c r="N43" s="322"/>
      <c r="O43" s="322"/>
      <c r="P43" s="322"/>
      <c r="Q43" s="322"/>
      <c r="R43" s="322"/>
      <c r="S43" s="322"/>
      <c r="T43" s="61"/>
      <c r="U43" s="299"/>
      <c r="V43" s="137"/>
      <c r="W43" s="62"/>
    </row>
    <row r="44" spans="1:24">
      <c r="A44" s="36">
        <v>5</v>
      </c>
      <c r="B44" s="2" t="s">
        <v>36</v>
      </c>
      <c r="C44" s="7" t="s">
        <v>70</v>
      </c>
      <c r="D44" s="37" t="s">
        <v>71</v>
      </c>
      <c r="E44" s="37" t="s">
        <v>32</v>
      </c>
      <c r="F44" s="37">
        <v>1</v>
      </c>
      <c r="G44" s="37">
        <v>8</v>
      </c>
      <c r="H44" s="37">
        <v>100</v>
      </c>
      <c r="I44" s="37">
        <f t="shared" ref="I44:I49" si="17">F44*G44*H44</f>
        <v>800</v>
      </c>
      <c r="J44" s="38">
        <f t="shared" ref="J44:J49" si="18">I44/$H$5</f>
        <v>800</v>
      </c>
      <c r="K44" s="39">
        <f>I44</f>
        <v>800</v>
      </c>
      <c r="L44" s="321"/>
      <c r="M44" s="321">
        <v>123.34</v>
      </c>
      <c r="N44" s="321"/>
      <c r="O44" s="321">
        <v>315.10000000000002</v>
      </c>
      <c r="P44" s="321">
        <v>196.91804816600705</v>
      </c>
      <c r="Q44" s="321">
        <v>101.78417329861855</v>
      </c>
      <c r="R44" s="321"/>
      <c r="S44" s="321"/>
      <c r="T44" s="40"/>
      <c r="U44" s="298">
        <f>+L44+M44+N44+O44+P44+Q44+R44+S44+T44</f>
        <v>737.14222146462566</v>
      </c>
      <c r="V44" s="131">
        <f>J44-L44-M44-N44-O44-P44-Q44-R44-S44-T44</f>
        <v>62.857778535374337</v>
      </c>
      <c r="W44" s="41"/>
    </row>
    <row r="45" spans="1:24">
      <c r="A45" s="36">
        <v>4</v>
      </c>
      <c r="B45" s="2" t="s">
        <v>51</v>
      </c>
      <c r="C45" s="7" t="s">
        <v>70</v>
      </c>
      <c r="D45" s="37" t="s">
        <v>72</v>
      </c>
      <c r="E45" s="37" t="s">
        <v>35</v>
      </c>
      <c r="F45" s="37">
        <v>1</v>
      </c>
      <c r="G45" s="37">
        <v>8</v>
      </c>
      <c r="H45" s="37">
        <v>100</v>
      </c>
      <c r="I45" s="37">
        <f t="shared" si="17"/>
        <v>800</v>
      </c>
      <c r="J45" s="38">
        <f t="shared" si="18"/>
        <v>800</v>
      </c>
      <c r="K45" s="39">
        <f t="shared" ref="K45:K49" si="19">I45</f>
        <v>800</v>
      </c>
      <c r="L45" s="321"/>
      <c r="M45" s="321"/>
      <c r="N45" s="321"/>
      <c r="O45" s="321"/>
      <c r="P45" s="321"/>
      <c r="Q45" s="321">
        <f>241.23+108.1+186.59+340.96</f>
        <v>876.87999999999988</v>
      </c>
      <c r="R45" s="321"/>
      <c r="S45" s="321"/>
      <c r="T45" s="40"/>
      <c r="U45" s="298">
        <f t="shared" ref="U45:U49" si="20">+L45+M45+N45+O45+P45+Q45+R45+S45+T45</f>
        <v>876.87999999999988</v>
      </c>
      <c r="V45" s="131">
        <f t="shared" ref="V45:V49" si="21">J45-L45-M45-N45-O45-P45-Q45-R45-S45-T45</f>
        <v>-76.879999999999882</v>
      </c>
      <c r="W45" s="41"/>
    </row>
    <row r="46" spans="1:24">
      <c r="A46" s="36">
        <v>4</v>
      </c>
      <c r="B46" s="2" t="s">
        <v>51</v>
      </c>
      <c r="C46" s="7" t="s">
        <v>70</v>
      </c>
      <c r="D46" s="37" t="s">
        <v>73</v>
      </c>
      <c r="E46" s="37" t="s">
        <v>35</v>
      </c>
      <c r="F46" s="37">
        <v>1</v>
      </c>
      <c r="G46" s="37">
        <v>8</v>
      </c>
      <c r="H46" s="37">
        <v>100</v>
      </c>
      <c r="I46" s="37">
        <f t="shared" si="17"/>
        <v>800</v>
      </c>
      <c r="J46" s="38">
        <f t="shared" si="18"/>
        <v>800</v>
      </c>
      <c r="K46" s="39">
        <f t="shared" si="19"/>
        <v>800</v>
      </c>
      <c r="L46" s="321"/>
      <c r="M46" s="321"/>
      <c r="N46" s="321"/>
      <c r="O46" s="321"/>
      <c r="P46" s="321"/>
      <c r="Q46" s="321"/>
      <c r="R46" s="321">
        <f>44.35+97.96</f>
        <v>142.31</v>
      </c>
      <c r="S46" s="321">
        <f>111.459302350505+85.33</f>
        <v>196.78930235050501</v>
      </c>
      <c r="T46" s="40">
        <v>77.91</v>
      </c>
      <c r="U46" s="298">
        <f t="shared" si="20"/>
        <v>417.00930235050498</v>
      </c>
      <c r="V46" s="131">
        <f t="shared" si="21"/>
        <v>382.99069764949502</v>
      </c>
      <c r="W46" s="41"/>
    </row>
    <row r="47" spans="1:24">
      <c r="A47" s="36">
        <v>4</v>
      </c>
      <c r="B47" s="2" t="s">
        <v>51</v>
      </c>
      <c r="C47" s="7" t="s">
        <v>70</v>
      </c>
      <c r="D47" s="37" t="s">
        <v>52</v>
      </c>
      <c r="E47" s="37" t="s">
        <v>32</v>
      </c>
      <c r="F47" s="48">
        <v>1</v>
      </c>
      <c r="G47" s="47">
        <v>1</v>
      </c>
      <c r="H47" s="47">
        <v>1000</v>
      </c>
      <c r="I47" s="37">
        <f t="shared" si="17"/>
        <v>1000</v>
      </c>
      <c r="J47" s="38">
        <f t="shared" si="18"/>
        <v>1000</v>
      </c>
      <c r="K47" s="39">
        <f t="shared" si="19"/>
        <v>1000</v>
      </c>
      <c r="L47" s="321"/>
      <c r="M47" s="321"/>
      <c r="N47" s="321">
        <v>477.53</v>
      </c>
      <c r="O47" s="321">
        <v>501.9</v>
      </c>
      <c r="P47" s="321"/>
      <c r="Q47" s="321"/>
      <c r="R47" s="321"/>
      <c r="S47" s="321"/>
      <c r="T47" s="40"/>
      <c r="U47" s="298">
        <f t="shared" si="20"/>
        <v>979.43</v>
      </c>
      <c r="V47" s="131">
        <f t="shared" si="21"/>
        <v>20.57000000000005</v>
      </c>
      <c r="W47" s="41"/>
    </row>
    <row r="48" spans="1:24">
      <c r="A48" s="36">
        <v>4</v>
      </c>
      <c r="B48" s="2" t="s">
        <v>51</v>
      </c>
      <c r="C48" s="7" t="s">
        <v>70</v>
      </c>
      <c r="D48" s="37" t="s">
        <v>53</v>
      </c>
      <c r="E48" s="37" t="s">
        <v>32</v>
      </c>
      <c r="F48" s="48">
        <v>1</v>
      </c>
      <c r="G48" s="47">
        <v>1</v>
      </c>
      <c r="H48" s="47">
        <v>1700</v>
      </c>
      <c r="I48" s="37">
        <f t="shared" si="17"/>
        <v>1700</v>
      </c>
      <c r="J48" s="38">
        <f t="shared" si="18"/>
        <v>1700</v>
      </c>
      <c r="K48" s="39">
        <f t="shared" si="19"/>
        <v>1700</v>
      </c>
      <c r="L48" s="321"/>
      <c r="M48" s="321"/>
      <c r="N48" s="321">
        <v>802.26</v>
      </c>
      <c r="O48" s="321"/>
      <c r="P48" s="321"/>
      <c r="Q48" s="321"/>
      <c r="R48" s="321"/>
      <c r="S48" s="321"/>
      <c r="T48" s="40"/>
      <c r="U48" s="298">
        <f t="shared" si="20"/>
        <v>802.26</v>
      </c>
      <c r="V48" s="131">
        <f t="shared" si="21"/>
        <v>897.74</v>
      </c>
      <c r="W48" s="41"/>
    </row>
    <row r="49" spans="1:23">
      <c r="A49" s="36">
        <v>4</v>
      </c>
      <c r="B49" s="2" t="s">
        <v>51</v>
      </c>
      <c r="C49" s="7" t="s">
        <v>70</v>
      </c>
      <c r="D49" s="63" t="s">
        <v>54</v>
      </c>
      <c r="E49" s="63" t="s">
        <v>32</v>
      </c>
      <c r="F49" s="48">
        <v>1</v>
      </c>
      <c r="G49" s="47">
        <v>1</v>
      </c>
      <c r="H49" s="47">
        <v>750</v>
      </c>
      <c r="I49" s="63">
        <f t="shared" si="17"/>
        <v>750</v>
      </c>
      <c r="J49" s="38">
        <f t="shared" si="18"/>
        <v>750</v>
      </c>
      <c r="K49" s="39">
        <f t="shared" si="19"/>
        <v>750</v>
      </c>
      <c r="L49" s="321"/>
      <c r="M49" s="321"/>
      <c r="N49" s="321"/>
      <c r="O49" s="321"/>
      <c r="P49" s="321"/>
      <c r="Q49" s="321"/>
      <c r="R49" s="321"/>
      <c r="S49" s="321"/>
      <c r="T49" s="40">
        <v>750</v>
      </c>
      <c r="U49" s="298">
        <f t="shared" si="20"/>
        <v>750</v>
      </c>
      <c r="V49" s="131">
        <f t="shared" si="21"/>
        <v>0</v>
      </c>
      <c r="W49" s="41"/>
    </row>
    <row r="50" spans="1:23">
      <c r="A50" s="36"/>
      <c r="B50" s="64" t="s">
        <v>55</v>
      </c>
      <c r="C50" s="65" t="s">
        <v>74</v>
      </c>
      <c r="D50" s="66"/>
      <c r="E50" s="67"/>
      <c r="F50" s="67"/>
      <c r="G50" s="68"/>
      <c r="H50" s="68"/>
      <c r="I50" s="69">
        <f>SUM(I44:I49)</f>
        <v>5850</v>
      </c>
      <c r="J50" s="70">
        <f>SUM(J44:J49)</f>
        <v>5850</v>
      </c>
      <c r="K50" s="54">
        <f>SUM(K44:K49)</f>
        <v>5850</v>
      </c>
      <c r="L50" s="55">
        <f>SUM(L44:L49)</f>
        <v>0</v>
      </c>
      <c r="M50" s="55">
        <f t="shared" ref="M50:R50" si="22">SUM(M44:M49)</f>
        <v>123.34</v>
      </c>
      <c r="N50" s="55">
        <f t="shared" si="22"/>
        <v>1279.79</v>
      </c>
      <c r="O50" s="55">
        <f t="shared" si="22"/>
        <v>817</v>
      </c>
      <c r="P50" s="55">
        <f t="shared" si="22"/>
        <v>196.91804816600705</v>
      </c>
      <c r="Q50" s="55">
        <f t="shared" si="22"/>
        <v>978.66417329861838</v>
      </c>
      <c r="R50" s="55">
        <f t="shared" si="22"/>
        <v>142.31</v>
      </c>
      <c r="S50" s="55">
        <f t="shared" ref="S50" si="23">SUM(S44:S49)</f>
        <v>196.78930235050501</v>
      </c>
      <c r="T50" s="55">
        <f>SUM(T44:T49)</f>
        <v>827.91</v>
      </c>
      <c r="U50" s="92">
        <f>SUM(U44:U49)</f>
        <v>4562.7215238151302</v>
      </c>
      <c r="V50" s="132">
        <f>SUM(V44:V49)</f>
        <v>1287.2784761848695</v>
      </c>
      <c r="W50" s="152">
        <v>1304.010755685679</v>
      </c>
    </row>
    <row r="51" spans="1:23">
      <c r="A51" s="36"/>
      <c r="B51" s="28" t="s">
        <v>55</v>
      </c>
      <c r="C51" s="57" t="s">
        <v>75</v>
      </c>
      <c r="D51" s="58" t="s">
        <v>76</v>
      </c>
      <c r="E51" s="59"/>
      <c r="F51" s="58"/>
      <c r="G51" s="58"/>
      <c r="H51" s="59"/>
      <c r="I51" s="59"/>
      <c r="J51" s="59"/>
      <c r="K51" s="60"/>
      <c r="L51" s="322"/>
      <c r="M51" s="322"/>
      <c r="N51" s="322"/>
      <c r="O51" s="322"/>
      <c r="P51" s="322"/>
      <c r="Q51" s="322"/>
      <c r="R51" s="322"/>
      <c r="S51" s="322"/>
      <c r="T51" s="61"/>
      <c r="U51" s="299"/>
      <c r="V51" s="137"/>
      <c r="W51" s="62"/>
    </row>
    <row r="52" spans="1:23">
      <c r="A52" s="36">
        <v>2</v>
      </c>
      <c r="B52" s="2" t="s">
        <v>29</v>
      </c>
      <c r="C52" s="7" t="s">
        <v>77</v>
      </c>
      <c r="D52" s="37" t="s">
        <v>60</v>
      </c>
      <c r="E52" s="37" t="s">
        <v>32</v>
      </c>
      <c r="F52" s="37">
        <v>2</v>
      </c>
      <c r="G52" s="37">
        <v>5</v>
      </c>
      <c r="H52" s="37">
        <v>200</v>
      </c>
      <c r="I52" s="37">
        <f>F52*G52*H52</f>
        <v>2000</v>
      </c>
      <c r="J52" s="38">
        <f>I52/$H$5</f>
        <v>2000</v>
      </c>
      <c r="K52" s="39">
        <f>I52/5</f>
        <v>400</v>
      </c>
      <c r="L52" s="321"/>
      <c r="M52" s="321"/>
      <c r="N52" s="321"/>
      <c r="O52" s="321">
        <v>1689.98</v>
      </c>
      <c r="P52" s="321"/>
      <c r="Q52" s="321"/>
      <c r="R52" s="321"/>
      <c r="S52" s="321"/>
      <c r="T52" s="40"/>
      <c r="U52" s="298">
        <f>+L52+N52+M52+O52+P52+Q52+R52+S52+T52</f>
        <v>1689.98</v>
      </c>
      <c r="V52" s="131">
        <f>J52-L52-M52-N52-O52-P52-Q52-R52-S52-T52</f>
        <v>310.02</v>
      </c>
      <c r="W52" s="41"/>
    </row>
    <row r="53" spans="1:23">
      <c r="A53" s="36">
        <v>2</v>
      </c>
      <c r="B53" s="2" t="s">
        <v>29</v>
      </c>
      <c r="C53" s="7" t="s">
        <v>77</v>
      </c>
      <c r="D53" s="37" t="s">
        <v>78</v>
      </c>
      <c r="E53" s="37" t="s">
        <v>35</v>
      </c>
      <c r="F53" s="37">
        <f>50*2</f>
        <v>100</v>
      </c>
      <c r="G53" s="37">
        <v>5</v>
      </c>
      <c r="H53" s="37">
        <v>20</v>
      </c>
      <c r="I53" s="37">
        <f t="shared" ref="I53:I54" si="24">F53*G53*H53</f>
        <v>10000</v>
      </c>
      <c r="J53" s="38">
        <f t="shared" ref="J53:J54" si="25">I53/$H$5</f>
        <v>10000</v>
      </c>
      <c r="K53" s="39">
        <f>I53/5</f>
        <v>2000</v>
      </c>
      <c r="L53" s="321"/>
      <c r="M53" s="321"/>
      <c r="N53" s="321"/>
      <c r="O53" s="321">
        <v>9247.7000000000007</v>
      </c>
      <c r="P53" s="321"/>
      <c r="Q53" s="321"/>
      <c r="R53" s="321"/>
      <c r="S53" s="321"/>
      <c r="T53" s="40"/>
      <c r="U53" s="298">
        <f t="shared" ref="U53:U67" si="26">+L53+N53+M53+O53+P53+Q53+R53+S53+T53</f>
        <v>9247.7000000000007</v>
      </c>
      <c r="V53" s="131">
        <f t="shared" ref="V53:V67" si="27">J53-L53-M53-N53-O53-P53-Q53-R53-S53-T53</f>
        <v>752.29999999999927</v>
      </c>
      <c r="W53" s="41"/>
    </row>
    <row r="54" spans="1:23">
      <c r="A54" s="36">
        <v>2</v>
      </c>
      <c r="B54" s="2" t="s">
        <v>29</v>
      </c>
      <c r="C54" s="7" t="s">
        <v>77</v>
      </c>
      <c r="D54" s="37" t="s">
        <v>62</v>
      </c>
      <c r="E54" s="37" t="s">
        <v>32</v>
      </c>
      <c r="F54" s="37">
        <v>50</v>
      </c>
      <c r="G54" s="37">
        <v>5</v>
      </c>
      <c r="H54" s="37">
        <v>5</v>
      </c>
      <c r="I54" s="37">
        <f t="shared" si="24"/>
        <v>1250</v>
      </c>
      <c r="J54" s="38">
        <f t="shared" si="25"/>
        <v>1250</v>
      </c>
      <c r="K54" s="39">
        <f t="shared" ref="K54:K62" si="28">I54/5</f>
        <v>250</v>
      </c>
      <c r="L54" s="321"/>
      <c r="M54" s="321"/>
      <c r="N54" s="321"/>
      <c r="O54" s="321">
        <v>1034.49</v>
      </c>
      <c r="P54" s="321"/>
      <c r="Q54" s="321"/>
      <c r="R54" s="321"/>
      <c r="S54" s="321"/>
      <c r="T54" s="40"/>
      <c r="U54" s="298">
        <f t="shared" si="26"/>
        <v>1034.49</v>
      </c>
      <c r="V54" s="131">
        <f t="shared" si="27"/>
        <v>215.51</v>
      </c>
      <c r="W54" s="41"/>
    </row>
    <row r="55" spans="1:23">
      <c r="A55" s="36">
        <v>5</v>
      </c>
      <c r="B55" s="28" t="s">
        <v>36</v>
      </c>
      <c r="C55" s="7" t="s">
        <v>77</v>
      </c>
      <c r="D55" s="37" t="s">
        <v>79</v>
      </c>
      <c r="E55" s="37" t="s">
        <v>32</v>
      </c>
      <c r="F55" s="37">
        <f>50*2</f>
        <v>100</v>
      </c>
      <c r="G55" s="37">
        <v>5</v>
      </c>
      <c r="H55" s="37">
        <v>10</v>
      </c>
      <c r="I55" s="37">
        <f>F55*G55*H55</f>
        <v>5000</v>
      </c>
      <c r="J55" s="38">
        <f>I55/$H$5</f>
        <v>5000</v>
      </c>
      <c r="K55" s="39">
        <f t="shared" si="28"/>
        <v>1000</v>
      </c>
      <c r="L55" s="321"/>
      <c r="M55" s="321"/>
      <c r="N55" s="321"/>
      <c r="O55" s="321">
        <v>4757.32</v>
      </c>
      <c r="P55" s="321"/>
      <c r="Q55" s="321"/>
      <c r="R55" s="321"/>
      <c r="S55" s="321"/>
      <c r="T55" s="40"/>
      <c r="U55" s="298">
        <f t="shared" si="26"/>
        <v>4757.32</v>
      </c>
      <c r="V55" s="131">
        <f t="shared" si="27"/>
        <v>242.68000000000029</v>
      </c>
      <c r="W55" s="41"/>
    </row>
    <row r="56" spans="1:23">
      <c r="A56" s="36">
        <v>5</v>
      </c>
      <c r="B56" s="2" t="s">
        <v>36</v>
      </c>
      <c r="C56" s="7" t="s">
        <v>77</v>
      </c>
      <c r="D56" s="37" t="s">
        <v>80</v>
      </c>
      <c r="E56" s="37" t="s">
        <v>35</v>
      </c>
      <c r="F56" s="37">
        <f>4*4</f>
        <v>16</v>
      </c>
      <c r="G56" s="37">
        <v>5</v>
      </c>
      <c r="H56" s="37">
        <v>40</v>
      </c>
      <c r="I56" s="37">
        <f t="shared" ref="I56:I67" si="29">F56*G56*H56</f>
        <v>3200</v>
      </c>
      <c r="J56" s="38">
        <f t="shared" ref="J56:J67" si="30">I56/$H$5</f>
        <v>3200</v>
      </c>
      <c r="K56" s="39">
        <f t="shared" si="28"/>
        <v>640</v>
      </c>
      <c r="L56" s="321"/>
      <c r="M56" s="321"/>
      <c r="N56" s="321"/>
      <c r="O56" s="321">
        <v>2799.94</v>
      </c>
      <c r="P56" s="321"/>
      <c r="Q56" s="321"/>
      <c r="R56" s="321"/>
      <c r="S56" s="321"/>
      <c r="T56" s="40"/>
      <c r="U56" s="298">
        <f t="shared" si="26"/>
        <v>2799.94</v>
      </c>
      <c r="V56" s="131">
        <f t="shared" si="27"/>
        <v>400.05999999999995</v>
      </c>
      <c r="W56" s="41"/>
    </row>
    <row r="57" spans="1:23">
      <c r="A57" s="36">
        <v>5</v>
      </c>
      <c r="B57" s="2" t="s">
        <v>36</v>
      </c>
      <c r="C57" s="7" t="s">
        <v>77</v>
      </c>
      <c r="D57" s="37" t="s">
        <v>81</v>
      </c>
      <c r="E57" s="37" t="s">
        <v>35</v>
      </c>
      <c r="F57" s="37">
        <v>10</v>
      </c>
      <c r="G57" s="37">
        <v>2</v>
      </c>
      <c r="H57" s="37">
        <v>40</v>
      </c>
      <c r="I57" s="37">
        <f>F57*G57*H57</f>
        <v>800</v>
      </c>
      <c r="J57" s="38">
        <f>I57/$H$5</f>
        <v>800</v>
      </c>
      <c r="K57" s="39"/>
      <c r="L57" s="321"/>
      <c r="M57" s="321"/>
      <c r="N57" s="321"/>
      <c r="O57" s="321">
        <v>800</v>
      </c>
      <c r="P57" s="321"/>
      <c r="Q57" s="321"/>
      <c r="R57" s="321"/>
      <c r="S57" s="321"/>
      <c r="T57" s="40"/>
      <c r="U57" s="298">
        <f t="shared" si="26"/>
        <v>800</v>
      </c>
      <c r="V57" s="131">
        <f t="shared" si="27"/>
        <v>0</v>
      </c>
      <c r="W57" s="41"/>
    </row>
    <row r="58" spans="1:23">
      <c r="A58" s="36">
        <v>5</v>
      </c>
      <c r="B58" s="2" t="s">
        <v>36</v>
      </c>
      <c r="C58" s="7" t="s">
        <v>77</v>
      </c>
      <c r="D58" s="37" t="s">
        <v>82</v>
      </c>
      <c r="E58" s="37" t="s">
        <v>35</v>
      </c>
      <c r="F58" s="37">
        <v>10</v>
      </c>
      <c r="G58" s="37">
        <v>2</v>
      </c>
      <c r="H58" s="37">
        <v>20</v>
      </c>
      <c r="I58" s="37">
        <f>F58*G58*H58</f>
        <v>400</v>
      </c>
      <c r="J58" s="38">
        <f>I58/$H$5</f>
        <v>400</v>
      </c>
      <c r="K58" s="39"/>
      <c r="L58" s="321"/>
      <c r="M58" s="321"/>
      <c r="N58" s="321"/>
      <c r="O58" s="321">
        <v>429.99</v>
      </c>
      <c r="P58" s="321"/>
      <c r="Q58" s="321"/>
      <c r="R58" s="321"/>
      <c r="S58" s="321"/>
      <c r="T58" s="40"/>
      <c r="U58" s="298">
        <f t="shared" si="26"/>
        <v>429.99</v>
      </c>
      <c r="V58" s="131">
        <f t="shared" si="27"/>
        <v>-29.990000000000009</v>
      </c>
      <c r="W58" s="41"/>
    </row>
    <row r="59" spans="1:23">
      <c r="A59" s="36">
        <v>4</v>
      </c>
      <c r="B59" s="2" t="s">
        <v>51</v>
      </c>
      <c r="C59" s="7" t="s">
        <v>77</v>
      </c>
      <c r="D59" s="37" t="s">
        <v>83</v>
      </c>
      <c r="E59" s="37" t="s">
        <v>35</v>
      </c>
      <c r="F59" s="37">
        <v>10</v>
      </c>
      <c r="G59" s="37">
        <v>2</v>
      </c>
      <c r="H59" s="37">
        <v>100</v>
      </c>
      <c r="I59" s="37">
        <f>F59*G59*H59</f>
        <v>2000</v>
      </c>
      <c r="J59" s="38">
        <f>I59/$H$5</f>
        <v>2000</v>
      </c>
      <c r="K59" s="39"/>
      <c r="L59" s="321"/>
      <c r="M59" s="321"/>
      <c r="N59" s="321"/>
      <c r="O59" s="321">
        <v>2149.96</v>
      </c>
      <c r="P59" s="321">
        <v>149.68222463709546</v>
      </c>
      <c r="Q59" s="321">
        <v>295.02999999999997</v>
      </c>
      <c r="R59" s="321">
        <v>147.82206362557264</v>
      </c>
      <c r="S59" s="321">
        <v>73.171302800412093</v>
      </c>
      <c r="T59" s="40"/>
      <c r="U59" s="298">
        <f t="shared" si="26"/>
        <v>2815.6655910630802</v>
      </c>
      <c r="V59" s="131">
        <f t="shared" si="27"/>
        <v>-815.66559106308023</v>
      </c>
      <c r="W59" s="41"/>
    </row>
    <row r="60" spans="1:23">
      <c r="A60" s="36">
        <v>3</v>
      </c>
      <c r="B60" s="28" t="s">
        <v>39</v>
      </c>
      <c r="C60" s="7" t="s">
        <v>77</v>
      </c>
      <c r="D60" s="37" t="s">
        <v>84</v>
      </c>
      <c r="E60" s="37" t="s">
        <v>32</v>
      </c>
      <c r="F60" s="37">
        <v>1</v>
      </c>
      <c r="G60" s="37">
        <v>15</v>
      </c>
      <c r="H60" s="37">
        <v>135</v>
      </c>
      <c r="I60" s="37">
        <f t="shared" si="29"/>
        <v>2025</v>
      </c>
      <c r="J60" s="38">
        <f t="shared" si="30"/>
        <v>2025</v>
      </c>
      <c r="K60" s="39">
        <f t="shared" si="28"/>
        <v>405</v>
      </c>
      <c r="L60" s="321"/>
      <c r="M60" s="321"/>
      <c r="N60" s="321"/>
      <c r="O60" s="321">
        <v>2249.85</v>
      </c>
      <c r="P60" s="321"/>
      <c r="Q60" s="321"/>
      <c r="R60" s="321"/>
      <c r="S60" s="321"/>
      <c r="T60" s="40"/>
      <c r="U60" s="298">
        <f t="shared" si="26"/>
        <v>2249.85</v>
      </c>
      <c r="V60" s="131">
        <f t="shared" si="27"/>
        <v>-224.84999999999991</v>
      </c>
      <c r="W60" s="41"/>
    </row>
    <row r="61" spans="1:23">
      <c r="A61" s="36">
        <v>5</v>
      </c>
      <c r="B61" s="2" t="s">
        <v>36</v>
      </c>
      <c r="C61" s="7" t="s">
        <v>77</v>
      </c>
      <c r="D61" s="37" t="s">
        <v>45</v>
      </c>
      <c r="E61" s="37" t="s">
        <v>32</v>
      </c>
      <c r="F61" s="37">
        <v>1</v>
      </c>
      <c r="G61" s="37">
        <v>15</v>
      </c>
      <c r="H61" s="37">
        <v>50</v>
      </c>
      <c r="I61" s="37">
        <f t="shared" si="29"/>
        <v>750</v>
      </c>
      <c r="J61" s="38">
        <f t="shared" si="30"/>
        <v>750</v>
      </c>
      <c r="K61" s="39">
        <f t="shared" si="28"/>
        <v>150</v>
      </c>
      <c r="L61" s="321"/>
      <c r="M61" s="321"/>
      <c r="N61" s="321"/>
      <c r="O61" s="321">
        <v>600</v>
      </c>
      <c r="P61" s="321"/>
      <c r="Q61" s="321"/>
      <c r="R61" s="321"/>
      <c r="S61" s="321"/>
      <c r="T61" s="40"/>
      <c r="U61" s="298">
        <f t="shared" si="26"/>
        <v>600</v>
      </c>
      <c r="V61" s="131">
        <f t="shared" si="27"/>
        <v>150</v>
      </c>
      <c r="W61" s="41"/>
    </row>
    <row r="62" spans="1:23">
      <c r="A62" s="36">
        <v>4</v>
      </c>
      <c r="B62" s="2" t="s">
        <v>51</v>
      </c>
      <c r="C62" s="7" t="s">
        <v>77</v>
      </c>
      <c r="D62" s="37" t="s">
        <v>85</v>
      </c>
      <c r="E62" s="37" t="s">
        <v>35</v>
      </c>
      <c r="F62" s="37">
        <v>2</v>
      </c>
      <c r="G62" s="37">
        <v>5</v>
      </c>
      <c r="H62" s="37">
        <v>30</v>
      </c>
      <c r="I62" s="37">
        <f t="shared" si="29"/>
        <v>300</v>
      </c>
      <c r="J62" s="38">
        <f t="shared" si="30"/>
        <v>300</v>
      </c>
      <c r="K62" s="39">
        <f t="shared" si="28"/>
        <v>60</v>
      </c>
      <c r="L62" s="321"/>
      <c r="M62" s="321"/>
      <c r="N62" s="321"/>
      <c r="O62" s="321">
        <v>240</v>
      </c>
      <c r="P62" s="321"/>
      <c r="Q62" s="321"/>
      <c r="R62" s="321"/>
      <c r="S62" s="321"/>
      <c r="T62" s="40"/>
      <c r="U62" s="298">
        <f t="shared" si="26"/>
        <v>240</v>
      </c>
      <c r="V62" s="131">
        <f t="shared" si="27"/>
        <v>60</v>
      </c>
      <c r="W62" s="41"/>
    </row>
    <row r="63" spans="1:23">
      <c r="A63" s="36">
        <v>5</v>
      </c>
      <c r="B63" s="2" t="s">
        <v>36</v>
      </c>
      <c r="C63" s="7" t="s">
        <v>77</v>
      </c>
      <c r="D63" s="37" t="s">
        <v>86</v>
      </c>
      <c r="E63" s="37" t="s">
        <v>35</v>
      </c>
      <c r="F63" s="37">
        <v>1</v>
      </c>
      <c r="G63" s="37">
        <v>2</v>
      </c>
      <c r="H63" s="37">
        <v>158</v>
      </c>
      <c r="I63" s="37">
        <f t="shared" si="29"/>
        <v>316</v>
      </c>
      <c r="J63" s="38">
        <f t="shared" si="30"/>
        <v>316</v>
      </c>
      <c r="K63" s="39"/>
      <c r="L63" s="321"/>
      <c r="M63" s="321"/>
      <c r="N63" s="321"/>
      <c r="O63" s="321">
        <v>316</v>
      </c>
      <c r="P63" s="321"/>
      <c r="Q63" s="321"/>
      <c r="R63" s="321"/>
      <c r="S63" s="321"/>
      <c r="T63" s="40"/>
      <c r="U63" s="298">
        <f t="shared" si="26"/>
        <v>316</v>
      </c>
      <c r="V63" s="131">
        <f t="shared" si="27"/>
        <v>0</v>
      </c>
      <c r="W63" s="41"/>
    </row>
    <row r="64" spans="1:23">
      <c r="A64" s="36">
        <v>6</v>
      </c>
      <c r="B64" s="2" t="s">
        <v>87</v>
      </c>
      <c r="C64" s="7" t="s">
        <v>77</v>
      </c>
      <c r="D64" s="37" t="s">
        <v>88</v>
      </c>
      <c r="E64" s="37" t="s">
        <v>32</v>
      </c>
      <c r="F64" s="37">
        <v>4</v>
      </c>
      <c r="G64" s="37">
        <v>1</v>
      </c>
      <c r="H64" s="37">
        <v>5100</v>
      </c>
      <c r="I64" s="37">
        <f t="shared" si="29"/>
        <v>20400</v>
      </c>
      <c r="J64" s="38">
        <f t="shared" si="30"/>
        <v>20400</v>
      </c>
      <c r="K64" s="39"/>
      <c r="L64" s="321"/>
      <c r="M64" s="321"/>
      <c r="N64" s="321"/>
      <c r="O64" s="321">
        <v>17775.537889748317</v>
      </c>
      <c r="P64" s="321"/>
      <c r="Q64" s="321"/>
      <c r="R64" s="321"/>
      <c r="S64" s="321"/>
      <c r="T64" s="40">
        <v>2624</v>
      </c>
      <c r="U64" s="298">
        <f t="shared" si="26"/>
        <v>20399.537889748317</v>
      </c>
      <c r="V64" s="131">
        <f t="shared" si="27"/>
        <v>0.46211025168304332</v>
      </c>
      <c r="W64" s="41"/>
    </row>
    <row r="65" spans="1:238">
      <c r="A65" s="36">
        <v>4</v>
      </c>
      <c r="B65" s="2" t="s">
        <v>51</v>
      </c>
      <c r="C65" s="7" t="s">
        <v>77</v>
      </c>
      <c r="D65" s="37" t="s">
        <v>52</v>
      </c>
      <c r="E65" s="37" t="s">
        <v>32</v>
      </c>
      <c r="F65" s="37">
        <v>1</v>
      </c>
      <c r="G65" s="37">
        <v>1</v>
      </c>
      <c r="H65" s="37">
        <v>1000</v>
      </c>
      <c r="I65" s="37">
        <f t="shared" si="29"/>
        <v>1000</v>
      </c>
      <c r="J65" s="38">
        <f t="shared" si="30"/>
        <v>1000</v>
      </c>
      <c r="K65" s="39">
        <f>I65</f>
        <v>1000</v>
      </c>
      <c r="L65" s="321"/>
      <c r="M65" s="321"/>
      <c r="N65" s="321"/>
      <c r="O65" s="321">
        <v>999.64</v>
      </c>
      <c r="P65" s="321"/>
      <c r="Q65" s="321"/>
      <c r="R65" s="321"/>
      <c r="S65" s="321"/>
      <c r="T65" s="40"/>
      <c r="U65" s="298">
        <f t="shared" si="26"/>
        <v>999.64</v>
      </c>
      <c r="V65" s="131">
        <f t="shared" si="27"/>
        <v>0.36000000000001364</v>
      </c>
      <c r="W65" s="41"/>
    </row>
    <row r="66" spans="1:238">
      <c r="A66" s="36">
        <v>4</v>
      </c>
      <c r="B66" s="2" t="s">
        <v>51</v>
      </c>
      <c r="C66" s="7" t="s">
        <v>77</v>
      </c>
      <c r="D66" s="37" t="s">
        <v>53</v>
      </c>
      <c r="E66" s="37" t="s">
        <v>32</v>
      </c>
      <c r="F66" s="37">
        <v>1</v>
      </c>
      <c r="G66" s="37">
        <v>1</v>
      </c>
      <c r="H66" s="37">
        <v>1700</v>
      </c>
      <c r="I66" s="37">
        <f t="shared" si="29"/>
        <v>1700</v>
      </c>
      <c r="J66" s="38">
        <f t="shared" si="30"/>
        <v>1700</v>
      </c>
      <c r="K66" s="39">
        <f>I66</f>
        <v>1700</v>
      </c>
      <c r="L66" s="321"/>
      <c r="M66" s="321"/>
      <c r="N66" s="321"/>
      <c r="O66" s="321">
        <v>0</v>
      </c>
      <c r="P66" s="321"/>
      <c r="Q66" s="321">
        <v>1119.52</v>
      </c>
      <c r="R66" s="321"/>
      <c r="S66" s="321"/>
      <c r="T66" s="40"/>
      <c r="U66" s="298">
        <f t="shared" si="26"/>
        <v>1119.52</v>
      </c>
      <c r="V66" s="131">
        <f t="shared" si="27"/>
        <v>580.48</v>
      </c>
      <c r="W66" s="41"/>
    </row>
    <row r="67" spans="1:238">
      <c r="A67" s="36">
        <v>4</v>
      </c>
      <c r="B67" s="2" t="s">
        <v>51</v>
      </c>
      <c r="C67" s="7" t="s">
        <v>77</v>
      </c>
      <c r="D67" s="37" t="s">
        <v>54</v>
      </c>
      <c r="E67" s="37" t="s">
        <v>32</v>
      </c>
      <c r="F67" s="37">
        <v>1</v>
      </c>
      <c r="G67" s="37">
        <v>1</v>
      </c>
      <c r="H67" s="37">
        <v>750</v>
      </c>
      <c r="I67" s="37">
        <f t="shared" si="29"/>
        <v>750</v>
      </c>
      <c r="J67" s="38">
        <f t="shared" si="30"/>
        <v>750</v>
      </c>
      <c r="K67" s="39">
        <f>I67</f>
        <v>750</v>
      </c>
      <c r="L67" s="321"/>
      <c r="M67" s="321"/>
      <c r="N67" s="321"/>
      <c r="O67" s="321">
        <v>0</v>
      </c>
      <c r="P67" s="321"/>
      <c r="Q67" s="321"/>
      <c r="R67" s="321">
        <v>562.71</v>
      </c>
      <c r="S67" s="321"/>
      <c r="T67" s="40"/>
      <c r="U67" s="298">
        <f t="shared" si="26"/>
        <v>562.71</v>
      </c>
      <c r="V67" s="131">
        <f t="shared" si="27"/>
        <v>187.28999999999996</v>
      </c>
      <c r="W67" s="41"/>
    </row>
    <row r="68" spans="1:238">
      <c r="A68" s="36"/>
      <c r="B68" s="28" t="s">
        <v>55</v>
      </c>
      <c r="C68" s="49" t="s">
        <v>89</v>
      </c>
      <c r="D68" s="50"/>
      <c r="E68" s="51"/>
      <c r="F68" s="51"/>
      <c r="G68" s="52"/>
      <c r="H68" s="52"/>
      <c r="I68" s="53">
        <f>SUM(I52:I67)</f>
        <v>51891</v>
      </c>
      <c r="J68" s="53">
        <f>SUM(J52:J67)</f>
        <v>51891</v>
      </c>
      <c r="K68" s="54">
        <f>SUM(K52:K67)</f>
        <v>8355</v>
      </c>
      <c r="L68" s="55">
        <f>SUM(L52:L67)</f>
        <v>0</v>
      </c>
      <c r="M68" s="55">
        <f t="shared" ref="M68:R68" si="31">SUM(M52:M67)</f>
        <v>0</v>
      </c>
      <c r="N68" s="55"/>
      <c r="O68" s="55">
        <f t="shared" si="31"/>
        <v>45090.407889748312</v>
      </c>
      <c r="P68" s="55">
        <f t="shared" si="31"/>
        <v>149.68222463709546</v>
      </c>
      <c r="Q68" s="55">
        <f t="shared" si="31"/>
        <v>1414.55</v>
      </c>
      <c r="R68" s="55">
        <f t="shared" si="31"/>
        <v>710.53206362557262</v>
      </c>
      <c r="S68" s="55">
        <f t="shared" ref="S68:T68" si="32">SUM(S52:S67)</f>
        <v>73.171302800412093</v>
      </c>
      <c r="T68" s="55">
        <f t="shared" si="32"/>
        <v>2624</v>
      </c>
      <c r="U68" s="92">
        <f>SUM(U52:U67)</f>
        <v>50062.343480811389</v>
      </c>
      <c r="V68" s="149">
        <f>SUM(V52:V67)</f>
        <v>1828.6565191886025</v>
      </c>
      <c r="W68" s="56">
        <v>27233.914853561397</v>
      </c>
    </row>
    <row r="69" spans="1:238">
      <c r="A69" s="36"/>
      <c r="B69" s="28" t="s">
        <v>55</v>
      </c>
      <c r="C69" s="71"/>
      <c r="D69" s="72"/>
      <c r="E69" s="73"/>
      <c r="F69" s="72"/>
      <c r="G69" s="72"/>
      <c r="H69" s="73"/>
      <c r="I69" s="73"/>
      <c r="J69" s="73"/>
      <c r="K69" s="74"/>
      <c r="L69" s="325"/>
      <c r="M69" s="325"/>
      <c r="N69" s="325"/>
      <c r="O69" s="325"/>
      <c r="P69" s="325"/>
      <c r="Q69" s="325"/>
      <c r="R69" s="325"/>
      <c r="S69" s="325"/>
      <c r="T69" s="75"/>
      <c r="U69" s="299"/>
      <c r="V69" s="138"/>
      <c r="W69" s="76"/>
    </row>
    <row r="70" spans="1:238" s="79" customFormat="1">
      <c r="A70" s="36"/>
      <c r="B70" s="77" t="s">
        <v>55</v>
      </c>
      <c r="C70" s="78" t="s">
        <v>90</v>
      </c>
      <c r="E70" s="80"/>
      <c r="F70" s="80"/>
      <c r="G70" s="81"/>
      <c r="H70" s="81"/>
      <c r="I70" s="82">
        <f>SUM(I68,I50,I42,I30)</f>
        <v>80863</v>
      </c>
      <c r="J70" s="82">
        <f>SUM(J68,J50,J42,J30)</f>
        <v>80863</v>
      </c>
      <c r="K70" s="83"/>
      <c r="L70" s="82">
        <f t="shared" ref="L70:P70" si="33">SUM(L68,L50,L42,L30)</f>
        <v>0</v>
      </c>
      <c r="M70" s="82">
        <f t="shared" si="33"/>
        <v>9925.9399999999987</v>
      </c>
      <c r="N70" s="82">
        <f t="shared" si="33"/>
        <v>15822.129999999997</v>
      </c>
      <c r="O70" s="82">
        <f t="shared" si="33"/>
        <v>45907.407889748312</v>
      </c>
      <c r="P70" s="82">
        <f t="shared" si="33"/>
        <v>346.60027280310248</v>
      </c>
      <c r="Q70" s="82">
        <f t="shared" ref="Q70:V70" si="34">SUM(Q68,Q50,Q42,Q30)</f>
        <v>2893.0041732986183</v>
      </c>
      <c r="R70" s="82">
        <f t="shared" si="34"/>
        <v>852.84206362557256</v>
      </c>
      <c r="S70" s="82">
        <f t="shared" si="34"/>
        <v>269.9606051509171</v>
      </c>
      <c r="T70" s="82">
        <f>SUM(T68,T50,T42,T30)</f>
        <v>6401.91</v>
      </c>
      <c r="U70" s="89">
        <f>SUM(U68,U50,U42,U30)</f>
        <v>82419.795004626518</v>
      </c>
      <c r="V70" s="82">
        <f t="shared" si="34"/>
        <v>-1556.7950046265278</v>
      </c>
      <c r="W70" s="84"/>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row>
    <row r="71" spans="1:238">
      <c r="A71" s="36"/>
      <c r="B71" s="28" t="s">
        <v>55</v>
      </c>
      <c r="C71" s="85"/>
      <c r="D71" s="86"/>
      <c r="E71" s="87"/>
      <c r="F71" s="87"/>
      <c r="G71" s="88"/>
      <c r="H71" s="88"/>
      <c r="I71" s="89"/>
      <c r="J71" s="90"/>
      <c r="K71" s="91"/>
      <c r="L71" s="92"/>
      <c r="M71" s="92"/>
      <c r="N71" s="92"/>
      <c r="O71" s="92"/>
      <c r="P71" s="92"/>
      <c r="Q71" s="92"/>
      <c r="R71" s="92"/>
      <c r="S71" s="92"/>
      <c r="T71" s="92"/>
      <c r="U71" s="92"/>
      <c r="V71" s="139"/>
      <c r="W71" s="93"/>
    </row>
    <row r="72" spans="1:238" ht="15.75">
      <c r="A72" s="36"/>
      <c r="B72" s="28" t="s">
        <v>55</v>
      </c>
      <c r="C72" s="372" t="s">
        <v>91</v>
      </c>
      <c r="D72" s="372"/>
      <c r="E72" s="372"/>
      <c r="F72" s="372"/>
      <c r="G72" s="372"/>
      <c r="H72" s="372"/>
      <c r="I72" s="372"/>
      <c r="J72" s="372"/>
      <c r="K72" s="25"/>
      <c r="L72" s="26"/>
      <c r="M72" s="26"/>
      <c r="N72" s="26"/>
      <c r="O72" s="26"/>
      <c r="P72" s="26"/>
      <c r="Q72" s="26"/>
      <c r="R72" s="26"/>
      <c r="S72" s="26"/>
      <c r="T72" s="26"/>
      <c r="U72" s="296"/>
      <c r="V72" s="135"/>
      <c r="W72" s="27"/>
    </row>
    <row r="73" spans="1:238">
      <c r="A73" s="36"/>
      <c r="B73" s="28" t="s">
        <v>55</v>
      </c>
      <c r="C73" s="57" t="s">
        <v>92</v>
      </c>
      <c r="D73" s="371" t="s">
        <v>93</v>
      </c>
      <c r="E73" s="371"/>
      <c r="F73" s="371"/>
      <c r="G73" s="371"/>
      <c r="H73" s="371"/>
      <c r="I73" s="371"/>
      <c r="J73" s="371"/>
      <c r="K73" s="94"/>
      <c r="L73" s="95"/>
      <c r="M73" s="95"/>
      <c r="N73" s="95"/>
      <c r="O73" s="95"/>
      <c r="P73" s="95"/>
      <c r="Q73" s="95"/>
      <c r="R73" s="95"/>
      <c r="S73" s="95"/>
      <c r="T73" s="95"/>
      <c r="U73" s="300"/>
      <c r="V73" s="140"/>
      <c r="W73" s="96"/>
    </row>
    <row r="74" spans="1:238">
      <c r="A74" s="36">
        <v>2</v>
      </c>
      <c r="B74" s="2" t="s">
        <v>29</v>
      </c>
      <c r="C74" s="7" t="s">
        <v>94</v>
      </c>
      <c r="D74" s="37" t="s">
        <v>95</v>
      </c>
      <c r="E74" s="37" t="s">
        <v>32</v>
      </c>
      <c r="F74" s="37">
        <v>1</v>
      </c>
      <c r="G74" s="37">
        <v>1</v>
      </c>
      <c r="H74" s="37">
        <v>1000</v>
      </c>
      <c r="I74" s="37">
        <f t="shared" ref="I74" si="35">F74*G74*H74</f>
        <v>1000</v>
      </c>
      <c r="J74" s="38">
        <f t="shared" ref="J74" si="36">I74/$H$5</f>
        <v>1000</v>
      </c>
      <c r="K74" s="39">
        <f>I74</f>
        <v>1000</v>
      </c>
      <c r="L74" s="321"/>
      <c r="M74" s="321"/>
      <c r="N74" s="321"/>
      <c r="O74" s="321"/>
      <c r="P74" s="321">
        <v>425.27</v>
      </c>
      <c r="Q74" s="321">
        <f>213.52+162.26</f>
        <v>375.78</v>
      </c>
      <c r="R74" s="321">
        <v>215.08</v>
      </c>
      <c r="S74" s="321"/>
      <c r="T74" s="40"/>
      <c r="U74" s="298">
        <f>+L74+N74+M74+O74+P74+Q74+R74+S74+T74</f>
        <v>1016.13</v>
      </c>
      <c r="V74" s="131">
        <f>K74-L74-M74-N74-O74-P74-Q74-R74</f>
        <v>-16.129999999999967</v>
      </c>
      <c r="W74" s="41"/>
    </row>
    <row r="75" spans="1:238">
      <c r="A75" s="36"/>
      <c r="B75" s="28" t="s">
        <v>55</v>
      </c>
      <c r="C75" s="49" t="s">
        <v>96</v>
      </c>
      <c r="D75" s="50"/>
      <c r="E75" s="51"/>
      <c r="F75" s="51"/>
      <c r="G75" s="52"/>
      <c r="H75" s="52"/>
      <c r="I75" s="53">
        <f t="shared" ref="I75:V75" si="37">SUM(I74:I74)</f>
        <v>1000</v>
      </c>
      <c r="J75" s="53">
        <f t="shared" si="37"/>
        <v>1000</v>
      </c>
      <c r="K75" s="54">
        <f t="shared" si="37"/>
        <v>1000</v>
      </c>
      <c r="L75" s="55">
        <f t="shared" si="37"/>
        <v>0</v>
      </c>
      <c r="M75" s="55">
        <f t="shared" si="37"/>
        <v>0</v>
      </c>
      <c r="N75" s="55">
        <f t="shared" si="37"/>
        <v>0</v>
      </c>
      <c r="O75" s="55">
        <f t="shared" si="37"/>
        <v>0</v>
      </c>
      <c r="P75" s="55">
        <f t="shared" si="37"/>
        <v>425.27</v>
      </c>
      <c r="Q75" s="55">
        <f t="shared" si="37"/>
        <v>375.78</v>
      </c>
      <c r="R75" s="55">
        <f t="shared" si="37"/>
        <v>215.08</v>
      </c>
      <c r="S75" s="55">
        <f t="shared" ref="S75:T75" si="38">SUM(S74:S74)</f>
        <v>0</v>
      </c>
      <c r="T75" s="55">
        <f t="shared" si="38"/>
        <v>0</v>
      </c>
      <c r="U75" s="92">
        <f t="shared" si="37"/>
        <v>1016.13</v>
      </c>
      <c r="V75" s="55">
        <f t="shared" si="37"/>
        <v>-16.129999999999967</v>
      </c>
      <c r="W75" s="56"/>
    </row>
    <row r="76" spans="1:238">
      <c r="A76" s="36"/>
      <c r="B76" s="28" t="s">
        <v>55</v>
      </c>
      <c r="C76" s="57" t="s">
        <v>97</v>
      </c>
      <c r="D76" s="371" t="s">
        <v>98</v>
      </c>
      <c r="E76" s="371"/>
      <c r="F76" s="371"/>
      <c r="G76" s="371"/>
      <c r="H76" s="371"/>
      <c r="I76" s="371"/>
      <c r="J76" s="371"/>
      <c r="K76" s="94"/>
      <c r="L76" s="95"/>
      <c r="M76" s="95"/>
      <c r="N76" s="95"/>
      <c r="O76" s="95"/>
      <c r="P76" s="95"/>
      <c r="Q76" s="95"/>
      <c r="R76" s="95"/>
      <c r="S76" s="95"/>
      <c r="T76" s="95"/>
      <c r="U76" s="300"/>
      <c r="V76" s="140"/>
      <c r="W76" s="96"/>
    </row>
    <row r="77" spans="1:238">
      <c r="A77" s="36">
        <v>2</v>
      </c>
      <c r="B77" s="2" t="s">
        <v>29</v>
      </c>
      <c r="C77" s="7" t="s">
        <v>99</v>
      </c>
      <c r="D77" s="37" t="s">
        <v>60</v>
      </c>
      <c r="E77" s="37" t="s">
        <v>32</v>
      </c>
      <c r="F77" s="37">
        <v>2</v>
      </c>
      <c r="G77" s="37">
        <v>5</v>
      </c>
      <c r="H77" s="37">
        <v>200</v>
      </c>
      <c r="I77" s="37">
        <f t="shared" ref="I77:I88" si="39">F77*G77*H77</f>
        <v>2000</v>
      </c>
      <c r="J77" s="38">
        <f t="shared" ref="J77:J88" si="40">I77/$H$5</f>
        <v>2000</v>
      </c>
      <c r="K77" s="39">
        <f>I77/5</f>
        <v>400</v>
      </c>
      <c r="L77" s="321"/>
      <c r="M77" s="321"/>
      <c r="N77" s="321"/>
      <c r="O77" s="321">
        <v>1600</v>
      </c>
      <c r="P77" s="321">
        <v>89.809334782257267</v>
      </c>
      <c r="Q77" s="321"/>
      <c r="R77" s="321"/>
      <c r="S77" s="321"/>
      <c r="T77" s="40"/>
      <c r="U77" s="298">
        <f>+L77+N77+M77+O77+P77+Q77+R77+S77+T77</f>
        <v>1689.8093347822573</v>
      </c>
      <c r="V77" s="131">
        <f>J77-L77-M77-N77-O77-P77-Q77-R77-S77-T77</f>
        <v>310.19066521774272</v>
      </c>
      <c r="W77" s="41"/>
    </row>
    <row r="78" spans="1:238">
      <c r="A78" s="36">
        <v>2</v>
      </c>
      <c r="B78" s="2" t="s">
        <v>29</v>
      </c>
      <c r="C78" s="7" t="s">
        <v>99</v>
      </c>
      <c r="D78" s="37" t="s">
        <v>100</v>
      </c>
      <c r="E78" s="37" t="s">
        <v>35</v>
      </c>
      <c r="F78" s="37">
        <f>25*2</f>
        <v>50</v>
      </c>
      <c r="G78" s="37">
        <v>5</v>
      </c>
      <c r="H78" s="37">
        <v>20</v>
      </c>
      <c r="I78" s="37">
        <f t="shared" si="39"/>
        <v>5000</v>
      </c>
      <c r="J78" s="38">
        <f t="shared" si="40"/>
        <v>5000</v>
      </c>
      <c r="K78" s="39">
        <f t="shared" ref="K78:K83" si="41">I78/5</f>
        <v>1000</v>
      </c>
      <c r="L78" s="321"/>
      <c r="M78" s="321"/>
      <c r="N78" s="321"/>
      <c r="O78" s="321">
        <v>4000</v>
      </c>
      <c r="P78" s="321">
        <v>889.11241434434692</v>
      </c>
      <c r="Q78" s="321"/>
      <c r="R78" s="321">
        <v>642.33609120030042</v>
      </c>
      <c r="S78" s="321"/>
      <c r="T78" s="40"/>
      <c r="U78" s="298">
        <f>+L78+N78+M78+O78+P78+Q78+R78+S78+T78</f>
        <v>5531.4485055446476</v>
      </c>
      <c r="V78" s="131">
        <f t="shared" ref="V78:V88" si="42">J78-L78-M78-N78-O78-P78-Q78-R78-S78-T78</f>
        <v>-531.44850554464733</v>
      </c>
      <c r="W78" s="41"/>
    </row>
    <row r="79" spans="1:238">
      <c r="A79" s="36">
        <v>2</v>
      </c>
      <c r="B79" s="2" t="s">
        <v>29</v>
      </c>
      <c r="C79" s="7" t="s">
        <v>99</v>
      </c>
      <c r="D79" s="37" t="s">
        <v>62</v>
      </c>
      <c r="E79" s="37" t="s">
        <v>35</v>
      </c>
      <c r="F79" s="37">
        <v>25</v>
      </c>
      <c r="G79" s="37">
        <v>5</v>
      </c>
      <c r="H79" s="37">
        <v>5</v>
      </c>
      <c r="I79" s="37">
        <f t="shared" si="39"/>
        <v>625</v>
      </c>
      <c r="J79" s="38">
        <f t="shared" si="40"/>
        <v>625</v>
      </c>
      <c r="K79" s="39">
        <f t="shared" si="41"/>
        <v>125</v>
      </c>
      <c r="L79" s="321"/>
      <c r="M79" s="321"/>
      <c r="N79" s="321"/>
      <c r="O79" s="321">
        <v>500</v>
      </c>
      <c r="P79" s="321">
        <v>666.09</v>
      </c>
      <c r="Q79" s="321"/>
      <c r="R79" s="321"/>
      <c r="S79" s="321"/>
      <c r="T79" s="40"/>
      <c r="U79" s="298">
        <f t="shared" ref="U79:U88" si="43">+L79+N79+M79+O79+P79+Q79+R79+S79+T79</f>
        <v>1166.0900000000001</v>
      </c>
      <c r="V79" s="131">
        <f t="shared" si="42"/>
        <v>-541.09</v>
      </c>
      <c r="W79" s="41"/>
    </row>
    <row r="80" spans="1:238">
      <c r="A80" s="36">
        <v>5</v>
      </c>
      <c r="B80" s="2" t="s">
        <v>36</v>
      </c>
      <c r="C80" s="7" t="s">
        <v>99</v>
      </c>
      <c r="D80" s="37" t="s">
        <v>63</v>
      </c>
      <c r="E80" s="37" t="s">
        <v>35</v>
      </c>
      <c r="F80" s="37">
        <v>50</v>
      </c>
      <c r="G80" s="37">
        <v>5</v>
      </c>
      <c r="H80" s="37">
        <v>10</v>
      </c>
      <c r="I80" s="37">
        <f t="shared" si="39"/>
        <v>2500</v>
      </c>
      <c r="J80" s="38">
        <f t="shared" si="40"/>
        <v>2500</v>
      </c>
      <c r="K80" s="39">
        <f t="shared" si="41"/>
        <v>500</v>
      </c>
      <c r="L80" s="321"/>
      <c r="M80" s="321"/>
      <c r="N80" s="321"/>
      <c r="O80" s="321">
        <v>2000</v>
      </c>
      <c r="P80" s="321">
        <v>778.35</v>
      </c>
      <c r="Q80" s="321"/>
      <c r="R80" s="321">
        <f>248.341066890962+22.17</f>
        <v>270.51106689096201</v>
      </c>
      <c r="S80" s="321"/>
      <c r="T80" s="40"/>
      <c r="U80" s="298">
        <f t="shared" si="43"/>
        <v>3048.8610668909619</v>
      </c>
      <c r="V80" s="131">
        <f t="shared" si="42"/>
        <v>-548.86106689096209</v>
      </c>
      <c r="W80" s="41"/>
    </row>
    <row r="81" spans="1:23">
      <c r="A81" s="36">
        <v>5</v>
      </c>
      <c r="B81" s="2" t="s">
        <v>36</v>
      </c>
      <c r="C81" s="7" t="s">
        <v>99</v>
      </c>
      <c r="D81" s="37" t="s">
        <v>101</v>
      </c>
      <c r="E81" s="37" t="s">
        <v>35</v>
      </c>
      <c r="F81" s="37">
        <v>4</v>
      </c>
      <c r="G81" s="37">
        <v>2</v>
      </c>
      <c r="H81" s="37">
        <v>40</v>
      </c>
      <c r="I81" s="37">
        <f t="shared" si="39"/>
        <v>320</v>
      </c>
      <c r="J81" s="38">
        <f t="shared" si="40"/>
        <v>320</v>
      </c>
      <c r="K81" s="39">
        <f t="shared" si="41"/>
        <v>64</v>
      </c>
      <c r="L81" s="321"/>
      <c r="M81" s="321"/>
      <c r="N81" s="321"/>
      <c r="O81" s="321">
        <v>256</v>
      </c>
      <c r="P81" s="321">
        <v>748.40889854838179</v>
      </c>
      <c r="Q81" s="321"/>
      <c r="R81" s="321"/>
      <c r="S81" s="321"/>
      <c r="T81" s="40"/>
      <c r="U81" s="298">
        <f t="shared" si="43"/>
        <v>1004.4088985483818</v>
      </c>
      <c r="V81" s="131">
        <f t="shared" si="42"/>
        <v>-684.40889854838179</v>
      </c>
      <c r="W81" s="41"/>
    </row>
    <row r="82" spans="1:23">
      <c r="A82" s="36">
        <v>3</v>
      </c>
      <c r="B82" s="28" t="s">
        <v>39</v>
      </c>
      <c r="C82" s="7" t="s">
        <v>99</v>
      </c>
      <c r="D82" s="37" t="s">
        <v>102</v>
      </c>
      <c r="E82" s="37" t="s">
        <v>32</v>
      </c>
      <c r="F82" s="37">
        <v>1</v>
      </c>
      <c r="G82" s="37">
        <v>10</v>
      </c>
      <c r="H82" s="37">
        <v>135</v>
      </c>
      <c r="I82" s="37">
        <f t="shared" si="39"/>
        <v>1350</v>
      </c>
      <c r="J82" s="38">
        <f t="shared" si="40"/>
        <v>1350</v>
      </c>
      <c r="K82" s="39">
        <f t="shared" si="41"/>
        <v>270</v>
      </c>
      <c r="L82" s="321"/>
      <c r="M82" s="321"/>
      <c r="N82" s="321"/>
      <c r="O82" s="321">
        <v>1080</v>
      </c>
      <c r="P82" s="321">
        <v>633.9</v>
      </c>
      <c r="Q82" s="321"/>
      <c r="R82" s="321"/>
      <c r="S82" s="321"/>
      <c r="T82" s="40"/>
      <c r="U82" s="298">
        <f t="shared" si="43"/>
        <v>1713.9</v>
      </c>
      <c r="V82" s="131">
        <f t="shared" si="42"/>
        <v>-363.9</v>
      </c>
      <c r="W82" s="41"/>
    </row>
    <row r="83" spans="1:23">
      <c r="A83" s="36">
        <v>5</v>
      </c>
      <c r="B83" s="2" t="s">
        <v>36</v>
      </c>
      <c r="C83" s="7" t="s">
        <v>99</v>
      </c>
      <c r="D83" s="37" t="s">
        <v>45</v>
      </c>
      <c r="E83" s="37" t="s">
        <v>32</v>
      </c>
      <c r="F83" s="37">
        <v>1</v>
      </c>
      <c r="G83" s="37">
        <v>10</v>
      </c>
      <c r="H83" s="37">
        <v>50</v>
      </c>
      <c r="I83" s="37">
        <f t="shared" si="39"/>
        <v>500</v>
      </c>
      <c r="J83" s="38">
        <f t="shared" si="40"/>
        <v>500</v>
      </c>
      <c r="K83" s="39">
        <f t="shared" si="41"/>
        <v>100</v>
      </c>
      <c r="L83" s="321"/>
      <c r="M83" s="321"/>
      <c r="N83" s="321"/>
      <c r="O83" s="321">
        <v>400</v>
      </c>
      <c r="P83" s="321">
        <v>74.841112318547729</v>
      </c>
      <c r="Q83" s="321"/>
      <c r="R83" s="321"/>
      <c r="S83" s="321"/>
      <c r="T83" s="40"/>
      <c r="U83" s="298">
        <f t="shared" si="43"/>
        <v>474.84111231854774</v>
      </c>
      <c r="V83" s="131">
        <f t="shared" si="42"/>
        <v>25.158887681452271</v>
      </c>
      <c r="W83" s="41"/>
    </row>
    <row r="84" spans="1:23">
      <c r="A84" s="36">
        <v>6</v>
      </c>
      <c r="B84" s="28" t="s">
        <v>87</v>
      </c>
      <c r="C84" s="7" t="s">
        <v>99</v>
      </c>
      <c r="D84" s="37" t="s">
        <v>88</v>
      </c>
      <c r="E84" s="37" t="s">
        <v>32</v>
      </c>
      <c r="F84" s="37">
        <v>4</v>
      </c>
      <c r="G84" s="37">
        <v>1</v>
      </c>
      <c r="H84" s="37">
        <v>4000</v>
      </c>
      <c r="I84" s="37">
        <v>14000</v>
      </c>
      <c r="J84" s="38">
        <f t="shared" si="40"/>
        <v>14000</v>
      </c>
      <c r="K84" s="39"/>
      <c r="L84" s="321"/>
      <c r="M84" s="321"/>
      <c r="N84" s="321"/>
      <c r="O84" s="321">
        <v>5386</v>
      </c>
      <c r="P84" s="321"/>
      <c r="Q84" s="321">
        <v>7563</v>
      </c>
      <c r="R84" s="321"/>
      <c r="S84" s="321"/>
      <c r="T84" s="40"/>
      <c r="U84" s="298">
        <f t="shared" si="43"/>
        <v>12949</v>
      </c>
      <c r="V84" s="131">
        <f t="shared" si="42"/>
        <v>1051</v>
      </c>
      <c r="W84" s="41"/>
    </row>
    <row r="85" spans="1:23">
      <c r="A85" s="36">
        <v>6</v>
      </c>
      <c r="B85" s="28" t="s">
        <v>87</v>
      </c>
      <c r="C85" s="7" t="s">
        <v>99</v>
      </c>
      <c r="D85" s="37" t="s">
        <v>88</v>
      </c>
      <c r="E85" s="37" t="s">
        <v>32</v>
      </c>
      <c r="F85" s="37">
        <v>4</v>
      </c>
      <c r="G85" s="37">
        <v>1</v>
      </c>
      <c r="H85" s="37">
        <v>3000</v>
      </c>
      <c r="I85" s="37">
        <f t="shared" si="39"/>
        <v>12000</v>
      </c>
      <c r="J85" s="38">
        <f t="shared" si="40"/>
        <v>12000</v>
      </c>
      <c r="K85" s="39"/>
      <c r="L85" s="321"/>
      <c r="M85" s="321"/>
      <c r="N85" s="321"/>
      <c r="O85" s="321">
        <v>2000</v>
      </c>
      <c r="P85" s="321"/>
      <c r="Q85" s="321">
        <v>10000</v>
      </c>
      <c r="R85" s="321"/>
      <c r="S85" s="321"/>
      <c r="T85" s="40"/>
      <c r="U85" s="298">
        <f t="shared" si="43"/>
        <v>12000</v>
      </c>
      <c r="V85" s="131">
        <f t="shared" si="42"/>
        <v>0</v>
      </c>
      <c r="W85" s="41"/>
    </row>
    <row r="86" spans="1:23">
      <c r="A86" s="36">
        <v>4</v>
      </c>
      <c r="B86" s="28" t="s">
        <v>51</v>
      </c>
      <c r="C86" s="7" t="s">
        <v>99</v>
      </c>
      <c r="D86" s="37" t="s">
        <v>52</v>
      </c>
      <c r="E86" s="37" t="s">
        <v>32</v>
      </c>
      <c r="F86" s="37">
        <v>1</v>
      </c>
      <c r="G86" s="37">
        <v>1</v>
      </c>
      <c r="H86" s="37">
        <v>1000</v>
      </c>
      <c r="I86" s="37">
        <f t="shared" si="39"/>
        <v>1000</v>
      </c>
      <c r="J86" s="38">
        <f t="shared" si="40"/>
        <v>1000</v>
      </c>
      <c r="K86" s="39">
        <f>I86</f>
        <v>1000</v>
      </c>
      <c r="L86" s="321"/>
      <c r="M86" s="321"/>
      <c r="N86" s="321"/>
      <c r="O86" s="321"/>
      <c r="P86" s="321">
        <v>994.71</v>
      </c>
      <c r="Q86" s="321"/>
      <c r="R86" s="321"/>
      <c r="S86" s="321"/>
      <c r="T86" s="40"/>
      <c r="U86" s="298">
        <f t="shared" si="43"/>
        <v>994.71</v>
      </c>
      <c r="V86" s="131">
        <f t="shared" si="42"/>
        <v>5.2899999999999636</v>
      </c>
      <c r="W86" s="41"/>
    </row>
    <row r="87" spans="1:23">
      <c r="A87" s="36">
        <v>4</v>
      </c>
      <c r="B87" s="28" t="s">
        <v>51</v>
      </c>
      <c r="C87" s="7" t="s">
        <v>99</v>
      </c>
      <c r="D87" s="37" t="s">
        <v>53</v>
      </c>
      <c r="E87" s="37" t="s">
        <v>32</v>
      </c>
      <c r="F87" s="37">
        <v>1</v>
      </c>
      <c r="G87" s="37">
        <v>1</v>
      </c>
      <c r="H87" s="37">
        <v>1700</v>
      </c>
      <c r="I87" s="37">
        <f t="shared" si="39"/>
        <v>1700</v>
      </c>
      <c r="J87" s="38">
        <f t="shared" si="40"/>
        <v>1700</v>
      </c>
      <c r="K87" s="39">
        <f>I87</f>
        <v>1700</v>
      </c>
      <c r="L87" s="321"/>
      <c r="M87" s="321"/>
      <c r="N87" s="321"/>
      <c r="O87" s="321"/>
      <c r="P87" s="321">
        <v>1113.32</v>
      </c>
      <c r="Q87" s="321"/>
      <c r="R87" s="321"/>
      <c r="S87" s="321"/>
      <c r="T87" s="40"/>
      <c r="U87" s="298">
        <f t="shared" si="43"/>
        <v>1113.32</v>
      </c>
      <c r="V87" s="131">
        <f t="shared" si="42"/>
        <v>586.68000000000006</v>
      </c>
      <c r="W87" s="41"/>
    </row>
    <row r="88" spans="1:23">
      <c r="A88" s="36">
        <v>4</v>
      </c>
      <c r="B88" s="28" t="s">
        <v>51</v>
      </c>
      <c r="C88" s="7" t="s">
        <v>99</v>
      </c>
      <c r="D88" s="37" t="s">
        <v>54</v>
      </c>
      <c r="E88" s="37" t="s">
        <v>32</v>
      </c>
      <c r="F88" s="37">
        <v>1</v>
      </c>
      <c r="G88" s="37">
        <v>1</v>
      </c>
      <c r="H88" s="37">
        <v>750</v>
      </c>
      <c r="I88" s="37">
        <f t="shared" si="39"/>
        <v>750</v>
      </c>
      <c r="J88" s="38">
        <f t="shared" si="40"/>
        <v>750</v>
      </c>
      <c r="K88" s="39">
        <f>I88</f>
        <v>750</v>
      </c>
      <c r="L88" s="321"/>
      <c r="M88" s="321"/>
      <c r="N88" s="321"/>
      <c r="O88" s="321"/>
      <c r="P88" s="321"/>
      <c r="Q88" s="321"/>
      <c r="R88" s="321"/>
      <c r="S88" s="321"/>
      <c r="T88" s="40">
        <v>750</v>
      </c>
      <c r="U88" s="298">
        <f t="shared" si="43"/>
        <v>750</v>
      </c>
      <c r="V88" s="131">
        <f t="shared" si="42"/>
        <v>0</v>
      </c>
      <c r="W88" s="41"/>
    </row>
    <row r="89" spans="1:23">
      <c r="A89" s="36"/>
      <c r="B89" s="28" t="s">
        <v>55</v>
      </c>
      <c r="C89" s="49" t="s">
        <v>103</v>
      </c>
      <c r="D89" s="50"/>
      <c r="E89" s="51"/>
      <c r="F89" s="51"/>
      <c r="G89" s="52"/>
      <c r="H89" s="52"/>
      <c r="I89" s="53">
        <f>SUM(I77:I88)</f>
        <v>41745</v>
      </c>
      <c r="J89" s="53">
        <f>SUM(J77:J88)</f>
        <v>41745</v>
      </c>
      <c r="K89" s="54">
        <f>SUM(K77:K88)</f>
        <v>5909</v>
      </c>
      <c r="L89" s="53">
        <f t="shared" ref="L89:N89" si="44">SUM(L77:L88)</f>
        <v>0</v>
      </c>
      <c r="M89" s="53">
        <f t="shared" si="44"/>
        <v>0</v>
      </c>
      <c r="N89" s="53">
        <f t="shared" si="44"/>
        <v>0</v>
      </c>
      <c r="O89" s="53">
        <f t="shared" ref="O89:V89" si="45">SUM(O77:O88)</f>
        <v>17222</v>
      </c>
      <c r="P89" s="53">
        <f t="shared" si="45"/>
        <v>5988.5417599935336</v>
      </c>
      <c r="Q89" s="53">
        <f t="shared" si="45"/>
        <v>17563</v>
      </c>
      <c r="R89" s="53">
        <f t="shared" si="45"/>
        <v>912.84715809126237</v>
      </c>
      <c r="S89" s="53">
        <f t="shared" ref="S89:T89" si="46">SUM(S77:S88)</f>
        <v>0</v>
      </c>
      <c r="T89" s="53">
        <f t="shared" si="46"/>
        <v>750</v>
      </c>
      <c r="U89" s="301">
        <f>SUM(U77:U88)</f>
        <v>42436.388918084791</v>
      </c>
      <c r="V89" s="149">
        <f t="shared" si="45"/>
        <v>-691.38891808479616</v>
      </c>
      <c r="W89" s="152">
        <v>23085.395571438126</v>
      </c>
    </row>
    <row r="90" spans="1:23">
      <c r="A90" s="36"/>
      <c r="B90" s="28" t="s">
        <v>55</v>
      </c>
      <c r="C90" s="57" t="s">
        <v>104</v>
      </c>
      <c r="D90" s="371" t="s">
        <v>105</v>
      </c>
      <c r="E90" s="371"/>
      <c r="F90" s="371"/>
      <c r="G90" s="371"/>
      <c r="H90" s="371"/>
      <c r="I90" s="371"/>
      <c r="J90" s="371"/>
      <c r="K90" s="94"/>
      <c r="L90" s="95"/>
      <c r="M90" s="95"/>
      <c r="N90" s="95"/>
      <c r="O90" s="95"/>
      <c r="P90" s="95"/>
      <c r="Q90" s="95"/>
      <c r="R90" s="95"/>
      <c r="S90" s="95"/>
      <c r="T90" s="95"/>
      <c r="U90" s="300"/>
      <c r="V90" s="140"/>
      <c r="W90" s="96"/>
    </row>
    <row r="91" spans="1:23">
      <c r="A91" s="36">
        <v>2</v>
      </c>
      <c r="B91" s="2" t="s">
        <v>29</v>
      </c>
      <c r="C91" s="7" t="s">
        <v>106</v>
      </c>
      <c r="D91" s="37" t="s">
        <v>107</v>
      </c>
      <c r="E91" s="37" t="s">
        <v>32</v>
      </c>
      <c r="F91" s="37">
        <v>1</v>
      </c>
      <c r="G91" s="37">
        <v>2</v>
      </c>
      <c r="H91" s="37">
        <v>100</v>
      </c>
      <c r="I91" s="37">
        <f t="shared" ref="I91:I108" si="47">F91*G91*H91</f>
        <v>200</v>
      </c>
      <c r="J91" s="38">
        <f t="shared" ref="J91:J108" si="48">I91/$H$5</f>
        <v>200</v>
      </c>
      <c r="K91" s="39">
        <f t="shared" ref="K91:K93" si="49">I91</f>
        <v>200</v>
      </c>
      <c r="L91" s="97"/>
      <c r="M91" s="97"/>
      <c r="N91" s="97"/>
      <c r="O91" s="97"/>
      <c r="P91" s="97"/>
      <c r="Q91" s="97"/>
      <c r="R91" s="321"/>
      <c r="S91" s="321"/>
      <c r="T91" s="40">
        <v>200</v>
      </c>
      <c r="U91" s="298">
        <f>+L91+N91+M91+O91+P91+Q91+R91+S91+T91</f>
        <v>200</v>
      </c>
      <c r="V91" s="131">
        <f>J91-U91</f>
        <v>0</v>
      </c>
      <c r="W91" s="41"/>
    </row>
    <row r="92" spans="1:23">
      <c r="A92" s="36">
        <v>2</v>
      </c>
      <c r="B92" s="2" t="s">
        <v>29</v>
      </c>
      <c r="C92" s="7" t="s">
        <v>106</v>
      </c>
      <c r="D92" s="37" t="s">
        <v>34</v>
      </c>
      <c r="E92" s="37" t="s">
        <v>108</v>
      </c>
      <c r="F92" s="37">
        <v>20</v>
      </c>
      <c r="G92" s="37">
        <v>2</v>
      </c>
      <c r="H92" s="37">
        <v>20</v>
      </c>
      <c r="I92" s="37">
        <f t="shared" si="47"/>
        <v>800</v>
      </c>
      <c r="J92" s="38">
        <f t="shared" si="48"/>
        <v>800</v>
      </c>
      <c r="K92" s="39">
        <f t="shared" si="49"/>
        <v>800</v>
      </c>
      <c r="L92" s="97"/>
      <c r="M92" s="97"/>
      <c r="N92" s="97"/>
      <c r="O92" s="97"/>
      <c r="P92" s="97"/>
      <c r="Q92" s="97"/>
      <c r="R92" s="321">
        <v>800</v>
      </c>
      <c r="S92" s="321"/>
      <c r="T92" s="40"/>
      <c r="U92" s="298">
        <f t="shared" ref="U92:U108" si="50">+L92+N92+M92+O92+P92+Q92+R92+S92+T92</f>
        <v>800</v>
      </c>
      <c r="V92" s="131">
        <f t="shared" ref="V92:V108" si="51">J92-U92</f>
        <v>0</v>
      </c>
      <c r="W92" s="41"/>
    </row>
    <row r="93" spans="1:23" ht="15.75" customHeight="1">
      <c r="A93" s="36">
        <v>5</v>
      </c>
      <c r="B93" s="2" t="s">
        <v>36</v>
      </c>
      <c r="C93" s="7" t="s">
        <v>106</v>
      </c>
      <c r="D93" s="37" t="s">
        <v>109</v>
      </c>
      <c r="E93" s="37" t="s">
        <v>32</v>
      </c>
      <c r="F93" s="37">
        <v>20</v>
      </c>
      <c r="G93" s="37">
        <v>2</v>
      </c>
      <c r="H93" s="37">
        <v>20</v>
      </c>
      <c r="I93" s="37">
        <f t="shared" si="47"/>
        <v>800</v>
      </c>
      <c r="J93" s="38">
        <f t="shared" si="48"/>
        <v>800</v>
      </c>
      <c r="K93" s="39">
        <f t="shared" si="49"/>
        <v>800</v>
      </c>
      <c r="L93" s="97"/>
      <c r="M93" s="97"/>
      <c r="N93" s="97"/>
      <c r="O93" s="97"/>
      <c r="P93" s="97"/>
      <c r="Q93" s="97"/>
      <c r="R93" s="321">
        <f>(88.6932381753436*2)+97.96</f>
        <v>275.34647635068717</v>
      </c>
      <c r="S93" s="321"/>
      <c r="T93" s="40"/>
      <c r="U93" s="298">
        <f t="shared" si="50"/>
        <v>275.34647635068717</v>
      </c>
      <c r="V93" s="131">
        <f t="shared" si="51"/>
        <v>524.65352364931277</v>
      </c>
      <c r="W93" s="41"/>
    </row>
    <row r="94" spans="1:23" ht="15.75" customHeight="1">
      <c r="A94" s="36">
        <v>3</v>
      </c>
      <c r="B94" s="28" t="s">
        <v>39</v>
      </c>
      <c r="C94" s="7" t="s">
        <v>106</v>
      </c>
      <c r="D94" s="37" t="s">
        <v>110</v>
      </c>
      <c r="E94" s="37" t="s">
        <v>32</v>
      </c>
      <c r="F94" s="37">
        <v>1</v>
      </c>
      <c r="G94" s="37">
        <v>14</v>
      </c>
      <c r="H94" s="37">
        <v>200</v>
      </c>
      <c r="I94" s="37">
        <f t="shared" si="47"/>
        <v>2800</v>
      </c>
      <c r="J94" s="38">
        <f t="shared" si="48"/>
        <v>2800</v>
      </c>
      <c r="K94" s="39">
        <f>I94</f>
        <v>2800</v>
      </c>
      <c r="L94" s="321"/>
      <c r="M94" s="321"/>
      <c r="N94" s="321"/>
      <c r="O94" s="321"/>
      <c r="P94" s="321"/>
      <c r="Q94" s="321"/>
      <c r="R94" s="321">
        <f>2439.06</f>
        <v>2439.06</v>
      </c>
      <c r="S94" s="321"/>
      <c r="T94" s="40"/>
      <c r="U94" s="298">
        <f t="shared" si="50"/>
        <v>2439.06</v>
      </c>
      <c r="V94" s="131">
        <f t="shared" si="51"/>
        <v>360.94000000000005</v>
      </c>
      <c r="W94" s="41"/>
    </row>
    <row r="95" spans="1:23">
      <c r="A95" s="36">
        <v>3</v>
      </c>
      <c r="B95" s="28" t="s">
        <v>39</v>
      </c>
      <c r="C95" s="7" t="s">
        <v>106</v>
      </c>
      <c r="D95" s="37" t="s">
        <v>111</v>
      </c>
      <c r="E95" s="37" t="s">
        <v>32</v>
      </c>
      <c r="F95" s="37">
        <v>1</v>
      </c>
      <c r="G95" s="37">
        <v>14</v>
      </c>
      <c r="H95" s="37">
        <v>200</v>
      </c>
      <c r="I95" s="37">
        <f t="shared" si="47"/>
        <v>2800</v>
      </c>
      <c r="J95" s="38">
        <f t="shared" si="48"/>
        <v>2800</v>
      </c>
      <c r="K95" s="39">
        <f t="shared" ref="K95:K103" si="52">I95</f>
        <v>2800</v>
      </c>
      <c r="L95" s="321"/>
      <c r="M95" s="321"/>
      <c r="N95" s="321"/>
      <c r="O95" s="321"/>
      <c r="P95" s="321"/>
      <c r="Q95" s="321"/>
      <c r="R95" s="321">
        <f>2660.8</f>
        <v>2660.8</v>
      </c>
      <c r="S95" s="321"/>
      <c r="T95" s="40"/>
      <c r="U95" s="298">
        <f t="shared" si="50"/>
        <v>2660.8</v>
      </c>
      <c r="V95" s="131">
        <f t="shared" si="51"/>
        <v>139.19999999999982</v>
      </c>
      <c r="W95" s="41"/>
    </row>
    <row r="96" spans="1:23">
      <c r="A96" s="36">
        <v>5</v>
      </c>
      <c r="B96" s="2" t="s">
        <v>36</v>
      </c>
      <c r="C96" s="7" t="s">
        <v>106</v>
      </c>
      <c r="D96" s="37" t="s">
        <v>112</v>
      </c>
      <c r="E96" s="37" t="s">
        <v>35</v>
      </c>
      <c r="F96" s="37">
        <v>15</v>
      </c>
      <c r="G96" s="37">
        <v>14</v>
      </c>
      <c r="H96" s="37">
        <v>40</v>
      </c>
      <c r="I96" s="37">
        <f t="shared" si="47"/>
        <v>8400</v>
      </c>
      <c r="J96" s="38">
        <f t="shared" si="48"/>
        <v>8400</v>
      </c>
      <c r="K96" s="39">
        <f t="shared" si="52"/>
        <v>8400</v>
      </c>
      <c r="L96" s="321"/>
      <c r="M96" s="321"/>
      <c r="N96" s="321"/>
      <c r="O96" s="321"/>
      <c r="P96" s="321"/>
      <c r="Q96" s="321"/>
      <c r="R96" s="321">
        <v>7243.2811176530586</v>
      </c>
      <c r="S96" s="321"/>
      <c r="T96" s="40">
        <v>1157</v>
      </c>
      <c r="U96" s="298">
        <f t="shared" si="50"/>
        <v>8400.2811176530595</v>
      </c>
      <c r="V96" s="131">
        <f t="shared" si="51"/>
        <v>-0.28111765305948211</v>
      </c>
      <c r="W96" s="41"/>
    </row>
    <row r="97" spans="1:23">
      <c r="A97" s="36">
        <v>2</v>
      </c>
      <c r="B97" s="2" t="s">
        <v>29</v>
      </c>
      <c r="C97" s="7" t="s">
        <v>106</v>
      </c>
      <c r="D97" s="37" t="s">
        <v>113</v>
      </c>
      <c r="E97" s="37" t="s">
        <v>32</v>
      </c>
      <c r="F97" s="37">
        <v>1</v>
      </c>
      <c r="G97" s="37">
        <v>5</v>
      </c>
      <c r="H97" s="37">
        <v>500</v>
      </c>
      <c r="I97" s="37">
        <f t="shared" si="47"/>
        <v>2500</v>
      </c>
      <c r="J97" s="38">
        <f t="shared" si="48"/>
        <v>2500</v>
      </c>
      <c r="K97" s="39">
        <f t="shared" si="52"/>
        <v>2500</v>
      </c>
      <c r="L97" s="321"/>
      <c r="M97" s="321"/>
      <c r="N97" s="321"/>
      <c r="O97" s="321"/>
      <c r="P97" s="321"/>
      <c r="Q97" s="321"/>
      <c r="R97" s="321">
        <f>81.27+177.39+81.27</f>
        <v>339.92999999999995</v>
      </c>
      <c r="S97" s="321"/>
      <c r="T97" s="40">
        <v>2160</v>
      </c>
      <c r="U97" s="298">
        <f t="shared" si="50"/>
        <v>2499.9299999999998</v>
      </c>
      <c r="V97" s="131">
        <f t="shared" si="51"/>
        <v>7.0000000000163709E-2</v>
      </c>
      <c r="W97" s="41"/>
    </row>
    <row r="98" spans="1:23">
      <c r="A98" s="36">
        <v>2</v>
      </c>
      <c r="B98" s="2" t="s">
        <v>29</v>
      </c>
      <c r="C98" s="7" t="s">
        <v>106</v>
      </c>
      <c r="D98" s="37" t="s">
        <v>114</v>
      </c>
      <c r="E98" s="37" t="s">
        <v>32</v>
      </c>
      <c r="F98" s="37">
        <v>1</v>
      </c>
      <c r="G98" s="37">
        <v>5</v>
      </c>
      <c r="H98" s="37">
        <v>500</v>
      </c>
      <c r="I98" s="37">
        <f t="shared" si="47"/>
        <v>2500</v>
      </c>
      <c r="J98" s="38">
        <f t="shared" si="48"/>
        <v>2500</v>
      </c>
      <c r="K98" s="39">
        <f t="shared" si="52"/>
        <v>2500</v>
      </c>
      <c r="L98" s="321"/>
      <c r="M98" s="321"/>
      <c r="N98" s="321"/>
      <c r="O98" s="321"/>
      <c r="P98" s="321"/>
      <c r="Q98" s="321"/>
      <c r="R98" s="321">
        <f>930.69+1396.03</f>
        <v>2326.7200000000003</v>
      </c>
      <c r="S98" s="321"/>
      <c r="T98" s="40"/>
      <c r="U98" s="298">
        <f t="shared" si="50"/>
        <v>2326.7200000000003</v>
      </c>
      <c r="V98" s="131">
        <f t="shared" si="51"/>
        <v>173.27999999999975</v>
      </c>
      <c r="W98" s="41"/>
    </row>
    <row r="99" spans="1:23">
      <c r="A99" s="36">
        <v>5</v>
      </c>
      <c r="B99" s="2" t="s">
        <v>36</v>
      </c>
      <c r="C99" s="7" t="s">
        <v>106</v>
      </c>
      <c r="D99" s="37" t="s">
        <v>115</v>
      </c>
      <c r="E99" s="37" t="s">
        <v>32</v>
      </c>
      <c r="F99" s="37">
        <v>2</v>
      </c>
      <c r="G99" s="37">
        <v>14</v>
      </c>
      <c r="H99" s="37">
        <v>50</v>
      </c>
      <c r="I99" s="37">
        <f>F99*G99*H99</f>
        <v>1400</v>
      </c>
      <c r="J99" s="38">
        <f t="shared" si="48"/>
        <v>1400</v>
      </c>
      <c r="K99" s="39">
        <f t="shared" si="52"/>
        <v>1400</v>
      </c>
      <c r="L99" s="321"/>
      <c r="M99" s="321"/>
      <c r="N99" s="321"/>
      <c r="O99" s="321"/>
      <c r="P99" s="321"/>
      <c r="Q99" s="321"/>
      <c r="R99" s="321">
        <f>519.15+65.05</f>
        <v>584.19999999999993</v>
      </c>
      <c r="S99" s="321"/>
      <c r="T99" s="40"/>
      <c r="U99" s="298">
        <f t="shared" si="50"/>
        <v>584.19999999999993</v>
      </c>
      <c r="V99" s="131">
        <f t="shared" si="51"/>
        <v>815.80000000000007</v>
      </c>
      <c r="W99" s="41"/>
    </row>
    <row r="100" spans="1:23">
      <c r="A100" s="36">
        <v>3</v>
      </c>
      <c r="B100" s="28" t="s">
        <v>39</v>
      </c>
      <c r="C100" s="7" t="s">
        <v>106</v>
      </c>
      <c r="D100" s="37" t="s">
        <v>116</v>
      </c>
      <c r="E100" s="37" t="s">
        <v>32</v>
      </c>
      <c r="F100" s="37">
        <v>1</v>
      </c>
      <c r="G100" s="37">
        <v>14</v>
      </c>
      <c r="H100" s="37">
        <v>50</v>
      </c>
      <c r="I100" s="37">
        <f t="shared" si="47"/>
        <v>700</v>
      </c>
      <c r="J100" s="38">
        <f t="shared" si="48"/>
        <v>700</v>
      </c>
      <c r="K100" s="39">
        <f t="shared" si="52"/>
        <v>700</v>
      </c>
      <c r="L100" s="321"/>
      <c r="M100" s="321"/>
      <c r="N100" s="321"/>
      <c r="O100" s="321"/>
      <c r="P100" s="321"/>
      <c r="Q100" s="321"/>
      <c r="R100" s="321"/>
      <c r="S100" s="321"/>
      <c r="T100" s="40">
        <v>700</v>
      </c>
      <c r="U100" s="298"/>
      <c r="V100" s="131">
        <f t="shared" si="51"/>
        <v>700</v>
      </c>
      <c r="W100" s="41"/>
    </row>
    <row r="101" spans="1:23">
      <c r="A101" s="36">
        <v>4</v>
      </c>
      <c r="B101" s="2" t="s">
        <v>51</v>
      </c>
      <c r="C101" s="7" t="s">
        <v>106</v>
      </c>
      <c r="D101" s="37" t="s">
        <v>117</v>
      </c>
      <c r="E101" s="37" t="s">
        <v>35</v>
      </c>
      <c r="F101" s="37">
        <v>12</v>
      </c>
      <c r="G101" s="37">
        <v>5</v>
      </c>
      <c r="H101" s="37">
        <v>100</v>
      </c>
      <c r="I101" s="37">
        <f t="shared" si="47"/>
        <v>6000</v>
      </c>
      <c r="J101" s="38">
        <f t="shared" si="48"/>
        <v>6000</v>
      </c>
      <c r="K101" s="39">
        <f t="shared" si="52"/>
        <v>6000</v>
      </c>
      <c r="L101" s="321"/>
      <c r="M101" s="321"/>
      <c r="N101" s="321"/>
      <c r="O101" s="321"/>
      <c r="P101" s="321"/>
      <c r="Q101" s="321"/>
      <c r="R101" s="321">
        <f>229.124198619638+886.93</f>
        <v>1116.0541986196379</v>
      </c>
      <c r="S101" s="321">
        <v>1014.5654444725475</v>
      </c>
      <c r="T101" s="40">
        <v>3869</v>
      </c>
      <c r="U101" s="298">
        <f t="shared" si="50"/>
        <v>5999.6196430921855</v>
      </c>
      <c r="V101" s="131">
        <f t="shared" si="51"/>
        <v>0.38035690781453013</v>
      </c>
      <c r="W101" s="41"/>
    </row>
    <row r="102" spans="1:23">
      <c r="A102" s="36">
        <v>4</v>
      </c>
      <c r="B102" s="2" t="s">
        <v>51</v>
      </c>
      <c r="C102" s="7" t="s">
        <v>106</v>
      </c>
      <c r="D102" s="37" t="s">
        <v>118</v>
      </c>
      <c r="E102" s="37" t="s">
        <v>32</v>
      </c>
      <c r="F102" s="37">
        <v>1</v>
      </c>
      <c r="G102" s="37">
        <v>5</v>
      </c>
      <c r="H102" s="37">
        <v>50</v>
      </c>
      <c r="I102" s="37">
        <f t="shared" si="47"/>
        <v>250</v>
      </c>
      <c r="J102" s="38">
        <f t="shared" si="48"/>
        <v>250</v>
      </c>
      <c r="K102" s="39">
        <f t="shared" si="52"/>
        <v>250</v>
      </c>
      <c r="L102" s="321"/>
      <c r="M102" s="321"/>
      <c r="N102" s="321"/>
      <c r="O102" s="321"/>
      <c r="P102" s="321"/>
      <c r="Q102" s="321"/>
      <c r="R102" s="321">
        <v>581.09</v>
      </c>
      <c r="S102" s="321"/>
      <c r="T102" s="40"/>
      <c r="U102" s="298">
        <f t="shared" si="50"/>
        <v>581.09</v>
      </c>
      <c r="V102" s="131">
        <f t="shared" si="51"/>
        <v>-331.09000000000003</v>
      </c>
      <c r="W102" s="41"/>
    </row>
    <row r="103" spans="1:23">
      <c r="A103" s="36">
        <v>4</v>
      </c>
      <c r="B103" s="2" t="s">
        <v>51</v>
      </c>
      <c r="C103" s="7" t="s">
        <v>106</v>
      </c>
      <c r="D103" s="37" t="s">
        <v>119</v>
      </c>
      <c r="E103" s="37" t="s">
        <v>32</v>
      </c>
      <c r="F103" s="37">
        <v>1</v>
      </c>
      <c r="G103" s="37">
        <v>5</v>
      </c>
      <c r="H103" s="37">
        <v>100</v>
      </c>
      <c r="I103" s="37">
        <f t="shared" si="47"/>
        <v>500</v>
      </c>
      <c r="J103" s="38">
        <f t="shared" si="48"/>
        <v>500</v>
      </c>
      <c r="K103" s="39">
        <f t="shared" si="52"/>
        <v>500</v>
      </c>
      <c r="L103" s="321"/>
      <c r="M103" s="321"/>
      <c r="N103" s="321"/>
      <c r="O103" s="321"/>
      <c r="P103" s="321"/>
      <c r="Q103" s="321"/>
      <c r="R103" s="321">
        <f>221.73+66.52+89.32</f>
        <v>377.57</v>
      </c>
      <c r="S103" s="321"/>
      <c r="T103" s="40"/>
      <c r="U103" s="298">
        <f t="shared" si="50"/>
        <v>377.57</v>
      </c>
      <c r="V103" s="131">
        <f t="shared" si="51"/>
        <v>122.43</v>
      </c>
      <c r="W103" s="41"/>
    </row>
    <row r="104" spans="1:23">
      <c r="A104" s="36">
        <v>6</v>
      </c>
      <c r="B104" s="2" t="s">
        <v>87</v>
      </c>
      <c r="C104" s="7" t="s">
        <v>106</v>
      </c>
      <c r="D104" s="37" t="s">
        <v>88</v>
      </c>
      <c r="E104" s="37" t="s">
        <v>32</v>
      </c>
      <c r="F104" s="37">
        <v>4</v>
      </c>
      <c r="G104" s="37">
        <v>1</v>
      </c>
      <c r="H104" s="37">
        <v>2700</v>
      </c>
      <c r="I104" s="37">
        <f t="shared" si="47"/>
        <v>10800</v>
      </c>
      <c r="J104" s="38">
        <f t="shared" si="48"/>
        <v>10800</v>
      </c>
      <c r="K104" s="39"/>
      <c r="L104" s="321"/>
      <c r="M104" s="321"/>
      <c r="N104" s="321"/>
      <c r="O104" s="321"/>
      <c r="P104" s="321"/>
      <c r="Q104" s="321"/>
      <c r="R104" s="321">
        <f>2798.31117372+894.36+2855.92+2050.23+64.3</f>
        <v>8663.1211737199992</v>
      </c>
      <c r="S104" s="321"/>
      <c r="T104" s="40">
        <v>2137</v>
      </c>
      <c r="U104" s="298">
        <f t="shared" si="50"/>
        <v>10800.121173719999</v>
      </c>
      <c r="V104" s="131">
        <f t="shared" si="51"/>
        <v>-0.12117371999920579</v>
      </c>
      <c r="W104" s="41"/>
    </row>
    <row r="105" spans="1:23">
      <c r="A105" s="36">
        <v>6</v>
      </c>
      <c r="B105" s="2" t="s">
        <v>87</v>
      </c>
      <c r="C105" s="7" t="s">
        <v>106</v>
      </c>
      <c r="D105" s="37" t="s">
        <v>88</v>
      </c>
      <c r="E105" s="37" t="s">
        <v>32</v>
      </c>
      <c r="F105" s="37">
        <v>4</v>
      </c>
      <c r="G105" s="37">
        <v>1</v>
      </c>
      <c r="H105" s="37">
        <v>2700</v>
      </c>
      <c r="I105" s="37">
        <f t="shared" si="47"/>
        <v>10800</v>
      </c>
      <c r="J105" s="38">
        <f t="shared" si="48"/>
        <v>10800</v>
      </c>
      <c r="K105" s="39"/>
      <c r="L105" s="321"/>
      <c r="M105" s="321"/>
      <c r="N105" s="321"/>
      <c r="O105" s="321"/>
      <c r="P105" s="321"/>
      <c r="Q105" s="321"/>
      <c r="R105" s="321"/>
      <c r="S105" s="321">
        <v>1701.0404297184796</v>
      </c>
      <c r="T105" s="40">
        <v>9099</v>
      </c>
      <c r="U105" s="298">
        <f t="shared" si="50"/>
        <v>10800.04042971848</v>
      </c>
      <c r="V105" s="131">
        <f t="shared" si="51"/>
        <v>-4.042971847957233E-2</v>
      </c>
      <c r="W105" s="41"/>
    </row>
    <row r="106" spans="1:23">
      <c r="A106" s="36">
        <v>4</v>
      </c>
      <c r="B106" s="2" t="s">
        <v>51</v>
      </c>
      <c r="C106" s="7" t="s">
        <v>106</v>
      </c>
      <c r="D106" s="37" t="s">
        <v>52</v>
      </c>
      <c r="E106" s="37" t="s">
        <v>32</v>
      </c>
      <c r="F106" s="37">
        <v>1</v>
      </c>
      <c r="G106" s="37">
        <v>1</v>
      </c>
      <c r="H106" s="37">
        <v>1000</v>
      </c>
      <c r="I106" s="37">
        <f t="shared" si="47"/>
        <v>1000</v>
      </c>
      <c r="J106" s="38">
        <f t="shared" si="48"/>
        <v>1000</v>
      </c>
      <c r="K106" s="39">
        <f>I106</f>
        <v>1000</v>
      </c>
      <c r="L106" s="321"/>
      <c r="M106" s="321"/>
      <c r="N106" s="321"/>
      <c r="O106" s="321"/>
      <c r="P106" s="321"/>
      <c r="Q106" s="321"/>
      <c r="R106" s="321">
        <f>499.6+491.25</f>
        <v>990.85</v>
      </c>
      <c r="S106" s="321"/>
      <c r="T106" s="40"/>
      <c r="U106" s="298">
        <f t="shared" si="50"/>
        <v>990.85</v>
      </c>
      <c r="V106" s="131">
        <f t="shared" si="51"/>
        <v>9.1499999999999773</v>
      </c>
      <c r="W106" s="41"/>
    </row>
    <row r="107" spans="1:23">
      <c r="A107" s="36">
        <v>4</v>
      </c>
      <c r="B107" s="2" t="s">
        <v>51</v>
      </c>
      <c r="C107" s="7" t="s">
        <v>106</v>
      </c>
      <c r="D107" s="37" t="s">
        <v>53</v>
      </c>
      <c r="E107" s="37" t="s">
        <v>32</v>
      </c>
      <c r="F107" s="37">
        <v>1</v>
      </c>
      <c r="G107" s="37">
        <v>1</v>
      </c>
      <c r="H107" s="37">
        <v>1700</v>
      </c>
      <c r="I107" s="37">
        <f t="shared" si="47"/>
        <v>1700</v>
      </c>
      <c r="J107" s="38">
        <f t="shared" si="48"/>
        <v>1700</v>
      </c>
      <c r="K107" s="39">
        <f>I107</f>
        <v>1700</v>
      </c>
      <c r="L107" s="321"/>
      <c r="M107" s="321"/>
      <c r="N107" s="321"/>
      <c r="O107" s="321"/>
      <c r="P107" s="321"/>
      <c r="Q107" s="321"/>
      <c r="R107" s="321">
        <v>1199.03</v>
      </c>
      <c r="S107" s="321"/>
      <c r="T107" s="40"/>
      <c r="U107" s="298">
        <f t="shared" si="50"/>
        <v>1199.03</v>
      </c>
      <c r="V107" s="131">
        <f t="shared" si="51"/>
        <v>500.97</v>
      </c>
      <c r="W107" s="41"/>
    </row>
    <row r="108" spans="1:23">
      <c r="A108" s="36">
        <v>4</v>
      </c>
      <c r="B108" s="2" t="s">
        <v>51</v>
      </c>
      <c r="C108" s="7" t="s">
        <v>106</v>
      </c>
      <c r="D108" s="37" t="s">
        <v>54</v>
      </c>
      <c r="E108" s="37" t="s">
        <v>32</v>
      </c>
      <c r="F108" s="37">
        <v>1</v>
      </c>
      <c r="G108" s="37">
        <v>1</v>
      </c>
      <c r="H108" s="37">
        <v>750</v>
      </c>
      <c r="I108" s="37">
        <f t="shared" si="47"/>
        <v>750</v>
      </c>
      <c r="J108" s="38">
        <f t="shared" si="48"/>
        <v>750</v>
      </c>
      <c r="K108" s="39">
        <f>I108</f>
        <v>750</v>
      </c>
      <c r="L108" s="321"/>
      <c r="M108" s="321"/>
      <c r="N108" s="321"/>
      <c r="O108" s="321"/>
      <c r="P108" s="321"/>
      <c r="Q108" s="321"/>
      <c r="R108" s="321">
        <v>852.76</v>
      </c>
      <c r="S108" s="321"/>
      <c r="T108" s="40"/>
      <c r="U108" s="298">
        <f t="shared" si="50"/>
        <v>852.76</v>
      </c>
      <c r="V108" s="131">
        <f t="shared" si="51"/>
        <v>-102.75999999999999</v>
      </c>
      <c r="W108" s="41"/>
    </row>
    <row r="109" spans="1:23">
      <c r="A109" s="36"/>
      <c r="B109" s="28" t="s">
        <v>55</v>
      </c>
      <c r="C109" s="49" t="s">
        <v>120</v>
      </c>
      <c r="D109" s="50"/>
      <c r="E109" s="51"/>
      <c r="F109" s="51"/>
      <c r="G109" s="52"/>
      <c r="H109" s="52"/>
      <c r="I109" s="53">
        <f t="shared" ref="I109:R109" si="53">SUM(I91:I108)</f>
        <v>54700</v>
      </c>
      <c r="J109" s="53">
        <f t="shared" si="53"/>
        <v>54700</v>
      </c>
      <c r="K109" s="54">
        <f t="shared" si="53"/>
        <v>33100</v>
      </c>
      <c r="L109" s="53">
        <f t="shared" si="53"/>
        <v>0</v>
      </c>
      <c r="M109" s="53">
        <f t="shared" si="53"/>
        <v>0</v>
      </c>
      <c r="N109" s="53">
        <f t="shared" si="53"/>
        <v>0</v>
      </c>
      <c r="O109" s="53">
        <f t="shared" si="53"/>
        <v>0</v>
      </c>
      <c r="P109" s="53">
        <f t="shared" si="53"/>
        <v>0</v>
      </c>
      <c r="Q109" s="53">
        <f t="shared" si="53"/>
        <v>0</v>
      </c>
      <c r="R109" s="53">
        <f t="shared" si="53"/>
        <v>30449.812966343379</v>
      </c>
      <c r="S109" s="53">
        <f t="shared" ref="S109:T109" si="54">SUM(S91:S108)</f>
        <v>2715.6058741910269</v>
      </c>
      <c r="T109" s="53">
        <f t="shared" si="54"/>
        <v>19322</v>
      </c>
      <c r="U109" s="301">
        <f>SUM(U91:U108)</f>
        <v>51787.41884053441</v>
      </c>
      <c r="V109" s="156">
        <f>SUM(V91:V108)</f>
        <v>2912.5811594655888</v>
      </c>
      <c r="W109" s="56">
        <f>U109*0.6</f>
        <v>31072.451304320646</v>
      </c>
    </row>
    <row r="110" spans="1:23">
      <c r="A110" s="36"/>
      <c r="B110" s="28" t="s">
        <v>55</v>
      </c>
      <c r="C110" s="57" t="s">
        <v>121</v>
      </c>
      <c r="D110" s="371" t="s">
        <v>122</v>
      </c>
      <c r="E110" s="371"/>
      <c r="F110" s="371"/>
      <c r="G110" s="371"/>
      <c r="H110" s="371"/>
      <c r="I110" s="371"/>
      <c r="J110" s="371"/>
      <c r="K110" s="94"/>
      <c r="L110" s="95"/>
      <c r="M110" s="95"/>
      <c r="N110" s="95"/>
      <c r="O110" s="95"/>
      <c r="P110" s="95"/>
      <c r="Q110" s="95"/>
      <c r="R110" s="95"/>
      <c r="S110" s="95"/>
      <c r="T110" s="95"/>
      <c r="U110" s="300"/>
      <c r="V110" s="140"/>
      <c r="W110" s="96"/>
    </row>
    <row r="111" spans="1:23">
      <c r="A111" s="36">
        <v>4</v>
      </c>
      <c r="B111" s="2" t="s">
        <v>51</v>
      </c>
      <c r="C111" s="7" t="s">
        <v>123</v>
      </c>
      <c r="D111" s="37" t="s">
        <v>124</v>
      </c>
      <c r="E111" s="37" t="s">
        <v>32</v>
      </c>
      <c r="F111" s="37">
        <v>3</v>
      </c>
      <c r="G111" s="37">
        <v>4</v>
      </c>
      <c r="H111" s="37">
        <v>200</v>
      </c>
      <c r="I111" s="37">
        <f t="shared" ref="I111:I124" si="55">F111*G111*H111</f>
        <v>2400</v>
      </c>
      <c r="J111" s="38">
        <f t="shared" ref="J111:J124" si="56">I111/$H$5</f>
        <v>2400</v>
      </c>
      <c r="K111" s="39">
        <v>2400</v>
      </c>
      <c r="L111" s="321"/>
      <c r="M111" s="95"/>
      <c r="N111" s="321"/>
      <c r="O111" s="321"/>
      <c r="P111" s="321">
        <v>493.99683252180216</v>
      </c>
      <c r="Q111" s="321">
        <v>22.13</v>
      </c>
      <c r="R111" s="321"/>
      <c r="S111" s="321"/>
      <c r="T111" s="40"/>
      <c r="U111" s="298">
        <f>+L111+N111+M111+O111+P111+Q111+R111+S111+T111</f>
        <v>516.12683252180216</v>
      </c>
      <c r="V111" s="131">
        <f>J111-L111-M111-N111-O111-P111-Q111-R111-S111-T111</f>
        <v>1883.8731674781977</v>
      </c>
      <c r="W111" s="41"/>
    </row>
    <row r="112" spans="1:23">
      <c r="A112" s="36">
        <v>2</v>
      </c>
      <c r="B112" s="2" t="s">
        <v>29</v>
      </c>
      <c r="C112" s="7" t="s">
        <v>123</v>
      </c>
      <c r="D112" s="37" t="s">
        <v>125</v>
      </c>
      <c r="E112" s="37" t="s">
        <v>32</v>
      </c>
      <c r="F112" s="37">
        <v>1</v>
      </c>
      <c r="G112" s="37">
        <v>2</v>
      </c>
      <c r="H112" s="37">
        <v>40</v>
      </c>
      <c r="I112" s="37">
        <f t="shared" si="55"/>
        <v>80</v>
      </c>
      <c r="J112" s="38">
        <f t="shared" si="56"/>
        <v>80</v>
      </c>
      <c r="K112" s="39">
        <f>I112/5</f>
        <v>16</v>
      </c>
      <c r="L112" s="321"/>
      <c r="M112" s="321"/>
      <c r="N112" s="321"/>
      <c r="O112" s="321"/>
      <c r="P112" s="321">
        <v>64</v>
      </c>
      <c r="Q112" s="321">
        <v>36.878323658919761</v>
      </c>
      <c r="R112" s="321"/>
      <c r="S112" s="321"/>
      <c r="T112" s="40"/>
      <c r="U112" s="298">
        <f t="shared" ref="U112:U124" si="57">+L112+N112+M112+O112+P112+Q112+R112+S112+T112</f>
        <v>100.87832365891975</v>
      </c>
      <c r="V112" s="131">
        <f t="shared" ref="V112:V124" si="58">J112-L112-M112-N112-O112-P112-Q112-R112-S112-T112</f>
        <v>-20.878323658919761</v>
      </c>
      <c r="W112" s="41"/>
    </row>
    <row r="113" spans="1:23">
      <c r="A113" s="36">
        <v>2</v>
      </c>
      <c r="B113" s="2" t="s">
        <v>29</v>
      </c>
      <c r="C113" s="7" t="s">
        <v>123</v>
      </c>
      <c r="D113" s="37" t="s">
        <v>126</v>
      </c>
      <c r="E113" s="37" t="s">
        <v>35</v>
      </c>
      <c r="F113" s="37">
        <v>20</v>
      </c>
      <c r="G113" s="37">
        <v>2</v>
      </c>
      <c r="H113" s="37">
        <v>15</v>
      </c>
      <c r="I113" s="37">
        <f t="shared" si="55"/>
        <v>600</v>
      </c>
      <c r="J113" s="38">
        <f t="shared" si="56"/>
        <v>600</v>
      </c>
      <c r="K113" s="39">
        <f t="shared" ref="K113:K121" si="59">I113/5</f>
        <v>120</v>
      </c>
      <c r="L113" s="321"/>
      <c r="M113" s="321"/>
      <c r="N113" s="321"/>
      <c r="O113" s="321"/>
      <c r="P113" s="321">
        <v>480</v>
      </c>
      <c r="Q113" s="321">
        <v>1567.3287555040899</v>
      </c>
      <c r="R113" s="321"/>
      <c r="S113" s="321"/>
      <c r="T113" s="40"/>
      <c r="U113" s="298">
        <f t="shared" si="57"/>
        <v>2047.3287555040899</v>
      </c>
      <c r="V113" s="131">
        <f t="shared" si="58"/>
        <v>-1447.3287555040899</v>
      </c>
      <c r="W113" s="41"/>
    </row>
    <row r="114" spans="1:23">
      <c r="A114" s="36">
        <v>5</v>
      </c>
      <c r="B114" s="2" t="s">
        <v>36</v>
      </c>
      <c r="C114" s="7" t="s">
        <v>123</v>
      </c>
      <c r="D114" s="37" t="s">
        <v>127</v>
      </c>
      <c r="E114" s="37" t="s">
        <v>35</v>
      </c>
      <c r="F114" s="37">
        <v>4</v>
      </c>
      <c r="G114" s="37">
        <v>2</v>
      </c>
      <c r="H114" s="37">
        <v>40</v>
      </c>
      <c r="I114" s="37">
        <f t="shared" si="55"/>
        <v>320</v>
      </c>
      <c r="J114" s="38">
        <f t="shared" si="56"/>
        <v>320</v>
      </c>
      <c r="K114" s="39">
        <f t="shared" si="59"/>
        <v>64</v>
      </c>
      <c r="L114" s="321"/>
      <c r="M114" s="321"/>
      <c r="N114" s="321"/>
      <c r="O114" s="321"/>
      <c r="P114" s="321">
        <v>256</v>
      </c>
      <c r="Q114" s="321">
        <v>1032.5930624497535</v>
      </c>
      <c r="R114" s="321"/>
      <c r="S114" s="321"/>
      <c r="T114" s="40"/>
      <c r="U114" s="298">
        <f t="shared" si="57"/>
        <v>1288.5930624497535</v>
      </c>
      <c r="V114" s="131">
        <f t="shared" si="58"/>
        <v>-968.59306244975346</v>
      </c>
      <c r="W114" s="41"/>
    </row>
    <row r="115" spans="1:23">
      <c r="A115" s="36">
        <v>3</v>
      </c>
      <c r="B115" s="28" t="s">
        <v>39</v>
      </c>
      <c r="C115" s="7" t="s">
        <v>123</v>
      </c>
      <c r="D115" s="37" t="s">
        <v>40</v>
      </c>
      <c r="E115" s="37" t="s">
        <v>32</v>
      </c>
      <c r="F115" s="37">
        <v>2</v>
      </c>
      <c r="G115" s="37">
        <v>3</v>
      </c>
      <c r="H115" s="37">
        <v>135</v>
      </c>
      <c r="I115" s="37">
        <f t="shared" si="55"/>
        <v>810</v>
      </c>
      <c r="J115" s="38">
        <f t="shared" si="56"/>
        <v>810</v>
      </c>
      <c r="K115" s="39">
        <f t="shared" si="59"/>
        <v>162</v>
      </c>
      <c r="L115" s="321"/>
      <c r="M115" s="321"/>
      <c r="N115" s="321"/>
      <c r="O115" s="321"/>
      <c r="P115" s="321">
        <v>648</v>
      </c>
      <c r="Q115" s="321">
        <f>955.07+12.83</f>
        <v>967.90000000000009</v>
      </c>
      <c r="R115" s="321"/>
      <c r="S115" s="321"/>
      <c r="T115" s="40"/>
      <c r="U115" s="298">
        <f t="shared" si="57"/>
        <v>1615.9</v>
      </c>
      <c r="V115" s="131">
        <f t="shared" si="58"/>
        <v>-805.90000000000009</v>
      </c>
      <c r="W115" s="41"/>
    </row>
    <row r="116" spans="1:23">
      <c r="A116" s="36">
        <v>5</v>
      </c>
      <c r="B116" s="2" t="s">
        <v>36</v>
      </c>
      <c r="C116" s="7" t="s">
        <v>123</v>
      </c>
      <c r="D116" s="37" t="s">
        <v>115</v>
      </c>
      <c r="E116" s="37" t="s">
        <v>32</v>
      </c>
      <c r="F116" s="37">
        <v>2</v>
      </c>
      <c r="G116" s="37">
        <v>3</v>
      </c>
      <c r="H116" s="37">
        <v>50</v>
      </c>
      <c r="I116" s="37">
        <f t="shared" si="55"/>
        <v>300</v>
      </c>
      <c r="J116" s="38">
        <f t="shared" si="56"/>
        <v>300</v>
      </c>
      <c r="K116" s="39">
        <f t="shared" si="59"/>
        <v>60</v>
      </c>
      <c r="L116" s="321"/>
      <c r="M116" s="321"/>
      <c r="N116" s="321"/>
      <c r="O116" s="321"/>
      <c r="P116" s="321">
        <v>300</v>
      </c>
      <c r="Q116" s="321"/>
      <c r="R116" s="321"/>
      <c r="S116" s="321"/>
      <c r="T116" s="40"/>
      <c r="U116" s="298">
        <f t="shared" si="57"/>
        <v>300</v>
      </c>
      <c r="V116" s="131">
        <f t="shared" si="58"/>
        <v>0</v>
      </c>
      <c r="W116" s="41"/>
    </row>
    <row r="117" spans="1:23">
      <c r="A117" s="36">
        <v>5</v>
      </c>
      <c r="B117" s="2" t="s">
        <v>36</v>
      </c>
      <c r="C117" s="7" t="s">
        <v>123</v>
      </c>
      <c r="D117" s="37" t="s">
        <v>128</v>
      </c>
      <c r="E117" s="37" t="s">
        <v>35</v>
      </c>
      <c r="F117" s="37">
        <v>20</v>
      </c>
      <c r="G117" s="37">
        <v>2</v>
      </c>
      <c r="H117" s="37">
        <v>10</v>
      </c>
      <c r="I117" s="37">
        <f t="shared" si="55"/>
        <v>400</v>
      </c>
      <c r="J117" s="38">
        <f t="shared" si="56"/>
        <v>400</v>
      </c>
      <c r="K117" s="39">
        <f t="shared" si="59"/>
        <v>80</v>
      </c>
      <c r="L117" s="321"/>
      <c r="M117" s="321"/>
      <c r="N117" s="321"/>
      <c r="O117" s="321"/>
      <c r="P117" s="321">
        <v>320</v>
      </c>
      <c r="Q117" s="321">
        <v>191.76</v>
      </c>
      <c r="R117" s="321"/>
      <c r="S117" s="321"/>
      <c r="T117" s="40"/>
      <c r="U117" s="298">
        <f t="shared" si="57"/>
        <v>511.76</v>
      </c>
      <c r="V117" s="131">
        <f t="shared" si="58"/>
        <v>-111.75999999999999</v>
      </c>
      <c r="W117" s="41" t="s">
        <v>129</v>
      </c>
    </row>
    <row r="118" spans="1:23">
      <c r="A118" s="36">
        <v>4</v>
      </c>
      <c r="B118" s="2" t="s">
        <v>51</v>
      </c>
      <c r="C118" s="7" t="s">
        <v>123</v>
      </c>
      <c r="D118" s="37" t="s">
        <v>130</v>
      </c>
      <c r="E118" s="37" t="s">
        <v>35</v>
      </c>
      <c r="F118" s="37">
        <v>1</v>
      </c>
      <c r="G118" s="37">
        <v>2</v>
      </c>
      <c r="H118" s="37">
        <v>250</v>
      </c>
      <c r="I118" s="37">
        <f t="shared" si="55"/>
        <v>500</v>
      </c>
      <c r="J118" s="38">
        <f t="shared" si="56"/>
        <v>500</v>
      </c>
      <c r="K118" s="39">
        <f t="shared" si="59"/>
        <v>100</v>
      </c>
      <c r="L118" s="321"/>
      <c r="M118" s="321"/>
      <c r="N118" s="321"/>
      <c r="O118" s="321"/>
      <c r="P118" s="321">
        <v>400</v>
      </c>
      <c r="Q118" s="321"/>
      <c r="R118" s="321"/>
      <c r="S118" s="321"/>
      <c r="T118" s="40"/>
      <c r="U118" s="298">
        <f t="shared" si="57"/>
        <v>400</v>
      </c>
      <c r="V118" s="131">
        <f t="shared" si="58"/>
        <v>100</v>
      </c>
      <c r="W118" s="41"/>
    </row>
    <row r="119" spans="1:23">
      <c r="A119" s="36">
        <v>2</v>
      </c>
      <c r="B119" s="2" t="s">
        <v>29</v>
      </c>
      <c r="C119" s="7" t="s">
        <v>123</v>
      </c>
      <c r="D119" s="47" t="s">
        <v>131</v>
      </c>
      <c r="E119" s="37" t="s">
        <v>32</v>
      </c>
      <c r="F119" s="47">
        <v>1</v>
      </c>
      <c r="G119" s="47">
        <v>2</v>
      </c>
      <c r="H119" s="47">
        <v>500</v>
      </c>
      <c r="I119" s="47">
        <f t="shared" si="55"/>
        <v>1000</v>
      </c>
      <c r="J119" s="38">
        <f t="shared" si="56"/>
        <v>1000</v>
      </c>
      <c r="K119" s="39">
        <f t="shared" si="59"/>
        <v>200</v>
      </c>
      <c r="L119" s="321"/>
      <c r="M119" s="321"/>
      <c r="N119" s="321"/>
      <c r="O119" s="321"/>
      <c r="P119" s="321">
        <v>800</v>
      </c>
      <c r="Q119" s="321"/>
      <c r="R119" s="321"/>
      <c r="S119" s="321"/>
      <c r="T119" s="40"/>
      <c r="U119" s="298">
        <f t="shared" si="57"/>
        <v>800</v>
      </c>
      <c r="V119" s="131">
        <f t="shared" si="58"/>
        <v>200</v>
      </c>
      <c r="W119" s="41"/>
    </row>
    <row r="120" spans="1:23">
      <c r="A120" s="36">
        <v>4</v>
      </c>
      <c r="B120" s="2" t="s">
        <v>51</v>
      </c>
      <c r="C120" s="7" t="s">
        <v>123</v>
      </c>
      <c r="D120" s="47" t="s">
        <v>132</v>
      </c>
      <c r="E120" s="37" t="s">
        <v>32</v>
      </c>
      <c r="F120" s="47">
        <v>1</v>
      </c>
      <c r="G120" s="47">
        <v>2</v>
      </c>
      <c r="H120" s="47">
        <v>1000</v>
      </c>
      <c r="I120" s="47">
        <f t="shared" si="55"/>
        <v>2000</v>
      </c>
      <c r="J120" s="38">
        <f t="shared" si="56"/>
        <v>2000</v>
      </c>
      <c r="K120" s="39">
        <f t="shared" si="59"/>
        <v>400</v>
      </c>
      <c r="L120" s="321"/>
      <c r="M120" s="321"/>
      <c r="N120" s="321"/>
      <c r="O120" s="321"/>
      <c r="P120" s="321">
        <v>1941.7125026911799</v>
      </c>
      <c r="Q120" s="321"/>
      <c r="R120" s="321"/>
      <c r="S120" s="321"/>
      <c r="T120" s="40"/>
      <c r="U120" s="298">
        <f t="shared" si="57"/>
        <v>1941.7125026911799</v>
      </c>
      <c r="V120" s="131">
        <f t="shared" si="58"/>
        <v>58.287497308820093</v>
      </c>
      <c r="W120" s="41"/>
    </row>
    <row r="121" spans="1:23">
      <c r="A121" s="36">
        <v>2</v>
      </c>
      <c r="B121" s="2" t="s">
        <v>29</v>
      </c>
      <c r="C121" s="7" t="s">
        <v>123</v>
      </c>
      <c r="D121" s="47" t="s">
        <v>133</v>
      </c>
      <c r="E121" s="37" t="s">
        <v>32</v>
      </c>
      <c r="F121" s="47">
        <v>1</v>
      </c>
      <c r="G121" s="47">
        <v>2</v>
      </c>
      <c r="H121" s="47">
        <v>1000</v>
      </c>
      <c r="I121" s="47">
        <f t="shared" si="55"/>
        <v>2000</v>
      </c>
      <c r="J121" s="38">
        <f t="shared" si="56"/>
        <v>2000</v>
      </c>
      <c r="K121" s="39">
        <f t="shared" si="59"/>
        <v>400</v>
      </c>
      <c r="L121" s="321"/>
      <c r="M121" s="321"/>
      <c r="N121" s="321"/>
      <c r="O121" s="321"/>
      <c r="P121" s="321">
        <v>704</v>
      </c>
      <c r="Q121" s="321"/>
      <c r="R121" s="321"/>
      <c r="S121" s="321"/>
      <c r="T121" s="40"/>
      <c r="U121" s="298">
        <f t="shared" si="57"/>
        <v>704</v>
      </c>
      <c r="V121" s="131">
        <f t="shared" si="58"/>
        <v>1296</v>
      </c>
      <c r="W121" s="41"/>
    </row>
    <row r="122" spans="1:23">
      <c r="A122" s="36">
        <v>4</v>
      </c>
      <c r="B122" s="2" t="s">
        <v>51</v>
      </c>
      <c r="C122" s="7" t="s">
        <v>123</v>
      </c>
      <c r="D122" s="37" t="s">
        <v>52</v>
      </c>
      <c r="E122" s="37" t="s">
        <v>32</v>
      </c>
      <c r="F122" s="48">
        <v>1</v>
      </c>
      <c r="G122" s="47">
        <v>1</v>
      </c>
      <c r="H122" s="47">
        <v>1000</v>
      </c>
      <c r="I122" s="47">
        <f t="shared" si="55"/>
        <v>1000</v>
      </c>
      <c r="J122" s="38">
        <f t="shared" si="56"/>
        <v>1000</v>
      </c>
      <c r="K122" s="39">
        <f>I122</f>
        <v>1000</v>
      </c>
      <c r="L122" s="321"/>
      <c r="M122" s="321"/>
      <c r="N122" s="321"/>
      <c r="O122" s="321"/>
      <c r="P122" s="321">
        <v>500.26</v>
      </c>
      <c r="Q122" s="321">
        <v>500.04</v>
      </c>
      <c r="R122" s="321"/>
      <c r="S122" s="321"/>
      <c r="T122" s="40"/>
      <c r="U122" s="298">
        <f t="shared" si="57"/>
        <v>1000.3</v>
      </c>
      <c r="V122" s="131">
        <f t="shared" si="58"/>
        <v>-0.30000000000001137</v>
      </c>
      <c r="W122" s="41"/>
    </row>
    <row r="123" spans="1:23">
      <c r="A123" s="36">
        <v>4</v>
      </c>
      <c r="B123" s="2" t="s">
        <v>51</v>
      </c>
      <c r="C123" s="7" t="s">
        <v>123</v>
      </c>
      <c r="D123" s="37" t="s">
        <v>53</v>
      </c>
      <c r="E123" s="37" t="s">
        <v>32</v>
      </c>
      <c r="F123" s="48">
        <v>1</v>
      </c>
      <c r="G123" s="47">
        <v>1</v>
      </c>
      <c r="H123" s="47">
        <v>1700</v>
      </c>
      <c r="I123" s="47">
        <f t="shared" si="55"/>
        <v>1700</v>
      </c>
      <c r="J123" s="38">
        <f t="shared" si="56"/>
        <v>1700</v>
      </c>
      <c r="K123" s="39">
        <f t="shared" ref="K123:K124" si="60">I123</f>
        <v>1700</v>
      </c>
      <c r="L123" s="321"/>
      <c r="M123" s="321"/>
      <c r="N123" s="321"/>
      <c r="O123" s="321"/>
      <c r="P123" s="321">
        <v>1120.5899999999999</v>
      </c>
      <c r="Q123" s="321">
        <v>579</v>
      </c>
      <c r="R123" s="321"/>
      <c r="S123" s="321"/>
      <c r="T123" s="40"/>
      <c r="U123" s="298">
        <f t="shared" si="57"/>
        <v>1699.59</v>
      </c>
      <c r="V123" s="131">
        <f t="shared" si="58"/>
        <v>0.41000000000008185</v>
      </c>
      <c r="W123" s="41"/>
    </row>
    <row r="124" spans="1:23">
      <c r="A124" s="36">
        <v>4</v>
      </c>
      <c r="B124" s="2" t="s">
        <v>51</v>
      </c>
      <c r="C124" s="7" t="s">
        <v>123</v>
      </c>
      <c r="D124" s="37" t="s">
        <v>54</v>
      </c>
      <c r="E124" s="37" t="s">
        <v>32</v>
      </c>
      <c r="F124" s="48">
        <v>1</v>
      </c>
      <c r="G124" s="47">
        <v>1</v>
      </c>
      <c r="H124" s="47">
        <v>750</v>
      </c>
      <c r="I124" s="47">
        <f t="shared" si="55"/>
        <v>750</v>
      </c>
      <c r="J124" s="38">
        <f t="shared" si="56"/>
        <v>750</v>
      </c>
      <c r="K124" s="39">
        <f t="shared" si="60"/>
        <v>750</v>
      </c>
      <c r="L124" s="321"/>
      <c r="M124" s="321"/>
      <c r="N124" s="321"/>
      <c r="O124" s="321"/>
      <c r="P124" s="321"/>
      <c r="Q124" s="321"/>
      <c r="R124" s="321"/>
      <c r="S124" s="321"/>
      <c r="T124" s="40">
        <v>750</v>
      </c>
      <c r="U124" s="298">
        <f t="shared" si="57"/>
        <v>750</v>
      </c>
      <c r="V124" s="131">
        <f t="shared" si="58"/>
        <v>0</v>
      </c>
      <c r="W124" s="41"/>
    </row>
    <row r="125" spans="1:23">
      <c r="A125" s="36"/>
      <c r="B125" s="28" t="s">
        <v>55</v>
      </c>
      <c r="C125" s="49" t="s">
        <v>134</v>
      </c>
      <c r="D125" s="50"/>
      <c r="E125" s="51"/>
      <c r="F125" s="51"/>
      <c r="G125" s="52"/>
      <c r="H125" s="52"/>
      <c r="I125" s="53">
        <f>SUM(I111:I124)</f>
        <v>13860</v>
      </c>
      <c r="J125" s="53">
        <f t="shared" ref="J125:O125" si="61">SUM(J111:J124)</f>
        <v>13860</v>
      </c>
      <c r="K125" s="54">
        <f>SUM(K111:K124)</f>
        <v>7452</v>
      </c>
      <c r="L125" s="53">
        <f t="shared" si="61"/>
        <v>0</v>
      </c>
      <c r="M125" s="53">
        <f t="shared" si="61"/>
        <v>0</v>
      </c>
      <c r="N125" s="53">
        <f t="shared" si="61"/>
        <v>0</v>
      </c>
      <c r="O125" s="53">
        <f t="shared" si="61"/>
        <v>0</v>
      </c>
      <c r="P125" s="53">
        <f t="shared" ref="P125:V125" si="62">SUM(P111:P124)</f>
        <v>8028.5593352129827</v>
      </c>
      <c r="Q125" s="53">
        <f t="shared" si="62"/>
        <v>4897.6301416127635</v>
      </c>
      <c r="R125" s="53">
        <f t="shared" si="62"/>
        <v>0</v>
      </c>
      <c r="S125" s="53">
        <f t="shared" si="62"/>
        <v>0</v>
      </c>
      <c r="T125" s="53">
        <f t="shared" si="62"/>
        <v>750</v>
      </c>
      <c r="U125" s="301">
        <f>SUM(U111:U124)</f>
        <v>13676.189476825744</v>
      </c>
      <c r="V125" s="149">
        <f t="shared" si="62"/>
        <v>183.81052317425468</v>
      </c>
      <c r="W125" s="152">
        <v>7180.22756388383</v>
      </c>
    </row>
    <row r="126" spans="1:23">
      <c r="A126" s="36"/>
      <c r="B126" s="28" t="s">
        <v>55</v>
      </c>
      <c r="C126" s="57" t="s">
        <v>135</v>
      </c>
      <c r="D126" s="371" t="s">
        <v>136</v>
      </c>
      <c r="E126" s="371"/>
      <c r="F126" s="371"/>
      <c r="G126" s="371"/>
      <c r="H126" s="371"/>
      <c r="I126" s="371"/>
      <c r="J126" s="371"/>
      <c r="K126" s="94"/>
      <c r="L126" s="95"/>
      <c r="M126" s="95"/>
      <c r="N126" s="95"/>
      <c r="O126" s="95"/>
      <c r="P126" s="95"/>
      <c r="Q126" s="95"/>
      <c r="R126" s="95"/>
      <c r="S126" s="95"/>
      <c r="T126" s="95"/>
      <c r="U126" s="300"/>
      <c r="V126" s="140"/>
      <c r="W126" s="96"/>
    </row>
    <row r="127" spans="1:23">
      <c r="A127" s="36">
        <v>2</v>
      </c>
      <c r="B127" s="2" t="s">
        <v>29</v>
      </c>
      <c r="C127" s="7" t="s">
        <v>137</v>
      </c>
      <c r="D127" s="37" t="s">
        <v>138</v>
      </c>
      <c r="E127" s="37" t="s">
        <v>32</v>
      </c>
      <c r="F127" s="37">
        <v>1</v>
      </c>
      <c r="G127" s="37">
        <v>5</v>
      </c>
      <c r="H127" s="37">
        <v>200</v>
      </c>
      <c r="I127" s="37">
        <f t="shared" ref="I127:I137" si="63">F127*G127*H127</f>
        <v>1000</v>
      </c>
      <c r="J127" s="38">
        <f t="shared" ref="J127:J137" si="64">I127/$H$5</f>
        <v>1000</v>
      </c>
      <c r="K127" s="39">
        <f>I127/5</f>
        <v>200</v>
      </c>
      <c r="L127" s="321"/>
      <c r="M127" s="321"/>
      <c r="N127" s="321"/>
      <c r="O127" s="321"/>
      <c r="P127" s="321">
        <v>800</v>
      </c>
      <c r="Q127" s="321"/>
      <c r="R127" s="321">
        <v>177.38647635068716</v>
      </c>
      <c r="S127" s="321"/>
      <c r="T127" s="40"/>
      <c r="U127" s="298">
        <f>+L127+N127+M127+O127+P127+Q127+R127+S127+T127</f>
        <v>977.38647635068719</v>
      </c>
      <c r="V127" s="131">
        <f>J127-U127</f>
        <v>22.61352364931281</v>
      </c>
      <c r="W127" s="41"/>
    </row>
    <row r="128" spans="1:23">
      <c r="A128" s="36">
        <v>2</v>
      </c>
      <c r="B128" s="2" t="s">
        <v>29</v>
      </c>
      <c r="C128" s="7" t="s">
        <v>137</v>
      </c>
      <c r="D128" s="37" t="s">
        <v>139</v>
      </c>
      <c r="E128" s="37" t="s">
        <v>35</v>
      </c>
      <c r="F128" s="37">
        <v>30</v>
      </c>
      <c r="G128" s="37">
        <v>5</v>
      </c>
      <c r="H128" s="37">
        <v>20</v>
      </c>
      <c r="I128" s="37">
        <f t="shared" si="63"/>
        <v>3000</v>
      </c>
      <c r="J128" s="38">
        <f t="shared" si="64"/>
        <v>3000</v>
      </c>
      <c r="K128" s="39">
        <f t="shared" ref="K128:K133" si="65">I128/5</f>
        <v>600</v>
      </c>
      <c r="L128" s="321"/>
      <c r="M128" s="321"/>
      <c r="N128" s="321"/>
      <c r="O128" s="321"/>
      <c r="P128" s="321">
        <v>2702.6206647870204</v>
      </c>
      <c r="Q128" s="321"/>
      <c r="R128" s="321">
        <v>321.168119511182</v>
      </c>
      <c r="S128" s="321"/>
      <c r="T128" s="40"/>
      <c r="U128" s="298">
        <f t="shared" ref="U128:U137" si="66">+L128+N128+M128+O128+P128+Q128+R128+S128+T128</f>
        <v>3023.7887842982022</v>
      </c>
      <c r="V128" s="131">
        <f t="shared" ref="V128:V137" si="67">J128-U128</f>
        <v>-23.788784298202245</v>
      </c>
      <c r="W128" s="41"/>
    </row>
    <row r="129" spans="1:238">
      <c r="A129" s="36">
        <v>2</v>
      </c>
      <c r="B129" s="2" t="s">
        <v>29</v>
      </c>
      <c r="C129" s="7" t="s">
        <v>137</v>
      </c>
      <c r="D129" s="37" t="s">
        <v>62</v>
      </c>
      <c r="E129" s="37" t="s">
        <v>32</v>
      </c>
      <c r="F129" s="37">
        <v>30</v>
      </c>
      <c r="G129" s="37">
        <v>5</v>
      </c>
      <c r="H129" s="37">
        <v>5</v>
      </c>
      <c r="I129" s="37">
        <f t="shared" si="63"/>
        <v>750</v>
      </c>
      <c r="J129" s="38">
        <f t="shared" si="64"/>
        <v>750</v>
      </c>
      <c r="K129" s="39">
        <f t="shared" si="65"/>
        <v>150</v>
      </c>
      <c r="L129" s="321"/>
      <c r="M129" s="321"/>
      <c r="N129" s="321"/>
      <c r="O129" s="321"/>
      <c r="P129" s="321">
        <v>600</v>
      </c>
      <c r="Q129" s="321"/>
      <c r="R129" s="321">
        <v>88.693238175343581</v>
      </c>
      <c r="S129" s="321"/>
      <c r="T129" s="40"/>
      <c r="U129" s="298">
        <f t="shared" si="66"/>
        <v>688.69323817534359</v>
      </c>
      <c r="V129" s="131">
        <f t="shared" si="67"/>
        <v>61.306761824656405</v>
      </c>
      <c r="W129" s="41"/>
    </row>
    <row r="130" spans="1:238">
      <c r="A130" s="36">
        <v>5</v>
      </c>
      <c r="B130" s="2" t="s">
        <v>36</v>
      </c>
      <c r="C130" s="7" t="s">
        <v>137</v>
      </c>
      <c r="D130" s="37" t="s">
        <v>140</v>
      </c>
      <c r="E130" s="37" t="s">
        <v>35</v>
      </c>
      <c r="F130" s="37">
        <v>30</v>
      </c>
      <c r="G130" s="37">
        <v>5</v>
      </c>
      <c r="H130" s="37">
        <v>10</v>
      </c>
      <c r="I130" s="37">
        <f t="shared" si="63"/>
        <v>1500</v>
      </c>
      <c r="J130" s="38">
        <f t="shared" si="64"/>
        <v>1500</v>
      </c>
      <c r="K130" s="39">
        <f t="shared" si="65"/>
        <v>300</v>
      </c>
      <c r="L130" s="321"/>
      <c r="M130" s="321"/>
      <c r="N130" s="321"/>
      <c r="O130" s="321"/>
      <c r="P130" s="321">
        <v>1200</v>
      </c>
      <c r="Q130" s="321"/>
      <c r="R130" s="321">
        <v>266.07971452603101</v>
      </c>
      <c r="S130" s="321"/>
      <c r="T130" s="40"/>
      <c r="U130" s="298">
        <f t="shared" si="66"/>
        <v>1466.079714526031</v>
      </c>
      <c r="V130" s="131">
        <f t="shared" si="67"/>
        <v>33.920285473968988</v>
      </c>
      <c r="W130" s="41"/>
    </row>
    <row r="131" spans="1:238">
      <c r="A131" s="36">
        <v>5</v>
      </c>
      <c r="B131" s="2" t="s">
        <v>36</v>
      </c>
      <c r="C131" s="7" t="s">
        <v>137</v>
      </c>
      <c r="D131" s="37" t="s">
        <v>141</v>
      </c>
      <c r="E131" s="37" t="s">
        <v>35</v>
      </c>
      <c r="F131" s="37">
        <v>4</v>
      </c>
      <c r="G131" s="37">
        <v>10</v>
      </c>
      <c r="H131" s="37">
        <v>40</v>
      </c>
      <c r="I131" s="37">
        <f t="shared" si="63"/>
        <v>1600</v>
      </c>
      <c r="J131" s="38">
        <f t="shared" si="64"/>
        <v>1600</v>
      </c>
      <c r="K131" s="39">
        <f t="shared" si="65"/>
        <v>320</v>
      </c>
      <c r="L131" s="321"/>
      <c r="M131" s="321"/>
      <c r="N131" s="321"/>
      <c r="O131" s="321"/>
      <c r="P131" s="321">
        <v>1280</v>
      </c>
      <c r="Q131" s="321"/>
      <c r="R131" s="321">
        <v>886.93238175343583</v>
      </c>
      <c r="S131" s="321"/>
      <c r="T131" s="40"/>
      <c r="U131" s="298">
        <f t="shared" si="66"/>
        <v>2166.9323817534359</v>
      </c>
      <c r="V131" s="131">
        <f t="shared" si="67"/>
        <v>-566.93238175343595</v>
      </c>
      <c r="W131" s="41"/>
    </row>
    <row r="132" spans="1:238">
      <c r="A132" s="36">
        <v>3</v>
      </c>
      <c r="B132" s="28" t="s">
        <v>39</v>
      </c>
      <c r="C132" s="7" t="s">
        <v>137</v>
      </c>
      <c r="D132" s="37" t="s">
        <v>142</v>
      </c>
      <c r="E132" s="37" t="s">
        <v>32</v>
      </c>
      <c r="F132" s="37">
        <v>1</v>
      </c>
      <c r="G132" s="37">
        <v>10</v>
      </c>
      <c r="H132" s="37">
        <v>135</v>
      </c>
      <c r="I132" s="37">
        <f t="shared" si="63"/>
        <v>1350</v>
      </c>
      <c r="J132" s="38">
        <f t="shared" si="64"/>
        <v>1350</v>
      </c>
      <c r="K132" s="39">
        <f t="shared" si="65"/>
        <v>270</v>
      </c>
      <c r="L132" s="321"/>
      <c r="M132" s="321"/>
      <c r="N132" s="321"/>
      <c r="O132" s="321"/>
      <c r="P132" s="321">
        <v>1080</v>
      </c>
      <c r="Q132" s="321"/>
      <c r="R132" s="321">
        <v>724.33</v>
      </c>
      <c r="S132" s="321"/>
      <c r="T132" s="40"/>
      <c r="U132" s="298">
        <f t="shared" si="66"/>
        <v>1804.33</v>
      </c>
      <c r="V132" s="131">
        <f t="shared" si="67"/>
        <v>-454.32999999999993</v>
      </c>
      <c r="W132" s="41"/>
    </row>
    <row r="133" spans="1:238">
      <c r="A133" s="36">
        <v>5</v>
      </c>
      <c r="B133" s="2" t="s">
        <v>36</v>
      </c>
      <c r="C133" s="7" t="s">
        <v>137</v>
      </c>
      <c r="D133" s="37" t="s">
        <v>115</v>
      </c>
      <c r="E133" s="37" t="s">
        <v>32</v>
      </c>
      <c r="F133" s="37">
        <v>1</v>
      </c>
      <c r="G133" s="37">
        <v>10</v>
      </c>
      <c r="H133" s="37">
        <v>50</v>
      </c>
      <c r="I133" s="37">
        <f t="shared" si="63"/>
        <v>500</v>
      </c>
      <c r="J133" s="38">
        <f t="shared" si="64"/>
        <v>500</v>
      </c>
      <c r="K133" s="39">
        <f t="shared" si="65"/>
        <v>100</v>
      </c>
      <c r="L133" s="321"/>
      <c r="M133" s="321"/>
      <c r="N133" s="321"/>
      <c r="O133" s="321"/>
      <c r="P133" s="321">
        <v>400</v>
      </c>
      <c r="Q133" s="321"/>
      <c r="R133" s="321">
        <v>191.42957239511657</v>
      </c>
      <c r="S133" s="321"/>
      <c r="T133" s="40"/>
      <c r="U133" s="298">
        <f t="shared" si="66"/>
        <v>591.42957239511657</v>
      </c>
      <c r="V133" s="131">
        <f t="shared" si="67"/>
        <v>-91.429572395116566</v>
      </c>
      <c r="W133" s="41"/>
    </row>
    <row r="134" spans="1:238">
      <c r="A134" s="36">
        <v>6</v>
      </c>
      <c r="B134" s="28" t="s">
        <v>87</v>
      </c>
      <c r="C134" s="7" t="s">
        <v>137</v>
      </c>
      <c r="D134" s="37" t="s">
        <v>88</v>
      </c>
      <c r="E134" s="37" t="s">
        <v>32</v>
      </c>
      <c r="F134" s="37">
        <v>4</v>
      </c>
      <c r="G134" s="37">
        <v>1</v>
      </c>
      <c r="H134" s="37">
        <v>8400</v>
      </c>
      <c r="I134" s="37">
        <f t="shared" si="63"/>
        <v>33600</v>
      </c>
      <c r="J134" s="38">
        <f t="shared" si="64"/>
        <v>33600</v>
      </c>
      <c r="K134" s="39"/>
      <c r="L134" s="321"/>
      <c r="M134" s="321"/>
      <c r="N134" s="321"/>
      <c r="O134" s="321"/>
      <c r="P134" s="321">
        <v>33600</v>
      </c>
      <c r="Q134" s="321"/>
      <c r="R134" s="321"/>
      <c r="S134" s="321"/>
      <c r="T134" s="40"/>
      <c r="U134" s="298">
        <f t="shared" si="66"/>
        <v>33600</v>
      </c>
      <c r="V134" s="131">
        <f t="shared" si="67"/>
        <v>0</v>
      </c>
      <c r="W134" s="41"/>
    </row>
    <row r="135" spans="1:238">
      <c r="A135" s="36">
        <v>4</v>
      </c>
      <c r="B135" s="28" t="s">
        <v>51</v>
      </c>
      <c r="C135" s="7" t="s">
        <v>137</v>
      </c>
      <c r="D135" s="37" t="s">
        <v>52</v>
      </c>
      <c r="E135" s="37" t="s">
        <v>32</v>
      </c>
      <c r="F135" s="37">
        <v>1</v>
      </c>
      <c r="G135" s="37">
        <v>1</v>
      </c>
      <c r="H135" s="37">
        <v>1000</v>
      </c>
      <c r="I135" s="37">
        <f t="shared" si="63"/>
        <v>1000</v>
      </c>
      <c r="J135" s="38">
        <f t="shared" si="64"/>
        <v>1000</v>
      </c>
      <c r="K135" s="39">
        <f>I135</f>
        <v>1000</v>
      </c>
      <c r="L135" s="321"/>
      <c r="M135" s="321"/>
      <c r="N135" s="321"/>
      <c r="O135" s="321"/>
      <c r="P135" s="321"/>
      <c r="Q135" s="321">
        <v>500.05</v>
      </c>
      <c r="R135" s="321">
        <v>507.59</v>
      </c>
      <c r="S135" s="321"/>
      <c r="T135" s="40"/>
      <c r="U135" s="298">
        <f t="shared" si="66"/>
        <v>1007.64</v>
      </c>
      <c r="V135" s="131">
        <f t="shared" si="67"/>
        <v>-7.6399999999999864</v>
      </c>
      <c r="W135" s="41"/>
    </row>
    <row r="136" spans="1:238">
      <c r="A136" s="36">
        <v>4</v>
      </c>
      <c r="B136" s="28" t="s">
        <v>51</v>
      </c>
      <c r="C136" s="7" t="s">
        <v>137</v>
      </c>
      <c r="D136" s="37" t="s">
        <v>53</v>
      </c>
      <c r="E136" s="37" t="s">
        <v>32</v>
      </c>
      <c r="F136" s="37">
        <v>1</v>
      </c>
      <c r="G136" s="37">
        <v>1</v>
      </c>
      <c r="H136" s="37">
        <v>1700</v>
      </c>
      <c r="I136" s="37">
        <f t="shared" si="63"/>
        <v>1700</v>
      </c>
      <c r="J136" s="38">
        <f t="shared" si="64"/>
        <v>1700</v>
      </c>
      <c r="K136" s="39">
        <f>I136</f>
        <v>1700</v>
      </c>
      <c r="L136" s="321"/>
      <c r="M136" s="321"/>
      <c r="N136" s="321"/>
      <c r="O136" s="321"/>
      <c r="P136" s="321"/>
      <c r="Q136" s="321">
        <v>541</v>
      </c>
      <c r="R136" s="321"/>
      <c r="S136" s="321"/>
      <c r="T136" s="40"/>
      <c r="U136" s="298">
        <f t="shared" si="66"/>
        <v>541</v>
      </c>
      <c r="V136" s="131">
        <f t="shared" si="67"/>
        <v>1159</v>
      </c>
      <c r="W136" s="41"/>
    </row>
    <row r="137" spans="1:238">
      <c r="A137" s="36">
        <v>4</v>
      </c>
      <c r="B137" s="28" t="s">
        <v>51</v>
      </c>
      <c r="C137" s="7" t="s">
        <v>137</v>
      </c>
      <c r="D137" s="37" t="s">
        <v>54</v>
      </c>
      <c r="E137" s="37" t="s">
        <v>32</v>
      </c>
      <c r="F137" s="37">
        <v>1</v>
      </c>
      <c r="G137" s="37">
        <v>1</v>
      </c>
      <c r="H137" s="37">
        <v>750</v>
      </c>
      <c r="I137" s="37">
        <f t="shared" si="63"/>
        <v>750</v>
      </c>
      <c r="J137" s="38">
        <f t="shared" si="64"/>
        <v>750</v>
      </c>
      <c r="K137" s="39">
        <f>I137</f>
        <v>750</v>
      </c>
      <c r="L137" s="321"/>
      <c r="M137" s="321"/>
      <c r="N137" s="321"/>
      <c r="O137" s="321"/>
      <c r="P137" s="321"/>
      <c r="Q137" s="321"/>
      <c r="R137" s="321"/>
      <c r="S137" s="321">
        <v>840.44</v>
      </c>
      <c r="T137" s="40"/>
      <c r="U137" s="298">
        <f t="shared" si="66"/>
        <v>840.44</v>
      </c>
      <c r="V137" s="131">
        <f t="shared" si="67"/>
        <v>-90.440000000000055</v>
      </c>
      <c r="W137" s="41"/>
    </row>
    <row r="138" spans="1:238">
      <c r="A138" s="36"/>
      <c r="C138" s="49" t="s">
        <v>143</v>
      </c>
      <c r="D138" s="50"/>
      <c r="E138" s="51"/>
      <c r="F138" s="51"/>
      <c r="G138" s="52"/>
      <c r="H138" s="52"/>
      <c r="I138" s="53">
        <f t="shared" ref="I138:R138" si="68">SUM(I127:I137)</f>
        <v>46750</v>
      </c>
      <c r="J138" s="53">
        <f t="shared" si="68"/>
        <v>46750</v>
      </c>
      <c r="K138" s="54">
        <f t="shared" si="68"/>
        <v>5390</v>
      </c>
      <c r="L138" s="53">
        <f t="shared" si="68"/>
        <v>0</v>
      </c>
      <c r="M138" s="53">
        <f t="shared" si="68"/>
        <v>0</v>
      </c>
      <c r="N138" s="53">
        <f t="shared" si="68"/>
        <v>0</v>
      </c>
      <c r="O138" s="53">
        <f t="shared" si="68"/>
        <v>0</v>
      </c>
      <c r="P138" s="53">
        <f t="shared" si="68"/>
        <v>41662.62066478702</v>
      </c>
      <c r="Q138" s="53">
        <f t="shared" si="68"/>
        <v>1041.05</v>
      </c>
      <c r="R138" s="53">
        <f t="shared" si="68"/>
        <v>3163.6095027117963</v>
      </c>
      <c r="S138" s="53">
        <f t="shared" ref="S138:T138" si="69">SUM(S127:S137)</f>
        <v>840.44</v>
      </c>
      <c r="T138" s="53">
        <f t="shared" si="69"/>
        <v>0</v>
      </c>
      <c r="U138" s="301">
        <f>SUM(U127:U137)</f>
        <v>46707.720167498817</v>
      </c>
      <c r="V138" s="156">
        <f>SUM(V127:V137)</f>
        <v>42.279832501183591</v>
      </c>
      <c r="W138" s="152">
        <v>23914.055572280737</v>
      </c>
    </row>
    <row r="139" spans="1:238" s="79" customFormat="1">
      <c r="A139" s="36"/>
      <c r="B139" s="77" t="s">
        <v>55</v>
      </c>
      <c r="C139" s="78" t="s">
        <v>144</v>
      </c>
      <c r="E139" s="80"/>
      <c r="F139" s="80"/>
      <c r="G139" s="81"/>
      <c r="H139" s="81"/>
      <c r="I139" s="82">
        <f>SUM(I138,I125,I109,I89,I75)</f>
        <v>158055</v>
      </c>
      <c r="J139" s="82">
        <f>SUM(J138,J125,J109,J89,J75)</f>
        <v>158055</v>
      </c>
      <c r="K139" s="82">
        <f t="shared" ref="K139:O139" si="70">SUM(K138,K125,K109,K89,K75)</f>
        <v>52851</v>
      </c>
      <c r="L139" s="82">
        <f t="shared" si="70"/>
        <v>0</v>
      </c>
      <c r="M139" s="82">
        <f t="shared" si="70"/>
        <v>0</v>
      </c>
      <c r="N139" s="82">
        <f t="shared" si="70"/>
        <v>0</v>
      </c>
      <c r="O139" s="82">
        <f t="shared" si="70"/>
        <v>17222</v>
      </c>
      <c r="P139" s="82">
        <f t="shared" ref="P139:V139" si="71">SUM(P138,P125,P109,P89,P75)</f>
        <v>56104.991759993529</v>
      </c>
      <c r="Q139" s="82">
        <f t="shared" si="71"/>
        <v>23877.460141612763</v>
      </c>
      <c r="R139" s="82">
        <f t="shared" si="71"/>
        <v>34741.349627146439</v>
      </c>
      <c r="S139" s="82">
        <f t="shared" si="71"/>
        <v>3556.045874191027</v>
      </c>
      <c r="T139" s="82">
        <f>SUM(T138,T125,T109,T89,T75)</f>
        <v>20822</v>
      </c>
      <c r="U139" s="89">
        <f>SUM(U138,U125,U109,U89,U75)</f>
        <v>155623.84740294376</v>
      </c>
      <c r="V139" s="82">
        <f t="shared" si="71"/>
        <v>2431.1525970562307</v>
      </c>
      <c r="W139" s="84"/>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row>
    <row r="140" spans="1:238" ht="15.75">
      <c r="A140" s="36"/>
      <c r="B140" s="28" t="s">
        <v>55</v>
      </c>
      <c r="C140" s="372"/>
      <c r="D140" s="372"/>
      <c r="E140" s="372"/>
      <c r="F140" s="372"/>
      <c r="G140" s="372"/>
      <c r="H140" s="372"/>
      <c r="I140" s="372"/>
      <c r="J140" s="372"/>
      <c r="K140" s="25"/>
      <c r="L140" s="26"/>
      <c r="M140" s="26"/>
      <c r="N140" s="26"/>
      <c r="O140" s="26"/>
      <c r="P140" s="26"/>
      <c r="Q140" s="26"/>
      <c r="R140" s="26"/>
      <c r="S140" s="26"/>
      <c r="T140" s="26"/>
      <c r="U140" s="296"/>
      <c r="V140" s="135"/>
      <c r="W140" s="27"/>
    </row>
    <row r="141" spans="1:238">
      <c r="A141" s="36"/>
      <c r="B141" s="28" t="s">
        <v>55</v>
      </c>
      <c r="C141" s="57" t="s">
        <v>145</v>
      </c>
      <c r="D141" s="371" t="s">
        <v>146</v>
      </c>
      <c r="E141" s="371"/>
      <c r="F141" s="371"/>
      <c r="G141" s="371"/>
      <c r="H141" s="371"/>
      <c r="I141" s="371"/>
      <c r="J141" s="371"/>
      <c r="K141" s="94"/>
      <c r="L141" s="95"/>
      <c r="M141" s="95"/>
      <c r="N141" s="95"/>
      <c r="O141" s="95"/>
      <c r="P141" s="95"/>
      <c r="Q141" s="95"/>
      <c r="R141" s="95"/>
      <c r="S141" s="95"/>
      <c r="T141" s="95"/>
      <c r="U141" s="300"/>
      <c r="V141" s="140"/>
      <c r="W141" s="96"/>
    </row>
    <row r="142" spans="1:238">
      <c r="A142" s="36">
        <v>2</v>
      </c>
      <c r="B142" s="2" t="s">
        <v>29</v>
      </c>
      <c r="C142" s="7" t="s">
        <v>147</v>
      </c>
      <c r="D142" s="37" t="s">
        <v>125</v>
      </c>
      <c r="E142" s="37" t="s">
        <v>32</v>
      </c>
      <c r="F142" s="37">
        <v>2</v>
      </c>
      <c r="G142" s="37">
        <v>5</v>
      </c>
      <c r="H142" s="37">
        <v>100</v>
      </c>
      <c r="I142" s="37">
        <f>F142*G142*H142</f>
        <v>1000</v>
      </c>
      <c r="J142" s="38">
        <f>I142/$H$5</f>
        <v>1000</v>
      </c>
      <c r="K142" s="39">
        <f>I142/5</f>
        <v>200</v>
      </c>
      <c r="L142" s="321"/>
      <c r="M142" s="321"/>
      <c r="N142" s="321"/>
      <c r="O142" s="321"/>
      <c r="P142" s="321"/>
      <c r="Q142" s="321"/>
      <c r="R142" s="321">
        <v>800</v>
      </c>
      <c r="S142" s="321">
        <v>87.805563360494517</v>
      </c>
      <c r="T142" s="40"/>
      <c r="U142" s="298">
        <f>+L142+N142+M142+O142+P142+Q142+R142+S142+T142</f>
        <v>887.80556336049449</v>
      </c>
      <c r="V142" s="131">
        <f>J142-U142</f>
        <v>112.19443663950551</v>
      </c>
      <c r="W142" s="41"/>
    </row>
    <row r="143" spans="1:238">
      <c r="A143" s="36">
        <v>2</v>
      </c>
      <c r="B143" s="2" t="s">
        <v>29</v>
      </c>
      <c r="C143" s="7" t="s">
        <v>147</v>
      </c>
      <c r="D143" s="37" t="s">
        <v>139</v>
      </c>
      <c r="E143" s="37" t="s">
        <v>35</v>
      </c>
      <c r="F143" s="37">
        <v>60</v>
      </c>
      <c r="G143" s="37">
        <v>5</v>
      </c>
      <c r="H143" s="37">
        <v>20</v>
      </c>
      <c r="I143" s="37">
        <f t="shared" ref="I143:I152" si="72">F143*G143*H143</f>
        <v>6000</v>
      </c>
      <c r="J143" s="38">
        <f t="shared" ref="J143:J152" si="73">I143/$H$5</f>
        <v>6000</v>
      </c>
      <c r="K143" s="39">
        <f t="shared" ref="K143:K148" si="74">I143/5</f>
        <v>1200</v>
      </c>
      <c r="L143" s="321"/>
      <c r="M143" s="321"/>
      <c r="N143" s="321"/>
      <c r="O143" s="321"/>
      <c r="P143" s="321"/>
      <c r="Q143" s="321"/>
      <c r="R143" s="321">
        <v>4800</v>
      </c>
      <c r="S143" s="321">
        <v>1236.5950173269644</v>
      </c>
      <c r="T143" s="40"/>
      <c r="U143" s="298">
        <f t="shared" ref="U143:U152" si="75">+L143+N143+M143+O143+P143+Q143+R143+S143+T143</f>
        <v>6036.5950173269648</v>
      </c>
      <c r="V143" s="131">
        <f t="shared" ref="V143:V152" si="76">J143-U143</f>
        <v>-36.595017326964808</v>
      </c>
      <c r="W143" s="41"/>
    </row>
    <row r="144" spans="1:238">
      <c r="A144" s="36">
        <v>5</v>
      </c>
      <c r="B144" s="2" t="s">
        <v>36</v>
      </c>
      <c r="C144" s="7" t="s">
        <v>147</v>
      </c>
      <c r="D144" s="37" t="s">
        <v>140</v>
      </c>
      <c r="E144" s="37" t="s">
        <v>35</v>
      </c>
      <c r="F144" s="37">
        <v>60</v>
      </c>
      <c r="G144" s="37">
        <v>5</v>
      </c>
      <c r="H144" s="37">
        <v>10</v>
      </c>
      <c r="I144" s="37">
        <f t="shared" si="72"/>
        <v>3000</v>
      </c>
      <c r="J144" s="38">
        <f t="shared" si="73"/>
        <v>3000</v>
      </c>
      <c r="K144" s="39">
        <f t="shared" si="74"/>
        <v>600</v>
      </c>
      <c r="L144" s="321"/>
      <c r="M144" s="321"/>
      <c r="N144" s="321"/>
      <c r="O144" s="321"/>
      <c r="P144" s="321"/>
      <c r="Q144" s="321"/>
      <c r="R144" s="321">
        <v>2400</v>
      </c>
      <c r="S144" s="321">
        <v>834.15285192469787</v>
      </c>
      <c r="T144" s="40"/>
      <c r="U144" s="298">
        <f t="shared" si="75"/>
        <v>3234.1528519246976</v>
      </c>
      <c r="V144" s="131">
        <f t="shared" si="76"/>
        <v>-234.15285192469764</v>
      </c>
      <c r="W144" s="41"/>
    </row>
    <row r="145" spans="1:23">
      <c r="A145" s="36">
        <v>5</v>
      </c>
      <c r="B145" s="2" t="s">
        <v>36</v>
      </c>
      <c r="C145" s="7" t="s">
        <v>147</v>
      </c>
      <c r="D145" s="37" t="s">
        <v>148</v>
      </c>
      <c r="E145" s="37" t="s">
        <v>35</v>
      </c>
      <c r="F145" s="37">
        <v>3</v>
      </c>
      <c r="G145" s="37">
        <v>10</v>
      </c>
      <c r="H145" s="37">
        <v>40</v>
      </c>
      <c r="I145" s="37">
        <f t="shared" si="72"/>
        <v>1200</v>
      </c>
      <c r="J145" s="38">
        <f t="shared" si="73"/>
        <v>1200</v>
      </c>
      <c r="K145" s="39">
        <f t="shared" si="74"/>
        <v>240</v>
      </c>
      <c r="L145" s="321"/>
      <c r="M145" s="321"/>
      <c r="N145" s="321"/>
      <c r="O145" s="321"/>
      <c r="P145" s="321"/>
      <c r="Q145" s="321"/>
      <c r="R145" s="321">
        <v>960</v>
      </c>
      <c r="S145" s="321">
        <v>585.37042240329674</v>
      </c>
      <c r="T145" s="40"/>
      <c r="U145" s="298">
        <f t="shared" si="75"/>
        <v>1545.3704224032967</v>
      </c>
      <c r="V145" s="131">
        <f t="shared" si="76"/>
        <v>-345.37042240329674</v>
      </c>
      <c r="W145" s="41"/>
    </row>
    <row r="146" spans="1:23">
      <c r="A146" s="36">
        <v>3</v>
      </c>
      <c r="B146" s="28" t="s">
        <v>39</v>
      </c>
      <c r="C146" s="7" t="s">
        <v>147</v>
      </c>
      <c r="D146" s="37" t="s">
        <v>142</v>
      </c>
      <c r="E146" s="37" t="s">
        <v>32</v>
      </c>
      <c r="F146" s="37">
        <v>1</v>
      </c>
      <c r="G146" s="37">
        <v>20</v>
      </c>
      <c r="H146" s="37">
        <v>135</v>
      </c>
      <c r="I146" s="37">
        <f t="shared" si="72"/>
        <v>2700</v>
      </c>
      <c r="J146" s="38">
        <f t="shared" si="73"/>
        <v>2700</v>
      </c>
      <c r="K146" s="39">
        <f t="shared" si="74"/>
        <v>540</v>
      </c>
      <c r="L146" s="321"/>
      <c r="M146" s="321"/>
      <c r="N146" s="321"/>
      <c r="O146" s="321"/>
      <c r="P146" s="321"/>
      <c r="Q146" s="321"/>
      <c r="R146" s="321">
        <v>2160</v>
      </c>
      <c r="S146" s="321">
        <v>1170.74</v>
      </c>
      <c r="T146" s="40"/>
      <c r="U146" s="298">
        <f t="shared" si="75"/>
        <v>3330.74</v>
      </c>
      <c r="V146" s="131">
        <f t="shared" si="76"/>
        <v>-630.73999999999978</v>
      </c>
      <c r="W146" s="41"/>
    </row>
    <row r="147" spans="1:23">
      <c r="A147" s="36">
        <v>5</v>
      </c>
      <c r="B147" s="2" t="s">
        <v>36</v>
      </c>
      <c r="C147" s="7" t="s">
        <v>147</v>
      </c>
      <c r="D147" s="37" t="s">
        <v>115</v>
      </c>
      <c r="E147" s="37" t="s">
        <v>32</v>
      </c>
      <c r="F147" s="37">
        <v>1</v>
      </c>
      <c r="G147" s="37">
        <v>20</v>
      </c>
      <c r="H147" s="37">
        <v>50</v>
      </c>
      <c r="I147" s="37">
        <f t="shared" si="72"/>
        <v>1000</v>
      </c>
      <c r="J147" s="38">
        <f t="shared" si="73"/>
        <v>1000</v>
      </c>
      <c r="K147" s="39">
        <f t="shared" si="74"/>
        <v>200</v>
      </c>
      <c r="L147" s="321"/>
      <c r="M147" s="321"/>
      <c r="N147" s="321"/>
      <c r="O147" s="321"/>
      <c r="P147" s="321"/>
      <c r="Q147" s="321"/>
      <c r="R147" s="321">
        <v>868</v>
      </c>
      <c r="S147" s="321">
        <v>27.81</v>
      </c>
      <c r="T147" s="40"/>
      <c r="U147" s="298">
        <f t="shared" si="75"/>
        <v>895.81</v>
      </c>
      <c r="V147" s="131">
        <f t="shared" si="76"/>
        <v>104.19000000000005</v>
      </c>
      <c r="W147" s="41"/>
    </row>
    <row r="148" spans="1:23">
      <c r="A148" s="36">
        <v>4</v>
      </c>
      <c r="B148" s="2" t="s">
        <v>51</v>
      </c>
      <c r="C148" s="7" t="s">
        <v>147</v>
      </c>
      <c r="D148" s="37" t="s">
        <v>85</v>
      </c>
      <c r="E148" s="37" t="s">
        <v>35</v>
      </c>
      <c r="F148" s="37">
        <v>1</v>
      </c>
      <c r="G148" s="37">
        <v>5</v>
      </c>
      <c r="H148" s="37">
        <v>100</v>
      </c>
      <c r="I148" s="37">
        <f t="shared" si="72"/>
        <v>500</v>
      </c>
      <c r="J148" s="38">
        <f t="shared" si="73"/>
        <v>500</v>
      </c>
      <c r="K148" s="39">
        <f t="shared" si="74"/>
        <v>100</v>
      </c>
      <c r="L148" s="321"/>
      <c r="M148" s="321"/>
      <c r="N148" s="321"/>
      <c r="O148" s="321"/>
      <c r="P148" s="321"/>
      <c r="Q148" s="321"/>
      <c r="R148" s="321">
        <v>400</v>
      </c>
      <c r="S148" s="321">
        <v>109.76</v>
      </c>
      <c r="T148" s="40"/>
      <c r="U148" s="298">
        <f t="shared" si="75"/>
        <v>509.76</v>
      </c>
      <c r="V148" s="131">
        <f t="shared" si="76"/>
        <v>-9.7599999999999909</v>
      </c>
      <c r="W148" s="41"/>
    </row>
    <row r="149" spans="1:23">
      <c r="A149" s="36"/>
      <c r="B149" s="2" t="s">
        <v>149</v>
      </c>
      <c r="C149" s="7" t="s">
        <v>147</v>
      </c>
      <c r="D149" s="37" t="s">
        <v>150</v>
      </c>
      <c r="E149" s="37" t="s">
        <v>32</v>
      </c>
      <c r="F149" s="37">
        <v>4</v>
      </c>
      <c r="G149" s="37">
        <v>1</v>
      </c>
      <c r="H149" s="37">
        <v>9125</v>
      </c>
      <c r="I149" s="37">
        <f t="shared" si="72"/>
        <v>36500</v>
      </c>
      <c r="J149" s="38">
        <f t="shared" si="73"/>
        <v>36500</v>
      </c>
      <c r="K149" s="39"/>
      <c r="L149" s="321">
        <f t="shared" ref="L149:P149" si="77">SUM(L142:L148)</f>
        <v>0</v>
      </c>
      <c r="M149" s="321">
        <f t="shared" si="77"/>
        <v>0</v>
      </c>
      <c r="N149" s="321">
        <f t="shared" si="77"/>
        <v>0</v>
      </c>
      <c r="O149" s="321">
        <f t="shared" si="77"/>
        <v>0</v>
      </c>
      <c r="P149" s="321">
        <f t="shared" si="77"/>
        <v>0</v>
      </c>
      <c r="Q149" s="321"/>
      <c r="R149" s="321">
        <v>36500</v>
      </c>
      <c r="S149" s="321"/>
      <c r="T149" s="40"/>
      <c r="U149" s="298">
        <f t="shared" si="75"/>
        <v>36500</v>
      </c>
      <c r="V149" s="131">
        <f t="shared" si="76"/>
        <v>0</v>
      </c>
      <c r="W149" s="41"/>
    </row>
    <row r="150" spans="1:23">
      <c r="A150" s="36">
        <v>4</v>
      </c>
      <c r="B150" s="2" t="s">
        <v>51</v>
      </c>
      <c r="C150" s="7" t="s">
        <v>147</v>
      </c>
      <c r="D150" s="37" t="s">
        <v>52</v>
      </c>
      <c r="E150" s="37" t="s">
        <v>32</v>
      </c>
      <c r="F150" s="48">
        <v>1</v>
      </c>
      <c r="G150" s="47">
        <v>1</v>
      </c>
      <c r="H150" s="47">
        <v>1000</v>
      </c>
      <c r="I150" s="37">
        <f t="shared" si="72"/>
        <v>1000</v>
      </c>
      <c r="J150" s="38">
        <f t="shared" si="73"/>
        <v>1000</v>
      </c>
      <c r="K150" s="39">
        <f>I150</f>
        <v>1000</v>
      </c>
      <c r="L150" s="321"/>
      <c r="M150" s="321"/>
      <c r="N150" s="321"/>
      <c r="O150" s="321"/>
      <c r="P150" s="321"/>
      <c r="Q150" s="321"/>
      <c r="R150" s="321"/>
      <c r="S150" s="321">
        <v>499.64</v>
      </c>
      <c r="T150" s="40">
        <v>845.94</v>
      </c>
      <c r="U150" s="298">
        <f t="shared" si="75"/>
        <v>1345.58</v>
      </c>
      <c r="V150" s="131">
        <f t="shared" si="76"/>
        <v>-345.57999999999993</v>
      </c>
      <c r="W150" s="41"/>
    </row>
    <row r="151" spans="1:23">
      <c r="A151" s="36">
        <v>4</v>
      </c>
      <c r="B151" s="2" t="s">
        <v>51</v>
      </c>
      <c r="C151" s="7" t="s">
        <v>147</v>
      </c>
      <c r="D151" s="37" t="s">
        <v>53</v>
      </c>
      <c r="E151" s="37" t="s">
        <v>32</v>
      </c>
      <c r="F151" s="48">
        <v>1</v>
      </c>
      <c r="G151" s="47">
        <v>1</v>
      </c>
      <c r="H151" s="47">
        <v>1700</v>
      </c>
      <c r="I151" s="37">
        <f t="shared" si="72"/>
        <v>1700</v>
      </c>
      <c r="J151" s="38">
        <f t="shared" si="73"/>
        <v>1700</v>
      </c>
      <c r="K151" s="39">
        <f>I151</f>
        <v>1700</v>
      </c>
      <c r="L151" s="321"/>
      <c r="M151" s="321"/>
      <c r="N151" s="321"/>
      <c r="O151" s="321"/>
      <c r="P151" s="321"/>
      <c r="Q151" s="321"/>
      <c r="R151" s="321"/>
      <c r="S151" s="321">
        <v>1414.02</v>
      </c>
      <c r="T151" s="40"/>
      <c r="U151" s="298">
        <f t="shared" si="75"/>
        <v>1414.02</v>
      </c>
      <c r="V151" s="131">
        <f t="shared" si="76"/>
        <v>285.98</v>
      </c>
      <c r="W151" s="41"/>
    </row>
    <row r="152" spans="1:23">
      <c r="A152" s="36">
        <v>4</v>
      </c>
      <c r="B152" s="2" t="s">
        <v>51</v>
      </c>
      <c r="C152" s="7" t="s">
        <v>147</v>
      </c>
      <c r="D152" s="37" t="s">
        <v>54</v>
      </c>
      <c r="E152" s="37" t="s">
        <v>32</v>
      </c>
      <c r="F152" s="48">
        <v>1</v>
      </c>
      <c r="G152" s="47">
        <v>1</v>
      </c>
      <c r="H152" s="47">
        <v>750</v>
      </c>
      <c r="I152" s="37">
        <f t="shared" si="72"/>
        <v>750</v>
      </c>
      <c r="J152" s="38">
        <f t="shared" si="73"/>
        <v>750</v>
      </c>
      <c r="K152" s="39">
        <f>I152</f>
        <v>750</v>
      </c>
      <c r="L152" s="321"/>
      <c r="M152" s="321"/>
      <c r="N152" s="321"/>
      <c r="O152" s="321"/>
      <c r="P152" s="321"/>
      <c r="Q152" s="321"/>
      <c r="R152" s="321"/>
      <c r="S152" s="321">
        <v>452.44</v>
      </c>
      <c r="T152" s="40"/>
      <c r="U152" s="298">
        <f t="shared" si="75"/>
        <v>452.44</v>
      </c>
      <c r="V152" s="131">
        <f t="shared" si="76"/>
        <v>297.56</v>
      </c>
      <c r="W152" s="41"/>
    </row>
    <row r="153" spans="1:23">
      <c r="A153" s="36"/>
      <c r="B153" s="28" t="s">
        <v>55</v>
      </c>
      <c r="C153" s="49" t="s">
        <v>151</v>
      </c>
      <c r="D153" s="50"/>
      <c r="E153" s="51"/>
      <c r="F153" s="51"/>
      <c r="G153" s="52"/>
      <c r="H153" s="52"/>
      <c r="I153" s="53">
        <f>SUM(I142:I152)</f>
        <v>55350</v>
      </c>
      <c r="J153" s="53">
        <f>SUM(J142:J152)</f>
        <v>55350</v>
      </c>
      <c r="K153" s="53">
        <f>SUM(K142:K152)</f>
        <v>6530</v>
      </c>
      <c r="L153" s="53">
        <f t="shared" ref="L153:Q153" si="78">SUM(L149:L152)</f>
        <v>0</v>
      </c>
      <c r="M153" s="53">
        <f t="shared" si="78"/>
        <v>0</v>
      </c>
      <c r="N153" s="53">
        <f t="shared" si="78"/>
        <v>0</v>
      </c>
      <c r="O153" s="53">
        <f t="shared" si="78"/>
        <v>0</v>
      </c>
      <c r="P153" s="53">
        <f t="shared" si="78"/>
        <v>0</v>
      </c>
      <c r="Q153" s="53">
        <f t="shared" si="78"/>
        <v>0</v>
      </c>
      <c r="R153" s="53">
        <f>SUM(R142:R152)</f>
        <v>48888</v>
      </c>
      <c r="S153" s="53">
        <f>SUM(S142:S152)</f>
        <v>6418.333855015454</v>
      </c>
      <c r="T153" s="53">
        <f>SUM(T142:T152)</f>
        <v>845.94</v>
      </c>
      <c r="U153" s="301">
        <f>SUM(U142:U152)</f>
        <v>56152.273855015454</v>
      </c>
      <c r="V153" s="149">
        <f>SUM(V142:V152)</f>
        <v>-802.27385501545336</v>
      </c>
      <c r="W153" s="56">
        <v>25887.149980617294</v>
      </c>
    </row>
    <row r="154" spans="1:23">
      <c r="A154" s="36"/>
      <c r="B154" s="28" t="s">
        <v>55</v>
      </c>
      <c r="C154" s="57" t="s">
        <v>152</v>
      </c>
      <c r="D154" s="373" t="s">
        <v>153</v>
      </c>
      <c r="E154" s="373"/>
      <c r="F154" s="373"/>
      <c r="G154" s="373"/>
      <c r="H154" s="373"/>
      <c r="I154" s="373"/>
      <c r="J154" s="374"/>
      <c r="K154" s="94"/>
      <c r="L154" s="95"/>
      <c r="M154" s="95"/>
      <c r="N154" s="95"/>
      <c r="O154" s="95"/>
      <c r="P154" s="95"/>
      <c r="Q154" s="95"/>
      <c r="R154" s="95"/>
      <c r="S154" s="95"/>
      <c r="T154" s="95"/>
      <c r="U154" s="300"/>
      <c r="V154" s="140"/>
      <c r="W154" s="96"/>
    </row>
    <row r="155" spans="1:23">
      <c r="A155" s="36">
        <v>2</v>
      </c>
      <c r="B155" s="2" t="s">
        <v>29</v>
      </c>
      <c r="C155" s="7" t="s">
        <v>154</v>
      </c>
      <c r="D155" s="37" t="s">
        <v>107</v>
      </c>
      <c r="E155" s="37" t="s">
        <v>32</v>
      </c>
      <c r="F155" s="37">
        <v>1</v>
      </c>
      <c r="G155" s="37">
        <v>1</v>
      </c>
      <c r="H155" s="37">
        <v>350</v>
      </c>
      <c r="I155" s="37">
        <f t="shared" ref="I155:I166" si="79">F155*G155*H155</f>
        <v>350</v>
      </c>
      <c r="J155" s="38">
        <f t="shared" ref="J155:J166" si="80">I155/$H$5</f>
        <v>350</v>
      </c>
      <c r="K155" s="39">
        <f>I155</f>
        <v>350</v>
      </c>
      <c r="L155" s="321"/>
      <c r="M155" s="321"/>
      <c r="N155" s="321"/>
      <c r="O155" s="321"/>
      <c r="P155" s="321"/>
      <c r="Q155" s="321"/>
      <c r="R155" s="321"/>
      <c r="S155" s="321"/>
      <c r="T155" s="40">
        <v>280.76</v>
      </c>
      <c r="U155" s="298">
        <f>+L155+N155+M155+O155+P155+Q155+R155+S155+T155</f>
        <v>280.76</v>
      </c>
      <c r="V155" s="131">
        <f>K155-U155</f>
        <v>69.240000000000009</v>
      </c>
      <c r="W155" s="41"/>
    </row>
    <row r="156" spans="1:23">
      <c r="A156" s="36">
        <v>2</v>
      </c>
      <c r="B156" s="2" t="s">
        <v>29</v>
      </c>
      <c r="C156" s="7" t="s">
        <v>154</v>
      </c>
      <c r="D156" s="37" t="s">
        <v>155</v>
      </c>
      <c r="E156" s="37" t="s">
        <v>35</v>
      </c>
      <c r="F156" s="37">
        <v>120</v>
      </c>
      <c r="G156" s="37">
        <v>1</v>
      </c>
      <c r="H156" s="37">
        <v>20</v>
      </c>
      <c r="I156" s="37">
        <f t="shared" si="79"/>
        <v>2400</v>
      </c>
      <c r="J156" s="38">
        <f t="shared" si="80"/>
        <v>2400</v>
      </c>
      <c r="K156" s="39">
        <f t="shared" ref="K156:K166" si="81">I156</f>
        <v>2400</v>
      </c>
      <c r="L156" s="321"/>
      <c r="M156" s="321"/>
      <c r="N156" s="321"/>
      <c r="O156" s="321"/>
      <c r="P156" s="321"/>
      <c r="Q156" s="321"/>
      <c r="R156" s="321"/>
      <c r="S156" s="321"/>
      <c r="T156" s="40">
        <v>3958.71</v>
      </c>
      <c r="U156" s="298">
        <f t="shared" ref="U156:U166" si="82">+L156+N156+M156+O156+P156+Q156+R156+S156+T156</f>
        <v>3958.71</v>
      </c>
      <c r="V156" s="131">
        <f t="shared" ref="V156:V166" si="83">K156-U156</f>
        <v>-1558.71</v>
      </c>
      <c r="W156" s="41"/>
    </row>
    <row r="157" spans="1:23">
      <c r="A157" s="36">
        <v>5</v>
      </c>
      <c r="B157" s="2" t="s">
        <v>36</v>
      </c>
      <c r="C157" s="7" t="s">
        <v>154</v>
      </c>
      <c r="D157" s="37" t="s">
        <v>156</v>
      </c>
      <c r="E157" s="37" t="s">
        <v>35</v>
      </c>
      <c r="F157" s="37">
        <v>50</v>
      </c>
      <c r="G157" s="37">
        <v>1</v>
      </c>
      <c r="H157" s="37">
        <v>20</v>
      </c>
      <c r="I157" s="37">
        <f t="shared" si="79"/>
        <v>1000</v>
      </c>
      <c r="J157" s="38">
        <f t="shared" si="80"/>
        <v>1000</v>
      </c>
      <c r="K157" s="39">
        <f t="shared" si="81"/>
        <v>1000</v>
      </c>
      <c r="L157" s="321"/>
      <c r="M157" s="321"/>
      <c r="N157" s="321"/>
      <c r="O157" s="321"/>
      <c r="P157" s="321"/>
      <c r="Q157" s="321"/>
      <c r="R157" s="321"/>
      <c r="S157" s="321"/>
      <c r="T157" s="40">
        <v>1195.33</v>
      </c>
      <c r="U157" s="298">
        <f t="shared" si="82"/>
        <v>1195.33</v>
      </c>
      <c r="V157" s="131">
        <f t="shared" si="83"/>
        <v>-195.32999999999993</v>
      </c>
      <c r="W157" s="41"/>
    </row>
    <row r="158" spans="1:23">
      <c r="A158" s="36">
        <v>5</v>
      </c>
      <c r="B158" s="2" t="s">
        <v>36</v>
      </c>
      <c r="C158" s="7" t="s">
        <v>154</v>
      </c>
      <c r="D158" s="37" t="s">
        <v>157</v>
      </c>
      <c r="E158" s="37" t="s">
        <v>35</v>
      </c>
      <c r="F158" s="37">
        <v>50</v>
      </c>
      <c r="G158" s="37">
        <v>2</v>
      </c>
      <c r="H158" s="37">
        <v>40</v>
      </c>
      <c r="I158" s="37">
        <f t="shared" si="79"/>
        <v>4000</v>
      </c>
      <c r="J158" s="38">
        <f t="shared" si="80"/>
        <v>4000</v>
      </c>
      <c r="K158" s="39">
        <f t="shared" si="81"/>
        <v>4000</v>
      </c>
      <c r="L158" s="321"/>
      <c r="M158" s="321"/>
      <c r="N158" s="321"/>
      <c r="O158" s="321"/>
      <c r="P158" s="321"/>
      <c r="Q158" s="321"/>
      <c r="R158" s="321"/>
      <c r="S158" s="321"/>
      <c r="T158" s="40">
        <v>3216.1</v>
      </c>
      <c r="U158" s="298">
        <f t="shared" si="82"/>
        <v>3216.1</v>
      </c>
      <c r="V158" s="131">
        <f t="shared" si="83"/>
        <v>783.90000000000009</v>
      </c>
      <c r="W158" s="41"/>
    </row>
    <row r="159" spans="1:23">
      <c r="A159" s="36">
        <v>5</v>
      </c>
      <c r="B159" s="2" t="s">
        <v>36</v>
      </c>
      <c r="C159" s="7" t="s">
        <v>154</v>
      </c>
      <c r="D159" s="37" t="s">
        <v>158</v>
      </c>
      <c r="E159" s="37" t="s">
        <v>35</v>
      </c>
      <c r="F159" s="37">
        <v>70</v>
      </c>
      <c r="G159" s="37">
        <v>1</v>
      </c>
      <c r="H159" s="37">
        <v>10</v>
      </c>
      <c r="I159" s="37">
        <f t="shared" si="79"/>
        <v>700</v>
      </c>
      <c r="J159" s="38">
        <f t="shared" si="80"/>
        <v>700</v>
      </c>
      <c r="K159" s="39">
        <f t="shared" si="81"/>
        <v>700</v>
      </c>
      <c r="L159" s="321"/>
      <c r="M159" s="321"/>
      <c r="N159" s="321"/>
      <c r="O159" s="321"/>
      <c r="P159" s="321"/>
      <c r="Q159" s="321"/>
      <c r="R159" s="321"/>
      <c r="S159" s="321"/>
      <c r="T159" s="40">
        <v>700</v>
      </c>
      <c r="U159" s="298">
        <f t="shared" si="82"/>
        <v>700</v>
      </c>
      <c r="V159" s="131">
        <f t="shared" si="83"/>
        <v>0</v>
      </c>
      <c r="W159" s="41"/>
    </row>
    <row r="160" spans="1:23">
      <c r="A160" s="36">
        <v>2</v>
      </c>
      <c r="B160" s="2" t="s">
        <v>29</v>
      </c>
      <c r="C160" s="7" t="s">
        <v>154</v>
      </c>
      <c r="D160" s="37" t="s">
        <v>62</v>
      </c>
      <c r="E160" s="37" t="s">
        <v>35</v>
      </c>
      <c r="F160" s="37">
        <v>120</v>
      </c>
      <c r="G160" s="37">
        <v>1</v>
      </c>
      <c r="H160" s="37">
        <v>5</v>
      </c>
      <c r="I160" s="37">
        <f t="shared" si="79"/>
        <v>600</v>
      </c>
      <c r="J160" s="38">
        <f t="shared" si="80"/>
        <v>600</v>
      </c>
      <c r="K160" s="39">
        <f t="shared" si="81"/>
        <v>600</v>
      </c>
      <c r="L160" s="321"/>
      <c r="M160" s="321"/>
      <c r="N160" s="321"/>
      <c r="O160" s="321"/>
      <c r="P160" s="321"/>
      <c r="Q160" s="321"/>
      <c r="R160" s="321"/>
      <c r="S160" s="321"/>
      <c r="T160" s="40">
        <v>409.56</v>
      </c>
      <c r="U160" s="298">
        <f t="shared" si="82"/>
        <v>409.56</v>
      </c>
      <c r="V160" s="131">
        <f t="shared" si="83"/>
        <v>190.44</v>
      </c>
      <c r="W160" s="41"/>
    </row>
    <row r="161" spans="1:23">
      <c r="A161" s="36">
        <v>5</v>
      </c>
      <c r="B161" s="2" t="s">
        <v>36</v>
      </c>
      <c r="C161" s="7" t="s">
        <v>154</v>
      </c>
      <c r="D161" s="37" t="s">
        <v>159</v>
      </c>
      <c r="E161" s="37" t="s">
        <v>35</v>
      </c>
      <c r="F161" s="37">
        <v>1</v>
      </c>
      <c r="G161" s="37">
        <v>1</v>
      </c>
      <c r="H161" s="37">
        <v>1200</v>
      </c>
      <c r="I161" s="37">
        <f t="shared" si="79"/>
        <v>1200</v>
      </c>
      <c r="J161" s="38">
        <f t="shared" si="80"/>
        <v>1200</v>
      </c>
      <c r="K161" s="39">
        <f t="shared" si="81"/>
        <v>1200</v>
      </c>
      <c r="L161" s="321"/>
      <c r="M161" s="321"/>
      <c r="N161" s="321"/>
      <c r="O161" s="321"/>
      <c r="P161" s="321"/>
      <c r="Q161" s="321"/>
      <c r="R161" s="321"/>
      <c r="S161" s="321"/>
      <c r="T161" s="40">
        <v>1200</v>
      </c>
      <c r="U161" s="298">
        <f t="shared" si="82"/>
        <v>1200</v>
      </c>
      <c r="V161" s="131">
        <f t="shared" si="83"/>
        <v>0</v>
      </c>
      <c r="W161" s="41"/>
    </row>
    <row r="162" spans="1:23">
      <c r="A162" s="36">
        <v>5</v>
      </c>
      <c r="B162" s="2" t="s">
        <v>36</v>
      </c>
      <c r="C162" s="7" t="s">
        <v>154</v>
      </c>
      <c r="D162" s="37" t="s">
        <v>160</v>
      </c>
      <c r="E162" s="37" t="s">
        <v>35</v>
      </c>
      <c r="F162" s="37">
        <v>1</v>
      </c>
      <c r="G162" s="37">
        <v>2</v>
      </c>
      <c r="H162" s="47">
        <v>40</v>
      </c>
      <c r="I162" s="47">
        <f t="shared" si="79"/>
        <v>80</v>
      </c>
      <c r="J162" s="38">
        <f t="shared" si="80"/>
        <v>80</v>
      </c>
      <c r="K162" s="39">
        <f t="shared" si="81"/>
        <v>80</v>
      </c>
      <c r="L162" s="321"/>
      <c r="M162" s="321"/>
      <c r="N162" s="321"/>
      <c r="O162" s="321"/>
      <c r="P162" s="321"/>
      <c r="Q162" s="321"/>
      <c r="R162" s="321"/>
      <c r="S162" s="321"/>
      <c r="T162" s="40">
        <v>80</v>
      </c>
      <c r="U162" s="298">
        <f t="shared" si="82"/>
        <v>80</v>
      </c>
      <c r="V162" s="131">
        <f t="shared" si="83"/>
        <v>0</v>
      </c>
      <c r="W162" s="41"/>
    </row>
    <row r="163" spans="1:23">
      <c r="A163" s="36">
        <v>4</v>
      </c>
      <c r="B163" s="2" t="s">
        <v>51</v>
      </c>
      <c r="C163" s="7" t="s">
        <v>154</v>
      </c>
      <c r="D163" s="37" t="s">
        <v>52</v>
      </c>
      <c r="E163" s="37" t="s">
        <v>32</v>
      </c>
      <c r="F163" s="48">
        <v>1</v>
      </c>
      <c r="G163" s="47">
        <v>2</v>
      </c>
      <c r="H163" s="47">
        <v>1000</v>
      </c>
      <c r="I163" s="47">
        <f t="shared" si="79"/>
        <v>2000</v>
      </c>
      <c r="J163" s="38">
        <f t="shared" si="80"/>
        <v>2000</v>
      </c>
      <c r="K163" s="39">
        <f t="shared" si="81"/>
        <v>2000</v>
      </c>
      <c r="L163" s="321"/>
      <c r="M163" s="321"/>
      <c r="N163" s="321"/>
      <c r="O163" s="321"/>
      <c r="P163" s="321"/>
      <c r="Q163" s="321"/>
      <c r="R163" s="321"/>
      <c r="S163" s="321"/>
      <c r="T163" s="40">
        <v>2000</v>
      </c>
      <c r="U163" s="298">
        <f t="shared" si="82"/>
        <v>2000</v>
      </c>
      <c r="V163" s="131">
        <f t="shared" si="83"/>
        <v>0</v>
      </c>
      <c r="W163" s="41"/>
    </row>
    <row r="164" spans="1:23">
      <c r="A164" s="36">
        <v>4</v>
      </c>
      <c r="B164" s="2" t="s">
        <v>51</v>
      </c>
      <c r="C164" s="7" t="s">
        <v>154</v>
      </c>
      <c r="D164" s="37" t="s">
        <v>53</v>
      </c>
      <c r="E164" s="37" t="s">
        <v>32</v>
      </c>
      <c r="F164" s="48">
        <v>1</v>
      </c>
      <c r="G164" s="47">
        <v>2</v>
      </c>
      <c r="H164" s="47">
        <v>1700</v>
      </c>
      <c r="I164" s="47">
        <f t="shared" si="79"/>
        <v>3400</v>
      </c>
      <c r="J164" s="38">
        <f t="shared" si="80"/>
        <v>3400</v>
      </c>
      <c r="K164" s="39">
        <f t="shared" si="81"/>
        <v>3400</v>
      </c>
      <c r="L164" s="321"/>
      <c r="M164" s="321"/>
      <c r="N164" s="321"/>
      <c r="O164" s="321"/>
      <c r="P164" s="321"/>
      <c r="Q164" s="321"/>
      <c r="R164" s="321"/>
      <c r="S164" s="321">
        <v>1415.22</v>
      </c>
      <c r="T164" s="40">
        <v>1611.32</v>
      </c>
      <c r="U164" s="298">
        <f>+L164+N164+M164+O164+P164+Q164+R164+S164+T164</f>
        <v>3026.54</v>
      </c>
      <c r="V164" s="131">
        <f t="shared" si="83"/>
        <v>373.46000000000004</v>
      </c>
      <c r="W164" s="41"/>
    </row>
    <row r="165" spans="1:23">
      <c r="A165" s="36">
        <v>4</v>
      </c>
      <c r="B165" s="2" t="s">
        <v>51</v>
      </c>
      <c r="C165" s="7" t="s">
        <v>154</v>
      </c>
      <c r="D165" s="37" t="s">
        <v>54</v>
      </c>
      <c r="E165" s="37" t="s">
        <v>32</v>
      </c>
      <c r="F165" s="48">
        <v>1</v>
      </c>
      <c r="G165" s="47">
        <v>2</v>
      </c>
      <c r="H165" s="47">
        <v>750</v>
      </c>
      <c r="I165" s="47">
        <f t="shared" si="79"/>
        <v>1500</v>
      </c>
      <c r="J165" s="38">
        <f t="shared" si="80"/>
        <v>1500</v>
      </c>
      <c r="K165" s="39">
        <f t="shared" si="81"/>
        <v>1500</v>
      </c>
      <c r="L165" s="321"/>
      <c r="M165" s="321"/>
      <c r="N165" s="321"/>
      <c r="O165" s="321"/>
      <c r="P165" s="321"/>
      <c r="Q165" s="321"/>
      <c r="R165" s="321"/>
      <c r="S165" s="321"/>
      <c r="T165" s="40">
        <f>333.66+1208.49</f>
        <v>1542.15</v>
      </c>
      <c r="U165" s="298">
        <f t="shared" si="82"/>
        <v>1542.15</v>
      </c>
      <c r="V165" s="131">
        <f t="shared" si="83"/>
        <v>-42.150000000000091</v>
      </c>
      <c r="W165" s="41"/>
    </row>
    <row r="166" spans="1:23">
      <c r="A166" s="36">
        <v>2</v>
      </c>
      <c r="B166" s="2" t="s">
        <v>29</v>
      </c>
      <c r="C166" s="7" t="s">
        <v>154</v>
      </c>
      <c r="D166" s="47" t="s">
        <v>161</v>
      </c>
      <c r="E166" s="37" t="s">
        <v>32</v>
      </c>
      <c r="F166" s="48">
        <v>1</v>
      </c>
      <c r="G166" s="47">
        <v>1</v>
      </c>
      <c r="H166" s="47">
        <v>1000</v>
      </c>
      <c r="I166" s="47">
        <f t="shared" si="79"/>
        <v>1000</v>
      </c>
      <c r="J166" s="38">
        <f t="shared" si="80"/>
        <v>1000</v>
      </c>
      <c r="K166" s="39">
        <f t="shared" si="81"/>
        <v>1000</v>
      </c>
      <c r="L166" s="321"/>
      <c r="M166" s="321"/>
      <c r="N166" s="321"/>
      <c r="O166" s="321"/>
      <c r="P166" s="321"/>
      <c r="Q166" s="321"/>
      <c r="R166" s="321"/>
      <c r="S166" s="321"/>
      <c r="T166" s="40">
        <v>1000</v>
      </c>
      <c r="U166" s="298">
        <f t="shared" si="82"/>
        <v>1000</v>
      </c>
      <c r="V166" s="131">
        <f t="shared" si="83"/>
        <v>0</v>
      </c>
      <c r="W166" s="41"/>
    </row>
    <row r="167" spans="1:23">
      <c r="A167" s="36"/>
      <c r="B167" s="28" t="s">
        <v>55</v>
      </c>
      <c r="C167" s="49" t="s">
        <v>162</v>
      </c>
      <c r="D167" s="50"/>
      <c r="E167" s="51"/>
      <c r="F167" s="51"/>
      <c r="G167" s="52"/>
      <c r="H167" s="52"/>
      <c r="I167" s="53">
        <f>SUM(I155:I166)</f>
        <v>18230</v>
      </c>
      <c r="J167" s="53">
        <f>SUM(J155:J166)</f>
        <v>18230</v>
      </c>
      <c r="K167" s="53">
        <f>SUM(K155:K166)</f>
        <v>18230</v>
      </c>
      <c r="L167" s="53">
        <f t="shared" ref="L167:R167" si="84">SUM(L155:L166)</f>
        <v>0</v>
      </c>
      <c r="M167" s="53">
        <f t="shared" si="84"/>
        <v>0</v>
      </c>
      <c r="N167" s="53">
        <f t="shared" si="84"/>
        <v>0</v>
      </c>
      <c r="O167" s="53">
        <f t="shared" si="84"/>
        <v>0</v>
      </c>
      <c r="P167" s="53">
        <f t="shared" si="84"/>
        <v>0</v>
      </c>
      <c r="Q167" s="53">
        <f t="shared" si="84"/>
        <v>0</v>
      </c>
      <c r="R167" s="53">
        <f t="shared" si="84"/>
        <v>0</v>
      </c>
      <c r="S167" s="53">
        <f t="shared" ref="S167:T167" si="85">SUM(S155:S166)</f>
        <v>1415.22</v>
      </c>
      <c r="T167" s="53">
        <f t="shared" si="85"/>
        <v>17193.93</v>
      </c>
      <c r="U167" s="301">
        <f>SUM(U155:U166)</f>
        <v>18609.150000000001</v>
      </c>
      <c r="V167" s="149">
        <f>SUM(V155:V166)</f>
        <v>-379.14999999999986</v>
      </c>
      <c r="W167" s="282">
        <v>10488.793636363636</v>
      </c>
    </row>
    <row r="168" spans="1:23">
      <c r="A168" s="36"/>
      <c r="B168" s="28" t="s">
        <v>55</v>
      </c>
      <c r="C168" s="57" t="s">
        <v>163</v>
      </c>
      <c r="D168" s="371" t="s">
        <v>164</v>
      </c>
      <c r="E168" s="371"/>
      <c r="F168" s="371"/>
      <c r="G168" s="371"/>
      <c r="H168" s="371"/>
      <c r="I168" s="371"/>
      <c r="J168" s="371"/>
      <c r="K168" s="94"/>
      <c r="L168" s="95"/>
      <c r="M168" s="95"/>
      <c r="N168" s="95"/>
      <c r="O168" s="95"/>
      <c r="P168" s="95"/>
      <c r="Q168" s="95"/>
      <c r="R168" s="95"/>
      <c r="S168" s="95"/>
      <c r="T168" s="95"/>
      <c r="U168" s="300"/>
      <c r="V168" s="140"/>
      <c r="W168" s="96"/>
    </row>
    <row r="169" spans="1:23">
      <c r="A169" s="36">
        <v>2</v>
      </c>
      <c r="B169" s="2" t="s">
        <v>29</v>
      </c>
      <c r="C169" s="7" t="s">
        <v>165</v>
      </c>
      <c r="D169" s="37" t="s">
        <v>166</v>
      </c>
      <c r="E169" s="37" t="s">
        <v>32</v>
      </c>
      <c r="F169" s="37">
        <v>1</v>
      </c>
      <c r="G169" s="37">
        <v>1</v>
      </c>
      <c r="H169" s="37">
        <v>350</v>
      </c>
      <c r="I169" s="37">
        <f t="shared" ref="I169:I189" si="86">F169*G169*H169</f>
        <v>350</v>
      </c>
      <c r="J169" s="38">
        <f t="shared" ref="J169:J189" si="87">I169/$H$5</f>
        <v>350</v>
      </c>
      <c r="K169" s="39">
        <f>I169</f>
        <v>350</v>
      </c>
      <c r="L169" s="321"/>
      <c r="M169" s="321"/>
      <c r="N169" s="321"/>
      <c r="O169" s="321"/>
      <c r="P169" s="321"/>
      <c r="Q169" s="321"/>
      <c r="R169" s="321"/>
      <c r="S169" s="321">
        <v>1269.3900000000001</v>
      </c>
      <c r="T169" s="40"/>
      <c r="U169" s="298">
        <f>+L169+N169+M169+O169+P169+Q169+R169+S169+T169</f>
        <v>1269.3900000000001</v>
      </c>
      <c r="V169" s="131">
        <f>J169-U169</f>
        <v>-919.3900000000001</v>
      </c>
      <c r="W169" s="41"/>
    </row>
    <row r="170" spans="1:23">
      <c r="A170" s="36">
        <v>2</v>
      </c>
      <c r="B170" s="2" t="s">
        <v>29</v>
      </c>
      <c r="C170" s="7" t="s">
        <v>165</v>
      </c>
      <c r="D170" s="37" t="s">
        <v>167</v>
      </c>
      <c r="E170" s="37" t="s">
        <v>35</v>
      </c>
      <c r="F170" s="37">
        <v>100</v>
      </c>
      <c r="G170" s="37">
        <v>1</v>
      </c>
      <c r="H170" s="37">
        <v>20</v>
      </c>
      <c r="I170" s="37">
        <f t="shared" si="86"/>
        <v>2000</v>
      </c>
      <c r="J170" s="38">
        <f t="shared" si="87"/>
        <v>2000</v>
      </c>
      <c r="K170" s="39">
        <f t="shared" ref="K170:K189" si="88">I170</f>
        <v>2000</v>
      </c>
      <c r="L170" s="321"/>
      <c r="M170" s="321"/>
      <c r="N170" s="321"/>
      <c r="O170" s="321"/>
      <c r="P170" s="321"/>
      <c r="Q170" s="321"/>
      <c r="R170" s="321"/>
      <c r="S170" s="321">
        <v>5898.45</v>
      </c>
      <c r="T170" s="40"/>
      <c r="U170" s="298">
        <f t="shared" ref="U170:U189" si="89">+L170+N170+M170+O170+P170+Q170+R170+S170+T170</f>
        <v>5898.45</v>
      </c>
      <c r="V170" s="131">
        <f t="shared" ref="V170:V189" si="90">J170-U170</f>
        <v>-3898.45</v>
      </c>
      <c r="W170" s="41"/>
    </row>
    <row r="171" spans="1:23">
      <c r="A171" s="36">
        <v>5</v>
      </c>
      <c r="B171" s="2" t="s">
        <v>36</v>
      </c>
      <c r="C171" s="7" t="s">
        <v>165</v>
      </c>
      <c r="D171" s="37" t="s">
        <v>168</v>
      </c>
      <c r="E171" s="37" t="s">
        <v>35</v>
      </c>
      <c r="F171" s="37">
        <v>30</v>
      </c>
      <c r="G171" s="37">
        <v>1</v>
      </c>
      <c r="H171" s="37">
        <v>20</v>
      </c>
      <c r="I171" s="37">
        <f t="shared" si="86"/>
        <v>600</v>
      </c>
      <c r="J171" s="38">
        <f t="shared" si="87"/>
        <v>600</v>
      </c>
      <c r="K171" s="39">
        <f t="shared" si="88"/>
        <v>600</v>
      </c>
      <c r="L171" s="321"/>
      <c r="M171" s="321"/>
      <c r="N171" s="321"/>
      <c r="O171" s="321"/>
      <c r="P171" s="321"/>
      <c r="Q171" s="321"/>
      <c r="R171" s="321"/>
      <c r="S171" s="321">
        <f>17.1475849770008+1014.57</f>
        <v>1031.7175849770008</v>
      </c>
      <c r="T171" s="40"/>
      <c r="U171" s="298">
        <f t="shared" si="89"/>
        <v>1031.7175849770008</v>
      </c>
      <c r="V171" s="131">
        <f t="shared" si="90"/>
        <v>-431.7175849770008</v>
      </c>
      <c r="W171" s="41"/>
    </row>
    <row r="172" spans="1:23">
      <c r="A172" s="36">
        <v>5</v>
      </c>
      <c r="B172" s="2" t="s">
        <v>36</v>
      </c>
      <c r="C172" s="7" t="s">
        <v>165</v>
      </c>
      <c r="D172" s="37" t="s">
        <v>169</v>
      </c>
      <c r="E172" s="37" t="s">
        <v>35</v>
      </c>
      <c r="F172" s="37">
        <v>30</v>
      </c>
      <c r="G172" s="37">
        <v>2</v>
      </c>
      <c r="H172" s="37">
        <v>40</v>
      </c>
      <c r="I172" s="37">
        <f t="shared" si="86"/>
        <v>2400</v>
      </c>
      <c r="J172" s="38">
        <f t="shared" si="87"/>
        <v>2400</v>
      </c>
      <c r="K172" s="39">
        <f t="shared" si="88"/>
        <v>2400</v>
      </c>
      <c r="L172" s="321"/>
      <c r="M172" s="321"/>
      <c r="N172" s="321"/>
      <c r="O172" s="321"/>
      <c r="P172" s="321"/>
      <c r="Q172" s="321"/>
      <c r="R172" s="321"/>
      <c r="S172" s="321">
        <v>3500.9652661376635</v>
      </c>
      <c r="T172" s="40"/>
      <c r="U172" s="298">
        <f t="shared" si="89"/>
        <v>3500.9652661376635</v>
      </c>
      <c r="V172" s="131">
        <f t="shared" si="90"/>
        <v>-1100.9652661376635</v>
      </c>
      <c r="W172" s="41"/>
    </row>
    <row r="173" spans="1:23">
      <c r="A173" s="36">
        <v>5</v>
      </c>
      <c r="B173" s="2" t="s">
        <v>36</v>
      </c>
      <c r="C173" s="7" t="s">
        <v>165</v>
      </c>
      <c r="D173" s="37" t="s">
        <v>170</v>
      </c>
      <c r="E173" s="37" t="s">
        <v>35</v>
      </c>
      <c r="F173" s="37">
        <v>60</v>
      </c>
      <c r="G173" s="37">
        <v>1</v>
      </c>
      <c r="H173" s="37">
        <v>10</v>
      </c>
      <c r="I173" s="37">
        <f t="shared" si="86"/>
        <v>600</v>
      </c>
      <c r="J173" s="38">
        <f t="shared" si="87"/>
        <v>600</v>
      </c>
      <c r="K173" s="39">
        <f t="shared" si="88"/>
        <v>600</v>
      </c>
      <c r="L173" s="321"/>
      <c r="M173" s="321"/>
      <c r="N173" s="321"/>
      <c r="O173" s="321"/>
      <c r="P173" s="321"/>
      <c r="Q173" s="321"/>
      <c r="R173" s="321"/>
      <c r="S173" s="321">
        <v>357.24135368751672</v>
      </c>
      <c r="T173" s="40"/>
      <c r="U173" s="298">
        <f t="shared" si="89"/>
        <v>357.24135368751672</v>
      </c>
      <c r="V173" s="131">
        <f t="shared" si="90"/>
        <v>242.75864631248328</v>
      </c>
      <c r="W173" s="41"/>
    </row>
    <row r="174" spans="1:23">
      <c r="A174" s="36">
        <v>5</v>
      </c>
      <c r="B174" s="2" t="s">
        <v>36</v>
      </c>
      <c r="C174" s="7" t="s">
        <v>165</v>
      </c>
      <c r="D174" s="37" t="s">
        <v>171</v>
      </c>
      <c r="E174" s="37" t="s">
        <v>35</v>
      </c>
      <c r="F174" s="37">
        <v>4</v>
      </c>
      <c r="G174" s="37">
        <v>1</v>
      </c>
      <c r="H174" s="37">
        <v>1000</v>
      </c>
      <c r="I174" s="37">
        <f t="shared" si="86"/>
        <v>4000</v>
      </c>
      <c r="J174" s="38">
        <f t="shared" si="87"/>
        <v>4000</v>
      </c>
      <c r="K174" s="39">
        <f t="shared" si="88"/>
        <v>4000</v>
      </c>
      <c r="L174" s="321"/>
      <c r="M174" s="321"/>
      <c r="N174" s="321"/>
      <c r="O174" s="321"/>
      <c r="P174" s="321"/>
      <c r="Q174" s="321"/>
      <c r="R174" s="321"/>
      <c r="S174" s="321">
        <v>7368.72</v>
      </c>
      <c r="T174" s="40"/>
      <c r="U174" s="298">
        <f t="shared" si="89"/>
        <v>7368.72</v>
      </c>
      <c r="V174" s="131">
        <f t="shared" si="90"/>
        <v>-3368.7200000000003</v>
      </c>
      <c r="W174" s="41"/>
    </row>
    <row r="175" spans="1:23">
      <c r="A175" s="36">
        <v>5</v>
      </c>
      <c r="B175" s="2" t="s">
        <v>36</v>
      </c>
      <c r="C175" s="7" t="s">
        <v>165</v>
      </c>
      <c r="D175" s="37" t="s">
        <v>172</v>
      </c>
      <c r="E175" s="37" t="s">
        <v>35</v>
      </c>
      <c r="F175" s="37">
        <v>4</v>
      </c>
      <c r="G175" s="37">
        <v>4</v>
      </c>
      <c r="H175" s="37">
        <v>200</v>
      </c>
      <c r="I175" s="37">
        <f t="shared" si="86"/>
        <v>3200</v>
      </c>
      <c r="J175" s="38">
        <f t="shared" si="87"/>
        <v>3200</v>
      </c>
      <c r="K175" s="39">
        <f t="shared" si="88"/>
        <v>3200</v>
      </c>
      <c r="L175" s="321"/>
      <c r="M175" s="321"/>
      <c r="N175" s="321"/>
      <c r="O175" s="321"/>
      <c r="P175" s="321"/>
      <c r="Q175" s="321"/>
      <c r="R175" s="321"/>
      <c r="S175" s="321">
        <f>230*5</f>
        <v>1150</v>
      </c>
      <c r="T175" s="40"/>
      <c r="U175" s="298">
        <f t="shared" si="89"/>
        <v>1150</v>
      </c>
      <c r="V175" s="131">
        <f t="shared" si="90"/>
        <v>2050</v>
      </c>
      <c r="W175" s="41"/>
    </row>
    <row r="176" spans="1:23">
      <c r="A176" s="36">
        <v>5</v>
      </c>
      <c r="B176" s="2" t="s">
        <v>36</v>
      </c>
      <c r="C176" s="7" t="s">
        <v>165</v>
      </c>
      <c r="D176" s="37" t="s">
        <v>160</v>
      </c>
      <c r="E176" s="37" t="s">
        <v>35</v>
      </c>
      <c r="F176" s="37">
        <v>4</v>
      </c>
      <c r="G176" s="37">
        <v>2</v>
      </c>
      <c r="H176" s="37">
        <v>40</v>
      </c>
      <c r="I176" s="37">
        <f t="shared" si="86"/>
        <v>320</v>
      </c>
      <c r="J176" s="38">
        <f t="shared" si="87"/>
        <v>320</v>
      </c>
      <c r="K176" s="39">
        <f t="shared" si="88"/>
        <v>320</v>
      </c>
      <c r="L176" s="321"/>
      <c r="M176" s="321"/>
      <c r="N176" s="321"/>
      <c r="O176" s="321"/>
      <c r="P176" s="321"/>
      <c r="Q176" s="321"/>
      <c r="R176" s="321"/>
      <c r="S176" s="321">
        <f>205.77101972401+282.09</f>
        <v>487.86101972400996</v>
      </c>
      <c r="T176" s="40"/>
      <c r="U176" s="298">
        <f t="shared" si="89"/>
        <v>487.86101972400996</v>
      </c>
      <c r="V176" s="131">
        <f>J176-U176</f>
        <v>-167.86101972400996</v>
      </c>
      <c r="W176" s="41"/>
    </row>
    <row r="177" spans="1:238">
      <c r="A177" s="36">
        <v>2</v>
      </c>
      <c r="B177" s="2" t="s">
        <v>29</v>
      </c>
      <c r="C177" s="7" t="s">
        <v>165</v>
      </c>
      <c r="D177" s="37" t="s">
        <v>173</v>
      </c>
      <c r="E177" s="37" t="s">
        <v>35</v>
      </c>
      <c r="F177" s="37">
        <v>100</v>
      </c>
      <c r="G177" s="37">
        <v>2</v>
      </c>
      <c r="H177" s="37">
        <v>5</v>
      </c>
      <c r="I177" s="37">
        <f t="shared" si="86"/>
        <v>1000</v>
      </c>
      <c r="J177" s="38">
        <f t="shared" si="87"/>
        <v>1000</v>
      </c>
      <c r="K177" s="39">
        <f t="shared" si="88"/>
        <v>1000</v>
      </c>
      <c r="L177" s="321"/>
      <c r="M177" s="321"/>
      <c r="N177" s="321"/>
      <c r="O177" s="321"/>
      <c r="P177" s="321"/>
      <c r="Q177" s="321"/>
      <c r="R177" s="321"/>
      <c r="S177" s="321">
        <f>160.76+158.67+45.13</f>
        <v>364.55999999999995</v>
      </c>
      <c r="T177" s="40"/>
      <c r="U177" s="298">
        <f t="shared" si="89"/>
        <v>364.55999999999995</v>
      </c>
      <c r="V177" s="131">
        <f t="shared" si="90"/>
        <v>635.44000000000005</v>
      </c>
      <c r="W177" s="41"/>
    </row>
    <row r="178" spans="1:238">
      <c r="A178" s="36">
        <v>4</v>
      </c>
      <c r="B178" s="2" t="s">
        <v>51</v>
      </c>
      <c r="C178" s="7" t="s">
        <v>165</v>
      </c>
      <c r="D178" s="37" t="s">
        <v>174</v>
      </c>
      <c r="E178" s="37" t="s">
        <v>32</v>
      </c>
      <c r="F178" s="37">
        <v>1</v>
      </c>
      <c r="G178" s="37">
        <v>1</v>
      </c>
      <c r="H178" s="37">
        <v>2000</v>
      </c>
      <c r="I178" s="37">
        <f t="shared" si="86"/>
        <v>2000</v>
      </c>
      <c r="J178" s="38">
        <f t="shared" si="87"/>
        <v>2000</v>
      </c>
      <c r="K178" s="39">
        <f t="shared" si="88"/>
        <v>2000</v>
      </c>
      <c r="L178" s="321"/>
      <c r="M178" s="321"/>
      <c r="N178" s="321"/>
      <c r="O178" s="321"/>
      <c r="P178" s="321"/>
      <c r="Q178" s="321"/>
      <c r="R178" s="321"/>
      <c r="S178" s="321">
        <f>720.2+710.86+846.26</f>
        <v>2277.3199999999997</v>
      </c>
      <c r="T178" s="40"/>
      <c r="U178" s="298">
        <f t="shared" si="89"/>
        <v>2277.3199999999997</v>
      </c>
      <c r="V178" s="131">
        <f>J178-U178</f>
        <v>-277.31999999999971</v>
      </c>
      <c r="W178" s="41"/>
    </row>
    <row r="179" spans="1:238">
      <c r="A179" s="36">
        <v>2</v>
      </c>
      <c r="B179" s="2" t="s">
        <v>29</v>
      </c>
      <c r="C179" s="7" t="s">
        <v>165</v>
      </c>
      <c r="D179" s="37" t="s">
        <v>175</v>
      </c>
      <c r="E179" s="37" t="s">
        <v>32</v>
      </c>
      <c r="F179" s="37">
        <v>1</v>
      </c>
      <c r="G179" s="37">
        <v>1</v>
      </c>
      <c r="H179" s="37">
        <v>350</v>
      </c>
      <c r="I179" s="37">
        <f t="shared" si="86"/>
        <v>350</v>
      </c>
      <c r="J179" s="38">
        <f t="shared" si="87"/>
        <v>350</v>
      </c>
      <c r="K179" s="39">
        <f t="shared" si="88"/>
        <v>350</v>
      </c>
      <c r="L179" s="321"/>
      <c r="M179" s="321"/>
      <c r="N179" s="321"/>
      <c r="O179" s="321"/>
      <c r="P179" s="321"/>
      <c r="Q179" s="321"/>
      <c r="R179" s="321"/>
      <c r="S179" s="321"/>
      <c r="T179" s="40">
        <v>350</v>
      </c>
      <c r="U179" s="298">
        <f t="shared" si="89"/>
        <v>350</v>
      </c>
      <c r="V179" s="131">
        <f t="shared" si="90"/>
        <v>0</v>
      </c>
      <c r="W179" s="41"/>
    </row>
    <row r="180" spans="1:238">
      <c r="A180" s="36">
        <v>2</v>
      </c>
      <c r="B180" s="2" t="s">
        <v>29</v>
      </c>
      <c r="C180" s="7" t="s">
        <v>165</v>
      </c>
      <c r="D180" s="37" t="s">
        <v>176</v>
      </c>
      <c r="E180" s="37" t="s">
        <v>35</v>
      </c>
      <c r="F180" s="37">
        <v>120</v>
      </c>
      <c r="G180" s="37">
        <v>1</v>
      </c>
      <c r="H180" s="37">
        <v>20</v>
      </c>
      <c r="I180" s="37">
        <f t="shared" si="86"/>
        <v>2400</v>
      </c>
      <c r="J180" s="38">
        <f t="shared" si="87"/>
        <v>2400</v>
      </c>
      <c r="K180" s="39">
        <f t="shared" si="88"/>
        <v>2400</v>
      </c>
      <c r="L180" s="321"/>
      <c r="M180" s="321"/>
      <c r="N180" s="321"/>
      <c r="O180" s="321"/>
      <c r="P180" s="321"/>
      <c r="Q180" s="321"/>
      <c r="R180" s="321"/>
      <c r="S180" s="321"/>
      <c r="T180" s="40">
        <v>2400</v>
      </c>
      <c r="U180" s="298">
        <f t="shared" si="89"/>
        <v>2400</v>
      </c>
      <c r="V180" s="131">
        <f t="shared" si="90"/>
        <v>0</v>
      </c>
      <c r="W180" s="41"/>
    </row>
    <row r="181" spans="1:238">
      <c r="A181" s="36">
        <v>5</v>
      </c>
      <c r="B181" s="2" t="s">
        <v>36</v>
      </c>
      <c r="C181" s="7" t="s">
        <v>165</v>
      </c>
      <c r="D181" s="37" t="s">
        <v>177</v>
      </c>
      <c r="E181" s="37" t="s">
        <v>35</v>
      </c>
      <c r="F181" s="37">
        <v>30</v>
      </c>
      <c r="G181" s="37">
        <v>1</v>
      </c>
      <c r="H181" s="37">
        <v>20</v>
      </c>
      <c r="I181" s="37">
        <f t="shared" si="86"/>
        <v>600</v>
      </c>
      <c r="J181" s="38">
        <f t="shared" si="87"/>
        <v>600</v>
      </c>
      <c r="K181" s="39">
        <f t="shared" si="88"/>
        <v>600</v>
      </c>
      <c r="L181" s="321"/>
      <c r="M181" s="321"/>
      <c r="N181" s="321"/>
      <c r="O181" s="321"/>
      <c r="P181" s="321"/>
      <c r="Q181" s="321"/>
      <c r="R181" s="321"/>
      <c r="S181" s="321">
        <v>538.00547865340013</v>
      </c>
      <c r="T181" s="40"/>
      <c r="U181" s="298">
        <f t="shared" si="89"/>
        <v>538.00547865340013</v>
      </c>
      <c r="V181" s="131">
        <f t="shared" si="90"/>
        <v>61.994521346599868</v>
      </c>
      <c r="W181" s="41"/>
    </row>
    <row r="182" spans="1:238">
      <c r="A182" s="36">
        <v>5</v>
      </c>
      <c r="B182" s="2" t="s">
        <v>36</v>
      </c>
      <c r="C182" s="7" t="s">
        <v>165</v>
      </c>
      <c r="D182" s="37" t="s">
        <v>178</v>
      </c>
      <c r="E182" s="37" t="s">
        <v>35</v>
      </c>
      <c r="F182" s="37">
        <v>3</v>
      </c>
      <c r="G182" s="37">
        <v>1</v>
      </c>
      <c r="H182" s="37">
        <v>1200</v>
      </c>
      <c r="I182" s="37">
        <f t="shared" si="86"/>
        <v>3600</v>
      </c>
      <c r="J182" s="38">
        <f t="shared" si="87"/>
        <v>3600</v>
      </c>
      <c r="K182" s="39">
        <f t="shared" si="88"/>
        <v>3600</v>
      </c>
      <c r="L182" s="321"/>
      <c r="M182" s="321"/>
      <c r="N182" s="321"/>
      <c r="O182" s="321"/>
      <c r="P182" s="321"/>
      <c r="Q182" s="321"/>
      <c r="R182" s="321"/>
      <c r="S182" s="321">
        <v>2302.1</v>
      </c>
      <c r="T182" s="40"/>
      <c r="U182" s="298">
        <f t="shared" si="89"/>
        <v>2302.1</v>
      </c>
      <c r="V182" s="131">
        <f t="shared" si="90"/>
        <v>1297.9000000000001</v>
      </c>
      <c r="W182" s="41"/>
    </row>
    <row r="183" spans="1:238">
      <c r="A183" s="36">
        <v>5</v>
      </c>
      <c r="B183" s="2" t="s">
        <v>36</v>
      </c>
      <c r="C183" s="7" t="s">
        <v>165</v>
      </c>
      <c r="D183" s="37" t="s">
        <v>179</v>
      </c>
      <c r="E183" s="37" t="s">
        <v>49</v>
      </c>
      <c r="F183" s="37">
        <v>3</v>
      </c>
      <c r="G183" s="37">
        <v>4</v>
      </c>
      <c r="H183" s="37">
        <v>200</v>
      </c>
      <c r="I183" s="37">
        <f t="shared" si="86"/>
        <v>2400</v>
      </c>
      <c r="J183" s="38">
        <f t="shared" si="87"/>
        <v>2400</v>
      </c>
      <c r="K183" s="39">
        <f t="shared" si="88"/>
        <v>2400</v>
      </c>
      <c r="L183" s="321"/>
      <c r="M183" s="321"/>
      <c r="N183" s="321"/>
      <c r="O183" s="321"/>
      <c r="P183" s="321"/>
      <c r="Q183" s="321"/>
      <c r="R183" s="321"/>
      <c r="S183" s="321">
        <f>230</f>
        <v>230</v>
      </c>
      <c r="T183" s="40">
        <v>1768.79</v>
      </c>
      <c r="U183" s="298">
        <f>+L183+N183+M183+O183+P183+Q183+R183+S183+T183</f>
        <v>1998.79</v>
      </c>
      <c r="V183" s="131">
        <f t="shared" si="90"/>
        <v>401.21000000000004</v>
      </c>
      <c r="W183" s="41"/>
    </row>
    <row r="184" spans="1:238">
      <c r="A184" s="36">
        <v>5</v>
      </c>
      <c r="B184" s="2" t="s">
        <v>36</v>
      </c>
      <c r="C184" s="7" t="s">
        <v>165</v>
      </c>
      <c r="D184" s="37" t="s">
        <v>160</v>
      </c>
      <c r="E184" s="37" t="s">
        <v>35</v>
      </c>
      <c r="F184" s="37">
        <v>1</v>
      </c>
      <c r="G184" s="37">
        <v>6</v>
      </c>
      <c r="H184" s="37">
        <v>40</v>
      </c>
      <c r="I184" s="37">
        <f t="shared" si="86"/>
        <v>240</v>
      </c>
      <c r="J184" s="38">
        <f t="shared" si="87"/>
        <v>240</v>
      </c>
      <c r="K184" s="39">
        <f t="shared" si="88"/>
        <v>240</v>
      </c>
      <c r="L184" s="321"/>
      <c r="M184" s="321"/>
      <c r="N184" s="321"/>
      <c r="O184" s="321"/>
      <c r="P184" s="321"/>
      <c r="Q184" s="321"/>
      <c r="R184" s="321"/>
      <c r="S184" s="321">
        <f>287.36+205.77</f>
        <v>493.13</v>
      </c>
      <c r="T184" s="40"/>
      <c r="U184" s="298">
        <f t="shared" si="89"/>
        <v>493.13</v>
      </c>
      <c r="V184" s="131">
        <f t="shared" si="90"/>
        <v>-253.13</v>
      </c>
      <c r="W184" s="41"/>
    </row>
    <row r="185" spans="1:238">
      <c r="A185" s="36">
        <v>5</v>
      </c>
      <c r="B185" s="2" t="s">
        <v>36</v>
      </c>
      <c r="C185" s="7" t="s">
        <v>165</v>
      </c>
      <c r="D185" s="37" t="s">
        <v>159</v>
      </c>
      <c r="E185" s="37" t="s">
        <v>35</v>
      </c>
      <c r="F185" s="37">
        <v>1</v>
      </c>
      <c r="G185" s="37">
        <v>1</v>
      </c>
      <c r="H185" s="37">
        <v>1200</v>
      </c>
      <c r="I185" s="37">
        <f t="shared" si="86"/>
        <v>1200</v>
      </c>
      <c r="J185" s="38">
        <f t="shared" si="87"/>
        <v>1200</v>
      </c>
      <c r="K185" s="39">
        <f t="shared" si="88"/>
        <v>1200</v>
      </c>
      <c r="L185" s="321"/>
      <c r="M185" s="321"/>
      <c r="N185" s="321"/>
      <c r="O185" s="321"/>
      <c r="P185" s="321"/>
      <c r="Q185" s="321"/>
      <c r="R185" s="321"/>
      <c r="S185" s="321">
        <v>1575.7</v>
      </c>
      <c r="T185" s="40"/>
      <c r="U185" s="298">
        <f t="shared" si="89"/>
        <v>1575.7</v>
      </c>
      <c r="V185" s="131">
        <f t="shared" si="90"/>
        <v>-375.70000000000005</v>
      </c>
      <c r="W185" s="41"/>
    </row>
    <row r="186" spans="1:238">
      <c r="A186" s="36">
        <v>5</v>
      </c>
      <c r="B186" s="2" t="s">
        <v>36</v>
      </c>
      <c r="C186" s="7" t="s">
        <v>165</v>
      </c>
      <c r="D186" s="37" t="s">
        <v>160</v>
      </c>
      <c r="E186" s="37" t="s">
        <v>35</v>
      </c>
      <c r="F186" s="37">
        <v>1</v>
      </c>
      <c r="G186" s="37">
        <v>2</v>
      </c>
      <c r="H186" s="37">
        <v>40</v>
      </c>
      <c r="I186" s="37">
        <f t="shared" si="86"/>
        <v>80</v>
      </c>
      <c r="J186" s="38">
        <f t="shared" si="87"/>
        <v>80</v>
      </c>
      <c r="K186" s="39">
        <f t="shared" si="88"/>
        <v>80</v>
      </c>
      <c r="L186" s="321"/>
      <c r="M186" s="321"/>
      <c r="N186" s="321"/>
      <c r="O186" s="321"/>
      <c r="P186" s="321"/>
      <c r="Q186" s="321"/>
      <c r="R186" s="321"/>
      <c r="S186" s="321"/>
      <c r="T186" s="40"/>
      <c r="U186" s="298"/>
      <c r="V186" s="131">
        <f t="shared" si="90"/>
        <v>80</v>
      </c>
      <c r="W186" s="41"/>
    </row>
    <row r="187" spans="1:238">
      <c r="A187" s="36">
        <v>4</v>
      </c>
      <c r="B187" s="2" t="s">
        <v>51</v>
      </c>
      <c r="C187" s="7" t="s">
        <v>165</v>
      </c>
      <c r="D187" s="37" t="s">
        <v>52</v>
      </c>
      <c r="E187" s="37" t="s">
        <v>32</v>
      </c>
      <c r="F187" s="48">
        <v>1</v>
      </c>
      <c r="G187" s="47">
        <v>1</v>
      </c>
      <c r="H187" s="47">
        <v>1000</v>
      </c>
      <c r="I187" s="37">
        <f t="shared" si="86"/>
        <v>1000</v>
      </c>
      <c r="J187" s="38">
        <f t="shared" si="87"/>
        <v>1000</v>
      </c>
      <c r="K187" s="39">
        <f t="shared" si="88"/>
        <v>1000</v>
      </c>
      <c r="L187" s="321"/>
      <c r="M187" s="321"/>
      <c r="N187" s="321"/>
      <c r="O187" s="321"/>
      <c r="P187" s="321"/>
      <c r="Q187" s="321"/>
      <c r="R187" s="321"/>
      <c r="S187" s="321">
        <v>499.47</v>
      </c>
      <c r="T187" s="40"/>
      <c r="U187" s="298">
        <f t="shared" si="89"/>
        <v>499.47</v>
      </c>
      <c r="V187" s="131">
        <f t="shared" si="90"/>
        <v>500.53</v>
      </c>
      <c r="W187" s="41"/>
    </row>
    <row r="188" spans="1:238">
      <c r="A188" s="36">
        <v>4</v>
      </c>
      <c r="B188" s="2" t="s">
        <v>51</v>
      </c>
      <c r="C188" s="7" t="s">
        <v>165</v>
      </c>
      <c r="D188" s="37" t="s">
        <v>53</v>
      </c>
      <c r="E188" s="37" t="s">
        <v>32</v>
      </c>
      <c r="F188" s="48">
        <v>1</v>
      </c>
      <c r="G188" s="47">
        <v>1</v>
      </c>
      <c r="H188" s="47">
        <v>1700</v>
      </c>
      <c r="I188" s="37">
        <f t="shared" si="86"/>
        <v>1700</v>
      </c>
      <c r="J188" s="38">
        <f t="shared" si="87"/>
        <v>1700</v>
      </c>
      <c r="K188" s="39">
        <f t="shared" si="88"/>
        <v>1700</v>
      </c>
      <c r="L188" s="321"/>
      <c r="M188" s="321"/>
      <c r="N188" s="321"/>
      <c r="O188" s="321"/>
      <c r="P188" s="321"/>
      <c r="Q188" s="321"/>
      <c r="R188" s="321"/>
      <c r="S188" s="321">
        <v>1413.18</v>
      </c>
      <c r="T188" s="40"/>
      <c r="U188" s="298">
        <f t="shared" si="89"/>
        <v>1413.18</v>
      </c>
      <c r="V188" s="131">
        <f t="shared" si="90"/>
        <v>286.81999999999994</v>
      </c>
      <c r="W188" s="41"/>
    </row>
    <row r="189" spans="1:238">
      <c r="A189" s="36">
        <v>4</v>
      </c>
      <c r="B189" s="2" t="s">
        <v>51</v>
      </c>
      <c r="C189" s="7" t="s">
        <v>165</v>
      </c>
      <c r="D189" s="37" t="s">
        <v>54</v>
      </c>
      <c r="E189" s="37" t="s">
        <v>32</v>
      </c>
      <c r="F189" s="48">
        <v>1</v>
      </c>
      <c r="G189" s="47">
        <v>1</v>
      </c>
      <c r="H189" s="47">
        <v>750</v>
      </c>
      <c r="I189" s="37">
        <f t="shared" si="86"/>
        <v>750</v>
      </c>
      <c r="J189" s="38">
        <f t="shared" si="87"/>
        <v>750</v>
      </c>
      <c r="K189" s="39">
        <f t="shared" si="88"/>
        <v>750</v>
      </c>
      <c r="L189" s="321"/>
      <c r="M189" s="321"/>
      <c r="N189" s="321"/>
      <c r="O189" s="321"/>
      <c r="P189" s="321"/>
      <c r="Q189" s="321"/>
      <c r="R189" s="321"/>
      <c r="S189" s="321"/>
      <c r="T189" s="40">
        <v>837.23</v>
      </c>
      <c r="U189" s="298">
        <f t="shared" si="89"/>
        <v>837.23</v>
      </c>
      <c r="V189" s="131">
        <f t="shared" si="90"/>
        <v>-87.230000000000018</v>
      </c>
      <c r="W189" s="41"/>
    </row>
    <row r="190" spans="1:238">
      <c r="B190" s="28" t="s">
        <v>55</v>
      </c>
      <c r="C190" s="49" t="s">
        <v>180</v>
      </c>
      <c r="D190" s="50"/>
      <c r="E190" s="51"/>
      <c r="F190" s="51"/>
      <c r="G190" s="52"/>
      <c r="H190" s="52"/>
      <c r="I190" s="53">
        <f>SUM(I169:I189)</f>
        <v>30790</v>
      </c>
      <c r="J190" s="53">
        <f>SUM(J169:J189)</f>
        <v>30790</v>
      </c>
      <c r="K190" s="53">
        <f>SUM(K169:K189)</f>
        <v>30790</v>
      </c>
      <c r="L190" s="55">
        <f>SUM(L169:L189)</f>
        <v>0</v>
      </c>
      <c r="M190" s="55">
        <f>SUM(M169:M189)</f>
        <v>0</v>
      </c>
      <c r="N190" s="55">
        <f t="shared" ref="N190:R190" si="91">SUM(N169:N189)</f>
        <v>0</v>
      </c>
      <c r="O190" s="55">
        <f t="shared" si="91"/>
        <v>0</v>
      </c>
      <c r="P190" s="55">
        <f t="shared" si="91"/>
        <v>0</v>
      </c>
      <c r="Q190" s="55">
        <f t="shared" si="91"/>
        <v>0</v>
      </c>
      <c r="R190" s="55">
        <f t="shared" si="91"/>
        <v>0</v>
      </c>
      <c r="S190" s="55">
        <f>SUM(S169:S189)</f>
        <v>30757.810703179595</v>
      </c>
      <c r="T190" s="55">
        <f>SUM(T169:T189)</f>
        <v>5356.02</v>
      </c>
      <c r="U190" s="92">
        <f>SUM(U169:U189)</f>
        <v>36113.830703179599</v>
      </c>
      <c r="V190" s="149">
        <f>SUM(V169:V189)</f>
        <v>-5323.8307031795921</v>
      </c>
      <c r="W190" s="152">
        <v>16681.9153515898</v>
      </c>
    </row>
    <row r="191" spans="1:238" s="79" customFormat="1">
      <c r="A191" s="98"/>
      <c r="B191" s="77"/>
      <c r="C191" s="78" t="s">
        <v>181</v>
      </c>
      <c r="E191" s="80"/>
      <c r="F191" s="80"/>
      <c r="G191" s="81"/>
      <c r="H191" s="81"/>
      <c r="I191" s="99">
        <f>SUM(I190,I167,I153)</f>
        <v>104370</v>
      </c>
      <c r="J191" s="99">
        <f>SUM(J190,J167,J153)</f>
        <v>104370</v>
      </c>
      <c r="K191" s="99">
        <f>SUM(K190,K167,K153)</f>
        <v>55550</v>
      </c>
      <c r="L191" s="99">
        <f t="shared" ref="L191:O191" si="92">+L190+L153</f>
        <v>0</v>
      </c>
      <c r="M191" s="99">
        <f t="shared" si="92"/>
        <v>0</v>
      </c>
      <c r="N191" s="99">
        <f t="shared" si="92"/>
        <v>0</v>
      </c>
      <c r="O191" s="99">
        <f t="shared" si="92"/>
        <v>0</v>
      </c>
      <c r="P191" s="99">
        <f>+P190+P153</f>
        <v>0</v>
      </c>
      <c r="Q191" s="99">
        <f t="shared" ref="Q191:R191" si="93">+Q190+Q153</f>
        <v>0</v>
      </c>
      <c r="R191" s="99">
        <f t="shared" si="93"/>
        <v>48888</v>
      </c>
      <c r="S191" s="99">
        <f>+S190+S153+S167</f>
        <v>38591.364558195048</v>
      </c>
      <c r="T191" s="99">
        <f>+T190+T153+T167</f>
        <v>23395.89</v>
      </c>
      <c r="U191" s="302">
        <f>+U190+U153+U167</f>
        <v>110875.25455819504</v>
      </c>
      <c r="V191" s="99">
        <f>+V190+V153+V167</f>
        <v>-6505.2545581950453</v>
      </c>
      <c r="W191" s="84"/>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c r="HC191" s="2"/>
      <c r="HD191" s="2"/>
      <c r="HE191" s="2"/>
      <c r="HF191" s="2"/>
      <c r="HG191" s="2"/>
      <c r="HH191" s="2"/>
      <c r="HI191" s="2"/>
      <c r="HJ191" s="2"/>
      <c r="HK191" s="2"/>
      <c r="HL191" s="2"/>
      <c r="HM191" s="2"/>
      <c r="HN191" s="2"/>
      <c r="HO191" s="2"/>
      <c r="HP191" s="2"/>
      <c r="HQ191" s="2"/>
      <c r="HR191" s="2"/>
      <c r="HS191" s="2"/>
      <c r="HT191" s="2"/>
      <c r="HU191" s="2"/>
      <c r="HV191" s="2"/>
      <c r="HW191" s="2"/>
      <c r="HX191" s="2"/>
      <c r="HY191" s="2"/>
      <c r="HZ191" s="2"/>
      <c r="IA191" s="2"/>
      <c r="IB191" s="2"/>
      <c r="IC191" s="2"/>
      <c r="ID191" s="2"/>
    </row>
    <row r="192" spans="1:238">
      <c r="B192" s="28" t="s">
        <v>55</v>
      </c>
      <c r="L192" s="326"/>
      <c r="M192" s="326"/>
      <c r="N192" s="326"/>
      <c r="O192" s="326"/>
      <c r="P192" s="326"/>
      <c r="Q192" s="326"/>
      <c r="R192" s="326"/>
      <c r="S192" s="326"/>
      <c r="T192" s="100"/>
      <c r="U192" s="303"/>
      <c r="V192" s="133"/>
      <c r="W192" s="101"/>
    </row>
    <row r="193" spans="1:238" hidden="1">
      <c r="B193" s="28" t="s">
        <v>55</v>
      </c>
      <c r="C193" s="342"/>
      <c r="D193" s="343" t="s">
        <v>182</v>
      </c>
      <c r="E193" s="344"/>
      <c r="F193" s="343"/>
      <c r="G193" s="343"/>
      <c r="H193" s="344"/>
      <c r="I193" s="344"/>
      <c r="J193" s="344"/>
      <c r="K193" s="345"/>
      <c r="L193" s="346"/>
      <c r="M193" s="346"/>
      <c r="N193" s="346"/>
      <c r="O193" s="346"/>
      <c r="P193" s="346"/>
      <c r="Q193" s="346"/>
      <c r="R193" s="346"/>
      <c r="S193" s="346"/>
      <c r="T193" s="347"/>
      <c r="U193" s="347"/>
      <c r="V193" s="348"/>
      <c r="W193" s="347"/>
    </row>
    <row r="194" spans="1:238" hidden="1">
      <c r="C194" s="342"/>
      <c r="D194" s="349" t="s">
        <v>52</v>
      </c>
      <c r="E194" s="349" t="s">
        <v>183</v>
      </c>
      <c r="F194" s="350">
        <v>1</v>
      </c>
      <c r="G194" s="349">
        <v>24</v>
      </c>
      <c r="H194" s="349">
        <v>500</v>
      </c>
      <c r="I194" s="349">
        <f>F194*G194*H194</f>
        <v>12000</v>
      </c>
      <c r="J194" s="351">
        <f>I194/$H$5</f>
        <v>12000</v>
      </c>
      <c r="K194" s="352">
        <f>J194</f>
        <v>12000</v>
      </c>
      <c r="L194" s="353"/>
      <c r="M194" s="353"/>
      <c r="N194" s="353"/>
      <c r="O194" s="353"/>
      <c r="P194" s="353"/>
      <c r="Q194" s="353"/>
      <c r="R194" s="353"/>
      <c r="S194" s="353"/>
      <c r="T194" s="354"/>
      <c r="U194" s="354">
        <f>+L194+N194+M194+O194+P194+Q194+R194+S194</f>
        <v>0</v>
      </c>
      <c r="V194" s="355">
        <f>K194-L194-M194-N194-O194-P194-Q194-R194</f>
        <v>12000</v>
      </c>
      <c r="W194" s="354"/>
    </row>
    <row r="195" spans="1:238" hidden="1">
      <c r="C195" s="342"/>
      <c r="D195" s="349" t="s">
        <v>53</v>
      </c>
      <c r="E195" s="349" t="s">
        <v>183</v>
      </c>
      <c r="F195" s="350">
        <v>1</v>
      </c>
      <c r="G195" s="349">
        <v>24</v>
      </c>
      <c r="H195" s="349">
        <f>850</f>
        <v>850</v>
      </c>
      <c r="I195" s="349">
        <f t="shared" ref="I195:I196" si="94">F195*G195*H195</f>
        <v>20400</v>
      </c>
      <c r="J195" s="351">
        <f t="shared" ref="J195:J196" si="95">I195/$H$5</f>
        <v>20400</v>
      </c>
      <c r="K195" s="352">
        <v>20400</v>
      </c>
      <c r="L195" s="353"/>
      <c r="M195" s="353"/>
      <c r="N195" s="353"/>
      <c r="O195" s="353"/>
      <c r="P195" s="353"/>
      <c r="Q195" s="353"/>
      <c r="R195" s="353"/>
      <c r="S195" s="353"/>
      <c r="T195" s="354"/>
      <c r="U195" s="354">
        <f t="shared" ref="U195:U197" si="96">+L195+N195+M195+O195+P195+Q195+R195+S195</f>
        <v>0</v>
      </c>
      <c r="V195" s="355">
        <f>K195-L195-M195-N195</f>
        <v>20400</v>
      </c>
      <c r="W195" s="354"/>
    </row>
    <row r="196" spans="1:238" hidden="1">
      <c r="C196" s="342"/>
      <c r="D196" s="349" t="s">
        <v>54</v>
      </c>
      <c r="E196" s="349" t="s">
        <v>183</v>
      </c>
      <c r="F196" s="350">
        <v>0.75</v>
      </c>
      <c r="G196" s="349">
        <v>24</v>
      </c>
      <c r="H196" s="349">
        <f>500</f>
        <v>500</v>
      </c>
      <c r="I196" s="349">
        <f t="shared" si="94"/>
        <v>9000</v>
      </c>
      <c r="J196" s="351">
        <f t="shared" si="95"/>
        <v>9000</v>
      </c>
      <c r="K196" s="352">
        <v>9000</v>
      </c>
      <c r="L196" s="353"/>
      <c r="M196" s="353"/>
      <c r="N196" s="353"/>
      <c r="O196" s="353"/>
      <c r="P196" s="353"/>
      <c r="Q196" s="353"/>
      <c r="R196" s="353"/>
      <c r="S196" s="353"/>
      <c r="T196" s="354"/>
      <c r="U196" s="354">
        <f t="shared" si="96"/>
        <v>0</v>
      </c>
      <c r="V196" s="355">
        <f>K196-L196-M196-N196</f>
        <v>9000</v>
      </c>
      <c r="W196" s="354"/>
    </row>
    <row r="197" spans="1:238" hidden="1">
      <c r="C197" s="342"/>
      <c r="D197" s="356"/>
      <c r="E197" s="356"/>
      <c r="F197" s="357"/>
      <c r="G197" s="356"/>
      <c r="H197" s="356"/>
      <c r="I197" s="356"/>
      <c r="J197" s="351"/>
      <c r="K197" s="352"/>
      <c r="L197" s="353"/>
      <c r="M197" s="353"/>
      <c r="N197" s="353"/>
      <c r="O197" s="353"/>
      <c r="P197" s="353"/>
      <c r="Q197" s="353"/>
      <c r="R197" s="353"/>
      <c r="S197" s="353"/>
      <c r="T197" s="354"/>
      <c r="U197" s="354">
        <f t="shared" si="96"/>
        <v>0</v>
      </c>
      <c r="V197" s="355">
        <f>K197-L197-M197-N197</f>
        <v>0</v>
      </c>
      <c r="W197" s="354"/>
    </row>
    <row r="198" spans="1:238" hidden="1">
      <c r="B198" s="28" t="s">
        <v>55</v>
      </c>
      <c r="C198" s="358"/>
      <c r="D198" s="359" t="s">
        <v>184</v>
      </c>
      <c r="E198" s="359" t="s">
        <v>183</v>
      </c>
      <c r="F198" s="360">
        <v>1</v>
      </c>
      <c r="G198" s="360">
        <v>24</v>
      </c>
      <c r="H198" s="360">
        <v>5500</v>
      </c>
      <c r="I198" s="360">
        <f>SUM(I194:I197)</f>
        <v>41400</v>
      </c>
      <c r="J198" s="360">
        <f>SUM(J194:J197)</f>
        <v>41400</v>
      </c>
      <c r="K198" s="360">
        <f>SUM(K194:K197)</f>
        <v>41400</v>
      </c>
      <c r="L198" s="361">
        <f>SUM(L194:L197)</f>
        <v>0</v>
      </c>
      <c r="M198" s="361">
        <f>SUM(M194:M197)</f>
        <v>0</v>
      </c>
      <c r="N198" s="361">
        <f t="shared" ref="N198:U198" si="97">SUM(N194:N197)</f>
        <v>0</v>
      </c>
      <c r="O198" s="361">
        <f t="shared" si="97"/>
        <v>0</v>
      </c>
      <c r="P198" s="361">
        <f t="shared" si="97"/>
        <v>0</v>
      </c>
      <c r="Q198" s="361"/>
      <c r="R198" s="361"/>
      <c r="S198" s="361"/>
      <c r="T198" s="360"/>
      <c r="U198" s="360">
        <f t="shared" si="97"/>
        <v>0</v>
      </c>
      <c r="V198" s="360">
        <f>SUM(V194:V197)</f>
        <v>41400</v>
      </c>
      <c r="W198" s="354"/>
    </row>
    <row r="199" spans="1:238" hidden="1">
      <c r="B199" s="28" t="s">
        <v>55</v>
      </c>
      <c r="C199" s="362"/>
      <c r="D199" s="363"/>
      <c r="E199" s="344"/>
      <c r="F199" s="344"/>
      <c r="G199" s="351"/>
      <c r="H199" s="351"/>
      <c r="I199" s="364"/>
      <c r="J199" s="343"/>
      <c r="K199" s="365"/>
      <c r="L199" s="366"/>
      <c r="M199" s="366"/>
      <c r="N199" s="366"/>
      <c r="O199" s="366"/>
      <c r="P199" s="366"/>
      <c r="Q199" s="366"/>
      <c r="R199" s="366"/>
      <c r="S199" s="366"/>
      <c r="T199" s="366"/>
      <c r="U199" s="366"/>
      <c r="V199" s="367"/>
      <c r="W199" s="366"/>
    </row>
    <row r="200" spans="1:238" hidden="1">
      <c r="B200" s="28" t="s">
        <v>55</v>
      </c>
      <c r="C200" s="362" t="s">
        <v>185</v>
      </c>
      <c r="D200" s="363"/>
      <c r="E200" s="344"/>
      <c r="F200" s="344"/>
      <c r="G200" s="351"/>
      <c r="H200" s="351"/>
      <c r="I200" s="364"/>
      <c r="J200" s="343"/>
      <c r="K200" s="365"/>
      <c r="L200" s="366"/>
      <c r="M200" s="366"/>
      <c r="N200" s="366"/>
      <c r="O200" s="366"/>
      <c r="P200" s="366"/>
      <c r="Q200" s="366"/>
      <c r="R200" s="366"/>
      <c r="S200" s="366"/>
      <c r="T200" s="366"/>
      <c r="U200" s="366"/>
      <c r="V200" s="367"/>
      <c r="W200" s="366"/>
    </row>
    <row r="201" spans="1:238" hidden="1">
      <c r="B201" s="28" t="s">
        <v>55</v>
      </c>
      <c r="C201" s="342" t="s">
        <v>186</v>
      </c>
      <c r="D201" s="344"/>
      <c r="E201" s="344"/>
      <c r="F201" s="351"/>
      <c r="G201" s="351"/>
      <c r="H201" s="351"/>
      <c r="I201" s="351">
        <f>I198</f>
        <v>41400</v>
      </c>
      <c r="J201" s="351">
        <f>J198</f>
        <v>41400</v>
      </c>
      <c r="K201" s="351">
        <f>K198</f>
        <v>41400</v>
      </c>
      <c r="L201" s="353"/>
      <c r="M201" s="353"/>
      <c r="N201" s="353"/>
      <c r="O201" s="353"/>
      <c r="P201" s="353"/>
      <c r="Q201" s="353"/>
      <c r="R201" s="353"/>
      <c r="S201" s="353"/>
      <c r="T201" s="354"/>
      <c r="U201" s="354"/>
      <c r="V201" s="355">
        <f t="shared" ref="V201" si="98">J201-U201</f>
        <v>41400</v>
      </c>
      <c r="W201" s="354"/>
    </row>
    <row r="202" spans="1:238" hidden="1">
      <c r="B202" s="28" t="s">
        <v>55</v>
      </c>
      <c r="C202" s="362" t="s">
        <v>187</v>
      </c>
      <c r="D202" s="363"/>
      <c r="E202" s="344"/>
      <c r="F202" s="344"/>
      <c r="G202" s="351"/>
      <c r="H202" s="351"/>
      <c r="I202" s="364">
        <f>I197+I198</f>
        <v>41400</v>
      </c>
      <c r="J202" s="364">
        <f>+J198</f>
        <v>41400</v>
      </c>
      <c r="K202" s="364">
        <f>+K198</f>
        <v>41400</v>
      </c>
      <c r="L202" s="364">
        <f t="shared" ref="L202" si="99">+L198</f>
        <v>0</v>
      </c>
      <c r="M202" s="364">
        <f>+M198</f>
        <v>0</v>
      </c>
      <c r="N202" s="364">
        <f t="shared" ref="N202:U202" si="100">+N198</f>
        <v>0</v>
      </c>
      <c r="O202" s="364">
        <f t="shared" si="100"/>
        <v>0</v>
      </c>
      <c r="P202" s="364">
        <f t="shared" si="100"/>
        <v>0</v>
      </c>
      <c r="Q202" s="364">
        <f t="shared" si="100"/>
        <v>0</v>
      </c>
      <c r="R202" s="364"/>
      <c r="S202" s="364"/>
      <c r="T202" s="364"/>
      <c r="U202" s="364">
        <f t="shared" si="100"/>
        <v>0</v>
      </c>
      <c r="V202" s="364">
        <f>+V198</f>
        <v>41400</v>
      </c>
      <c r="W202" s="353"/>
    </row>
    <row r="203" spans="1:238" hidden="1">
      <c r="B203" s="28" t="s">
        <v>55</v>
      </c>
      <c r="C203" s="3"/>
      <c r="E203" s="4"/>
      <c r="F203" s="4"/>
      <c r="G203" s="105"/>
      <c r="H203" s="105"/>
      <c r="I203" s="106"/>
      <c r="J203" s="107"/>
      <c r="K203" s="108"/>
      <c r="L203" s="109"/>
      <c r="M203" s="109"/>
      <c r="N203" s="109"/>
      <c r="O203" s="109"/>
      <c r="P203" s="109"/>
      <c r="Q203" s="109"/>
      <c r="R203" s="109"/>
      <c r="S203" s="109"/>
      <c r="T203" s="109"/>
      <c r="U203" s="304"/>
      <c r="V203" s="141"/>
      <c r="W203" s="110"/>
    </row>
    <row r="204" spans="1:238">
      <c r="B204" s="28" t="s">
        <v>55</v>
      </c>
      <c r="C204" s="71"/>
      <c r="D204" s="72" t="s">
        <v>188</v>
      </c>
      <c r="E204" s="73"/>
      <c r="F204" s="72"/>
      <c r="G204" s="72"/>
      <c r="H204" s="73"/>
      <c r="I204" s="73"/>
      <c r="J204" s="73"/>
      <c r="K204" s="73"/>
      <c r="L204" s="327"/>
      <c r="M204" s="327"/>
      <c r="N204" s="327"/>
      <c r="O204" s="327"/>
      <c r="P204" s="327"/>
      <c r="Q204" s="327"/>
      <c r="R204" s="327"/>
      <c r="S204" s="327"/>
      <c r="T204" s="111"/>
      <c r="U204" s="305"/>
      <c r="V204" s="142"/>
      <c r="W204" s="112"/>
    </row>
    <row r="205" spans="1:238">
      <c r="B205" s="2" t="s">
        <v>51</v>
      </c>
      <c r="C205" s="102"/>
      <c r="D205" s="37" t="s">
        <v>189</v>
      </c>
      <c r="E205" s="37" t="s">
        <v>183</v>
      </c>
      <c r="F205" s="37">
        <v>1</v>
      </c>
      <c r="G205" s="37">
        <v>1</v>
      </c>
      <c r="H205" s="37">
        <v>25000</v>
      </c>
      <c r="I205" s="113">
        <f t="shared" ref="I205" si="101">F205*G205*H205</f>
        <v>25000</v>
      </c>
      <c r="J205" s="38">
        <f>I205/$H$5</f>
        <v>25000</v>
      </c>
      <c r="K205" s="38">
        <v>25000</v>
      </c>
      <c r="L205" s="328"/>
      <c r="M205" s="328"/>
      <c r="N205" s="328"/>
      <c r="O205" s="328">
        <v>167.96</v>
      </c>
      <c r="P205" s="321">
        <v>296.37</v>
      </c>
      <c r="Q205" s="321">
        <v>266.55254268913018</v>
      </c>
      <c r="R205" s="321">
        <f>164.07+320.68+402.71</f>
        <v>887.46</v>
      </c>
      <c r="S205" s="321">
        <f>292.69+554.3</f>
        <v>846.99</v>
      </c>
      <c r="T205" s="40">
        <v>11367.6</v>
      </c>
      <c r="U205" s="298">
        <f>+L205+M205+N205+O205+P205+Q205+R205+S205+T205</f>
        <v>13832.93254268913</v>
      </c>
      <c r="V205" s="131">
        <f>J205-U205</f>
        <v>11167.06745731087</v>
      </c>
      <c r="W205" s="115"/>
    </row>
    <row r="206" spans="1:238" ht="12" customHeight="1">
      <c r="B206" s="28" t="s">
        <v>55</v>
      </c>
      <c r="C206" s="78" t="s">
        <v>190</v>
      </c>
      <c r="D206" s="79"/>
      <c r="E206" s="80"/>
      <c r="F206" s="80"/>
      <c r="G206" s="81"/>
      <c r="H206" s="81"/>
      <c r="I206" s="82">
        <f t="shared" ref="I206:V206" si="102">SUM(I205:I205)</f>
        <v>25000</v>
      </c>
      <c r="J206" s="116">
        <f>SUM(J205:J205)</f>
        <v>25000</v>
      </c>
      <c r="K206" s="116">
        <f t="shared" si="102"/>
        <v>25000</v>
      </c>
      <c r="L206" s="116">
        <f t="shared" si="102"/>
        <v>0</v>
      </c>
      <c r="M206" s="116">
        <f t="shared" si="102"/>
        <v>0</v>
      </c>
      <c r="N206" s="116">
        <f t="shared" si="102"/>
        <v>0</v>
      </c>
      <c r="O206" s="116">
        <f t="shared" si="102"/>
        <v>167.96</v>
      </c>
      <c r="P206" s="116">
        <f t="shared" si="102"/>
        <v>296.37</v>
      </c>
      <c r="Q206" s="116">
        <f t="shared" si="102"/>
        <v>266.55254268913018</v>
      </c>
      <c r="R206" s="116">
        <f t="shared" si="102"/>
        <v>887.46</v>
      </c>
      <c r="S206" s="116">
        <f t="shared" ref="S206:T206" si="103">SUM(S205:S205)</f>
        <v>846.99</v>
      </c>
      <c r="T206" s="116">
        <f t="shared" si="103"/>
        <v>11367.6</v>
      </c>
      <c r="U206" s="306">
        <f>SUM(U205:U205)</f>
        <v>13832.93254268913</v>
      </c>
      <c r="V206" s="116">
        <f t="shared" si="102"/>
        <v>11167.06745731087</v>
      </c>
      <c r="W206" s="117"/>
    </row>
    <row r="207" spans="1:238">
      <c r="B207" s="28" t="s">
        <v>55</v>
      </c>
      <c r="C207" s="3"/>
      <c r="E207" s="4"/>
      <c r="F207" s="4"/>
      <c r="G207" s="105"/>
      <c r="H207" s="105"/>
      <c r="I207" s="106"/>
      <c r="J207" s="107"/>
      <c r="K207" s="107"/>
      <c r="L207" s="118"/>
      <c r="M207" s="118"/>
      <c r="N207" s="118"/>
      <c r="O207" s="118"/>
      <c r="P207" s="118"/>
      <c r="Q207" s="118"/>
      <c r="R207" s="118"/>
      <c r="S207" s="118"/>
      <c r="T207" s="118"/>
      <c r="U207" s="307"/>
      <c r="V207" s="144"/>
      <c r="W207" s="119"/>
    </row>
    <row r="208" spans="1:238" s="79" customFormat="1">
      <c r="A208" s="98"/>
      <c r="B208" s="77" t="s">
        <v>55</v>
      </c>
      <c r="C208" s="120" t="s">
        <v>191</v>
      </c>
      <c r="D208" s="104"/>
      <c r="E208" s="80"/>
      <c r="F208" s="104"/>
      <c r="G208" s="104"/>
      <c r="H208" s="80"/>
      <c r="I208" s="116">
        <f>SUM(I206,I191,I139,I70)</f>
        <v>368288</v>
      </c>
      <c r="J208" s="116">
        <f>SUM(J206,J191,J139,J70)</f>
        <v>368288</v>
      </c>
      <c r="K208" s="116">
        <f>SUM(K206,K191,K139,K70)</f>
        <v>133401</v>
      </c>
      <c r="L208" s="116">
        <f t="shared" ref="L208:W208" si="104">SUM(L206,L202,L191,L139,L70)</f>
        <v>0</v>
      </c>
      <c r="M208" s="116">
        <f t="shared" si="104"/>
        <v>9925.9399999999987</v>
      </c>
      <c r="N208" s="116">
        <f t="shared" si="104"/>
        <v>15822.129999999997</v>
      </c>
      <c r="O208" s="116">
        <f t="shared" si="104"/>
        <v>63297.367889748311</v>
      </c>
      <c r="P208" s="116">
        <f t="shared" si="104"/>
        <v>56747.962032796633</v>
      </c>
      <c r="Q208" s="116">
        <f>SUM(Q206,Q202,Q191,Q139,Q70)</f>
        <v>27037.016857600509</v>
      </c>
      <c r="R208" s="116"/>
      <c r="S208" s="116"/>
      <c r="T208" s="116"/>
      <c r="U208" s="306">
        <f>SUM(U206,U202,U191,U139,U70)</f>
        <v>362751.82950845442</v>
      </c>
      <c r="V208" s="116">
        <f t="shared" si="104"/>
        <v>46936.170491545527</v>
      </c>
      <c r="W208" s="153">
        <f t="shared" si="104"/>
        <v>0</v>
      </c>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c r="HC208" s="2"/>
      <c r="HD208" s="2"/>
      <c r="HE208" s="2"/>
      <c r="HF208" s="2"/>
      <c r="HG208" s="2"/>
      <c r="HH208" s="2"/>
      <c r="HI208" s="2"/>
      <c r="HJ208" s="2"/>
      <c r="HK208" s="2"/>
      <c r="HL208" s="2"/>
      <c r="HM208" s="2"/>
      <c r="HN208" s="2"/>
      <c r="HO208" s="2"/>
      <c r="HP208" s="2"/>
      <c r="HQ208" s="2"/>
      <c r="HR208" s="2"/>
      <c r="HS208" s="2"/>
      <c r="HT208" s="2"/>
      <c r="HU208" s="2"/>
      <c r="HV208" s="2"/>
      <c r="HW208" s="2"/>
      <c r="HX208" s="2"/>
      <c r="HY208" s="2"/>
      <c r="HZ208" s="2"/>
      <c r="IA208" s="2"/>
      <c r="IB208" s="2"/>
      <c r="IC208" s="2"/>
      <c r="ID208" s="2"/>
    </row>
    <row r="209" spans="1:238">
      <c r="B209" s="28" t="s">
        <v>55</v>
      </c>
      <c r="C209" s="102"/>
      <c r="D209" s="107"/>
      <c r="E209" s="4"/>
      <c r="F209" s="107"/>
      <c r="G209" s="107"/>
      <c r="H209" s="4"/>
      <c r="I209" s="4"/>
      <c r="J209" s="4"/>
      <c r="K209" s="4"/>
      <c r="L209" s="329"/>
      <c r="M209" s="329"/>
      <c r="N209" s="329"/>
      <c r="O209" s="329"/>
      <c r="P209" s="329"/>
      <c r="Q209" s="329"/>
      <c r="R209" s="329"/>
      <c r="S209" s="329"/>
      <c r="T209" s="121"/>
      <c r="U209" s="305"/>
      <c r="V209" s="145"/>
      <c r="W209" s="122"/>
    </row>
    <row r="210" spans="1:238" ht="24.75" customHeight="1">
      <c r="B210" s="28" t="s">
        <v>25</v>
      </c>
      <c r="C210" s="29"/>
      <c r="D210" s="30" t="s">
        <v>192</v>
      </c>
      <c r="E210" s="31" t="s">
        <v>6</v>
      </c>
      <c r="F210" s="31" t="s">
        <v>7</v>
      </c>
      <c r="G210" s="31" t="s">
        <v>8</v>
      </c>
      <c r="H210" s="31" t="s">
        <v>9</v>
      </c>
      <c r="I210" s="31" t="s">
        <v>28</v>
      </c>
      <c r="J210" s="32" t="s">
        <v>10</v>
      </c>
      <c r="K210" s="33">
        <f>K207</f>
        <v>0</v>
      </c>
      <c r="L210" s="34"/>
      <c r="M210" s="34"/>
      <c r="N210" s="34"/>
      <c r="O210" s="34"/>
      <c r="P210" s="34"/>
      <c r="Q210" s="34"/>
      <c r="R210" s="34"/>
      <c r="S210" s="34"/>
      <c r="T210" s="34"/>
      <c r="U210" s="297"/>
      <c r="V210" s="136"/>
      <c r="W210" s="35"/>
    </row>
    <row r="211" spans="1:238">
      <c r="A211" s="36">
        <v>2</v>
      </c>
      <c r="B211" s="2" t="s">
        <v>29</v>
      </c>
      <c r="C211" s="7" t="s">
        <v>30</v>
      </c>
      <c r="D211" s="37" t="s">
        <v>60</v>
      </c>
      <c r="E211" s="37" t="s">
        <v>32</v>
      </c>
      <c r="F211" s="37">
        <v>0</v>
      </c>
      <c r="G211" s="37">
        <v>0</v>
      </c>
      <c r="H211" s="37">
        <v>0</v>
      </c>
      <c r="I211" s="37">
        <f>F211*G211*H211</f>
        <v>0</v>
      </c>
      <c r="J211" s="38">
        <f>I211/$H$5</f>
        <v>0</v>
      </c>
      <c r="K211" s="39">
        <f>I211</f>
        <v>0</v>
      </c>
      <c r="L211" s="321"/>
      <c r="M211" s="321"/>
      <c r="N211" s="321"/>
      <c r="O211" s="321"/>
      <c r="P211" s="321"/>
      <c r="Q211" s="321"/>
      <c r="R211" s="321"/>
      <c r="S211" s="321"/>
      <c r="T211" s="40">
        <v>142.66</v>
      </c>
      <c r="U211" s="298">
        <f t="shared" ref="U211:U215" si="105">+L211+M211+N211+O211+P211+Q211+R211+S211+T211</f>
        <v>142.66</v>
      </c>
      <c r="V211" s="131">
        <f t="shared" ref="V211:V215" si="106">J211-L211-M211-N211-O211-P211-Q211-R211-S211-T211</f>
        <v>-142.66</v>
      </c>
      <c r="W211" s="41"/>
    </row>
    <row r="212" spans="1:238">
      <c r="A212" s="36">
        <v>2</v>
      </c>
      <c r="B212" s="2" t="s">
        <v>29</v>
      </c>
      <c r="C212" s="7"/>
      <c r="D212" s="37" t="s">
        <v>193</v>
      </c>
      <c r="E212" s="37"/>
      <c r="F212" s="37"/>
      <c r="G212" s="37"/>
      <c r="H212" s="37"/>
      <c r="I212" s="37"/>
      <c r="J212" s="38"/>
      <c r="K212" s="39">
        <f>I212</f>
        <v>0</v>
      </c>
      <c r="L212" s="321"/>
      <c r="M212" s="321"/>
      <c r="N212" s="321"/>
      <c r="O212" s="321"/>
      <c r="P212" s="321"/>
      <c r="Q212" s="321"/>
      <c r="R212" s="321"/>
      <c r="S212" s="321"/>
      <c r="T212" s="40">
        <v>1151.23</v>
      </c>
      <c r="U212" s="298">
        <f t="shared" si="105"/>
        <v>1151.23</v>
      </c>
      <c r="V212" s="131">
        <f t="shared" si="106"/>
        <v>-1151.23</v>
      </c>
      <c r="W212" s="41"/>
    </row>
    <row r="213" spans="1:238">
      <c r="A213" s="36">
        <v>2</v>
      </c>
      <c r="B213" s="2" t="s">
        <v>29</v>
      </c>
      <c r="C213" s="7" t="s">
        <v>30</v>
      </c>
      <c r="D213" s="37" t="s">
        <v>194</v>
      </c>
      <c r="E213" s="37" t="s">
        <v>35</v>
      </c>
      <c r="F213" s="37">
        <v>0</v>
      </c>
      <c r="G213" s="37">
        <v>0</v>
      </c>
      <c r="H213" s="37">
        <v>0</v>
      </c>
      <c r="I213" s="37">
        <f>F213*G213*H213</f>
        <v>0</v>
      </c>
      <c r="J213" s="38">
        <f>I213/$H$5</f>
        <v>0</v>
      </c>
      <c r="K213" s="39">
        <f t="shared" ref="K213:K217" si="107">I213</f>
        <v>0</v>
      </c>
      <c r="L213" s="321"/>
      <c r="M213" s="321"/>
      <c r="N213" s="321"/>
      <c r="O213" s="321"/>
      <c r="P213" s="321"/>
      <c r="Q213" s="321"/>
      <c r="R213" s="321"/>
      <c r="S213" s="321"/>
      <c r="T213" s="40">
        <v>1409.4352273213599</v>
      </c>
      <c r="U213" s="298">
        <f t="shared" si="105"/>
        <v>1409.4352273213599</v>
      </c>
      <c r="V213" s="131">
        <f t="shared" si="106"/>
        <v>-1409.4352273213599</v>
      </c>
      <c r="W213" s="41"/>
    </row>
    <row r="214" spans="1:238">
      <c r="A214" s="36">
        <v>5</v>
      </c>
      <c r="B214" s="2" t="s">
        <v>36</v>
      </c>
      <c r="C214" s="7" t="s">
        <v>30</v>
      </c>
      <c r="D214" s="37" t="s">
        <v>195</v>
      </c>
      <c r="E214" s="37" t="s">
        <v>35</v>
      </c>
      <c r="F214" s="37">
        <v>0</v>
      </c>
      <c r="G214" s="37">
        <v>0</v>
      </c>
      <c r="H214" s="37">
        <v>0</v>
      </c>
      <c r="I214" s="37">
        <f t="shared" ref="I214:I216" si="108">F214*G214*H214</f>
        <v>0</v>
      </c>
      <c r="J214" s="38">
        <f t="shared" ref="J214:J216" si="109">I214/$H$5</f>
        <v>0</v>
      </c>
      <c r="K214" s="39">
        <f t="shared" si="107"/>
        <v>0</v>
      </c>
      <c r="L214" s="321"/>
      <c r="M214" s="321"/>
      <c r="N214" s="321"/>
      <c r="O214" s="321"/>
      <c r="P214" s="321"/>
      <c r="Q214" s="321"/>
      <c r="R214" s="321"/>
      <c r="S214" s="321"/>
      <c r="T214" s="40">
        <v>513.55939457053591</v>
      </c>
      <c r="U214" s="298">
        <f t="shared" si="105"/>
        <v>513.55939457053591</v>
      </c>
      <c r="V214" s="131">
        <f t="shared" si="106"/>
        <v>-513.55939457053591</v>
      </c>
      <c r="W214" s="41"/>
    </row>
    <row r="215" spans="1:238">
      <c r="A215" s="36">
        <v>5</v>
      </c>
      <c r="B215" s="2" t="s">
        <v>36</v>
      </c>
      <c r="C215" s="7" t="s">
        <v>30</v>
      </c>
      <c r="D215" s="37" t="s">
        <v>196</v>
      </c>
      <c r="E215" s="37" t="s">
        <v>35</v>
      </c>
      <c r="F215" s="37">
        <v>0</v>
      </c>
      <c r="G215" s="37">
        <v>0</v>
      </c>
      <c r="H215" s="37">
        <v>0</v>
      </c>
      <c r="I215" s="37">
        <f t="shared" si="108"/>
        <v>0</v>
      </c>
      <c r="J215" s="38">
        <f t="shared" si="109"/>
        <v>0</v>
      </c>
      <c r="K215" s="39">
        <f t="shared" si="107"/>
        <v>0</v>
      </c>
      <c r="L215" s="321"/>
      <c r="M215" s="321"/>
      <c r="N215" s="321"/>
      <c r="O215" s="321"/>
      <c r="P215" s="321"/>
      <c r="Q215" s="321"/>
      <c r="R215" s="321"/>
      <c r="S215" s="321"/>
      <c r="T215" s="40">
        <v>2068.5031170202142</v>
      </c>
      <c r="U215" s="298">
        <f t="shared" si="105"/>
        <v>2068.5031170202142</v>
      </c>
      <c r="V215" s="131">
        <f t="shared" si="106"/>
        <v>-2068.5031170202142</v>
      </c>
      <c r="W215" s="41"/>
    </row>
    <row r="216" spans="1:238">
      <c r="A216" s="36">
        <v>3</v>
      </c>
      <c r="B216" s="28" t="s">
        <v>39</v>
      </c>
      <c r="C216" s="7" t="s">
        <v>30</v>
      </c>
      <c r="D216" s="37" t="s">
        <v>197</v>
      </c>
      <c r="E216" s="37" t="s">
        <v>35</v>
      </c>
      <c r="F216" s="37">
        <v>0</v>
      </c>
      <c r="G216" s="37">
        <v>0</v>
      </c>
      <c r="H216" s="37">
        <v>0</v>
      </c>
      <c r="I216" s="37">
        <f t="shared" si="108"/>
        <v>0</v>
      </c>
      <c r="J216" s="38">
        <f t="shared" si="109"/>
        <v>0</v>
      </c>
      <c r="K216" s="39">
        <f t="shared" si="107"/>
        <v>0</v>
      </c>
      <c r="L216" s="321"/>
      <c r="M216" s="321"/>
      <c r="N216" s="321"/>
      <c r="O216" s="321"/>
      <c r="P216" s="321"/>
      <c r="Q216" s="321"/>
      <c r="R216" s="321"/>
      <c r="S216" s="321"/>
      <c r="T216" s="40">
        <v>1889.36</v>
      </c>
      <c r="U216" s="298">
        <f t="shared" ref="U216:U217" si="110">+L216+M216+N216+O216+P216+Q216+R216+S216+T216</f>
        <v>1889.36</v>
      </c>
      <c r="V216" s="131">
        <f>J216-L216-M216-N216-O216-P216-Q216-R216-S216-T216</f>
        <v>-1889.36</v>
      </c>
      <c r="W216" s="41"/>
    </row>
    <row r="217" spans="1:238">
      <c r="A217" s="36">
        <v>2</v>
      </c>
      <c r="B217" s="2" t="s">
        <v>29</v>
      </c>
      <c r="C217" s="7" t="s">
        <v>30</v>
      </c>
      <c r="D217" s="37" t="s">
        <v>198</v>
      </c>
      <c r="E217" s="37" t="s">
        <v>35</v>
      </c>
      <c r="F217" s="37">
        <v>0</v>
      </c>
      <c r="G217" s="37">
        <v>0</v>
      </c>
      <c r="H217" s="37">
        <v>0</v>
      </c>
      <c r="I217" s="37">
        <f t="shared" ref="I217" si="111">F217*G217*H217</f>
        <v>0</v>
      </c>
      <c r="J217" s="38">
        <f>I217/$H$5</f>
        <v>0</v>
      </c>
      <c r="K217" s="39">
        <f t="shared" si="107"/>
        <v>0</v>
      </c>
      <c r="L217" s="321"/>
      <c r="M217" s="321"/>
      <c r="N217" s="321"/>
      <c r="O217" s="321"/>
      <c r="P217" s="321"/>
      <c r="Q217" s="321"/>
      <c r="R217" s="321"/>
      <c r="S217" s="321"/>
      <c r="T217" s="40">
        <f>841.67+35.66</f>
        <v>877.32999999999993</v>
      </c>
      <c r="U217" s="298">
        <f t="shared" si="110"/>
        <v>877.32999999999993</v>
      </c>
      <c r="V217" s="131">
        <f t="shared" ref="V217" si="112">J217-L217-M217-N217-O217-P217-Q217-R217-S217-T217</f>
        <v>-877.32999999999993</v>
      </c>
      <c r="W217" s="41"/>
    </row>
    <row r="218" spans="1:238" s="79" customFormat="1">
      <c r="A218" s="98"/>
      <c r="B218" s="77" t="s">
        <v>55</v>
      </c>
      <c r="C218" s="78" t="s">
        <v>56</v>
      </c>
      <c r="E218" s="80"/>
      <c r="F218" s="80"/>
      <c r="G218" s="81"/>
      <c r="H218" s="81"/>
      <c r="I218" s="82">
        <f t="shared" ref="I218:V218" si="113">SUM(I211:I217)</f>
        <v>0</v>
      </c>
      <c r="J218" s="82">
        <f t="shared" si="113"/>
        <v>0</v>
      </c>
      <c r="K218" s="82">
        <f t="shared" si="113"/>
        <v>0</v>
      </c>
      <c r="L218" s="82">
        <f t="shared" si="113"/>
        <v>0</v>
      </c>
      <c r="M218" s="82">
        <f t="shared" si="113"/>
        <v>0</v>
      </c>
      <c r="N218" s="82">
        <f t="shared" si="113"/>
        <v>0</v>
      </c>
      <c r="O218" s="82">
        <f t="shared" si="113"/>
        <v>0</v>
      </c>
      <c r="P218" s="82">
        <f t="shared" si="113"/>
        <v>0</v>
      </c>
      <c r="Q218" s="82">
        <f t="shared" si="113"/>
        <v>0</v>
      </c>
      <c r="R218" s="82">
        <f t="shared" si="113"/>
        <v>0</v>
      </c>
      <c r="S218" s="82">
        <f t="shared" si="113"/>
        <v>0</v>
      </c>
      <c r="T218" s="82">
        <f t="shared" si="113"/>
        <v>8052.0777389121095</v>
      </c>
      <c r="U218" s="89">
        <f t="shared" si="113"/>
        <v>8052.0777389121095</v>
      </c>
      <c r="V218" s="143">
        <f t="shared" si="113"/>
        <v>-8052.0777389121095</v>
      </c>
      <c r="W218" s="117">
        <v>4525.9969917713015</v>
      </c>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c r="HC218" s="2"/>
      <c r="HD218" s="2"/>
      <c r="HE218" s="2"/>
      <c r="HF218" s="2"/>
      <c r="HG218" s="2"/>
      <c r="HH218" s="2"/>
      <c r="HI218" s="2"/>
      <c r="HJ218" s="2"/>
      <c r="HK218" s="2"/>
      <c r="HL218" s="2"/>
      <c r="HM218" s="2"/>
      <c r="HN218" s="2"/>
      <c r="HO218" s="2"/>
      <c r="HP218" s="2"/>
      <c r="HQ218" s="2"/>
      <c r="HR218" s="2"/>
      <c r="HS218" s="2"/>
      <c r="HT218" s="2"/>
      <c r="HU218" s="2"/>
      <c r="HV218" s="2"/>
      <c r="HW218" s="2"/>
      <c r="HX218" s="2"/>
      <c r="HY218" s="2"/>
      <c r="HZ218" s="2"/>
      <c r="IA218" s="2"/>
      <c r="IB218" s="2"/>
      <c r="IC218" s="2"/>
      <c r="ID218" s="2"/>
    </row>
    <row r="219" spans="1:238">
      <c r="B219" s="28" t="s">
        <v>55</v>
      </c>
      <c r="C219" s="71" t="s">
        <v>199</v>
      </c>
      <c r="D219" s="72"/>
      <c r="E219" s="73"/>
      <c r="F219" s="72"/>
      <c r="G219" s="72"/>
      <c r="H219" s="73"/>
      <c r="I219" s="73"/>
      <c r="J219" s="73"/>
      <c r="K219" s="73"/>
      <c r="L219" s="327"/>
      <c r="M219" s="327"/>
      <c r="N219" s="327"/>
      <c r="O219" s="327"/>
      <c r="P219" s="327"/>
      <c r="Q219" s="327"/>
      <c r="R219" s="327"/>
      <c r="S219" s="327"/>
      <c r="T219" s="111"/>
      <c r="U219" s="305"/>
      <c r="V219" s="142"/>
      <c r="W219" s="112"/>
    </row>
    <row r="220" spans="1:238">
      <c r="A220" s="36">
        <v>1</v>
      </c>
      <c r="B220" s="2" t="s">
        <v>200</v>
      </c>
      <c r="C220" s="3"/>
      <c r="D220" s="37" t="s">
        <v>201</v>
      </c>
      <c r="E220" s="37" t="s">
        <v>183</v>
      </c>
      <c r="F220" s="103">
        <v>0.42</v>
      </c>
      <c r="G220" s="37">
        <v>24</v>
      </c>
      <c r="H220" s="37">
        <f>5000</f>
        <v>5000</v>
      </c>
      <c r="I220" s="37">
        <f>F220*G220*H220</f>
        <v>50400</v>
      </c>
      <c r="J220" s="38">
        <f>I220/$H$5</f>
        <v>50400</v>
      </c>
      <c r="K220" s="38">
        <f>J220/2</f>
        <v>25200</v>
      </c>
      <c r="L220" s="328"/>
      <c r="M220" s="328">
        <v>4000</v>
      </c>
      <c r="N220" s="328">
        <v>5000</v>
      </c>
      <c r="O220" s="328">
        <v>6000</v>
      </c>
      <c r="P220" s="321">
        <v>3000</v>
      </c>
      <c r="Q220" s="321">
        <v>3500</v>
      </c>
      <c r="R220" s="321">
        <f>2000*3</f>
        <v>6000</v>
      </c>
      <c r="S220" s="321">
        <f>2000+3319+3319</f>
        <v>8638</v>
      </c>
      <c r="T220" s="40">
        <v>9957</v>
      </c>
      <c r="U220" s="298">
        <f>+L220+M220+N220+O220+P220+Q220+R220+S220+T220</f>
        <v>46095</v>
      </c>
      <c r="V220" s="131">
        <f>J220-U220</f>
        <v>4305</v>
      </c>
      <c r="W220" s="115"/>
    </row>
    <row r="221" spans="1:238">
      <c r="A221" s="36">
        <v>1</v>
      </c>
      <c r="B221" s="2" t="s">
        <v>200</v>
      </c>
      <c r="C221" s="3"/>
      <c r="D221" s="37" t="s">
        <v>202</v>
      </c>
      <c r="E221" s="37" t="s">
        <v>183</v>
      </c>
      <c r="F221" s="103">
        <v>0.61</v>
      </c>
      <c r="G221" s="37">
        <v>24</v>
      </c>
      <c r="H221" s="37">
        <v>500</v>
      </c>
      <c r="I221" s="123">
        <f t="shared" ref="I221" si="114">F221*G221*H221</f>
        <v>7320</v>
      </c>
      <c r="J221" s="38">
        <f t="shared" ref="J221:J224" si="115">I221/$H$5</f>
        <v>7320</v>
      </c>
      <c r="K221" s="38">
        <f>I221/2</f>
        <v>3660</v>
      </c>
      <c r="L221" s="328"/>
      <c r="M221" s="328">
        <v>998.15</v>
      </c>
      <c r="N221" s="328">
        <v>764.05</v>
      </c>
      <c r="O221" s="328">
        <v>445.69</v>
      </c>
      <c r="P221" s="321">
        <v>1765.4700000000003</v>
      </c>
      <c r="Q221" s="321">
        <f>1200.08+1199.49+1200.11</f>
        <v>3599.6799999999994</v>
      </c>
      <c r="R221" s="321"/>
      <c r="S221" s="321"/>
      <c r="T221" s="40">
        <v>845</v>
      </c>
      <c r="U221" s="298">
        <f t="shared" ref="U221:U223" si="116">+L221+M221+N221+O221+P221+Q221+R221+S221+T221</f>
        <v>8418.0399999999991</v>
      </c>
      <c r="V221" s="131">
        <f t="shared" ref="V221:V222" si="117">J221-U221</f>
        <v>-1098.0399999999991</v>
      </c>
      <c r="W221" s="115"/>
    </row>
    <row r="222" spans="1:238">
      <c r="A222" s="36">
        <v>1</v>
      </c>
      <c r="B222" s="2" t="s">
        <v>200</v>
      </c>
      <c r="C222" s="3"/>
      <c r="D222" s="37" t="s">
        <v>203</v>
      </c>
      <c r="E222" s="37" t="s">
        <v>183</v>
      </c>
      <c r="F222" s="103">
        <v>0.04</v>
      </c>
      <c r="G222" s="37">
        <v>24</v>
      </c>
      <c r="H222" s="37">
        <v>18000</v>
      </c>
      <c r="I222" s="123">
        <f>F222*G222*H222</f>
        <v>17280</v>
      </c>
      <c r="J222" s="38">
        <f t="shared" si="115"/>
        <v>17280</v>
      </c>
      <c r="K222" s="38">
        <f>J222/2</f>
        <v>8640</v>
      </c>
      <c r="L222" s="328"/>
      <c r="M222" s="328">
        <v>2160</v>
      </c>
      <c r="N222" s="328">
        <v>2160</v>
      </c>
      <c r="O222" s="328">
        <v>2160</v>
      </c>
      <c r="P222" s="321">
        <v>2160</v>
      </c>
      <c r="Q222" s="321">
        <v>2160</v>
      </c>
      <c r="R222" s="321">
        <f>720*3</f>
        <v>2160</v>
      </c>
      <c r="S222" s="321">
        <f>720*3</f>
        <v>2160</v>
      </c>
      <c r="T222" s="40">
        <v>2160</v>
      </c>
      <c r="U222" s="298">
        <f>+L222+M222+N222+O222+P222+Q222+R222+S222+T222</f>
        <v>17280</v>
      </c>
      <c r="V222" s="131">
        <f t="shared" si="117"/>
        <v>0</v>
      </c>
      <c r="W222" s="115"/>
    </row>
    <row r="223" spans="1:238">
      <c r="A223" s="36">
        <v>1</v>
      </c>
      <c r="B223" s="2" t="s">
        <v>200</v>
      </c>
      <c r="C223" s="3"/>
      <c r="D223" s="37" t="s">
        <v>204</v>
      </c>
      <c r="E223" s="37" t="s">
        <v>183</v>
      </c>
      <c r="F223" s="103">
        <v>0.04</v>
      </c>
      <c r="G223" s="37">
        <v>24</v>
      </c>
      <c r="H223" s="37">
        <v>14082</v>
      </c>
      <c r="I223" s="123">
        <f t="shared" ref="I223:I224" si="118">F223*G223*H223</f>
        <v>13518.72</v>
      </c>
      <c r="J223" s="38">
        <f t="shared" si="115"/>
        <v>13518.72</v>
      </c>
      <c r="K223" s="38">
        <f>J223/2</f>
        <v>6759.36</v>
      </c>
      <c r="L223" s="328"/>
      <c r="M223" s="328">
        <v>1689.84</v>
      </c>
      <c r="N223" s="328">
        <v>1689.87</v>
      </c>
      <c r="O223" s="328">
        <v>1689.87</v>
      </c>
      <c r="P223" s="321">
        <v>1689.87</v>
      </c>
      <c r="Q223" s="321">
        <v>1689.87</v>
      </c>
      <c r="R223" s="321">
        <f>563.29*3</f>
        <v>1689.87</v>
      </c>
      <c r="S223" s="321">
        <f>563.29*3</f>
        <v>1689.87</v>
      </c>
      <c r="T223" s="40">
        <v>1690</v>
      </c>
      <c r="U223" s="298">
        <f t="shared" si="116"/>
        <v>13519.059999999998</v>
      </c>
      <c r="V223" s="131">
        <f>J223-U223</f>
        <v>-0.33999999999832653</v>
      </c>
      <c r="W223" s="115"/>
    </row>
    <row r="224" spans="1:238">
      <c r="A224" s="36">
        <v>1</v>
      </c>
      <c r="B224" s="2" t="s">
        <v>200</v>
      </c>
      <c r="C224" s="3"/>
      <c r="D224" s="37" t="s">
        <v>205</v>
      </c>
      <c r="E224" s="37" t="s">
        <v>183</v>
      </c>
      <c r="F224" s="103">
        <v>0.04</v>
      </c>
      <c r="G224" s="37">
        <v>24</v>
      </c>
      <c r="H224" s="37">
        <v>10920</v>
      </c>
      <c r="I224" s="123">
        <f t="shared" si="118"/>
        <v>10483.199999999999</v>
      </c>
      <c r="J224" s="38">
        <f t="shared" si="115"/>
        <v>10483.199999999999</v>
      </c>
      <c r="K224" s="38">
        <f>J224/2</f>
        <v>5241.5999999999995</v>
      </c>
      <c r="L224" s="328"/>
      <c r="M224" s="328">
        <v>1310.4000000000001</v>
      </c>
      <c r="N224" s="328">
        <v>1310.4000000000001</v>
      </c>
      <c r="O224" s="328">
        <v>1310.4000000000001</v>
      </c>
      <c r="P224" s="321">
        <v>1310.4000000000001</v>
      </c>
      <c r="Q224" s="321">
        <v>1310.4000000000001</v>
      </c>
      <c r="R224" s="321">
        <f>436.8*3</f>
        <v>1310.4000000000001</v>
      </c>
      <c r="S224" s="321">
        <f>436.8*3</f>
        <v>1310.4000000000001</v>
      </c>
      <c r="T224" s="40">
        <v>1310</v>
      </c>
      <c r="U224" s="298">
        <f>+L224+M224+N224+O224+P224+Q224+R224+S224+T224</f>
        <v>10482.799999999999</v>
      </c>
      <c r="V224" s="131">
        <f>J224-U224</f>
        <v>0.3999999999996362</v>
      </c>
      <c r="W224" s="115"/>
    </row>
    <row r="225" spans="1:238" s="79" customFormat="1">
      <c r="A225" s="36"/>
      <c r="B225" s="77" t="s">
        <v>55</v>
      </c>
      <c r="C225" s="78" t="s">
        <v>206</v>
      </c>
      <c r="E225" s="80"/>
      <c r="F225" s="80"/>
      <c r="G225" s="81"/>
      <c r="H225" s="81"/>
      <c r="I225" s="82">
        <f>SUM(I220:I224)</f>
        <v>99001.919999999998</v>
      </c>
      <c r="J225" s="82">
        <f>SUM(J220:J224)</f>
        <v>99001.919999999998</v>
      </c>
      <c r="K225" s="82">
        <f>SUM(K220:K224)</f>
        <v>49500.959999999999</v>
      </c>
      <c r="L225" s="82">
        <f t="shared" ref="L225" si="119">SUM(L220:L224)</f>
        <v>0</v>
      </c>
      <c r="M225" s="82">
        <f>SUM(M220:M224)</f>
        <v>10158.39</v>
      </c>
      <c r="N225" s="82">
        <f t="shared" ref="N225:P225" si="120">SUM(N220:N224)</f>
        <v>10924.32</v>
      </c>
      <c r="O225" s="82">
        <f t="shared" si="120"/>
        <v>11605.959999999997</v>
      </c>
      <c r="P225" s="82">
        <f t="shared" si="120"/>
        <v>9925.74</v>
      </c>
      <c r="Q225" s="82">
        <f t="shared" ref="Q225:V225" si="121">SUM(Q220:Q224)</f>
        <v>12259.949999999999</v>
      </c>
      <c r="R225" s="82">
        <f t="shared" si="121"/>
        <v>11160.269999999999</v>
      </c>
      <c r="S225" s="82">
        <f t="shared" si="121"/>
        <v>13798.269999999999</v>
      </c>
      <c r="T225" s="82">
        <f t="shared" si="121"/>
        <v>15962</v>
      </c>
      <c r="U225" s="89">
        <f t="shared" si="121"/>
        <v>95794.900000000009</v>
      </c>
      <c r="V225" s="143">
        <f t="shared" si="121"/>
        <v>3207.0200000000023</v>
      </c>
      <c r="W225" s="117">
        <v>30799</v>
      </c>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c r="HC225" s="2"/>
      <c r="HD225" s="2"/>
      <c r="HE225" s="2"/>
      <c r="HF225" s="2"/>
      <c r="HG225" s="2"/>
      <c r="HH225" s="2"/>
      <c r="HI225" s="2"/>
      <c r="HJ225" s="2"/>
      <c r="HK225" s="2"/>
      <c r="HL225" s="2"/>
      <c r="HM225" s="2"/>
      <c r="HN225" s="2"/>
      <c r="HO225" s="2"/>
      <c r="HP225" s="2"/>
      <c r="HQ225" s="2"/>
      <c r="HR225" s="2"/>
      <c r="HS225" s="2"/>
      <c r="HT225" s="2"/>
      <c r="HU225" s="2"/>
      <c r="HV225" s="2"/>
      <c r="HW225" s="2"/>
      <c r="HX225" s="2"/>
      <c r="HY225" s="2"/>
      <c r="HZ225" s="2"/>
      <c r="IA225" s="2"/>
      <c r="IB225" s="2"/>
      <c r="IC225" s="2"/>
      <c r="ID225" s="2"/>
    </row>
    <row r="226" spans="1:238">
      <c r="A226" s="36"/>
      <c r="B226" s="28" t="s">
        <v>55</v>
      </c>
      <c r="C226" s="71" t="s">
        <v>207</v>
      </c>
      <c r="D226" s="72"/>
      <c r="E226" s="73"/>
      <c r="F226" s="72"/>
      <c r="G226" s="72"/>
      <c r="H226" s="73"/>
      <c r="I226" s="73"/>
      <c r="J226" s="73"/>
      <c r="K226" s="73"/>
      <c r="L226" s="327"/>
      <c r="M226" s="327"/>
      <c r="N226" s="327"/>
      <c r="O226" s="327"/>
      <c r="P226" s="327"/>
      <c r="Q226" s="327"/>
      <c r="R226" s="327"/>
      <c r="S226" s="327"/>
      <c r="T226" s="111"/>
      <c r="U226" s="305"/>
      <c r="V226" s="142"/>
      <c r="W226" s="112"/>
    </row>
    <row r="227" spans="1:238">
      <c r="A227" s="36">
        <v>7</v>
      </c>
      <c r="B227" s="2" t="s">
        <v>208</v>
      </c>
      <c r="C227" s="3"/>
      <c r="D227" s="37" t="s">
        <v>209</v>
      </c>
      <c r="E227" s="37" t="s">
        <v>183</v>
      </c>
      <c r="F227" s="103"/>
      <c r="G227" s="37">
        <v>24</v>
      </c>
      <c r="H227" s="37"/>
      <c r="I227" s="369">
        <f>($I$225+$I$208)*0.07</f>
        <v>32710.294400000002</v>
      </c>
      <c r="J227" s="38">
        <f>($I$225+$I$208)*0.07</f>
        <v>32710.294400000002</v>
      </c>
      <c r="K227" s="38">
        <f>J227/2</f>
        <v>16355.147200000001</v>
      </c>
      <c r="L227" s="328"/>
      <c r="M227" s="328">
        <v>1191.24</v>
      </c>
      <c r="N227" s="328">
        <v>714.36</v>
      </c>
      <c r="O227" s="328">
        <v>6391.65</v>
      </c>
      <c r="P227" s="328">
        <v>1252.0032146010199</v>
      </c>
      <c r="Q227" s="328">
        <f>479.82+53.31+59.23+3.03+105.13+3.07+370.06+1678.04+59.01+319.16+48.68+221.27+59.23+354.92+64.34+1167</f>
        <v>5045.3</v>
      </c>
      <c r="R227" s="328">
        <f>510.97+5.92+59.13+503.08+389+345.75+792.35+489.81+122.45+288.13+52.08+24.49+36.02+57.63+265.01+50.08+323.82+2.98+2.98+2.98+102.92+74.98+5.96+430.09+260.46+778</f>
        <v>5977.0699999999979</v>
      </c>
      <c r="S227" s="328">
        <f>7965.808962463+1167</f>
        <v>9132.8089624630011</v>
      </c>
      <c r="T227" s="114">
        <v>3697</v>
      </c>
      <c r="U227" s="298">
        <f>+L227+M227+N227+O227+P227+Q227+R227+S227+T227</f>
        <v>33401.432177064016</v>
      </c>
      <c r="V227" s="131">
        <f>J227-U227</f>
        <v>-691.13777706401379</v>
      </c>
      <c r="W227" s="115"/>
    </row>
    <row r="228" spans="1:238">
      <c r="A228" s="36"/>
      <c r="B228" s="28"/>
      <c r="C228" s="3"/>
      <c r="D228" s="4"/>
      <c r="E228" s="4"/>
      <c r="F228" s="105"/>
      <c r="G228" s="105"/>
      <c r="H228" s="105"/>
      <c r="I228" s="105"/>
      <c r="J228" s="38"/>
      <c r="K228" s="38"/>
      <c r="L228" s="328"/>
      <c r="M228" s="328"/>
      <c r="N228" s="328"/>
      <c r="O228" s="328"/>
      <c r="P228" s="328"/>
      <c r="Q228" s="328"/>
      <c r="R228" s="328"/>
      <c r="S228" s="328"/>
      <c r="T228" s="114"/>
      <c r="U228" s="308" t="s">
        <v>210</v>
      </c>
      <c r="V228" s="131"/>
      <c r="W228" s="115"/>
    </row>
    <row r="229" spans="1:238" s="79" customFormat="1">
      <c r="A229" s="98"/>
      <c r="B229" s="77" t="s">
        <v>55</v>
      </c>
      <c r="C229" s="78" t="s">
        <v>211</v>
      </c>
      <c r="E229" s="80"/>
      <c r="F229" s="80"/>
      <c r="G229" s="81"/>
      <c r="H229" s="81"/>
      <c r="I229" s="82">
        <f>J227</f>
        <v>32710.294400000002</v>
      </c>
      <c r="J229" s="82">
        <f>SUM(J227:J228)</f>
        <v>32710.294400000002</v>
      </c>
      <c r="K229" s="82">
        <f>SUM(K227:K228)</f>
        <v>16355.147200000001</v>
      </c>
      <c r="L229" s="82">
        <f t="shared" ref="L229:O229" si="122">SUM(L227:L228)</f>
        <v>0</v>
      </c>
      <c r="M229" s="82">
        <f t="shared" si="122"/>
        <v>1191.24</v>
      </c>
      <c r="N229" s="82">
        <f t="shared" si="122"/>
        <v>714.36</v>
      </c>
      <c r="O229" s="82">
        <f t="shared" si="122"/>
        <v>6391.65</v>
      </c>
      <c r="P229" s="82">
        <f t="shared" ref="P229:V229" si="123">SUM(P227:P228)</f>
        <v>1252.0032146010199</v>
      </c>
      <c r="Q229" s="82">
        <f t="shared" si="123"/>
        <v>5045.3</v>
      </c>
      <c r="R229" s="82">
        <f t="shared" si="123"/>
        <v>5977.0699999999979</v>
      </c>
      <c r="S229" s="82">
        <f t="shared" si="123"/>
        <v>9132.8089624630011</v>
      </c>
      <c r="T229" s="82">
        <f t="shared" si="123"/>
        <v>3697</v>
      </c>
      <c r="U229" s="89">
        <f t="shared" si="123"/>
        <v>33401.432177064016</v>
      </c>
      <c r="V229" s="143">
        <f t="shared" si="123"/>
        <v>-691.13777706401379</v>
      </c>
      <c r="W229" s="117"/>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c r="GS229" s="2"/>
      <c r="GT229" s="2"/>
      <c r="GU229" s="2"/>
      <c r="GV229" s="2"/>
      <c r="GW229" s="2"/>
      <c r="GX229" s="2"/>
      <c r="GY229" s="2"/>
      <c r="GZ229" s="2"/>
      <c r="HA229" s="2"/>
      <c r="HB229" s="2"/>
      <c r="HC229" s="2"/>
      <c r="HD229" s="2"/>
      <c r="HE229" s="2"/>
      <c r="HF229" s="2"/>
      <c r="HG229" s="2"/>
      <c r="HH229" s="2"/>
      <c r="HI229" s="2"/>
      <c r="HJ229" s="2"/>
      <c r="HK229" s="2"/>
      <c r="HL229" s="2"/>
      <c r="HM229" s="2"/>
      <c r="HN229" s="2"/>
      <c r="HO229" s="2"/>
      <c r="HP229" s="2"/>
      <c r="HQ229" s="2"/>
      <c r="HR229" s="2"/>
      <c r="HS229" s="2"/>
      <c r="HT229" s="2"/>
      <c r="HU229" s="2"/>
      <c r="HV229" s="2"/>
      <c r="HW229" s="2"/>
      <c r="HX229" s="2"/>
      <c r="HY229" s="2"/>
      <c r="HZ229" s="2"/>
      <c r="IA229" s="2"/>
      <c r="IB229" s="2"/>
      <c r="IC229" s="2"/>
      <c r="ID229" s="2"/>
    </row>
    <row r="230" spans="1:238">
      <c r="B230" s="28" t="s">
        <v>55</v>
      </c>
      <c r="C230" s="71" t="s">
        <v>212</v>
      </c>
      <c r="D230" s="72"/>
      <c r="E230" s="73"/>
      <c r="F230" s="72"/>
      <c r="G230" s="72"/>
      <c r="H230" s="73"/>
      <c r="I230" s="124">
        <f>SUM(+I229+I225)</f>
        <v>131712.2144</v>
      </c>
      <c r="J230" s="124">
        <f>SUM(+J229+J225)</f>
        <v>131712.2144</v>
      </c>
      <c r="K230" s="124">
        <f>SUM(+K229+K225)</f>
        <v>65856.107199999999</v>
      </c>
      <c r="L230" s="327"/>
      <c r="M230" s="327"/>
      <c r="N230" s="327"/>
      <c r="O230" s="327"/>
      <c r="P230" s="327"/>
      <c r="Q230" s="327"/>
      <c r="R230" s="327"/>
      <c r="S230" s="327"/>
      <c r="T230" s="111"/>
      <c r="U230" s="305"/>
      <c r="V230" s="142">
        <f>K230-L230</f>
        <v>65856.107199999999</v>
      </c>
      <c r="W230" s="112"/>
    </row>
    <row r="231" spans="1:238" ht="16.149999999999999" thickBot="1">
      <c r="B231" s="28" t="s">
        <v>55</v>
      </c>
      <c r="C231" s="125" t="s">
        <v>213</v>
      </c>
      <c r="D231" s="126"/>
      <c r="E231" s="126"/>
      <c r="F231" s="126"/>
      <c r="G231" s="126"/>
      <c r="H231" s="126"/>
      <c r="I231" s="127">
        <f>I208+I225+I229</f>
        <v>500000.2144</v>
      </c>
      <c r="J231" s="127">
        <f>J208+J225+J229</f>
        <v>500000.2144</v>
      </c>
      <c r="K231" s="127">
        <f>SUM(K230,K208)</f>
        <v>199257.1072</v>
      </c>
      <c r="L231" s="309">
        <f>L229+L225+L70+L139+L191</f>
        <v>0</v>
      </c>
      <c r="M231" s="309">
        <f>M229+M225+M70+M139+M191</f>
        <v>21275.57</v>
      </c>
      <c r="N231" s="309">
        <f>N229+N225+N70+N139+N191</f>
        <v>27460.809999999998</v>
      </c>
      <c r="O231" s="309">
        <f>O229+O225+O70+O139+O191+O206</f>
        <v>81294.977889748319</v>
      </c>
      <c r="P231" s="309">
        <f>P229+P225+P70+P139+P191+P206</f>
        <v>67925.705247397651</v>
      </c>
      <c r="Q231" s="309">
        <f>Q229+Q225+Q70+Q139+Q191+Q206</f>
        <v>44342.266857600516</v>
      </c>
      <c r="R231" s="309">
        <f>R229+R225+R70+R139+R191+R206</f>
        <v>102506.99169077202</v>
      </c>
      <c r="S231" s="309">
        <f>S229+S225+S70+S139+S191+S206</f>
        <v>66195.439999999988</v>
      </c>
      <c r="T231" s="309">
        <f>T229+T225+T70+T139+T191+T206+T218</f>
        <v>89698.477738912115</v>
      </c>
      <c r="U231" s="370">
        <f>U229+U225+U70+U139+U191+U206+U218</f>
        <v>500000.23942443059</v>
      </c>
      <c r="V231" s="146">
        <f>J231-U231</f>
        <v>-2.5024430593475699E-2</v>
      </c>
      <c r="W231" s="128">
        <f>SUM(W30,W42,W50,W68,W89,W138,W125,W153,W109,W190,W167,W218,W225)</f>
        <v>219964.95542766628</v>
      </c>
      <c r="X231" s="130" t="s">
        <v>214</v>
      </c>
    </row>
    <row r="232" spans="1:238">
      <c r="Q232" s="331"/>
      <c r="R232" s="331"/>
      <c r="S232" s="331"/>
      <c r="T232" s="157"/>
    </row>
    <row r="233" spans="1:238">
      <c r="J233" s="185"/>
      <c r="K233" s="310" t="s">
        <v>215</v>
      </c>
      <c r="L233" s="315"/>
      <c r="M233" s="315"/>
      <c r="N233" s="315"/>
      <c r="O233" s="315"/>
      <c r="P233" s="316">
        <f>P220+P221+P222+P223+P224</f>
        <v>9925.74</v>
      </c>
      <c r="Q233" s="316">
        <f>Q220+Q221+Q222+Q223+Q224</f>
        <v>12259.949999999999</v>
      </c>
      <c r="R233" s="316">
        <f>R220+R221+R222+R223+R224</f>
        <v>11160.269999999999</v>
      </c>
      <c r="S233" s="316">
        <f>S220+S221+S222+S223+S224</f>
        <v>13798.269999999999</v>
      </c>
      <c r="T233" s="310">
        <f>T220+T221+T222+T223+T224</f>
        <v>15962</v>
      </c>
      <c r="U233" s="312"/>
      <c r="V233" s="312"/>
    </row>
    <row r="234" spans="1:238">
      <c r="G234" s="130"/>
      <c r="J234" s="185"/>
      <c r="K234" s="312" t="s">
        <v>216</v>
      </c>
      <c r="L234" s="313"/>
      <c r="M234" s="313"/>
      <c r="N234" s="313"/>
      <c r="O234" s="315"/>
      <c r="P234" s="332">
        <f>P74+P77+P78+P79+P112+P113+P119+P121+P127+P128+P129</f>
        <v>8220.9024139136236</v>
      </c>
      <c r="Q234" s="332">
        <f>Q74+Q77+Q78+Q79+Q112+Q113+Q119+Q121+Q127+Q128+Q129</f>
        <v>1979.9870791630096</v>
      </c>
      <c r="R234" s="332">
        <f>R74+R77+R78+R79+R112+R113+R119+R121+R127+R128+R129+R91+R92+R97+R98+R142+R143+R148</f>
        <v>10911.313925237513</v>
      </c>
      <c r="S234" s="332">
        <f>S74+S77+S78+S79+S112+S113+S119+S121+S127+S128+S129+S91+S92+S97+S98+S142+S143+S169+S170+S177+S179+S180</f>
        <v>8856.8005806874589</v>
      </c>
      <c r="T234" s="314">
        <f>T74+T77+T78+T79+T112+T113+T119+T121+T127+T128+T129+T91+T92+T97+T98+T142+T143+T169+T170+T177+T179+T180+T155+T156+T160+T211+T212+T213+T217+T46+T38</f>
        <v>13417.595227321361</v>
      </c>
      <c r="U234" s="310"/>
      <c r="V234" s="310"/>
    </row>
    <row r="235" spans="1:238">
      <c r="J235" s="185"/>
      <c r="K235" s="310" t="s">
        <v>217</v>
      </c>
      <c r="L235" s="315"/>
      <c r="M235" s="315"/>
      <c r="N235" s="315"/>
      <c r="O235" s="315"/>
      <c r="P235" s="332">
        <f>P82+P115+P132</f>
        <v>2361.9</v>
      </c>
      <c r="Q235" s="332">
        <f>Q82+Q115+Q132</f>
        <v>967.90000000000009</v>
      </c>
      <c r="R235" s="332">
        <f>R82+R115+R132+R100+R95+R94+R146</f>
        <v>7984.1900000000005</v>
      </c>
      <c r="S235" s="332">
        <f>S82+S115+S132+S100+S95+S94+S146</f>
        <v>1170.74</v>
      </c>
      <c r="T235" s="314">
        <f>T82+T115+T132+T100+T95+T94+T146+T216</f>
        <v>2589.3599999999997</v>
      </c>
      <c r="U235" s="310"/>
      <c r="V235" s="310"/>
    </row>
    <row r="236" spans="1:238">
      <c r="H236" s="28"/>
      <c r="J236" s="185"/>
      <c r="K236" s="310" t="s">
        <v>218</v>
      </c>
      <c r="L236" s="315"/>
      <c r="M236" s="315"/>
      <c r="N236" s="315"/>
      <c r="O236" s="315"/>
      <c r="P236" s="332">
        <f>P59+P86+P87+P111+P118+P120+P122+P123+P205</f>
        <v>7010.641559850078</v>
      </c>
      <c r="Q236" s="332">
        <f>Q59+Q86+Q87+Q111+Q118+Q120+Q122+Q123+Q205+Q136+Q66+Q27+Q135</f>
        <v>4323.1125426891304</v>
      </c>
      <c r="R236" s="332">
        <f>R59+R86+R87+R111+R118+R120+R122+R123+R205+R136+R66+R27+R135+R107+R106+R103+R102+R101+R67+R108</f>
        <v>7222.9362622452109</v>
      </c>
      <c r="S236" s="332">
        <f>S59+S86+S87+S111+S118+S120+S122+S123+S205+S136+S66+S27+S135+S107+S106+S103+S102+S101+S67+S108++S137+S148+S150+S151+S152+S164+S165+S166+S178+S187+S188+S189</f>
        <v>10856.216747272958</v>
      </c>
      <c r="T236" s="314">
        <f>T59+T86+T87+T111+T118+T120+T122+T123+T205+T136+T66+T27+T135+T107+T106+T103+T102+T101+T67+T108+T137+T148+T150+T151+T152+T164+T165+T166+T178+T187+T188+T189+T163+T88+T49+T41+T29+T124</f>
        <v>26073.24</v>
      </c>
      <c r="U236" s="310"/>
      <c r="V236" s="310"/>
    </row>
    <row r="237" spans="1:238">
      <c r="H237" s="28"/>
      <c r="J237" s="185"/>
      <c r="K237" s="310" t="s">
        <v>36</v>
      </c>
      <c r="L237" s="315"/>
      <c r="M237" s="315"/>
      <c r="N237" s="315"/>
      <c r="O237" s="315"/>
      <c r="P237" s="332">
        <f>P44+P80+P81+P83+P114+P116+P117+P130+P131+P133</f>
        <v>5554.5180590329364</v>
      </c>
      <c r="Q237" s="332">
        <f>Q44+Q80+Q81+Q83+Q114+Q116+Q117+Q130+Q131+Q133+Q45</f>
        <v>2203.0172357483716</v>
      </c>
      <c r="R237" s="332">
        <f>R44+R80+R81+R83+R114+R116+R117+R130+R131+R133+R45+R93+R96+R99+R46+R144+R147+R145</f>
        <v>14088.090329569291</v>
      </c>
      <c r="S237" s="332">
        <f>S44+S80+S81+S83+S114+S116+S117+S130+S131+S133+S45+S93+S96+S99+S46+S144+S147+S145+S171+S172+S173+S174+S175+S176+S181+S182+S183+S184+S185</f>
        <v>20679.563279858092</v>
      </c>
      <c r="T237" s="314">
        <f>T44+T80+T81+T83+T114+T116+T117+T130+T131+T133+T45+T93+T96+T99+T144+T147+T145+T171+T172+T173+T174+T175+T176+T181+T182+T183+T184+T185+T214+T215+T157+T158+T161+T162+T25+T24+T159</f>
        <v>14099.282511590751</v>
      </c>
      <c r="U237" s="310"/>
      <c r="V237" s="310"/>
    </row>
    <row r="238" spans="1:238">
      <c r="H238" s="28"/>
      <c r="J238" s="185"/>
      <c r="K238" s="310" t="s">
        <v>219</v>
      </c>
      <c r="L238" s="315"/>
      <c r="M238" s="315"/>
      <c r="N238" s="315"/>
      <c r="O238" s="315"/>
      <c r="P238" s="332">
        <f>P134</f>
        <v>33600</v>
      </c>
      <c r="Q238" s="332">
        <f>Q84+Q85</f>
        <v>17563</v>
      </c>
      <c r="R238" s="332">
        <f>R104+R149</f>
        <v>45163.121173719999</v>
      </c>
      <c r="S238" s="332">
        <f>S105</f>
        <v>1701.0404297184796</v>
      </c>
      <c r="T238" s="314">
        <f>T105+T104+T64</f>
        <v>13860</v>
      </c>
      <c r="U238" s="316"/>
      <c r="V238" s="316"/>
      <c r="W238" s="130"/>
    </row>
    <row r="239" spans="1:238">
      <c r="J239" s="185"/>
      <c r="K239" s="310" t="s">
        <v>220</v>
      </c>
      <c r="L239" s="315"/>
      <c r="M239" s="315"/>
      <c r="N239" s="315"/>
      <c r="O239" s="315"/>
      <c r="P239" s="333">
        <f>P227</f>
        <v>1252.0032146010199</v>
      </c>
      <c r="Q239" s="333">
        <f>Q227</f>
        <v>5045.3</v>
      </c>
      <c r="R239" s="333">
        <f>R227</f>
        <v>5977.0699999999979</v>
      </c>
      <c r="S239" s="333">
        <f>S227</f>
        <v>9132.8089624630011</v>
      </c>
      <c r="T239" s="317">
        <f>T227</f>
        <v>3697</v>
      </c>
      <c r="U239" s="310"/>
      <c r="V239" s="310"/>
    </row>
    <row r="240" spans="1:238">
      <c r="J240" s="185"/>
      <c r="K240" s="310"/>
      <c r="L240" s="315"/>
      <c r="M240" s="315"/>
      <c r="N240" s="315"/>
      <c r="O240" s="315"/>
      <c r="P240" s="332">
        <f>SUM(P233:P239)</f>
        <v>67925.705247397651</v>
      </c>
      <c r="Q240" s="332">
        <f>SUM(Q233:Q239)</f>
        <v>44342.266857600509</v>
      </c>
      <c r="R240" s="332">
        <f>SUM(R233:R239)</f>
        <v>102506.991690772</v>
      </c>
      <c r="S240" s="332">
        <f>SUM(S233:S239)</f>
        <v>66195.439999999988</v>
      </c>
      <c r="T240" s="314">
        <f>SUM(T233:T239)</f>
        <v>89698.477738912115</v>
      </c>
      <c r="U240" s="310"/>
      <c r="V240" s="310"/>
    </row>
    <row r="241" spans="8:27">
      <c r="H241" s="28"/>
      <c r="J241" s="185"/>
      <c r="K241" s="316" t="s">
        <v>221</v>
      </c>
      <c r="L241" s="315"/>
      <c r="M241" s="315"/>
      <c r="N241" s="315"/>
      <c r="O241" s="315"/>
      <c r="P241" s="332">
        <f>P231</f>
        <v>67925.705247397651</v>
      </c>
      <c r="Q241" s="332">
        <f>Q231</f>
        <v>44342.266857600516</v>
      </c>
      <c r="R241" s="332">
        <f>R231</f>
        <v>102506.99169077202</v>
      </c>
      <c r="S241" s="332">
        <f>S231</f>
        <v>66195.439999999988</v>
      </c>
      <c r="T241" s="314">
        <f>T231</f>
        <v>89698.477738912115</v>
      </c>
      <c r="U241" s="310"/>
      <c r="V241" s="310"/>
      <c r="AA241" s="28"/>
    </row>
    <row r="242" spans="8:27" ht="14.65" thickBot="1">
      <c r="H242" s="28"/>
      <c r="J242" s="185"/>
      <c r="K242" s="316" t="s">
        <v>222</v>
      </c>
      <c r="L242" s="315"/>
      <c r="M242" s="315"/>
      <c r="N242" s="315"/>
      <c r="O242" s="315"/>
      <c r="P242" s="318">
        <f>P240-P241</f>
        <v>0</v>
      </c>
      <c r="Q242" s="318">
        <f>Q240-Q241</f>
        <v>0</v>
      </c>
      <c r="R242" s="318">
        <f>R240-R241</f>
        <v>0</v>
      </c>
      <c r="S242" s="318">
        <f>S240-S241</f>
        <v>0</v>
      </c>
      <c r="T242" s="318">
        <f>T240-T241</f>
        <v>0</v>
      </c>
      <c r="U242" s="310" t="s">
        <v>223</v>
      </c>
      <c r="V242" s="310"/>
    </row>
    <row r="243" spans="8:27" ht="14.65" thickTop="1">
      <c r="H243" s="28"/>
      <c r="J243" s="187"/>
      <c r="K243" s="310"/>
      <c r="L243" s="315"/>
      <c r="M243" s="315"/>
      <c r="N243" s="315"/>
      <c r="O243" s="315"/>
      <c r="P243" s="315"/>
      <c r="Q243" s="315"/>
      <c r="R243" s="315"/>
      <c r="S243" s="315"/>
      <c r="T243" s="311"/>
      <c r="U243" s="310"/>
      <c r="V243" s="310"/>
    </row>
    <row r="244" spans="8:27">
      <c r="K244" s="319"/>
      <c r="L244" s="334"/>
      <c r="M244" s="334"/>
      <c r="N244" s="334"/>
      <c r="O244" s="334"/>
      <c r="P244" s="334"/>
      <c r="Q244" s="334"/>
      <c r="R244" s="334"/>
      <c r="S244" s="315"/>
      <c r="T244" s="311"/>
      <c r="U244" s="319"/>
      <c r="V244" s="319"/>
    </row>
    <row r="245" spans="8:27">
      <c r="S245" s="335"/>
      <c r="T245" s="186"/>
    </row>
    <row r="246" spans="8:27">
      <c r="S246" s="335"/>
      <c r="T246" s="186"/>
    </row>
    <row r="247" spans="8:27">
      <c r="S247" s="335"/>
      <c r="T247" s="186"/>
    </row>
    <row r="248" spans="8:27">
      <c r="S248" s="335"/>
      <c r="T248" s="186"/>
    </row>
    <row r="249" spans="8:27">
      <c r="S249" s="335"/>
      <c r="T249" s="186"/>
    </row>
    <row r="250" spans="8:27">
      <c r="S250" s="335"/>
      <c r="T250" s="186"/>
    </row>
  </sheetData>
  <mergeCells count="11">
    <mergeCell ref="D126:J126"/>
    <mergeCell ref="C140:J140"/>
    <mergeCell ref="D141:J141"/>
    <mergeCell ref="D154:J154"/>
    <mergeCell ref="D168:J168"/>
    <mergeCell ref="D110:J110"/>
    <mergeCell ref="C10:J10"/>
    <mergeCell ref="C72:J72"/>
    <mergeCell ref="D73:J73"/>
    <mergeCell ref="D76:J76"/>
    <mergeCell ref="D90:J90"/>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16"/>
  <sheetViews>
    <sheetView tabSelected="1" topLeftCell="D191" workbookViewId="0">
      <selection activeCell="F210" sqref="F210"/>
    </sheetView>
  </sheetViews>
  <sheetFormatPr defaultColWidth="8.86328125" defaultRowHeight="10.5"/>
  <cols>
    <col min="1" max="1" width="8.86328125" style="191"/>
    <col min="2" max="2" width="19.1328125" style="191" customWidth="1"/>
    <col min="3" max="3" width="52.6640625" style="191" bestFit="1" customWidth="1"/>
    <col min="4" max="4" width="14.86328125" style="191" customWidth="1"/>
    <col min="5" max="6" width="20.53125" style="191" customWidth="1"/>
    <col min="7" max="7" width="9.1328125" style="191" customWidth="1"/>
    <col min="8" max="8" width="28.33203125" style="191" bestFit="1" customWidth="1"/>
    <col min="9" max="9" width="31.33203125" style="191" customWidth="1"/>
    <col min="10" max="10" width="52.86328125" style="191" customWidth="1"/>
    <col min="11" max="11" width="51.53125" style="191" customWidth="1"/>
    <col min="12" max="16384" width="8.86328125" style="191"/>
  </cols>
  <sheetData>
    <row r="1" spans="1:12">
      <c r="A1" s="188"/>
      <c r="B1" s="395" t="s">
        <v>224</v>
      </c>
      <c r="C1" s="395"/>
      <c r="D1" s="395"/>
      <c r="E1" s="395"/>
      <c r="F1" s="189"/>
      <c r="G1" s="189"/>
      <c r="H1" s="188"/>
      <c r="I1" s="190"/>
      <c r="J1" s="190"/>
      <c r="K1" s="188"/>
      <c r="L1" s="188"/>
    </row>
    <row r="2" spans="1:12">
      <c r="A2" s="188"/>
      <c r="B2" s="192" t="s">
        <v>225</v>
      </c>
      <c r="C2" s="188"/>
      <c r="D2" s="188"/>
      <c r="E2" s="188"/>
      <c r="F2" s="188"/>
      <c r="G2" s="188"/>
      <c r="H2" s="188"/>
      <c r="I2" s="190"/>
      <c r="J2" s="190"/>
      <c r="K2" s="188"/>
      <c r="L2" s="188"/>
    </row>
    <row r="3" spans="1:12">
      <c r="A3" s="188"/>
      <c r="B3" s="396" t="s">
        <v>226</v>
      </c>
      <c r="C3" s="396"/>
      <c r="D3" s="396"/>
      <c r="E3" s="396"/>
      <c r="F3" s="188"/>
      <c r="G3" s="188"/>
      <c r="H3" s="188"/>
      <c r="I3" s="190"/>
      <c r="J3" s="190"/>
      <c r="K3" s="188"/>
      <c r="L3" s="188"/>
    </row>
    <row r="4" spans="1:12">
      <c r="A4" s="188"/>
      <c r="B4" s="193"/>
      <c r="C4" s="193"/>
      <c r="D4" s="193"/>
      <c r="E4" s="193"/>
      <c r="F4" s="188"/>
      <c r="G4" s="188"/>
      <c r="H4" s="188"/>
      <c r="I4" s="190"/>
      <c r="J4" s="190"/>
      <c r="K4" s="188"/>
      <c r="L4" s="188"/>
    </row>
    <row r="5" spans="1:12" ht="31.5">
      <c r="A5" s="188"/>
      <c r="B5" s="194" t="s">
        <v>227</v>
      </c>
      <c r="C5" s="194" t="s">
        <v>228</v>
      </c>
      <c r="D5" s="195" t="s">
        <v>229</v>
      </c>
      <c r="E5" s="194" t="s">
        <v>230</v>
      </c>
      <c r="F5" s="194" t="s">
        <v>231</v>
      </c>
      <c r="G5" s="194" t="s">
        <v>232</v>
      </c>
      <c r="H5" s="194" t="s">
        <v>233</v>
      </c>
      <c r="I5" s="196" t="s">
        <v>234</v>
      </c>
      <c r="J5" s="194" t="s">
        <v>235</v>
      </c>
      <c r="K5" s="194" t="s">
        <v>236</v>
      </c>
      <c r="L5" s="197"/>
    </row>
    <row r="6" spans="1:12">
      <c r="A6" s="188"/>
      <c r="B6" s="198" t="s">
        <v>237</v>
      </c>
      <c r="C6" s="397" t="s">
        <v>238</v>
      </c>
      <c r="D6" s="397"/>
      <c r="E6" s="397"/>
      <c r="F6" s="397"/>
      <c r="G6" s="397"/>
      <c r="H6" s="397"/>
      <c r="I6" s="394"/>
      <c r="J6" s="394"/>
      <c r="K6" s="397"/>
      <c r="L6" s="199"/>
    </row>
    <row r="7" spans="1:12">
      <c r="A7" s="188"/>
      <c r="B7" s="198" t="s">
        <v>239</v>
      </c>
      <c r="C7" s="398" t="s">
        <v>240</v>
      </c>
      <c r="D7" s="398"/>
      <c r="E7" s="398"/>
      <c r="F7" s="398"/>
      <c r="G7" s="398"/>
      <c r="H7" s="398"/>
      <c r="I7" s="381"/>
      <c r="J7" s="381"/>
      <c r="K7" s="398"/>
      <c r="L7" s="200"/>
    </row>
    <row r="8" spans="1:12" ht="31.5">
      <c r="A8" s="188"/>
      <c r="B8" s="201" t="s">
        <v>241</v>
      </c>
      <c r="C8" s="202" t="s">
        <v>27</v>
      </c>
      <c r="D8" s="203">
        <f>'UNPBF_FC-3007 Final Report'!J30</f>
        <v>13180</v>
      </c>
      <c r="E8" s="203"/>
      <c r="F8" s="203"/>
      <c r="G8" s="204">
        <f>D8</f>
        <v>13180</v>
      </c>
      <c r="H8" s="205">
        <v>0.55000000000000004</v>
      </c>
      <c r="I8" s="203">
        <f>'UNPBF_FC-3007 Final Report'!U30</f>
        <v>16021.839999999998</v>
      </c>
      <c r="J8" s="206" t="s">
        <v>242</v>
      </c>
      <c r="K8" s="207" t="s">
        <v>243</v>
      </c>
      <c r="L8" s="208"/>
    </row>
    <row r="9" spans="1:12" ht="21">
      <c r="A9" s="188"/>
      <c r="B9" s="201" t="s">
        <v>244</v>
      </c>
      <c r="C9" s="202" t="s">
        <v>69</v>
      </c>
      <c r="D9" s="203">
        <f>'UNPBF_FC-3007 Final Report'!J50</f>
        <v>5850</v>
      </c>
      <c r="E9" s="203"/>
      <c r="F9" s="203"/>
      <c r="G9" s="204">
        <f t="shared" ref="G9:G15" si="0">D9</f>
        <v>5850</v>
      </c>
      <c r="H9" s="205">
        <v>0.65</v>
      </c>
      <c r="I9" s="203">
        <f>'UNPBF_FC-3007 Final Report'!U50</f>
        <v>4562.7215238151302</v>
      </c>
      <c r="J9" s="206" t="s">
        <v>245</v>
      </c>
      <c r="K9" s="209" t="s">
        <v>246</v>
      </c>
      <c r="L9" s="208"/>
    </row>
    <row r="10" spans="1:12">
      <c r="A10" s="188"/>
      <c r="B10" s="201" t="s">
        <v>247</v>
      </c>
      <c r="C10" s="202"/>
      <c r="D10" s="203"/>
      <c r="E10" s="203"/>
      <c r="F10" s="203"/>
      <c r="G10" s="204">
        <f t="shared" si="0"/>
        <v>0</v>
      </c>
      <c r="H10" s="205"/>
      <c r="I10" s="203"/>
      <c r="J10" s="206"/>
      <c r="K10" s="209"/>
      <c r="L10" s="208"/>
    </row>
    <row r="11" spans="1:12">
      <c r="A11" s="188"/>
      <c r="B11" s="201" t="s">
        <v>248</v>
      </c>
      <c r="C11" s="202"/>
      <c r="D11" s="203"/>
      <c r="E11" s="203"/>
      <c r="F11" s="203"/>
      <c r="G11" s="204">
        <f t="shared" si="0"/>
        <v>0</v>
      </c>
      <c r="H11" s="205"/>
      <c r="I11" s="203"/>
      <c r="J11" s="206"/>
      <c r="K11" s="209"/>
      <c r="L11" s="208"/>
    </row>
    <row r="12" spans="1:12">
      <c r="A12" s="188"/>
      <c r="B12" s="201" t="s">
        <v>249</v>
      </c>
      <c r="C12" s="202"/>
      <c r="D12" s="203"/>
      <c r="E12" s="203"/>
      <c r="F12" s="203"/>
      <c r="G12" s="204">
        <f t="shared" si="0"/>
        <v>0</v>
      </c>
      <c r="H12" s="205"/>
      <c r="I12" s="203"/>
      <c r="J12" s="206"/>
      <c r="K12" s="209"/>
      <c r="L12" s="208"/>
    </row>
    <row r="13" spans="1:12">
      <c r="A13" s="188"/>
      <c r="B13" s="201" t="s">
        <v>250</v>
      </c>
      <c r="C13" s="202"/>
      <c r="D13" s="203"/>
      <c r="E13" s="203"/>
      <c r="F13" s="203"/>
      <c r="G13" s="204">
        <f t="shared" si="0"/>
        <v>0</v>
      </c>
      <c r="H13" s="205"/>
      <c r="I13" s="203"/>
      <c r="J13" s="206"/>
      <c r="K13" s="209"/>
      <c r="L13" s="208"/>
    </row>
    <row r="14" spans="1:12">
      <c r="A14" s="188"/>
      <c r="B14" s="201" t="s">
        <v>251</v>
      </c>
      <c r="C14" s="210"/>
      <c r="D14" s="206"/>
      <c r="E14" s="206"/>
      <c r="F14" s="206"/>
      <c r="G14" s="204">
        <f t="shared" si="0"/>
        <v>0</v>
      </c>
      <c r="H14" s="211"/>
      <c r="I14" s="206"/>
      <c r="J14" s="206"/>
      <c r="K14" s="212"/>
      <c r="L14" s="208"/>
    </row>
    <row r="15" spans="1:12">
      <c r="A15" s="213"/>
      <c r="B15" s="201" t="s">
        <v>252</v>
      </c>
      <c r="C15" s="210"/>
      <c r="D15" s="206"/>
      <c r="E15" s="206"/>
      <c r="F15" s="206"/>
      <c r="G15" s="204">
        <f t="shared" si="0"/>
        <v>0</v>
      </c>
      <c r="H15" s="211"/>
      <c r="I15" s="206"/>
      <c r="J15" s="206"/>
      <c r="K15" s="212"/>
      <c r="L15" s="188"/>
    </row>
    <row r="16" spans="1:12">
      <c r="A16" s="213"/>
      <c r="B16" s="188"/>
      <c r="C16" s="198" t="s">
        <v>253</v>
      </c>
      <c r="D16" s="214">
        <f>SUM(D8:D15)</f>
        <v>19030</v>
      </c>
      <c r="E16" s="214">
        <f>SUM(E8:E15)</f>
        <v>0</v>
      </c>
      <c r="F16" s="214">
        <f>SUM(F8:F15)</f>
        <v>0</v>
      </c>
      <c r="G16" s="214">
        <f>SUM(G8:G15)</f>
        <v>19030</v>
      </c>
      <c r="H16" s="214">
        <f>(H8*G8)+(H9*G9)+(H10*G10)+(H11*G11)+(H12*G12)+(H13*G13)+(H14*G14)+(H15*G15)</f>
        <v>11051.5</v>
      </c>
      <c r="I16" s="214">
        <f>SUM(I8:I15)</f>
        <v>20584.561523815129</v>
      </c>
      <c r="J16" s="215"/>
      <c r="K16" s="212"/>
      <c r="L16" s="216"/>
    </row>
    <row r="17" spans="1:12">
      <c r="A17" s="213"/>
      <c r="B17" s="198" t="s">
        <v>254</v>
      </c>
      <c r="C17" s="380" t="s">
        <v>255</v>
      </c>
      <c r="D17" s="380"/>
      <c r="E17" s="380"/>
      <c r="F17" s="380"/>
      <c r="G17" s="380"/>
      <c r="H17" s="380"/>
      <c r="I17" s="381"/>
      <c r="J17" s="381"/>
      <c r="K17" s="380"/>
      <c r="L17" s="200"/>
    </row>
    <row r="18" spans="1:12" ht="31.5">
      <c r="A18" s="213"/>
      <c r="B18" s="201" t="s">
        <v>256</v>
      </c>
      <c r="C18" s="202" t="s">
        <v>58</v>
      </c>
      <c r="D18" s="203">
        <f>'UNPBF_FC-3007 Final Report'!J42</f>
        <v>9942</v>
      </c>
      <c r="E18" s="203"/>
      <c r="F18" s="203"/>
      <c r="G18" s="204">
        <f>D18</f>
        <v>9942</v>
      </c>
      <c r="H18" s="205">
        <v>0.65</v>
      </c>
      <c r="I18" s="203">
        <f>'UNPBF_FC-3007 Final Report'!U42</f>
        <v>11772.89</v>
      </c>
      <c r="J18" s="206" t="s">
        <v>257</v>
      </c>
      <c r="K18" s="207" t="s">
        <v>258</v>
      </c>
      <c r="L18" s="208"/>
    </row>
    <row r="19" spans="1:12">
      <c r="A19" s="213"/>
      <c r="B19" s="201" t="s">
        <v>259</v>
      </c>
      <c r="C19" s="202"/>
      <c r="D19" s="203"/>
      <c r="E19" s="203"/>
      <c r="F19" s="203"/>
      <c r="G19" s="204">
        <f t="shared" ref="G19:G25" si="1">D19</f>
        <v>0</v>
      </c>
      <c r="H19" s="205"/>
      <c r="I19" s="203"/>
      <c r="J19" s="203"/>
      <c r="K19" s="209"/>
      <c r="L19" s="208"/>
    </row>
    <row r="20" spans="1:12">
      <c r="A20" s="213"/>
      <c r="B20" s="201" t="s">
        <v>260</v>
      </c>
      <c r="C20" s="202"/>
      <c r="D20" s="203"/>
      <c r="E20" s="203"/>
      <c r="F20" s="203"/>
      <c r="G20" s="204">
        <f t="shared" si="1"/>
        <v>0</v>
      </c>
      <c r="H20" s="205"/>
      <c r="I20" s="203"/>
      <c r="J20" s="203"/>
      <c r="K20" s="209"/>
      <c r="L20" s="208"/>
    </row>
    <row r="21" spans="1:12">
      <c r="A21" s="213"/>
      <c r="B21" s="201" t="s">
        <v>261</v>
      </c>
      <c r="C21" s="202"/>
      <c r="D21" s="203"/>
      <c r="E21" s="203"/>
      <c r="F21" s="203"/>
      <c r="G21" s="204">
        <f t="shared" si="1"/>
        <v>0</v>
      </c>
      <c r="H21" s="205"/>
      <c r="I21" s="203"/>
      <c r="J21" s="203"/>
      <c r="K21" s="209"/>
      <c r="L21" s="208"/>
    </row>
    <row r="22" spans="1:12">
      <c r="A22" s="213"/>
      <c r="B22" s="201" t="s">
        <v>262</v>
      </c>
      <c r="C22" s="202"/>
      <c r="D22" s="203"/>
      <c r="E22" s="203"/>
      <c r="F22" s="203"/>
      <c r="G22" s="204">
        <f t="shared" si="1"/>
        <v>0</v>
      </c>
      <c r="H22" s="205"/>
      <c r="I22" s="203"/>
      <c r="J22" s="203"/>
      <c r="K22" s="209"/>
      <c r="L22" s="208"/>
    </row>
    <row r="23" spans="1:12">
      <c r="A23" s="213"/>
      <c r="B23" s="201" t="s">
        <v>263</v>
      </c>
      <c r="C23" s="202"/>
      <c r="D23" s="203"/>
      <c r="E23" s="203"/>
      <c r="F23" s="203"/>
      <c r="G23" s="204">
        <f t="shared" si="1"/>
        <v>0</v>
      </c>
      <c r="H23" s="205"/>
      <c r="I23" s="203"/>
      <c r="J23" s="203"/>
      <c r="K23" s="209"/>
      <c r="L23" s="208"/>
    </row>
    <row r="24" spans="1:12">
      <c r="A24" s="213"/>
      <c r="B24" s="201" t="s">
        <v>264</v>
      </c>
      <c r="C24" s="210"/>
      <c r="D24" s="206"/>
      <c r="E24" s="206"/>
      <c r="F24" s="206"/>
      <c r="G24" s="204">
        <f t="shared" si="1"/>
        <v>0</v>
      </c>
      <c r="H24" s="211"/>
      <c r="I24" s="206"/>
      <c r="J24" s="206"/>
      <c r="K24" s="212"/>
      <c r="L24" s="208"/>
    </row>
    <row r="25" spans="1:12">
      <c r="A25" s="213"/>
      <c r="B25" s="201" t="s">
        <v>265</v>
      </c>
      <c r="C25" s="210"/>
      <c r="D25" s="206"/>
      <c r="E25" s="206"/>
      <c r="F25" s="206"/>
      <c r="G25" s="204">
        <f t="shared" si="1"/>
        <v>0</v>
      </c>
      <c r="H25" s="211"/>
      <c r="I25" s="206"/>
      <c r="J25" s="206"/>
      <c r="K25" s="212"/>
      <c r="L25" s="208"/>
    </row>
    <row r="26" spans="1:12">
      <c r="A26" s="213"/>
      <c r="B26" s="188"/>
      <c r="C26" s="198" t="s">
        <v>253</v>
      </c>
      <c r="D26" s="217">
        <f>SUM(D18:D25)</f>
        <v>9942</v>
      </c>
      <c r="E26" s="217">
        <f t="shared" ref="E26:G26" si="2">SUM(E18:E25)</f>
        <v>0</v>
      </c>
      <c r="F26" s="217">
        <f t="shared" si="2"/>
        <v>0</v>
      </c>
      <c r="G26" s="217">
        <f t="shared" si="2"/>
        <v>9942</v>
      </c>
      <c r="H26" s="214">
        <f>(H18*G18)+(H19*G19)+(H20*G20)+(H21*G21)+(H22*G22)+(H23*G23)+(H24*G24)+(H25*G25)</f>
        <v>6462.3</v>
      </c>
      <c r="I26" s="214">
        <f>SUM(I18:I25)</f>
        <v>11772.89</v>
      </c>
      <c r="J26" s="215"/>
      <c r="K26" s="212"/>
      <c r="L26" s="216"/>
    </row>
    <row r="27" spans="1:12">
      <c r="A27" s="213"/>
      <c r="B27" s="198" t="s">
        <v>266</v>
      </c>
      <c r="C27" s="380" t="s">
        <v>267</v>
      </c>
      <c r="D27" s="380"/>
      <c r="E27" s="380"/>
      <c r="F27" s="380"/>
      <c r="G27" s="380"/>
      <c r="H27" s="380"/>
      <c r="I27" s="381"/>
      <c r="J27" s="381"/>
      <c r="K27" s="380"/>
      <c r="L27" s="200"/>
    </row>
    <row r="28" spans="1:12" ht="42">
      <c r="A28" s="213"/>
      <c r="B28" s="201" t="s">
        <v>268</v>
      </c>
      <c r="C28" s="202" t="s">
        <v>76</v>
      </c>
      <c r="D28" s="203">
        <f>'UNPBF_FC-3007 Final Report'!J68</f>
        <v>51891</v>
      </c>
      <c r="E28" s="203"/>
      <c r="F28" s="203"/>
      <c r="G28" s="204">
        <f>D28</f>
        <v>51891</v>
      </c>
      <c r="H28" s="205">
        <v>0.55000000000000004</v>
      </c>
      <c r="I28" s="203">
        <f>'UNPBF_FC-3007 Final Report'!U68</f>
        <v>50062.343480811389</v>
      </c>
      <c r="J28" s="206" t="s">
        <v>269</v>
      </c>
      <c r="K28" s="207" t="s">
        <v>270</v>
      </c>
      <c r="L28" s="208"/>
    </row>
    <row r="29" spans="1:12">
      <c r="A29" s="213"/>
      <c r="B29" s="201" t="s">
        <v>271</v>
      </c>
      <c r="C29" s="202"/>
      <c r="D29" s="203"/>
      <c r="E29" s="203"/>
      <c r="F29" s="203"/>
      <c r="G29" s="204">
        <f t="shared" ref="G29:G35" si="3">D29</f>
        <v>0</v>
      </c>
      <c r="H29" s="205"/>
      <c r="I29" s="203"/>
      <c r="J29" s="203"/>
      <c r="K29" s="209"/>
      <c r="L29" s="208"/>
    </row>
    <row r="30" spans="1:12">
      <c r="A30" s="213"/>
      <c r="B30" s="201" t="s">
        <v>272</v>
      </c>
      <c r="C30" s="202"/>
      <c r="D30" s="203"/>
      <c r="E30" s="203"/>
      <c r="F30" s="203"/>
      <c r="G30" s="204">
        <f t="shared" si="3"/>
        <v>0</v>
      </c>
      <c r="H30" s="205"/>
      <c r="I30" s="203"/>
      <c r="J30" s="203"/>
      <c r="K30" s="209"/>
      <c r="L30" s="208"/>
    </row>
    <row r="31" spans="1:12">
      <c r="A31" s="213"/>
      <c r="B31" s="201" t="s">
        <v>273</v>
      </c>
      <c r="C31" s="202"/>
      <c r="D31" s="203"/>
      <c r="E31" s="203"/>
      <c r="F31" s="203"/>
      <c r="G31" s="204">
        <f t="shared" si="3"/>
        <v>0</v>
      </c>
      <c r="H31" s="205"/>
      <c r="I31" s="203"/>
      <c r="J31" s="203"/>
      <c r="K31" s="209"/>
      <c r="L31" s="208"/>
    </row>
    <row r="32" spans="1:12">
      <c r="A32" s="213"/>
      <c r="B32" s="201" t="s">
        <v>274</v>
      </c>
      <c r="C32" s="202"/>
      <c r="D32" s="203"/>
      <c r="E32" s="203"/>
      <c r="F32" s="203"/>
      <c r="G32" s="204">
        <f t="shared" si="3"/>
        <v>0</v>
      </c>
      <c r="H32" s="205"/>
      <c r="I32" s="203"/>
      <c r="J32" s="203"/>
      <c r="K32" s="209"/>
      <c r="L32" s="208"/>
    </row>
    <row r="33" spans="1:12">
      <c r="A33" s="213"/>
      <c r="B33" s="201" t="s">
        <v>275</v>
      </c>
      <c r="C33" s="202"/>
      <c r="D33" s="203"/>
      <c r="E33" s="203"/>
      <c r="F33" s="203"/>
      <c r="G33" s="204">
        <f t="shared" si="3"/>
        <v>0</v>
      </c>
      <c r="H33" s="205"/>
      <c r="I33" s="203"/>
      <c r="J33" s="203"/>
      <c r="K33" s="209"/>
      <c r="L33" s="208"/>
    </row>
    <row r="34" spans="1:12">
      <c r="A34" s="188"/>
      <c r="B34" s="201" t="s">
        <v>276</v>
      </c>
      <c r="C34" s="210"/>
      <c r="D34" s="206"/>
      <c r="E34" s="206"/>
      <c r="F34" s="206"/>
      <c r="G34" s="204">
        <f t="shared" si="3"/>
        <v>0</v>
      </c>
      <c r="H34" s="211"/>
      <c r="I34" s="206"/>
      <c r="J34" s="206"/>
      <c r="K34" s="212"/>
      <c r="L34" s="208"/>
    </row>
    <row r="35" spans="1:12">
      <c r="A35" s="188"/>
      <c r="B35" s="201" t="s">
        <v>277</v>
      </c>
      <c r="C35" s="210"/>
      <c r="D35" s="206"/>
      <c r="E35" s="206"/>
      <c r="F35" s="206"/>
      <c r="G35" s="204">
        <f t="shared" si="3"/>
        <v>0</v>
      </c>
      <c r="H35" s="211"/>
      <c r="I35" s="206"/>
      <c r="J35" s="206"/>
      <c r="K35" s="212"/>
      <c r="L35" s="208"/>
    </row>
    <row r="36" spans="1:12">
      <c r="A36" s="188"/>
      <c r="B36" s="188"/>
      <c r="C36" s="198" t="s">
        <v>253</v>
      </c>
      <c r="D36" s="217">
        <f>SUM(D28:D35)</f>
        <v>51891</v>
      </c>
      <c r="E36" s="217">
        <f t="shared" ref="E36:G36" si="4">SUM(E28:E35)</f>
        <v>0</v>
      </c>
      <c r="F36" s="217">
        <f t="shared" si="4"/>
        <v>0</v>
      </c>
      <c r="G36" s="217">
        <f t="shared" si="4"/>
        <v>51891</v>
      </c>
      <c r="H36" s="214">
        <f>(H28*G28)+(H29*G29)+(H30*G30)+(H31*G31)+(H32*G32)+(H33*G33)+(H34*G34)+(H35*G35)</f>
        <v>28540.050000000003</v>
      </c>
      <c r="I36" s="214">
        <f>SUM(I28:I35)</f>
        <v>50062.343480811389</v>
      </c>
      <c r="J36" s="215"/>
      <c r="K36" s="212"/>
      <c r="L36" s="216"/>
    </row>
    <row r="37" spans="1:12">
      <c r="A37" s="188"/>
      <c r="B37" s="198" t="s">
        <v>278</v>
      </c>
      <c r="C37" s="380"/>
      <c r="D37" s="380"/>
      <c r="E37" s="380"/>
      <c r="F37" s="380"/>
      <c r="G37" s="380"/>
      <c r="H37" s="380"/>
      <c r="I37" s="381"/>
      <c r="J37" s="381"/>
      <c r="K37" s="380"/>
      <c r="L37" s="200"/>
    </row>
    <row r="38" spans="1:12">
      <c r="A38" s="188"/>
      <c r="B38" s="201" t="s">
        <v>279</v>
      </c>
      <c r="C38" s="202"/>
      <c r="D38" s="203"/>
      <c r="E38" s="203"/>
      <c r="F38" s="203"/>
      <c r="G38" s="204">
        <f>D38</f>
        <v>0</v>
      </c>
      <c r="H38" s="205"/>
      <c r="I38" s="203"/>
      <c r="J38" s="203"/>
      <c r="K38" s="209"/>
      <c r="L38" s="208"/>
    </row>
    <row r="39" spans="1:12">
      <c r="A39" s="188"/>
      <c r="B39" s="201" t="s">
        <v>280</v>
      </c>
      <c r="C39" s="202"/>
      <c r="D39" s="203"/>
      <c r="E39" s="203"/>
      <c r="F39" s="203"/>
      <c r="G39" s="204">
        <f t="shared" ref="G39:G45" si="5">D39</f>
        <v>0</v>
      </c>
      <c r="H39" s="205"/>
      <c r="I39" s="203"/>
      <c r="J39" s="203"/>
      <c r="K39" s="209"/>
      <c r="L39" s="208"/>
    </row>
    <row r="40" spans="1:12">
      <c r="A40" s="188"/>
      <c r="B40" s="201" t="s">
        <v>281</v>
      </c>
      <c r="C40" s="202"/>
      <c r="D40" s="203"/>
      <c r="E40" s="203"/>
      <c r="F40" s="203"/>
      <c r="G40" s="204">
        <f t="shared" si="5"/>
        <v>0</v>
      </c>
      <c r="H40" s="205"/>
      <c r="I40" s="203"/>
      <c r="J40" s="203"/>
      <c r="K40" s="209"/>
      <c r="L40" s="208"/>
    </row>
    <row r="41" spans="1:12">
      <c r="A41" s="188"/>
      <c r="B41" s="201" t="s">
        <v>282</v>
      </c>
      <c r="C41" s="202"/>
      <c r="D41" s="203"/>
      <c r="E41" s="203"/>
      <c r="F41" s="203"/>
      <c r="G41" s="204">
        <f t="shared" si="5"/>
        <v>0</v>
      </c>
      <c r="H41" s="205"/>
      <c r="I41" s="203"/>
      <c r="J41" s="203"/>
      <c r="K41" s="209"/>
      <c r="L41" s="208"/>
    </row>
    <row r="42" spans="1:12">
      <c r="A42" s="188"/>
      <c r="B42" s="201" t="s">
        <v>283</v>
      </c>
      <c r="C42" s="202"/>
      <c r="D42" s="203"/>
      <c r="E42" s="203"/>
      <c r="F42" s="203"/>
      <c r="G42" s="204">
        <f t="shared" si="5"/>
        <v>0</v>
      </c>
      <c r="H42" s="205"/>
      <c r="I42" s="203"/>
      <c r="J42" s="203"/>
      <c r="K42" s="209"/>
      <c r="L42" s="208"/>
    </row>
    <row r="43" spans="1:12">
      <c r="A43" s="213"/>
      <c r="B43" s="201" t="s">
        <v>284</v>
      </c>
      <c r="C43" s="202"/>
      <c r="D43" s="203"/>
      <c r="E43" s="203"/>
      <c r="F43" s="203"/>
      <c r="G43" s="204">
        <f t="shared" si="5"/>
        <v>0</v>
      </c>
      <c r="H43" s="205"/>
      <c r="I43" s="203"/>
      <c r="J43" s="203"/>
      <c r="K43" s="209"/>
      <c r="L43" s="208"/>
    </row>
    <row r="44" spans="1:12">
      <c r="A44" s="188"/>
      <c r="B44" s="201" t="s">
        <v>285</v>
      </c>
      <c r="C44" s="210"/>
      <c r="D44" s="206"/>
      <c r="E44" s="206"/>
      <c r="F44" s="206"/>
      <c r="G44" s="204">
        <f t="shared" si="5"/>
        <v>0</v>
      </c>
      <c r="H44" s="211"/>
      <c r="I44" s="206"/>
      <c r="J44" s="206"/>
      <c r="K44" s="212"/>
      <c r="L44" s="208"/>
    </row>
    <row r="45" spans="1:12">
      <c r="A45" s="188"/>
      <c r="B45" s="201" t="s">
        <v>286</v>
      </c>
      <c r="C45" s="210"/>
      <c r="D45" s="206"/>
      <c r="E45" s="206"/>
      <c r="F45" s="206"/>
      <c r="G45" s="204">
        <f t="shared" si="5"/>
        <v>0</v>
      </c>
      <c r="H45" s="211"/>
      <c r="I45" s="206"/>
      <c r="J45" s="206"/>
      <c r="K45" s="212"/>
      <c r="L45" s="208"/>
    </row>
    <row r="46" spans="1:12">
      <c r="A46" s="188"/>
      <c r="B46" s="188"/>
      <c r="C46" s="198" t="s">
        <v>253</v>
      </c>
      <c r="D46" s="214">
        <f>SUM(D38:D45)</f>
        <v>0</v>
      </c>
      <c r="E46" s="214">
        <f t="shared" ref="E46:G46" si="6">SUM(E38:E45)</f>
        <v>0</v>
      </c>
      <c r="F46" s="214">
        <f t="shared" si="6"/>
        <v>0</v>
      </c>
      <c r="G46" s="214">
        <f t="shared" si="6"/>
        <v>0</v>
      </c>
      <c r="H46" s="214">
        <f>(H38*G38)+(H39*G39)+(H40*G40)+(H41*G41)+(H42*G42)+(H43*G43)+(H44*G44)+(H45*G45)</f>
        <v>0</v>
      </c>
      <c r="I46" s="214">
        <f>SUM(I38:I45)</f>
        <v>0</v>
      </c>
      <c r="J46" s="215"/>
      <c r="K46" s="212"/>
      <c r="L46" s="216"/>
    </row>
    <row r="47" spans="1:12">
      <c r="A47" s="188"/>
      <c r="B47" s="218"/>
      <c r="C47" s="219"/>
      <c r="D47" s="220"/>
      <c r="E47" s="220"/>
      <c r="F47" s="220"/>
      <c r="G47" s="220"/>
      <c r="H47" s="220"/>
      <c r="I47" s="220"/>
      <c r="J47" s="220"/>
      <c r="K47" s="220"/>
      <c r="L47" s="208"/>
    </row>
    <row r="48" spans="1:12">
      <c r="A48" s="188"/>
      <c r="B48" s="198" t="s">
        <v>287</v>
      </c>
      <c r="C48" s="393" t="s">
        <v>288</v>
      </c>
      <c r="D48" s="393"/>
      <c r="E48" s="393"/>
      <c r="F48" s="393"/>
      <c r="G48" s="393"/>
      <c r="H48" s="393"/>
      <c r="I48" s="394"/>
      <c r="J48" s="394"/>
      <c r="K48" s="393"/>
      <c r="L48" s="199"/>
    </row>
    <row r="49" spans="1:12">
      <c r="A49" s="188"/>
      <c r="B49" s="198" t="s">
        <v>289</v>
      </c>
      <c r="C49" s="380" t="s">
        <v>290</v>
      </c>
      <c r="D49" s="380"/>
      <c r="E49" s="380"/>
      <c r="F49" s="380"/>
      <c r="G49" s="380"/>
      <c r="H49" s="380"/>
      <c r="I49" s="381"/>
      <c r="J49" s="381"/>
      <c r="K49" s="380"/>
      <c r="L49" s="200"/>
    </row>
    <row r="50" spans="1:12">
      <c r="A50" s="188"/>
      <c r="B50" s="201" t="s">
        <v>291</v>
      </c>
      <c r="C50" s="202" t="s">
        <v>93</v>
      </c>
      <c r="D50" s="203">
        <f>'UNPBF_FC-3007 Final Report'!J75</f>
        <v>1000</v>
      </c>
      <c r="E50" s="203"/>
      <c r="F50" s="203"/>
      <c r="G50" s="204">
        <f>D50</f>
        <v>1000</v>
      </c>
      <c r="H50" s="205"/>
      <c r="I50" s="203">
        <f>'UNPBF_FC-3007 Final Report'!U75</f>
        <v>1016.13</v>
      </c>
      <c r="J50" s="203"/>
      <c r="K50" s="207" t="s">
        <v>292</v>
      </c>
      <c r="L50" s="208"/>
    </row>
    <row r="51" spans="1:12">
      <c r="A51" s="188"/>
      <c r="B51" s="201" t="s">
        <v>293</v>
      </c>
      <c r="C51" s="202"/>
      <c r="D51" s="203"/>
      <c r="E51" s="203"/>
      <c r="F51" s="203"/>
      <c r="G51" s="204">
        <f t="shared" ref="G51:G57" si="7">D51</f>
        <v>0</v>
      </c>
      <c r="H51" s="205"/>
      <c r="I51" s="203"/>
      <c r="J51" s="203"/>
      <c r="K51" s="209"/>
      <c r="L51" s="208"/>
    </row>
    <row r="52" spans="1:12">
      <c r="A52" s="188"/>
      <c r="B52" s="201" t="s">
        <v>294</v>
      </c>
      <c r="C52" s="202"/>
      <c r="D52" s="203"/>
      <c r="E52" s="203"/>
      <c r="F52" s="203"/>
      <c r="G52" s="204">
        <f t="shared" si="7"/>
        <v>0</v>
      </c>
      <c r="H52" s="205"/>
      <c r="I52" s="203"/>
      <c r="J52" s="203"/>
      <c r="K52" s="209"/>
      <c r="L52" s="208"/>
    </row>
    <row r="53" spans="1:12">
      <c r="A53" s="188"/>
      <c r="B53" s="201" t="s">
        <v>295</v>
      </c>
      <c r="C53" s="202"/>
      <c r="D53" s="203"/>
      <c r="E53" s="203"/>
      <c r="F53" s="203"/>
      <c r="G53" s="204">
        <f t="shared" si="7"/>
        <v>0</v>
      </c>
      <c r="H53" s="205"/>
      <c r="I53" s="203"/>
      <c r="J53" s="203"/>
      <c r="K53" s="209"/>
      <c r="L53" s="208"/>
    </row>
    <row r="54" spans="1:12">
      <c r="A54" s="188"/>
      <c r="B54" s="201" t="s">
        <v>296</v>
      </c>
      <c r="C54" s="202"/>
      <c r="D54" s="203"/>
      <c r="E54" s="203"/>
      <c r="F54" s="203"/>
      <c r="G54" s="204">
        <f t="shared" si="7"/>
        <v>0</v>
      </c>
      <c r="H54" s="205"/>
      <c r="I54" s="203"/>
      <c r="J54" s="203"/>
      <c r="K54" s="209"/>
      <c r="L54" s="208"/>
    </row>
    <row r="55" spans="1:12">
      <c r="A55" s="188"/>
      <c r="B55" s="201" t="s">
        <v>297</v>
      </c>
      <c r="C55" s="202"/>
      <c r="D55" s="203"/>
      <c r="E55" s="203"/>
      <c r="F55" s="203"/>
      <c r="G55" s="204">
        <f t="shared" si="7"/>
        <v>0</v>
      </c>
      <c r="H55" s="205"/>
      <c r="I55" s="203"/>
      <c r="J55" s="203"/>
      <c r="K55" s="209"/>
      <c r="L55" s="208"/>
    </row>
    <row r="56" spans="1:12">
      <c r="A56" s="213"/>
      <c r="B56" s="201" t="s">
        <v>298</v>
      </c>
      <c r="C56" s="210"/>
      <c r="D56" s="206"/>
      <c r="E56" s="206"/>
      <c r="F56" s="206"/>
      <c r="G56" s="204">
        <f t="shared" si="7"/>
        <v>0</v>
      </c>
      <c r="H56" s="211"/>
      <c r="I56" s="206"/>
      <c r="J56" s="206"/>
      <c r="K56" s="212"/>
      <c r="L56" s="208"/>
    </row>
    <row r="57" spans="1:12">
      <c r="A57" s="213"/>
      <c r="B57" s="201" t="s">
        <v>299</v>
      </c>
      <c r="C57" s="210"/>
      <c r="D57" s="206"/>
      <c r="E57" s="206"/>
      <c r="F57" s="206"/>
      <c r="G57" s="204">
        <f t="shared" si="7"/>
        <v>0</v>
      </c>
      <c r="H57" s="211"/>
      <c r="I57" s="206"/>
      <c r="J57" s="206"/>
      <c r="K57" s="212"/>
      <c r="L57" s="208"/>
    </row>
    <row r="58" spans="1:12">
      <c r="A58" s="188"/>
      <c r="B58" s="188"/>
      <c r="C58" s="198" t="s">
        <v>253</v>
      </c>
      <c r="D58" s="214">
        <f>SUM(D50:D57)</f>
        <v>1000</v>
      </c>
      <c r="E58" s="214">
        <f t="shared" ref="E58:G58" si="8">SUM(E50:E57)</f>
        <v>0</v>
      </c>
      <c r="F58" s="214">
        <f t="shared" si="8"/>
        <v>0</v>
      </c>
      <c r="G58" s="217">
        <f t="shared" si="8"/>
        <v>1000</v>
      </c>
      <c r="H58" s="214">
        <f>(H50*G50)+(H51*G51)+(H52*G52)+(H53*G53)+(H54*G54)+(H55*G55)+(H56*G56)+(H57*G57)</f>
        <v>0</v>
      </c>
      <c r="I58" s="214">
        <f>SUM(I50:I57)</f>
        <v>1016.13</v>
      </c>
      <c r="J58" s="215"/>
      <c r="K58" s="212"/>
      <c r="L58" s="216"/>
    </row>
    <row r="59" spans="1:12">
      <c r="A59" s="188"/>
      <c r="B59" s="198" t="s">
        <v>300</v>
      </c>
      <c r="C59" s="380" t="s">
        <v>301</v>
      </c>
      <c r="D59" s="380"/>
      <c r="E59" s="380"/>
      <c r="F59" s="380"/>
      <c r="G59" s="380"/>
      <c r="H59" s="380"/>
      <c r="I59" s="381"/>
      <c r="J59" s="381"/>
      <c r="K59" s="380"/>
      <c r="L59" s="200"/>
    </row>
    <row r="60" spans="1:12" ht="42">
      <c r="A60" s="188"/>
      <c r="B60" s="201" t="s">
        <v>302</v>
      </c>
      <c r="C60" s="202" t="s">
        <v>98</v>
      </c>
      <c r="D60" s="203">
        <f>'UNPBF_FC-3007 Final Report'!J89</f>
        <v>41745</v>
      </c>
      <c r="E60" s="203"/>
      <c r="F60" s="203"/>
      <c r="G60" s="204">
        <f>D60</f>
        <v>41745</v>
      </c>
      <c r="H60" s="205">
        <v>0.5</v>
      </c>
      <c r="I60" s="203">
        <f>'UNPBF_FC-3007 Final Report'!U89</f>
        <v>42436.388918084791</v>
      </c>
      <c r="J60" s="203" t="s">
        <v>303</v>
      </c>
      <c r="K60" s="209" t="s">
        <v>304</v>
      </c>
      <c r="L60" s="208"/>
    </row>
    <row r="61" spans="1:12">
      <c r="A61" s="188"/>
      <c r="B61" s="201" t="s">
        <v>305</v>
      </c>
      <c r="C61" s="202"/>
      <c r="D61" s="203"/>
      <c r="E61" s="203"/>
      <c r="F61" s="203"/>
      <c r="G61" s="204">
        <f t="shared" ref="G61:G67" si="9">D61</f>
        <v>0</v>
      </c>
      <c r="H61" s="205"/>
      <c r="I61" s="203"/>
      <c r="J61" s="203"/>
      <c r="K61" s="209"/>
      <c r="L61" s="208"/>
    </row>
    <row r="62" spans="1:12">
      <c r="A62" s="188"/>
      <c r="B62" s="201" t="s">
        <v>306</v>
      </c>
      <c r="C62" s="202"/>
      <c r="D62" s="203"/>
      <c r="E62" s="203"/>
      <c r="F62" s="203"/>
      <c r="G62" s="204">
        <f t="shared" si="9"/>
        <v>0</v>
      </c>
      <c r="H62" s="205"/>
      <c r="I62" s="203"/>
      <c r="J62" s="203"/>
      <c r="K62" s="209"/>
      <c r="L62" s="208"/>
    </row>
    <row r="63" spans="1:12">
      <c r="A63" s="188"/>
      <c r="B63" s="201" t="s">
        <v>307</v>
      </c>
      <c r="C63" s="202"/>
      <c r="D63" s="203"/>
      <c r="E63" s="203"/>
      <c r="F63" s="203"/>
      <c r="G63" s="204">
        <f t="shared" si="9"/>
        <v>0</v>
      </c>
      <c r="H63" s="205"/>
      <c r="I63" s="203"/>
      <c r="J63" s="203"/>
      <c r="K63" s="209"/>
      <c r="L63" s="208"/>
    </row>
    <row r="64" spans="1:12">
      <c r="A64" s="188"/>
      <c r="B64" s="201" t="s">
        <v>308</v>
      </c>
      <c r="C64" s="202"/>
      <c r="D64" s="203"/>
      <c r="E64" s="203"/>
      <c r="F64" s="203"/>
      <c r="G64" s="204">
        <f t="shared" si="9"/>
        <v>0</v>
      </c>
      <c r="H64" s="205"/>
      <c r="I64" s="203"/>
      <c r="J64" s="203"/>
      <c r="K64" s="209"/>
      <c r="L64" s="208"/>
    </row>
    <row r="65" spans="1:12">
      <c r="A65" s="188"/>
      <c r="B65" s="201" t="s">
        <v>309</v>
      </c>
      <c r="C65" s="202"/>
      <c r="D65" s="203"/>
      <c r="E65" s="203"/>
      <c r="F65" s="203"/>
      <c r="G65" s="204">
        <f t="shared" si="9"/>
        <v>0</v>
      </c>
      <c r="H65" s="205"/>
      <c r="I65" s="203"/>
      <c r="J65" s="203"/>
      <c r="K65" s="209"/>
      <c r="L65" s="208"/>
    </row>
    <row r="66" spans="1:12">
      <c r="A66" s="188"/>
      <c r="B66" s="201" t="s">
        <v>310</v>
      </c>
      <c r="C66" s="210"/>
      <c r="D66" s="206"/>
      <c r="E66" s="206"/>
      <c r="F66" s="206"/>
      <c r="G66" s="204">
        <f t="shared" si="9"/>
        <v>0</v>
      </c>
      <c r="H66" s="211"/>
      <c r="I66" s="206"/>
      <c r="J66" s="206"/>
      <c r="K66" s="212"/>
      <c r="L66" s="208"/>
    </row>
    <row r="67" spans="1:12">
      <c r="A67" s="188"/>
      <c r="B67" s="201" t="s">
        <v>311</v>
      </c>
      <c r="C67" s="210"/>
      <c r="D67" s="206"/>
      <c r="E67" s="206"/>
      <c r="F67" s="206"/>
      <c r="G67" s="204">
        <f t="shared" si="9"/>
        <v>0</v>
      </c>
      <c r="H67" s="211"/>
      <c r="I67" s="206"/>
      <c r="J67" s="206"/>
      <c r="K67" s="212"/>
      <c r="L67" s="208"/>
    </row>
    <row r="68" spans="1:12">
      <c r="A68" s="188"/>
      <c r="B68" s="188"/>
      <c r="C68" s="198" t="s">
        <v>253</v>
      </c>
      <c r="D68" s="217">
        <f>SUM(D60:D67)</f>
        <v>41745</v>
      </c>
      <c r="E68" s="217">
        <f t="shared" ref="E68:G68" si="10">SUM(E60:E67)</f>
        <v>0</v>
      </c>
      <c r="F68" s="217">
        <f t="shared" si="10"/>
        <v>0</v>
      </c>
      <c r="G68" s="217">
        <f t="shared" si="10"/>
        <v>41745</v>
      </c>
      <c r="H68" s="214">
        <f>(H60*G60)+(H61*G61)+(H62*G62)+(H63*G63)+(H64*G64)+(H65*G65)+(H66*G66)+(H67*G67)</f>
        <v>20872.5</v>
      </c>
      <c r="I68" s="214">
        <f>SUM(I60:I67)</f>
        <v>42436.388918084791</v>
      </c>
      <c r="J68" s="215"/>
      <c r="K68" s="212"/>
      <c r="L68" s="216"/>
    </row>
    <row r="69" spans="1:12">
      <c r="A69" s="188"/>
      <c r="B69" s="198" t="s">
        <v>312</v>
      </c>
      <c r="C69" s="380" t="s">
        <v>313</v>
      </c>
      <c r="D69" s="380"/>
      <c r="E69" s="380"/>
      <c r="F69" s="380"/>
      <c r="G69" s="380"/>
      <c r="H69" s="380"/>
      <c r="I69" s="381"/>
      <c r="J69" s="381"/>
      <c r="K69" s="380"/>
      <c r="L69" s="200"/>
    </row>
    <row r="70" spans="1:12" ht="52.5">
      <c r="A70" s="188"/>
      <c r="B70" s="201" t="s">
        <v>314</v>
      </c>
      <c r="C70" s="202" t="s">
        <v>105</v>
      </c>
      <c r="D70" s="203">
        <f>'UNPBF_FC-3007 Final Report'!J109</f>
        <v>54700</v>
      </c>
      <c r="E70" s="203"/>
      <c r="F70" s="203"/>
      <c r="G70" s="204">
        <f>D70</f>
        <v>54700</v>
      </c>
      <c r="H70" s="205">
        <v>0.7</v>
      </c>
      <c r="I70" s="203">
        <f>'UNPBF_FC-3007 Final Report'!U109</f>
        <v>51787.41884053441</v>
      </c>
      <c r="J70" s="203" t="s">
        <v>315</v>
      </c>
      <c r="K70" s="209" t="s">
        <v>316</v>
      </c>
      <c r="L70" s="208"/>
    </row>
    <row r="71" spans="1:12" ht="42">
      <c r="A71" s="188"/>
      <c r="B71" s="201" t="s">
        <v>317</v>
      </c>
      <c r="C71" s="202" t="s">
        <v>318</v>
      </c>
      <c r="D71" s="203">
        <f>'UNPBF_FC-3007 Final Report'!J125</f>
        <v>13860</v>
      </c>
      <c r="E71" s="203"/>
      <c r="F71" s="203"/>
      <c r="G71" s="204">
        <f t="shared" ref="G71:G77" si="11">D71</f>
        <v>13860</v>
      </c>
      <c r="H71" s="205">
        <v>0.85</v>
      </c>
      <c r="I71" s="203">
        <f>'UNPBF_FC-3007 Final Report'!U125</f>
        <v>13676.189476825744</v>
      </c>
      <c r="J71" s="203" t="s">
        <v>319</v>
      </c>
      <c r="K71" s="209" t="s">
        <v>320</v>
      </c>
      <c r="L71" s="208"/>
    </row>
    <row r="72" spans="1:12">
      <c r="A72" s="188"/>
      <c r="B72" s="201" t="s">
        <v>321</v>
      </c>
      <c r="C72" s="202"/>
      <c r="D72" s="203"/>
      <c r="E72" s="203"/>
      <c r="F72" s="203"/>
      <c r="G72" s="204">
        <f t="shared" si="11"/>
        <v>0</v>
      </c>
      <c r="H72" s="205"/>
      <c r="I72" s="203"/>
      <c r="J72" s="203"/>
      <c r="K72" s="209"/>
      <c r="L72" s="208"/>
    </row>
    <row r="73" spans="1:12">
      <c r="A73" s="213"/>
      <c r="B73" s="201" t="s">
        <v>322</v>
      </c>
      <c r="C73" s="202"/>
      <c r="D73" s="203"/>
      <c r="E73" s="203"/>
      <c r="F73" s="203"/>
      <c r="G73" s="204">
        <f t="shared" si="11"/>
        <v>0</v>
      </c>
      <c r="H73" s="205"/>
      <c r="I73" s="203"/>
      <c r="J73" s="203"/>
      <c r="K73" s="209"/>
      <c r="L73" s="208"/>
    </row>
    <row r="74" spans="1:12">
      <c r="A74" s="188"/>
      <c r="B74" s="201" t="s">
        <v>323</v>
      </c>
      <c r="C74" s="202"/>
      <c r="D74" s="203"/>
      <c r="E74" s="203"/>
      <c r="F74" s="203"/>
      <c r="G74" s="204">
        <f t="shared" si="11"/>
        <v>0</v>
      </c>
      <c r="H74" s="205"/>
      <c r="I74" s="203"/>
      <c r="J74" s="203"/>
      <c r="K74" s="209"/>
      <c r="L74" s="208"/>
    </row>
    <row r="75" spans="1:12">
      <c r="A75" s="188"/>
      <c r="B75" s="201" t="s">
        <v>324</v>
      </c>
      <c r="C75" s="202"/>
      <c r="D75" s="203"/>
      <c r="E75" s="203"/>
      <c r="F75" s="203"/>
      <c r="G75" s="204">
        <f t="shared" si="11"/>
        <v>0</v>
      </c>
      <c r="H75" s="205"/>
      <c r="I75" s="203"/>
      <c r="J75" s="203"/>
      <c r="K75" s="209"/>
      <c r="L75" s="208"/>
    </row>
    <row r="76" spans="1:12">
      <c r="A76" s="188"/>
      <c r="B76" s="201" t="s">
        <v>325</v>
      </c>
      <c r="C76" s="210"/>
      <c r="D76" s="206"/>
      <c r="E76" s="206"/>
      <c r="F76" s="206"/>
      <c r="G76" s="204">
        <f t="shared" si="11"/>
        <v>0</v>
      </c>
      <c r="H76" s="211"/>
      <c r="I76" s="206"/>
      <c r="J76" s="206"/>
      <c r="K76" s="212"/>
      <c r="L76" s="208"/>
    </row>
    <row r="77" spans="1:12">
      <c r="A77" s="188"/>
      <c r="B77" s="201" t="s">
        <v>326</v>
      </c>
      <c r="C77" s="210"/>
      <c r="D77" s="206"/>
      <c r="E77" s="206"/>
      <c r="F77" s="206"/>
      <c r="G77" s="204">
        <f t="shared" si="11"/>
        <v>0</v>
      </c>
      <c r="H77" s="211"/>
      <c r="I77" s="206"/>
      <c r="J77" s="206"/>
      <c r="K77" s="212"/>
      <c r="L77" s="208"/>
    </row>
    <row r="78" spans="1:12">
      <c r="A78" s="188"/>
      <c r="B78" s="188"/>
      <c r="C78" s="198" t="s">
        <v>253</v>
      </c>
      <c r="D78" s="217">
        <f>SUM(D70:D77)</f>
        <v>68560</v>
      </c>
      <c r="E78" s="217">
        <f t="shared" ref="E78:G78" si="12">SUM(E70:E77)</f>
        <v>0</v>
      </c>
      <c r="F78" s="217">
        <f t="shared" si="12"/>
        <v>0</v>
      </c>
      <c r="G78" s="217">
        <f t="shared" si="12"/>
        <v>68560</v>
      </c>
      <c r="H78" s="214">
        <f>(H70*G70)+(H71*G71)+(H72*G72)+(H73*G73)+(H74*G74)+(H75*G75)+(H76*G76)+(H77*G77)</f>
        <v>50071</v>
      </c>
      <c r="I78" s="214">
        <f>SUM(I70:I77)</f>
        <v>65463.608317360151</v>
      </c>
      <c r="J78" s="215"/>
      <c r="K78" s="212"/>
      <c r="L78" s="216"/>
    </row>
    <row r="79" spans="1:12">
      <c r="A79" s="188"/>
      <c r="B79" s="198" t="s">
        <v>327</v>
      </c>
      <c r="C79" s="380" t="s">
        <v>328</v>
      </c>
      <c r="D79" s="380"/>
      <c r="E79" s="380"/>
      <c r="F79" s="380"/>
      <c r="G79" s="380"/>
      <c r="H79" s="380"/>
      <c r="I79" s="381"/>
      <c r="J79" s="381"/>
      <c r="K79" s="380"/>
      <c r="L79" s="200"/>
    </row>
    <row r="80" spans="1:12" ht="42">
      <c r="A80" s="188"/>
      <c r="B80" s="201" t="s">
        <v>329</v>
      </c>
      <c r="C80" s="202" t="s">
        <v>136</v>
      </c>
      <c r="D80" s="203">
        <f>'UNPBF_FC-3007 Final Report'!I138</f>
        <v>46750</v>
      </c>
      <c r="E80" s="203"/>
      <c r="F80" s="203"/>
      <c r="G80" s="204">
        <f>D80</f>
        <v>46750</v>
      </c>
      <c r="H80" s="205">
        <v>0.5</v>
      </c>
      <c r="I80" s="203">
        <f>'UNPBF_FC-3007 Final Report'!U138</f>
        <v>46707.720167498817</v>
      </c>
      <c r="J80" s="203"/>
      <c r="K80" s="209" t="s">
        <v>330</v>
      </c>
      <c r="L80" s="208"/>
    </row>
    <row r="81" spans="1:12">
      <c r="A81" s="188"/>
      <c r="B81" s="201" t="s">
        <v>331</v>
      </c>
      <c r="C81" s="202"/>
      <c r="D81" s="203"/>
      <c r="E81" s="203"/>
      <c r="F81" s="203"/>
      <c r="G81" s="204">
        <f t="shared" ref="G81:G87" si="13">D81</f>
        <v>0</v>
      </c>
      <c r="H81" s="205"/>
      <c r="I81" s="203"/>
      <c r="J81" s="203"/>
      <c r="K81" s="209"/>
      <c r="L81" s="208"/>
    </row>
    <row r="82" spans="1:12">
      <c r="A82" s="188"/>
      <c r="B82" s="201" t="s">
        <v>332</v>
      </c>
      <c r="C82" s="202"/>
      <c r="D82" s="203"/>
      <c r="E82" s="203"/>
      <c r="F82" s="203"/>
      <c r="G82" s="204">
        <f t="shared" si="13"/>
        <v>0</v>
      </c>
      <c r="H82" s="205"/>
      <c r="I82" s="203"/>
      <c r="J82" s="203"/>
      <c r="K82" s="209"/>
      <c r="L82" s="208"/>
    </row>
    <row r="83" spans="1:12">
      <c r="A83" s="188"/>
      <c r="B83" s="201" t="s">
        <v>333</v>
      </c>
      <c r="C83" s="202"/>
      <c r="D83" s="203"/>
      <c r="E83" s="203"/>
      <c r="F83" s="203"/>
      <c r="G83" s="204">
        <f t="shared" si="13"/>
        <v>0</v>
      </c>
      <c r="H83" s="205"/>
      <c r="I83" s="203"/>
      <c r="J83" s="203"/>
      <c r="K83" s="209"/>
      <c r="L83" s="208"/>
    </row>
    <row r="84" spans="1:12">
      <c r="A84" s="188"/>
      <c r="B84" s="201" t="s">
        <v>334</v>
      </c>
      <c r="C84" s="202"/>
      <c r="D84" s="203"/>
      <c r="E84" s="203"/>
      <c r="F84" s="203"/>
      <c r="G84" s="204">
        <f t="shared" si="13"/>
        <v>0</v>
      </c>
      <c r="H84" s="205"/>
      <c r="I84" s="203"/>
      <c r="J84" s="203"/>
      <c r="K84" s="209"/>
      <c r="L84" s="208"/>
    </row>
    <row r="85" spans="1:12">
      <c r="A85" s="188"/>
      <c r="B85" s="201" t="s">
        <v>335</v>
      </c>
      <c r="C85" s="202"/>
      <c r="D85" s="203"/>
      <c r="E85" s="203"/>
      <c r="F85" s="203"/>
      <c r="G85" s="204">
        <f t="shared" si="13"/>
        <v>0</v>
      </c>
      <c r="H85" s="205"/>
      <c r="I85" s="203"/>
      <c r="J85" s="203"/>
      <c r="K85" s="209"/>
      <c r="L85" s="208"/>
    </row>
    <row r="86" spans="1:12">
      <c r="A86" s="188"/>
      <c r="B86" s="201" t="s">
        <v>336</v>
      </c>
      <c r="C86" s="210"/>
      <c r="D86" s="206"/>
      <c r="E86" s="206"/>
      <c r="F86" s="206"/>
      <c r="G86" s="204">
        <f t="shared" si="13"/>
        <v>0</v>
      </c>
      <c r="H86" s="211"/>
      <c r="I86" s="206"/>
      <c r="J86" s="206"/>
      <c r="K86" s="212"/>
      <c r="L86" s="208"/>
    </row>
    <row r="87" spans="1:12">
      <c r="A87" s="188"/>
      <c r="B87" s="201" t="s">
        <v>337</v>
      </c>
      <c r="C87" s="210"/>
      <c r="D87" s="206"/>
      <c r="E87" s="206"/>
      <c r="F87" s="206"/>
      <c r="G87" s="204">
        <f t="shared" si="13"/>
        <v>0</v>
      </c>
      <c r="H87" s="211"/>
      <c r="I87" s="206"/>
      <c r="J87" s="206"/>
      <c r="K87" s="212"/>
      <c r="L87" s="208"/>
    </row>
    <row r="88" spans="1:12">
      <c r="A88" s="188"/>
      <c r="B88" s="188"/>
      <c r="C88" s="198" t="s">
        <v>253</v>
      </c>
      <c r="D88" s="214">
        <f>SUM(D80:D87)</f>
        <v>46750</v>
      </c>
      <c r="E88" s="214">
        <f t="shared" ref="E88:G88" si="14">SUM(E80:E87)</f>
        <v>0</v>
      </c>
      <c r="F88" s="214">
        <f t="shared" si="14"/>
        <v>0</v>
      </c>
      <c r="G88" s="214">
        <f t="shared" si="14"/>
        <v>46750</v>
      </c>
      <c r="H88" s="214">
        <f>(H80*G80)+(H81*G81)+(H82*G82)+(H83*G83)+(H84*G84)+(H85*G85)+(H86*G86)+(H87*G87)</f>
        <v>23375</v>
      </c>
      <c r="I88" s="214">
        <f>SUM(I80:I87)</f>
        <v>46707.720167498817</v>
      </c>
      <c r="J88" s="215"/>
      <c r="K88" s="212"/>
      <c r="L88" s="216"/>
    </row>
    <row r="89" spans="1:12">
      <c r="A89" s="188"/>
      <c r="B89" s="221"/>
      <c r="C89" s="218"/>
      <c r="D89" s="222"/>
      <c r="E89" s="222"/>
      <c r="F89" s="222"/>
      <c r="G89" s="222"/>
      <c r="H89" s="222"/>
      <c r="I89" s="222"/>
      <c r="J89" s="222"/>
      <c r="K89" s="218"/>
      <c r="L89" s="223"/>
    </row>
    <row r="90" spans="1:12">
      <c r="A90" s="188"/>
      <c r="B90" s="198" t="s">
        <v>338</v>
      </c>
      <c r="C90" s="393" t="s">
        <v>339</v>
      </c>
      <c r="D90" s="393"/>
      <c r="E90" s="393"/>
      <c r="F90" s="393"/>
      <c r="G90" s="393"/>
      <c r="H90" s="393"/>
      <c r="I90" s="394"/>
      <c r="J90" s="394"/>
      <c r="K90" s="393"/>
      <c r="L90" s="199"/>
    </row>
    <row r="91" spans="1:12">
      <c r="A91" s="188"/>
      <c r="B91" s="198" t="s">
        <v>340</v>
      </c>
      <c r="C91" s="380" t="s">
        <v>341</v>
      </c>
      <c r="D91" s="380"/>
      <c r="E91" s="380"/>
      <c r="F91" s="380"/>
      <c r="G91" s="380"/>
      <c r="H91" s="380"/>
      <c r="I91" s="381"/>
      <c r="J91" s="381"/>
      <c r="K91" s="380"/>
      <c r="L91" s="200"/>
    </row>
    <row r="92" spans="1:12" ht="42">
      <c r="A92" s="188"/>
      <c r="B92" s="201" t="s">
        <v>342</v>
      </c>
      <c r="C92" s="202" t="s">
        <v>146</v>
      </c>
      <c r="D92" s="203">
        <f>'UNPBF_FC-3007 Final Report'!J153</f>
        <v>55350</v>
      </c>
      <c r="E92" s="203"/>
      <c r="F92" s="203"/>
      <c r="G92" s="204">
        <f>D92</f>
        <v>55350</v>
      </c>
      <c r="H92" s="205">
        <v>0.55000000000000004</v>
      </c>
      <c r="I92" s="203">
        <f>'UNPBF_FC-3007 Final Report'!U153</f>
        <v>56152.273855015454</v>
      </c>
      <c r="J92" s="206" t="s">
        <v>343</v>
      </c>
      <c r="K92" s="209" t="s">
        <v>344</v>
      </c>
      <c r="L92" s="208"/>
    </row>
    <row r="93" spans="1:12">
      <c r="A93" s="188"/>
      <c r="B93" s="201" t="s">
        <v>345</v>
      </c>
      <c r="C93" s="202"/>
      <c r="D93" s="203"/>
      <c r="E93" s="203"/>
      <c r="F93" s="203"/>
      <c r="G93" s="204">
        <f t="shared" ref="G93:G99" si="15">D93</f>
        <v>0</v>
      </c>
      <c r="H93" s="205"/>
      <c r="I93" s="203"/>
      <c r="J93" s="203"/>
      <c r="K93" s="209"/>
      <c r="L93" s="208"/>
    </row>
    <row r="94" spans="1:12">
      <c r="A94" s="188"/>
      <c r="B94" s="201" t="s">
        <v>346</v>
      </c>
      <c r="C94" s="202"/>
      <c r="D94" s="203"/>
      <c r="E94" s="203"/>
      <c r="F94" s="203"/>
      <c r="G94" s="204">
        <f t="shared" si="15"/>
        <v>0</v>
      </c>
      <c r="H94" s="205"/>
      <c r="I94" s="203"/>
      <c r="J94" s="203"/>
      <c r="K94" s="209"/>
      <c r="L94" s="208"/>
    </row>
    <row r="95" spans="1:12">
      <c r="A95" s="188"/>
      <c r="B95" s="201" t="s">
        <v>347</v>
      </c>
      <c r="C95" s="202"/>
      <c r="D95" s="203"/>
      <c r="E95" s="203"/>
      <c r="F95" s="203"/>
      <c r="G95" s="204">
        <f t="shared" si="15"/>
        <v>0</v>
      </c>
      <c r="H95" s="205"/>
      <c r="I95" s="203"/>
      <c r="J95" s="203"/>
      <c r="K95" s="209"/>
      <c r="L95" s="208"/>
    </row>
    <row r="96" spans="1:12">
      <c r="A96" s="188"/>
      <c r="B96" s="201" t="s">
        <v>348</v>
      </c>
      <c r="C96" s="202"/>
      <c r="D96" s="203"/>
      <c r="E96" s="203"/>
      <c r="F96" s="203"/>
      <c r="G96" s="204">
        <f t="shared" si="15"/>
        <v>0</v>
      </c>
      <c r="H96" s="205"/>
      <c r="I96" s="203"/>
      <c r="J96" s="203"/>
      <c r="K96" s="209"/>
      <c r="L96" s="208"/>
    </row>
    <row r="97" spans="1:12">
      <c r="A97" s="188"/>
      <c r="B97" s="201" t="s">
        <v>349</v>
      </c>
      <c r="C97" s="202"/>
      <c r="D97" s="203"/>
      <c r="E97" s="203"/>
      <c r="F97" s="203"/>
      <c r="G97" s="204">
        <f t="shared" si="15"/>
        <v>0</v>
      </c>
      <c r="H97" s="205"/>
      <c r="I97" s="203"/>
      <c r="J97" s="203"/>
      <c r="K97" s="209"/>
      <c r="L97" s="208"/>
    </row>
    <row r="98" spans="1:12">
      <c r="A98" s="188"/>
      <c r="B98" s="201" t="s">
        <v>350</v>
      </c>
      <c r="C98" s="210"/>
      <c r="D98" s="206"/>
      <c r="E98" s="206"/>
      <c r="F98" s="206"/>
      <c r="G98" s="204">
        <f t="shared" si="15"/>
        <v>0</v>
      </c>
      <c r="H98" s="211"/>
      <c r="I98" s="206"/>
      <c r="J98" s="206"/>
      <c r="K98" s="212"/>
      <c r="L98" s="208"/>
    </row>
    <row r="99" spans="1:12">
      <c r="A99" s="188"/>
      <c r="B99" s="201" t="s">
        <v>351</v>
      </c>
      <c r="C99" s="210"/>
      <c r="D99" s="206"/>
      <c r="E99" s="206"/>
      <c r="F99" s="206"/>
      <c r="G99" s="204">
        <f t="shared" si="15"/>
        <v>0</v>
      </c>
      <c r="H99" s="211"/>
      <c r="I99" s="206"/>
      <c r="J99" s="206"/>
      <c r="K99" s="212"/>
      <c r="L99" s="208"/>
    </row>
    <row r="100" spans="1:12">
      <c r="A100" s="188"/>
      <c r="B100" s="188"/>
      <c r="C100" s="198" t="s">
        <v>253</v>
      </c>
      <c r="D100" s="214">
        <f>SUM(D92:D99)</f>
        <v>55350</v>
      </c>
      <c r="E100" s="214">
        <f t="shared" ref="E100:G100" si="16">SUM(E92:E99)</f>
        <v>0</v>
      </c>
      <c r="F100" s="214">
        <f t="shared" si="16"/>
        <v>0</v>
      </c>
      <c r="G100" s="217">
        <f t="shared" si="16"/>
        <v>55350</v>
      </c>
      <c r="H100" s="214">
        <f>(H92*G92)+(H93*G93)+(H94*G94)+(H95*G95)+(H96*G96)+(H97*G97)+(H98*G98)+(H99*G99)</f>
        <v>30442.500000000004</v>
      </c>
      <c r="I100" s="214">
        <f>SUM(I92:I99)</f>
        <v>56152.273855015454</v>
      </c>
      <c r="J100" s="215"/>
      <c r="K100" s="212"/>
      <c r="L100" s="216"/>
    </row>
    <row r="101" spans="1:12">
      <c r="A101" s="188"/>
      <c r="B101" s="198" t="s">
        <v>352</v>
      </c>
      <c r="C101" s="380" t="s">
        <v>353</v>
      </c>
      <c r="D101" s="380"/>
      <c r="E101" s="380"/>
      <c r="F101" s="380"/>
      <c r="G101" s="380"/>
      <c r="H101" s="380"/>
      <c r="I101" s="381"/>
      <c r="J101" s="381"/>
      <c r="K101" s="380"/>
      <c r="L101" s="200"/>
    </row>
    <row r="102" spans="1:12" ht="31.5">
      <c r="A102" s="188"/>
      <c r="B102" s="201" t="s">
        <v>354</v>
      </c>
      <c r="C102" s="202" t="s">
        <v>153</v>
      </c>
      <c r="D102" s="203">
        <f>'UNPBF_FC-3007 Final Report'!J167</f>
        <v>18230</v>
      </c>
      <c r="E102" s="203"/>
      <c r="F102" s="203"/>
      <c r="G102" s="204">
        <f>D102</f>
        <v>18230</v>
      </c>
      <c r="H102" s="205">
        <v>0.5</v>
      </c>
      <c r="I102" s="203">
        <f>'UNPBF_FC-3007 Final Report'!U167</f>
        <v>18609.150000000001</v>
      </c>
      <c r="J102" s="203" t="s">
        <v>303</v>
      </c>
      <c r="K102" s="209" t="s">
        <v>355</v>
      </c>
      <c r="L102" s="208"/>
    </row>
    <row r="103" spans="1:12">
      <c r="A103" s="188"/>
      <c r="B103" s="201" t="s">
        <v>356</v>
      </c>
      <c r="C103" s="202"/>
      <c r="D103" s="203"/>
      <c r="E103" s="203"/>
      <c r="F103" s="203"/>
      <c r="G103" s="204">
        <f t="shared" ref="G103:G109" si="17">D103</f>
        <v>0</v>
      </c>
      <c r="H103" s="205"/>
      <c r="I103" s="203"/>
      <c r="J103" s="203"/>
      <c r="K103" s="209"/>
      <c r="L103" s="208"/>
    </row>
    <row r="104" spans="1:12">
      <c r="A104" s="188"/>
      <c r="B104" s="201" t="s">
        <v>357</v>
      </c>
      <c r="C104" s="202"/>
      <c r="D104" s="203"/>
      <c r="E104" s="203"/>
      <c r="F104" s="203"/>
      <c r="G104" s="204">
        <f t="shared" si="17"/>
        <v>0</v>
      </c>
      <c r="H104" s="205"/>
      <c r="I104" s="203"/>
      <c r="J104" s="203"/>
      <c r="K104" s="209"/>
      <c r="L104" s="208"/>
    </row>
    <row r="105" spans="1:12">
      <c r="A105" s="188"/>
      <c r="B105" s="201" t="s">
        <v>358</v>
      </c>
      <c r="C105" s="202"/>
      <c r="D105" s="203"/>
      <c r="E105" s="203"/>
      <c r="F105" s="203"/>
      <c r="G105" s="204">
        <f t="shared" si="17"/>
        <v>0</v>
      </c>
      <c r="H105" s="205"/>
      <c r="I105" s="203"/>
      <c r="J105" s="203"/>
      <c r="K105" s="209"/>
      <c r="L105" s="208"/>
    </row>
    <row r="106" spans="1:12">
      <c r="A106" s="188"/>
      <c r="B106" s="201" t="s">
        <v>359</v>
      </c>
      <c r="C106" s="202"/>
      <c r="D106" s="203"/>
      <c r="E106" s="203"/>
      <c r="F106" s="203"/>
      <c r="G106" s="204">
        <f t="shared" si="17"/>
        <v>0</v>
      </c>
      <c r="H106" s="205"/>
      <c r="I106" s="203"/>
      <c r="J106" s="203"/>
      <c r="K106" s="209"/>
      <c r="L106" s="208"/>
    </row>
    <row r="107" spans="1:12">
      <c r="A107" s="188"/>
      <c r="B107" s="201" t="s">
        <v>360</v>
      </c>
      <c r="C107" s="202"/>
      <c r="D107" s="203"/>
      <c r="E107" s="203"/>
      <c r="F107" s="203"/>
      <c r="G107" s="204">
        <f t="shared" si="17"/>
        <v>0</v>
      </c>
      <c r="H107" s="205"/>
      <c r="I107" s="203"/>
      <c r="J107" s="203"/>
      <c r="K107" s="209"/>
      <c r="L107" s="208"/>
    </row>
    <row r="108" spans="1:12">
      <c r="A108" s="188"/>
      <c r="B108" s="201" t="s">
        <v>361</v>
      </c>
      <c r="C108" s="210"/>
      <c r="D108" s="206"/>
      <c r="E108" s="206"/>
      <c r="F108" s="206"/>
      <c r="G108" s="204">
        <f t="shared" si="17"/>
        <v>0</v>
      </c>
      <c r="H108" s="211"/>
      <c r="I108" s="206"/>
      <c r="J108" s="206"/>
      <c r="K108" s="212"/>
      <c r="L108" s="208"/>
    </row>
    <row r="109" spans="1:12">
      <c r="A109" s="188"/>
      <c r="B109" s="201" t="s">
        <v>362</v>
      </c>
      <c r="C109" s="210"/>
      <c r="D109" s="206"/>
      <c r="E109" s="206"/>
      <c r="F109" s="206"/>
      <c r="G109" s="204">
        <f t="shared" si="17"/>
        <v>0</v>
      </c>
      <c r="H109" s="211"/>
      <c r="I109" s="206"/>
      <c r="J109" s="206"/>
      <c r="K109" s="212"/>
      <c r="L109" s="208"/>
    </row>
    <row r="110" spans="1:12">
      <c r="A110" s="188"/>
      <c r="B110" s="188"/>
      <c r="C110" s="198" t="s">
        <v>253</v>
      </c>
      <c r="D110" s="217">
        <f>SUM(D102:D109)</f>
        <v>18230</v>
      </c>
      <c r="E110" s="217">
        <f t="shared" ref="E110:G110" si="18">SUM(E102:E109)</f>
        <v>0</v>
      </c>
      <c r="F110" s="217">
        <f t="shared" si="18"/>
        <v>0</v>
      </c>
      <c r="G110" s="217">
        <f t="shared" si="18"/>
        <v>18230</v>
      </c>
      <c r="H110" s="214">
        <f>(H102*G102)+(H103*G103)+(H104*G104)+(H105*G105)+(H106*G106)+(H107*G107)+(H108*G108)+(H109*G109)</f>
        <v>9115</v>
      </c>
      <c r="I110" s="214">
        <f>SUM(I102:I109)</f>
        <v>18609.150000000001</v>
      </c>
      <c r="J110" s="215"/>
      <c r="K110" s="212"/>
      <c r="L110" s="216"/>
    </row>
    <row r="111" spans="1:12">
      <c r="A111" s="188"/>
      <c r="B111" s="198" t="s">
        <v>363</v>
      </c>
      <c r="C111" s="380" t="s">
        <v>364</v>
      </c>
      <c r="D111" s="380"/>
      <c r="E111" s="380"/>
      <c r="F111" s="380"/>
      <c r="G111" s="380"/>
      <c r="H111" s="380"/>
      <c r="I111" s="381"/>
      <c r="J111" s="381"/>
      <c r="K111" s="380"/>
      <c r="L111" s="200"/>
    </row>
    <row r="112" spans="1:12" ht="42">
      <c r="A112" s="188"/>
      <c r="B112" s="201" t="s">
        <v>365</v>
      </c>
      <c r="C112" s="202" t="s">
        <v>164</v>
      </c>
      <c r="D112" s="203">
        <f>'UNPBF_FC-3007 Final Report'!I190</f>
        <v>30790</v>
      </c>
      <c r="E112" s="203"/>
      <c r="F112" s="203"/>
      <c r="G112" s="204">
        <f>D112</f>
        <v>30790</v>
      </c>
      <c r="H112" s="205">
        <v>0.5</v>
      </c>
      <c r="I112" s="203">
        <f>'UNPBF_FC-3007 Final Report'!U190</f>
        <v>36113.830703179599</v>
      </c>
      <c r="J112" s="203" t="s">
        <v>303</v>
      </c>
      <c r="K112" s="207" t="s">
        <v>366</v>
      </c>
      <c r="L112" s="208"/>
    </row>
    <row r="113" spans="1:12">
      <c r="A113" s="188"/>
      <c r="B113" s="201" t="s">
        <v>367</v>
      </c>
      <c r="C113" s="202"/>
      <c r="D113" s="203"/>
      <c r="E113" s="203"/>
      <c r="F113" s="203"/>
      <c r="G113" s="204">
        <f t="shared" ref="G113:G119" si="19">D113</f>
        <v>0</v>
      </c>
      <c r="H113" s="205"/>
      <c r="I113" s="203"/>
      <c r="J113" s="203"/>
      <c r="K113" s="209"/>
      <c r="L113" s="208"/>
    </row>
    <row r="114" spans="1:12">
      <c r="A114" s="188"/>
      <c r="B114" s="201" t="s">
        <v>368</v>
      </c>
      <c r="C114" s="202"/>
      <c r="D114" s="203"/>
      <c r="E114" s="203"/>
      <c r="F114" s="203"/>
      <c r="G114" s="204">
        <f t="shared" si="19"/>
        <v>0</v>
      </c>
      <c r="H114" s="205"/>
      <c r="I114" s="203"/>
      <c r="J114" s="203"/>
      <c r="K114" s="209"/>
      <c r="L114" s="208"/>
    </row>
    <row r="115" spans="1:12">
      <c r="A115" s="188"/>
      <c r="B115" s="201" t="s">
        <v>369</v>
      </c>
      <c r="C115" s="202"/>
      <c r="D115" s="203"/>
      <c r="E115" s="203"/>
      <c r="F115" s="203"/>
      <c r="G115" s="204">
        <f t="shared" si="19"/>
        <v>0</v>
      </c>
      <c r="H115" s="205"/>
      <c r="I115" s="203"/>
      <c r="J115" s="203"/>
      <c r="K115" s="209"/>
      <c r="L115" s="208"/>
    </row>
    <row r="116" spans="1:12">
      <c r="A116" s="188"/>
      <c r="B116" s="201" t="s">
        <v>370</v>
      </c>
      <c r="C116" s="202"/>
      <c r="D116" s="203"/>
      <c r="E116" s="203"/>
      <c r="F116" s="203"/>
      <c r="G116" s="204">
        <f t="shared" si="19"/>
        <v>0</v>
      </c>
      <c r="H116" s="205"/>
      <c r="I116" s="203"/>
      <c r="J116" s="203"/>
      <c r="K116" s="209"/>
      <c r="L116" s="208"/>
    </row>
    <row r="117" spans="1:12">
      <c r="A117" s="188"/>
      <c r="B117" s="201" t="s">
        <v>371</v>
      </c>
      <c r="C117" s="202"/>
      <c r="D117" s="203"/>
      <c r="E117" s="203"/>
      <c r="F117" s="203"/>
      <c r="G117" s="204">
        <f t="shared" si="19"/>
        <v>0</v>
      </c>
      <c r="H117" s="205"/>
      <c r="I117" s="203"/>
      <c r="J117" s="203"/>
      <c r="K117" s="209"/>
      <c r="L117" s="208"/>
    </row>
    <row r="118" spans="1:12">
      <c r="A118" s="188"/>
      <c r="B118" s="201" t="s">
        <v>372</v>
      </c>
      <c r="C118" s="210"/>
      <c r="D118" s="206"/>
      <c r="E118" s="206"/>
      <c r="F118" s="206"/>
      <c r="G118" s="204">
        <f t="shared" si="19"/>
        <v>0</v>
      </c>
      <c r="H118" s="211"/>
      <c r="I118" s="206"/>
      <c r="J118" s="206"/>
      <c r="K118" s="212"/>
      <c r="L118" s="208"/>
    </row>
    <row r="119" spans="1:12">
      <c r="A119" s="188"/>
      <c r="B119" s="201" t="s">
        <v>373</v>
      </c>
      <c r="C119" s="210"/>
      <c r="D119" s="206"/>
      <c r="E119" s="206"/>
      <c r="F119" s="206"/>
      <c r="G119" s="204">
        <f t="shared" si="19"/>
        <v>0</v>
      </c>
      <c r="H119" s="211"/>
      <c r="I119" s="206"/>
      <c r="J119" s="206"/>
      <c r="K119" s="212"/>
      <c r="L119" s="208"/>
    </row>
    <row r="120" spans="1:12">
      <c r="A120" s="188"/>
      <c r="B120" s="188"/>
      <c r="C120" s="198" t="s">
        <v>253</v>
      </c>
      <c r="D120" s="217">
        <f>SUM(D112:D119)</f>
        <v>30790</v>
      </c>
      <c r="E120" s="217">
        <f t="shared" ref="E120:G120" si="20">SUM(E112:E119)</f>
        <v>0</v>
      </c>
      <c r="F120" s="217">
        <f t="shared" si="20"/>
        <v>0</v>
      </c>
      <c r="G120" s="217">
        <f t="shared" si="20"/>
        <v>30790</v>
      </c>
      <c r="H120" s="214">
        <f>(H112*G112)+(H113*G113)+(H114*G114)+(H115*G115)+(H116*G116)+(H117*G117)+(H118*G118)+(H119*G119)</f>
        <v>15395</v>
      </c>
      <c r="I120" s="214">
        <f>SUM(I112:I119)</f>
        <v>36113.830703179599</v>
      </c>
      <c r="J120" s="215"/>
      <c r="K120" s="212"/>
      <c r="L120" s="216"/>
    </row>
    <row r="121" spans="1:12">
      <c r="A121" s="188"/>
      <c r="B121" s="198" t="s">
        <v>374</v>
      </c>
      <c r="C121" s="380"/>
      <c r="D121" s="380"/>
      <c r="E121" s="380"/>
      <c r="F121" s="380"/>
      <c r="G121" s="380"/>
      <c r="H121" s="380"/>
      <c r="I121" s="381"/>
      <c r="J121" s="381"/>
      <c r="K121" s="380"/>
      <c r="L121" s="200"/>
    </row>
    <row r="122" spans="1:12">
      <c r="A122" s="188"/>
      <c r="B122" s="201" t="s">
        <v>375</v>
      </c>
      <c r="C122" s="202" t="s">
        <v>376</v>
      </c>
      <c r="D122" s="203"/>
      <c r="E122" s="203"/>
      <c r="F122" s="203"/>
      <c r="G122" s="204">
        <f>D122</f>
        <v>0</v>
      </c>
      <c r="H122" s="205"/>
      <c r="I122" s="203">
        <f>'UNPBF_FC-3007 Final Report'!U218</f>
        <v>8052.0777389121095</v>
      </c>
      <c r="J122" s="203"/>
      <c r="K122" s="209"/>
      <c r="L122" s="208"/>
    </row>
    <row r="123" spans="1:12">
      <c r="A123" s="188"/>
      <c r="B123" s="201" t="s">
        <v>377</v>
      </c>
      <c r="C123" s="202"/>
      <c r="D123" s="203"/>
      <c r="E123" s="203"/>
      <c r="F123" s="203"/>
      <c r="G123" s="204">
        <f t="shared" ref="G123:G129" si="21">D123</f>
        <v>0</v>
      </c>
      <c r="H123" s="205"/>
      <c r="I123" s="203"/>
      <c r="J123" s="203"/>
      <c r="K123" s="209"/>
      <c r="L123" s="208"/>
    </row>
    <row r="124" spans="1:12">
      <c r="A124" s="188"/>
      <c r="B124" s="201" t="s">
        <v>378</v>
      </c>
      <c r="C124" s="202"/>
      <c r="D124" s="203"/>
      <c r="E124" s="203"/>
      <c r="F124" s="203"/>
      <c r="G124" s="204">
        <f t="shared" si="21"/>
        <v>0</v>
      </c>
      <c r="H124" s="205"/>
      <c r="I124" s="203"/>
      <c r="J124" s="203"/>
      <c r="K124" s="209"/>
      <c r="L124" s="208"/>
    </row>
    <row r="125" spans="1:12">
      <c r="A125" s="188"/>
      <c r="B125" s="201" t="s">
        <v>379</v>
      </c>
      <c r="C125" s="202"/>
      <c r="D125" s="203"/>
      <c r="E125" s="203"/>
      <c r="F125" s="203"/>
      <c r="G125" s="204">
        <f t="shared" si="21"/>
        <v>0</v>
      </c>
      <c r="H125" s="205"/>
      <c r="I125" s="203"/>
      <c r="J125" s="203"/>
      <c r="K125" s="209"/>
      <c r="L125" s="208"/>
    </row>
    <row r="126" spans="1:12">
      <c r="A126" s="188"/>
      <c r="B126" s="201" t="s">
        <v>380</v>
      </c>
      <c r="C126" s="202"/>
      <c r="D126" s="203"/>
      <c r="E126" s="203"/>
      <c r="F126" s="203"/>
      <c r="G126" s="204">
        <f t="shared" si="21"/>
        <v>0</v>
      </c>
      <c r="H126" s="205"/>
      <c r="I126" s="203"/>
      <c r="J126" s="203"/>
      <c r="K126" s="209"/>
      <c r="L126" s="208"/>
    </row>
    <row r="127" spans="1:12">
      <c r="A127" s="188"/>
      <c r="B127" s="201" t="s">
        <v>381</v>
      </c>
      <c r="C127" s="202"/>
      <c r="D127" s="203"/>
      <c r="E127" s="203"/>
      <c r="F127" s="203"/>
      <c r="G127" s="204">
        <f t="shared" si="21"/>
        <v>0</v>
      </c>
      <c r="H127" s="205"/>
      <c r="I127" s="203"/>
      <c r="J127" s="203"/>
      <c r="K127" s="209"/>
      <c r="L127" s="208"/>
    </row>
    <row r="128" spans="1:12">
      <c r="A128" s="188"/>
      <c r="B128" s="201" t="s">
        <v>382</v>
      </c>
      <c r="C128" s="210"/>
      <c r="D128" s="206"/>
      <c r="E128" s="206"/>
      <c r="F128" s="206"/>
      <c r="G128" s="204">
        <f t="shared" si="21"/>
        <v>0</v>
      </c>
      <c r="H128" s="211"/>
      <c r="I128" s="206"/>
      <c r="J128" s="206"/>
      <c r="K128" s="212"/>
      <c r="L128" s="208"/>
    </row>
    <row r="129" spans="1:12">
      <c r="A129" s="188"/>
      <c r="B129" s="201" t="s">
        <v>383</v>
      </c>
      <c r="C129" s="210"/>
      <c r="D129" s="206"/>
      <c r="E129" s="206"/>
      <c r="F129" s="206"/>
      <c r="G129" s="204">
        <f t="shared" si="21"/>
        <v>0</v>
      </c>
      <c r="H129" s="211"/>
      <c r="I129" s="206"/>
      <c r="J129" s="206"/>
      <c r="K129" s="212"/>
      <c r="L129" s="208"/>
    </row>
    <row r="130" spans="1:12">
      <c r="A130" s="188"/>
      <c r="B130" s="188"/>
      <c r="C130" s="198" t="s">
        <v>253</v>
      </c>
      <c r="D130" s="214">
        <f>SUM(D122:D129)</f>
        <v>0</v>
      </c>
      <c r="E130" s="214">
        <f t="shared" ref="E130:G130" si="22">SUM(E122:E129)</f>
        <v>0</v>
      </c>
      <c r="F130" s="214">
        <f t="shared" si="22"/>
        <v>0</v>
      </c>
      <c r="G130" s="214">
        <f t="shared" si="22"/>
        <v>0</v>
      </c>
      <c r="H130" s="214">
        <f>(H122*G122)+(H123*G123)+(H124*G124)+(H125*G125)+(H126*G126)+(H127*G127)+(H128*G128)+(H129*G129)</f>
        <v>0</v>
      </c>
      <c r="I130" s="214">
        <f>SUM(I122:I129)</f>
        <v>8052.0777389121095</v>
      </c>
      <c r="J130" s="215"/>
      <c r="K130" s="212"/>
      <c r="L130" s="216"/>
    </row>
    <row r="131" spans="1:12">
      <c r="A131" s="188"/>
      <c r="B131" s="221"/>
      <c r="C131" s="218"/>
      <c r="D131" s="222"/>
      <c r="E131" s="222"/>
      <c r="F131" s="222"/>
      <c r="G131" s="222"/>
      <c r="H131" s="222"/>
      <c r="I131" s="222"/>
      <c r="J131" s="222"/>
      <c r="K131" s="224"/>
      <c r="L131" s="223"/>
    </row>
    <row r="132" spans="1:12">
      <c r="A132" s="188"/>
      <c r="B132" s="198" t="s">
        <v>384</v>
      </c>
      <c r="C132" s="393"/>
      <c r="D132" s="393"/>
      <c r="E132" s="393"/>
      <c r="F132" s="393"/>
      <c r="G132" s="393"/>
      <c r="H132" s="393"/>
      <c r="I132" s="394"/>
      <c r="J132" s="394"/>
      <c r="K132" s="393"/>
      <c r="L132" s="199"/>
    </row>
    <row r="133" spans="1:12">
      <c r="A133" s="188"/>
      <c r="B133" s="198" t="s">
        <v>385</v>
      </c>
      <c r="C133" s="380"/>
      <c r="D133" s="380"/>
      <c r="E133" s="380"/>
      <c r="F133" s="380"/>
      <c r="G133" s="380"/>
      <c r="H133" s="380"/>
      <c r="I133" s="381"/>
      <c r="J133" s="381"/>
      <c r="K133" s="380"/>
      <c r="L133" s="200"/>
    </row>
    <row r="134" spans="1:12">
      <c r="A134" s="188"/>
      <c r="B134" s="201" t="s">
        <v>386</v>
      </c>
      <c r="C134" s="202"/>
      <c r="D134" s="203"/>
      <c r="E134" s="203"/>
      <c r="F134" s="203"/>
      <c r="G134" s="204">
        <f>D134</f>
        <v>0</v>
      </c>
      <c r="H134" s="205"/>
      <c r="I134" s="203"/>
      <c r="J134" s="203"/>
      <c r="K134" s="209"/>
      <c r="L134" s="208"/>
    </row>
    <row r="135" spans="1:12">
      <c r="A135" s="188"/>
      <c r="B135" s="201" t="s">
        <v>387</v>
      </c>
      <c r="C135" s="202"/>
      <c r="D135" s="203"/>
      <c r="E135" s="203"/>
      <c r="F135" s="203"/>
      <c r="G135" s="204">
        <f t="shared" ref="G135:G141" si="23">D135</f>
        <v>0</v>
      </c>
      <c r="H135" s="205"/>
      <c r="I135" s="203"/>
      <c r="J135" s="203"/>
      <c r="K135" s="209"/>
      <c r="L135" s="208"/>
    </row>
    <row r="136" spans="1:12">
      <c r="A136" s="188"/>
      <c r="B136" s="201" t="s">
        <v>388</v>
      </c>
      <c r="C136" s="202"/>
      <c r="D136" s="203"/>
      <c r="E136" s="203"/>
      <c r="F136" s="203"/>
      <c r="G136" s="204">
        <f t="shared" si="23"/>
        <v>0</v>
      </c>
      <c r="H136" s="205"/>
      <c r="I136" s="203"/>
      <c r="J136" s="203"/>
      <c r="K136" s="209"/>
      <c r="L136" s="208"/>
    </row>
    <row r="137" spans="1:12">
      <c r="A137" s="188"/>
      <c r="B137" s="201" t="s">
        <v>389</v>
      </c>
      <c r="C137" s="202"/>
      <c r="D137" s="203"/>
      <c r="E137" s="203"/>
      <c r="F137" s="203"/>
      <c r="G137" s="204">
        <f t="shared" si="23"/>
        <v>0</v>
      </c>
      <c r="H137" s="205"/>
      <c r="I137" s="203"/>
      <c r="J137" s="203"/>
      <c r="K137" s="209"/>
      <c r="L137" s="208"/>
    </row>
    <row r="138" spans="1:12">
      <c r="A138" s="188"/>
      <c r="B138" s="201" t="s">
        <v>390</v>
      </c>
      <c r="C138" s="202"/>
      <c r="D138" s="203"/>
      <c r="E138" s="203"/>
      <c r="F138" s="203"/>
      <c r="G138" s="204">
        <f t="shared" si="23"/>
        <v>0</v>
      </c>
      <c r="H138" s="205"/>
      <c r="I138" s="203"/>
      <c r="J138" s="203"/>
      <c r="K138" s="209"/>
      <c r="L138" s="208"/>
    </row>
    <row r="139" spans="1:12">
      <c r="A139" s="188"/>
      <c r="B139" s="201" t="s">
        <v>391</v>
      </c>
      <c r="C139" s="202"/>
      <c r="D139" s="203"/>
      <c r="E139" s="203"/>
      <c r="F139" s="203"/>
      <c r="G139" s="204">
        <f t="shared" si="23"/>
        <v>0</v>
      </c>
      <c r="H139" s="205"/>
      <c r="I139" s="203"/>
      <c r="J139" s="203"/>
      <c r="K139" s="209"/>
      <c r="L139" s="208"/>
    </row>
    <row r="140" spans="1:12">
      <c r="A140" s="188"/>
      <c r="B140" s="201" t="s">
        <v>392</v>
      </c>
      <c r="C140" s="210"/>
      <c r="D140" s="206"/>
      <c r="E140" s="206"/>
      <c r="F140" s="206"/>
      <c r="G140" s="204">
        <f t="shared" si="23"/>
        <v>0</v>
      </c>
      <c r="H140" s="211"/>
      <c r="I140" s="206"/>
      <c r="J140" s="206"/>
      <c r="K140" s="212"/>
      <c r="L140" s="208"/>
    </row>
    <row r="141" spans="1:12">
      <c r="A141" s="188"/>
      <c r="B141" s="201" t="s">
        <v>393</v>
      </c>
      <c r="C141" s="210"/>
      <c r="D141" s="206"/>
      <c r="E141" s="206"/>
      <c r="F141" s="206"/>
      <c r="G141" s="204">
        <f t="shared" si="23"/>
        <v>0</v>
      </c>
      <c r="H141" s="211"/>
      <c r="I141" s="206"/>
      <c r="J141" s="206"/>
      <c r="K141" s="212"/>
      <c r="L141" s="208"/>
    </row>
    <row r="142" spans="1:12">
      <c r="A142" s="188"/>
      <c r="B142" s="188"/>
      <c r="C142" s="198" t="s">
        <v>253</v>
      </c>
      <c r="D142" s="214">
        <f>SUM(D134:D141)</f>
        <v>0</v>
      </c>
      <c r="E142" s="214">
        <f t="shared" ref="E142:G142" si="24">SUM(E134:E141)</f>
        <v>0</v>
      </c>
      <c r="F142" s="214">
        <f t="shared" si="24"/>
        <v>0</v>
      </c>
      <c r="G142" s="217">
        <f t="shared" si="24"/>
        <v>0</v>
      </c>
      <c r="H142" s="214">
        <f>(H134*G134)+(H135*G135)+(H136*G136)+(H137*G137)+(H138*G138)+(H139*G139)+(H140*G140)+(H141*G141)</f>
        <v>0</v>
      </c>
      <c r="I142" s="214">
        <f>SUM(I134:I141)</f>
        <v>0</v>
      </c>
      <c r="J142" s="215"/>
      <c r="K142" s="212"/>
      <c r="L142" s="216"/>
    </row>
    <row r="143" spans="1:12">
      <c r="A143" s="188"/>
      <c r="B143" s="198" t="s">
        <v>394</v>
      </c>
      <c r="C143" s="380"/>
      <c r="D143" s="380"/>
      <c r="E143" s="380"/>
      <c r="F143" s="380"/>
      <c r="G143" s="380"/>
      <c r="H143" s="380"/>
      <c r="I143" s="381"/>
      <c r="J143" s="381"/>
      <c r="K143" s="380"/>
      <c r="L143" s="200"/>
    </row>
    <row r="144" spans="1:12">
      <c r="A144" s="188"/>
      <c r="B144" s="201" t="s">
        <v>395</v>
      </c>
      <c r="C144" s="202"/>
      <c r="D144" s="203"/>
      <c r="E144" s="203"/>
      <c r="F144" s="203"/>
      <c r="G144" s="204">
        <f>D144</f>
        <v>0</v>
      </c>
      <c r="H144" s="205"/>
      <c r="I144" s="203"/>
      <c r="J144" s="203"/>
      <c r="K144" s="209"/>
      <c r="L144" s="208"/>
    </row>
    <row r="145" spans="1:12">
      <c r="A145" s="188"/>
      <c r="B145" s="201" t="s">
        <v>396</v>
      </c>
      <c r="C145" s="202"/>
      <c r="D145" s="203"/>
      <c r="E145" s="203"/>
      <c r="F145" s="203"/>
      <c r="G145" s="204">
        <f t="shared" ref="G145:G151" si="25">D145</f>
        <v>0</v>
      </c>
      <c r="H145" s="205"/>
      <c r="I145" s="203"/>
      <c r="J145" s="203"/>
      <c r="K145" s="209"/>
      <c r="L145" s="208"/>
    </row>
    <row r="146" spans="1:12">
      <c r="A146" s="188"/>
      <c r="B146" s="201" t="s">
        <v>397</v>
      </c>
      <c r="C146" s="202"/>
      <c r="D146" s="203"/>
      <c r="E146" s="203"/>
      <c r="F146" s="203"/>
      <c r="G146" s="204">
        <f t="shared" si="25"/>
        <v>0</v>
      </c>
      <c r="H146" s="205"/>
      <c r="I146" s="203"/>
      <c r="J146" s="203"/>
      <c r="K146" s="209"/>
      <c r="L146" s="208"/>
    </row>
    <row r="147" spans="1:12">
      <c r="A147" s="188"/>
      <c r="B147" s="201" t="s">
        <v>398</v>
      </c>
      <c r="C147" s="202"/>
      <c r="D147" s="203"/>
      <c r="E147" s="203"/>
      <c r="F147" s="203"/>
      <c r="G147" s="204">
        <f t="shared" si="25"/>
        <v>0</v>
      </c>
      <c r="H147" s="205"/>
      <c r="I147" s="203"/>
      <c r="J147" s="203"/>
      <c r="K147" s="209"/>
      <c r="L147" s="208"/>
    </row>
    <row r="148" spans="1:12">
      <c r="A148" s="188"/>
      <c r="B148" s="201" t="s">
        <v>399</v>
      </c>
      <c r="C148" s="202"/>
      <c r="D148" s="203"/>
      <c r="E148" s="203"/>
      <c r="F148" s="203"/>
      <c r="G148" s="204">
        <f t="shared" si="25"/>
        <v>0</v>
      </c>
      <c r="H148" s="205"/>
      <c r="I148" s="203"/>
      <c r="J148" s="203"/>
      <c r="K148" s="209"/>
      <c r="L148" s="208"/>
    </row>
    <row r="149" spans="1:12">
      <c r="A149" s="188"/>
      <c r="B149" s="201" t="s">
        <v>400</v>
      </c>
      <c r="C149" s="202"/>
      <c r="D149" s="203"/>
      <c r="E149" s="203"/>
      <c r="F149" s="203"/>
      <c r="G149" s="204">
        <f t="shared" si="25"/>
        <v>0</v>
      </c>
      <c r="H149" s="205"/>
      <c r="I149" s="203"/>
      <c r="J149" s="203"/>
      <c r="K149" s="209"/>
      <c r="L149" s="208"/>
    </row>
    <row r="150" spans="1:12">
      <c r="A150" s="188"/>
      <c r="B150" s="201" t="s">
        <v>401</v>
      </c>
      <c r="C150" s="210"/>
      <c r="D150" s="206"/>
      <c r="E150" s="206"/>
      <c r="F150" s="206"/>
      <c r="G150" s="204">
        <f t="shared" si="25"/>
        <v>0</v>
      </c>
      <c r="H150" s="211"/>
      <c r="I150" s="206"/>
      <c r="J150" s="206"/>
      <c r="K150" s="212"/>
      <c r="L150" s="208"/>
    </row>
    <row r="151" spans="1:12">
      <c r="A151" s="188"/>
      <c r="B151" s="201" t="s">
        <v>402</v>
      </c>
      <c r="C151" s="210"/>
      <c r="D151" s="206"/>
      <c r="E151" s="206"/>
      <c r="F151" s="206"/>
      <c r="G151" s="204">
        <f t="shared" si="25"/>
        <v>0</v>
      </c>
      <c r="H151" s="211"/>
      <c r="I151" s="206"/>
      <c r="J151" s="206"/>
      <c r="K151" s="212"/>
      <c r="L151" s="208"/>
    </row>
    <row r="152" spans="1:12">
      <c r="A152" s="188"/>
      <c r="B152" s="188"/>
      <c r="C152" s="198" t="s">
        <v>253</v>
      </c>
      <c r="D152" s="217">
        <f>SUM(D144:D151)</f>
        <v>0</v>
      </c>
      <c r="E152" s="217">
        <f t="shared" ref="E152:G152" si="26">SUM(E144:E151)</f>
        <v>0</v>
      </c>
      <c r="F152" s="217">
        <f t="shared" si="26"/>
        <v>0</v>
      </c>
      <c r="G152" s="217">
        <f t="shared" si="26"/>
        <v>0</v>
      </c>
      <c r="H152" s="214">
        <f>(H144*G144)+(H145*G145)+(H146*G146)+(H147*G147)+(H148*G148)+(H149*G149)+(H150*G150)+(H151*G151)</f>
        <v>0</v>
      </c>
      <c r="I152" s="214">
        <f>SUM(I144:I151)</f>
        <v>0</v>
      </c>
      <c r="J152" s="215"/>
      <c r="K152" s="212"/>
      <c r="L152" s="216"/>
    </row>
    <row r="153" spans="1:12">
      <c r="A153" s="188"/>
      <c r="B153" s="198" t="s">
        <v>403</v>
      </c>
      <c r="C153" s="380"/>
      <c r="D153" s="380"/>
      <c r="E153" s="380"/>
      <c r="F153" s="380"/>
      <c r="G153" s="380"/>
      <c r="H153" s="380"/>
      <c r="I153" s="381"/>
      <c r="J153" s="381"/>
      <c r="K153" s="380"/>
      <c r="L153" s="200"/>
    </row>
    <row r="154" spans="1:12">
      <c r="A154" s="188"/>
      <c r="B154" s="201" t="s">
        <v>404</v>
      </c>
      <c r="C154" s="202"/>
      <c r="D154" s="203"/>
      <c r="E154" s="203"/>
      <c r="F154" s="203"/>
      <c r="G154" s="204">
        <f>D154</f>
        <v>0</v>
      </c>
      <c r="H154" s="205"/>
      <c r="I154" s="203"/>
      <c r="J154" s="203"/>
      <c r="K154" s="209"/>
      <c r="L154" s="208"/>
    </row>
    <row r="155" spans="1:12">
      <c r="A155" s="188"/>
      <c r="B155" s="201" t="s">
        <v>405</v>
      </c>
      <c r="C155" s="202"/>
      <c r="D155" s="203"/>
      <c r="E155" s="203"/>
      <c r="F155" s="203"/>
      <c r="G155" s="204">
        <f t="shared" ref="G155:G161" si="27">D155</f>
        <v>0</v>
      </c>
      <c r="H155" s="205"/>
      <c r="I155" s="203"/>
      <c r="J155" s="203"/>
      <c r="K155" s="209"/>
      <c r="L155" s="208"/>
    </row>
    <row r="156" spans="1:12">
      <c r="A156" s="188"/>
      <c r="B156" s="201" t="s">
        <v>406</v>
      </c>
      <c r="C156" s="202"/>
      <c r="D156" s="203"/>
      <c r="E156" s="203"/>
      <c r="F156" s="203"/>
      <c r="G156" s="204">
        <f t="shared" si="27"/>
        <v>0</v>
      </c>
      <c r="H156" s="205"/>
      <c r="I156" s="203"/>
      <c r="J156" s="203"/>
      <c r="K156" s="209"/>
      <c r="L156" s="208"/>
    </row>
    <row r="157" spans="1:12">
      <c r="A157" s="188"/>
      <c r="B157" s="201" t="s">
        <v>407</v>
      </c>
      <c r="C157" s="202"/>
      <c r="D157" s="203"/>
      <c r="E157" s="203"/>
      <c r="F157" s="203"/>
      <c r="G157" s="204">
        <f t="shared" si="27"/>
        <v>0</v>
      </c>
      <c r="H157" s="205"/>
      <c r="I157" s="203"/>
      <c r="J157" s="203"/>
      <c r="K157" s="209"/>
      <c r="L157" s="208"/>
    </row>
    <row r="158" spans="1:12">
      <c r="A158" s="188"/>
      <c r="B158" s="201" t="s">
        <v>408</v>
      </c>
      <c r="C158" s="202"/>
      <c r="D158" s="203"/>
      <c r="E158" s="203"/>
      <c r="F158" s="203"/>
      <c r="G158" s="204">
        <f t="shared" si="27"/>
        <v>0</v>
      </c>
      <c r="H158" s="205"/>
      <c r="I158" s="203"/>
      <c r="J158" s="203"/>
      <c r="K158" s="209"/>
      <c r="L158" s="208"/>
    </row>
    <row r="159" spans="1:12">
      <c r="A159" s="188"/>
      <c r="B159" s="201" t="s">
        <v>409</v>
      </c>
      <c r="C159" s="202"/>
      <c r="D159" s="203"/>
      <c r="E159" s="203"/>
      <c r="F159" s="203"/>
      <c r="G159" s="204">
        <f t="shared" si="27"/>
        <v>0</v>
      </c>
      <c r="H159" s="205"/>
      <c r="I159" s="203"/>
      <c r="J159" s="203"/>
      <c r="K159" s="209"/>
      <c r="L159" s="208"/>
    </row>
    <row r="160" spans="1:12">
      <c r="A160" s="188"/>
      <c r="B160" s="201" t="s">
        <v>410</v>
      </c>
      <c r="C160" s="210"/>
      <c r="D160" s="206"/>
      <c r="E160" s="206"/>
      <c r="F160" s="206"/>
      <c r="G160" s="204">
        <f t="shared" si="27"/>
        <v>0</v>
      </c>
      <c r="H160" s="211"/>
      <c r="I160" s="206"/>
      <c r="J160" s="206"/>
      <c r="K160" s="212"/>
      <c r="L160" s="208"/>
    </row>
    <row r="161" spans="1:12">
      <c r="A161" s="188"/>
      <c r="B161" s="201" t="s">
        <v>411</v>
      </c>
      <c r="C161" s="210"/>
      <c r="D161" s="206"/>
      <c r="E161" s="206"/>
      <c r="F161" s="206"/>
      <c r="G161" s="204">
        <f t="shared" si="27"/>
        <v>0</v>
      </c>
      <c r="H161" s="211"/>
      <c r="I161" s="206"/>
      <c r="J161" s="206"/>
      <c r="K161" s="212"/>
      <c r="L161" s="208"/>
    </row>
    <row r="162" spans="1:12">
      <c r="A162" s="188"/>
      <c r="B162" s="188"/>
      <c r="C162" s="198" t="s">
        <v>253</v>
      </c>
      <c r="D162" s="217">
        <f>SUM(D154:D161)</f>
        <v>0</v>
      </c>
      <c r="E162" s="217">
        <f t="shared" ref="E162:G162" si="28">SUM(E154:E161)</f>
        <v>0</v>
      </c>
      <c r="F162" s="217">
        <f t="shared" si="28"/>
        <v>0</v>
      </c>
      <c r="G162" s="217">
        <f t="shared" si="28"/>
        <v>0</v>
      </c>
      <c r="H162" s="214">
        <f>(H154*G154)+(H155*G155)+(H156*G156)+(H157*G157)+(H158*G158)+(H159*G159)+(H160*G160)+(H161*G161)</f>
        <v>0</v>
      </c>
      <c r="I162" s="214">
        <f>SUM(I154:I161)</f>
        <v>0</v>
      </c>
      <c r="J162" s="215"/>
      <c r="K162" s="212"/>
      <c r="L162" s="216"/>
    </row>
    <row r="163" spans="1:12">
      <c r="A163" s="188"/>
      <c r="B163" s="198" t="s">
        <v>412</v>
      </c>
      <c r="C163" s="380"/>
      <c r="D163" s="380"/>
      <c r="E163" s="380"/>
      <c r="F163" s="380"/>
      <c r="G163" s="380"/>
      <c r="H163" s="380"/>
      <c r="I163" s="381"/>
      <c r="J163" s="381"/>
      <c r="K163" s="380"/>
      <c r="L163" s="200"/>
    </row>
    <row r="164" spans="1:12">
      <c r="A164" s="188"/>
      <c r="B164" s="201" t="s">
        <v>413</v>
      </c>
      <c r="C164" s="202"/>
      <c r="D164" s="203"/>
      <c r="E164" s="203"/>
      <c r="F164" s="203"/>
      <c r="G164" s="204">
        <f>D164</f>
        <v>0</v>
      </c>
      <c r="H164" s="205"/>
      <c r="I164" s="203"/>
      <c r="J164" s="203"/>
      <c r="K164" s="209"/>
      <c r="L164" s="208"/>
    </row>
    <row r="165" spans="1:12">
      <c r="A165" s="188"/>
      <c r="B165" s="201" t="s">
        <v>414</v>
      </c>
      <c r="C165" s="202"/>
      <c r="D165" s="203"/>
      <c r="E165" s="203"/>
      <c r="F165" s="203"/>
      <c r="G165" s="204">
        <f t="shared" ref="G165:G171" si="29">D165</f>
        <v>0</v>
      </c>
      <c r="H165" s="205"/>
      <c r="I165" s="203"/>
      <c r="J165" s="203"/>
      <c r="K165" s="209"/>
      <c r="L165" s="208"/>
    </row>
    <row r="166" spans="1:12">
      <c r="A166" s="188"/>
      <c r="B166" s="201" t="s">
        <v>415</v>
      </c>
      <c r="C166" s="202"/>
      <c r="D166" s="203"/>
      <c r="E166" s="203"/>
      <c r="F166" s="203"/>
      <c r="G166" s="204">
        <f t="shared" si="29"/>
        <v>0</v>
      </c>
      <c r="H166" s="205"/>
      <c r="I166" s="203"/>
      <c r="J166" s="203"/>
      <c r="K166" s="209"/>
      <c r="L166" s="208"/>
    </row>
    <row r="167" spans="1:12">
      <c r="A167" s="188"/>
      <c r="B167" s="201" t="s">
        <v>416</v>
      </c>
      <c r="C167" s="202"/>
      <c r="D167" s="203"/>
      <c r="E167" s="203"/>
      <c r="F167" s="203"/>
      <c r="G167" s="204">
        <f t="shared" si="29"/>
        <v>0</v>
      </c>
      <c r="H167" s="205"/>
      <c r="I167" s="203"/>
      <c r="J167" s="203"/>
      <c r="K167" s="209"/>
      <c r="L167" s="208"/>
    </row>
    <row r="168" spans="1:12">
      <c r="A168" s="188"/>
      <c r="B168" s="201" t="s">
        <v>417</v>
      </c>
      <c r="C168" s="202"/>
      <c r="D168" s="203"/>
      <c r="E168" s="203"/>
      <c r="F168" s="203"/>
      <c r="G168" s="204">
        <f t="shared" si="29"/>
        <v>0</v>
      </c>
      <c r="H168" s="205"/>
      <c r="I168" s="203"/>
      <c r="J168" s="203"/>
      <c r="K168" s="209"/>
      <c r="L168" s="208"/>
    </row>
    <row r="169" spans="1:12">
      <c r="A169" s="188"/>
      <c r="B169" s="201" t="s">
        <v>418</v>
      </c>
      <c r="C169" s="202"/>
      <c r="D169" s="203"/>
      <c r="E169" s="203"/>
      <c r="F169" s="203"/>
      <c r="G169" s="204">
        <f t="shared" si="29"/>
        <v>0</v>
      </c>
      <c r="H169" s="205"/>
      <c r="I169" s="203"/>
      <c r="J169" s="203"/>
      <c r="K169" s="209"/>
      <c r="L169" s="208"/>
    </row>
    <row r="170" spans="1:12">
      <c r="A170" s="188"/>
      <c r="B170" s="201" t="s">
        <v>419</v>
      </c>
      <c r="C170" s="210"/>
      <c r="D170" s="206"/>
      <c r="E170" s="206"/>
      <c r="F170" s="206"/>
      <c r="G170" s="204">
        <f t="shared" si="29"/>
        <v>0</v>
      </c>
      <c r="H170" s="211"/>
      <c r="I170" s="206"/>
      <c r="J170" s="206"/>
      <c r="K170" s="212"/>
      <c r="L170" s="208"/>
    </row>
    <row r="171" spans="1:12">
      <c r="A171" s="188"/>
      <c r="B171" s="201" t="s">
        <v>420</v>
      </c>
      <c r="C171" s="210"/>
      <c r="D171" s="206"/>
      <c r="E171" s="206"/>
      <c r="F171" s="206"/>
      <c r="G171" s="204">
        <f t="shared" si="29"/>
        <v>0</v>
      </c>
      <c r="H171" s="211"/>
      <c r="I171" s="206"/>
      <c r="J171" s="206"/>
      <c r="K171" s="212"/>
      <c r="L171" s="208"/>
    </row>
    <row r="172" spans="1:12">
      <c r="A172" s="188"/>
      <c r="B172" s="188"/>
      <c r="C172" s="198" t="s">
        <v>253</v>
      </c>
      <c r="D172" s="214">
        <f>SUM(D164:D171)</f>
        <v>0</v>
      </c>
      <c r="E172" s="214">
        <f t="shared" ref="E172:G172" si="30">SUM(E164:E171)</f>
        <v>0</v>
      </c>
      <c r="F172" s="214">
        <f t="shared" si="30"/>
        <v>0</v>
      </c>
      <c r="G172" s="214">
        <f t="shared" si="30"/>
        <v>0</v>
      </c>
      <c r="H172" s="214">
        <f>(H164*G164)+(H165*G165)+(H166*G166)+(H167*G167)+(H168*G168)+(H169*G169)+(H170*G170)+(H171*G171)</f>
        <v>0</v>
      </c>
      <c r="I172" s="214">
        <f>SUM(I164:I171)</f>
        <v>0</v>
      </c>
      <c r="J172" s="215"/>
      <c r="K172" s="212"/>
      <c r="L172" s="216"/>
    </row>
    <row r="173" spans="1:12">
      <c r="A173" s="188"/>
      <c r="B173" s="221"/>
      <c r="C173" s="218"/>
      <c r="D173" s="222"/>
      <c r="E173" s="222"/>
      <c r="F173" s="222"/>
      <c r="G173" s="222"/>
      <c r="H173" s="222"/>
      <c r="I173" s="222"/>
      <c r="J173" s="222"/>
      <c r="K173" s="218"/>
      <c r="L173" s="223"/>
    </row>
    <row r="174" spans="1:12">
      <c r="A174" s="188"/>
      <c r="B174" s="221"/>
      <c r="C174" s="218"/>
      <c r="D174" s="222"/>
      <c r="E174" s="222"/>
      <c r="F174" s="222"/>
      <c r="G174" s="222"/>
      <c r="H174" s="222"/>
      <c r="I174" s="222"/>
      <c r="J174" s="222"/>
      <c r="K174" s="218"/>
      <c r="L174" s="223"/>
    </row>
    <row r="175" spans="1:12">
      <c r="A175" s="188"/>
      <c r="B175" s="198" t="s">
        <v>421</v>
      </c>
      <c r="C175" s="203"/>
      <c r="D175" s="368">
        <f>'UNPBF_FC-3007 Final Report'!J225</f>
        <v>99001.919999999998</v>
      </c>
      <c r="E175" s="225"/>
      <c r="F175" s="225"/>
      <c r="G175" s="226">
        <f>D175</f>
        <v>99001.919999999998</v>
      </c>
      <c r="H175" s="227"/>
      <c r="I175" s="225">
        <f>'UNPBF_FC-3007 Final Report'!U225</f>
        <v>95794.900000000009</v>
      </c>
      <c r="J175" s="225"/>
      <c r="K175" s="228"/>
      <c r="L175" s="216"/>
    </row>
    <row r="176" spans="1:12">
      <c r="A176" s="188"/>
      <c r="B176" s="198" t="s">
        <v>422</v>
      </c>
      <c r="C176" s="229"/>
      <c r="D176" s="225"/>
      <c r="E176" s="225"/>
      <c r="F176" s="225"/>
      <c r="G176" s="226">
        <f t="shared" ref="G176:G178" si="31">D176</f>
        <v>0</v>
      </c>
      <c r="H176" s="227"/>
      <c r="I176" s="225"/>
      <c r="J176" s="225"/>
      <c r="K176" s="228"/>
      <c r="L176" s="216"/>
    </row>
    <row r="177" spans="1:12">
      <c r="A177" s="188"/>
      <c r="B177" s="198" t="s">
        <v>423</v>
      </c>
      <c r="C177" s="230"/>
      <c r="D177" s="225">
        <v>25000</v>
      </c>
      <c r="E177" s="225"/>
      <c r="F177" s="225"/>
      <c r="G177" s="226">
        <f t="shared" si="31"/>
        <v>25000</v>
      </c>
      <c r="H177" s="227"/>
      <c r="I177" s="225">
        <f>'UNPBF_FC-3007 Final Report'!U206</f>
        <v>13832.93254268913</v>
      </c>
      <c r="J177" s="225"/>
      <c r="K177" s="228"/>
      <c r="L177" s="216"/>
    </row>
    <row r="178" spans="1:12" ht="21">
      <c r="A178" s="188"/>
      <c r="B178" s="231" t="s">
        <v>424</v>
      </c>
      <c r="C178" s="229"/>
      <c r="D178" s="225"/>
      <c r="E178" s="225"/>
      <c r="F178" s="225"/>
      <c r="G178" s="226">
        <f t="shared" si="31"/>
        <v>0</v>
      </c>
      <c r="H178" s="227"/>
      <c r="I178" s="225"/>
      <c r="J178" s="225"/>
      <c r="K178" s="228"/>
      <c r="L178" s="216"/>
    </row>
    <row r="179" spans="1:12">
      <c r="A179" s="188"/>
      <c r="B179" s="198" t="s">
        <v>425</v>
      </c>
      <c r="C179" s="229"/>
      <c r="D179" s="225"/>
      <c r="E179" s="225"/>
      <c r="F179" s="225"/>
      <c r="G179" s="226"/>
      <c r="H179" s="227"/>
      <c r="I179" s="225"/>
      <c r="J179" s="225"/>
      <c r="K179" s="228"/>
      <c r="L179" s="216"/>
    </row>
    <row r="180" spans="1:12">
      <c r="A180" s="188"/>
      <c r="B180" s="221"/>
      <c r="C180" s="232" t="s">
        <v>426</v>
      </c>
      <c r="D180" s="233">
        <f>SUM(D175:D179)</f>
        <v>124001.92</v>
      </c>
      <c r="E180" s="233">
        <f>SUM(E175:E178)</f>
        <v>0</v>
      </c>
      <c r="F180" s="233">
        <f>SUM(F175:F178)</f>
        <v>0</v>
      </c>
      <c r="G180" s="233">
        <f>SUM(G175:G178)</f>
        <v>124001.92</v>
      </c>
      <c r="H180" s="214">
        <f>(H175*G175)+(H176*G176)+(H177*G177)+(H178*G178)+(H179*G179)</f>
        <v>0</v>
      </c>
      <c r="I180" s="214">
        <f>SUM(I175:I179)</f>
        <v>109627.83254268914</v>
      </c>
      <c r="J180" s="215"/>
      <c r="K180" s="229"/>
      <c r="L180" s="234"/>
    </row>
    <row r="181" spans="1:12">
      <c r="A181" s="188"/>
      <c r="B181" s="221"/>
      <c r="C181" s="218"/>
      <c r="D181" s="222"/>
      <c r="E181" s="222"/>
      <c r="F181" s="222"/>
      <c r="G181" s="222"/>
      <c r="H181" s="222"/>
      <c r="I181" s="222"/>
      <c r="J181" s="222"/>
      <c r="K181" s="218"/>
      <c r="L181" s="234"/>
    </row>
    <row r="182" spans="1:12">
      <c r="A182" s="188"/>
      <c r="B182" s="221"/>
      <c r="C182" s="218"/>
      <c r="D182" s="222"/>
      <c r="E182" s="222"/>
      <c r="F182" s="222"/>
      <c r="G182" s="222"/>
      <c r="H182" s="222"/>
      <c r="I182" s="222"/>
      <c r="J182" s="222">
        <f>I16+I26+I36+I46+I58+I68+I78+I88+I100+I110+I120+I130+I142+I152+I162+I172+I180-1</f>
        <v>466597.80724736664</v>
      </c>
      <c r="K182" s="218"/>
      <c r="L182" s="234"/>
    </row>
    <row r="183" spans="1:12">
      <c r="A183" s="188"/>
      <c r="B183" s="221"/>
      <c r="C183" s="218"/>
      <c r="D183" s="222"/>
      <c r="E183" s="222"/>
      <c r="F183" s="222"/>
      <c r="G183" s="222"/>
      <c r="H183" s="222"/>
      <c r="I183" s="222"/>
      <c r="J183" s="222"/>
      <c r="K183" s="218"/>
      <c r="L183" s="234"/>
    </row>
    <row r="184" spans="1:12">
      <c r="A184" s="188"/>
      <c r="B184" s="221"/>
      <c r="C184" s="382" t="s">
        <v>427</v>
      </c>
      <c r="D184" s="383"/>
      <c r="E184" s="235"/>
      <c r="H184" s="234"/>
      <c r="I184" s="236"/>
      <c r="J184" s="236"/>
      <c r="K184" s="234"/>
      <c r="L184" s="188"/>
    </row>
    <row r="185" spans="1:12" ht="10.25" customHeight="1">
      <c r="A185" s="188"/>
      <c r="B185" s="221"/>
      <c r="C185" s="384"/>
      <c r="D185" s="386" t="str">
        <f>D5</f>
        <v>Recipient Organization</v>
      </c>
      <c r="E185" s="235"/>
      <c r="H185" s="218"/>
      <c r="I185" s="235"/>
      <c r="J185" s="235"/>
      <c r="K185" s="235"/>
      <c r="L185" s="188"/>
    </row>
    <row r="186" spans="1:12" ht="10.25" customHeight="1">
      <c r="A186" s="188"/>
      <c r="B186" s="221"/>
      <c r="C186" s="385"/>
      <c r="D186" s="387"/>
      <c r="E186" s="235"/>
      <c r="H186" s="218"/>
      <c r="I186" s="216"/>
      <c r="J186" s="216"/>
      <c r="K186" s="388"/>
      <c r="L186" s="188"/>
    </row>
    <row r="187" spans="1:12">
      <c r="A187" s="188"/>
      <c r="B187" s="237"/>
      <c r="C187" s="238" t="s">
        <v>428</v>
      </c>
      <c r="D187" s="338">
        <f>SUM(D16,D26,D36,D46,D58,D68,D78,D88,D100,D110,D120,D130,D142,D152,D162,D172,D175,D176,D177,D178,D179)</f>
        <v>467289.92</v>
      </c>
      <c r="E187" s="235"/>
      <c r="H187" s="218"/>
      <c r="I187" s="240"/>
      <c r="J187" s="240"/>
      <c r="K187" s="388"/>
      <c r="L187" s="188"/>
    </row>
    <row r="188" spans="1:12">
      <c r="A188" s="188"/>
      <c r="B188" s="241"/>
      <c r="C188" s="238" t="s">
        <v>429</v>
      </c>
      <c r="D188" s="338">
        <f>D187*0.07</f>
        <v>32710.294400000002</v>
      </c>
      <c r="E188" s="235"/>
      <c r="H188" s="241"/>
      <c r="I188" s="239"/>
      <c r="J188" s="239"/>
      <c r="K188" s="239"/>
      <c r="L188" s="188"/>
    </row>
    <row r="189" spans="1:12">
      <c r="A189" s="188"/>
      <c r="B189" s="241"/>
      <c r="C189" s="242" t="s">
        <v>232</v>
      </c>
      <c r="D189" s="339">
        <f>SUM(D187:D188)</f>
        <v>500000.2144</v>
      </c>
      <c r="E189" s="235"/>
      <c r="H189" s="241"/>
      <c r="I189" s="239"/>
      <c r="J189" s="239"/>
      <c r="K189" s="239"/>
      <c r="L189" s="188"/>
    </row>
    <row r="190" spans="1:12">
      <c r="A190" s="188"/>
      <c r="B190" s="241"/>
      <c r="C190" s="188"/>
      <c r="D190" s="188"/>
      <c r="E190" s="188"/>
      <c r="G190" s="188"/>
      <c r="H190" s="188"/>
      <c r="I190" s="200"/>
      <c r="J190" s="200"/>
      <c r="K190" s="200"/>
      <c r="L190" s="243"/>
    </row>
    <row r="191" spans="1:12">
      <c r="A191" s="188"/>
      <c r="B191" s="243"/>
      <c r="C191" s="244"/>
      <c r="D191" s="244"/>
      <c r="E191" s="244"/>
      <c r="G191" s="244"/>
      <c r="H191" s="244"/>
      <c r="I191" s="245"/>
      <c r="J191" s="245"/>
      <c r="K191" s="243"/>
      <c r="L191" s="188"/>
    </row>
    <row r="192" spans="1:12">
      <c r="A192" s="188"/>
      <c r="B192" s="243"/>
      <c r="C192" s="246" t="s">
        <v>430</v>
      </c>
      <c r="D192" s="247"/>
      <c r="E192" s="247"/>
      <c r="G192" s="244"/>
      <c r="H192" s="244"/>
      <c r="I192" s="245"/>
      <c r="J192" s="245"/>
      <c r="K192" s="243"/>
      <c r="L192" s="188"/>
    </row>
    <row r="193" spans="1:12">
      <c r="A193" s="188"/>
      <c r="B193" s="243"/>
      <c r="C193" s="248"/>
      <c r="D193" s="389" t="s">
        <v>431</v>
      </c>
      <c r="E193" s="391" t="s">
        <v>432</v>
      </c>
      <c r="F193" s="244"/>
      <c r="G193" s="375"/>
      <c r="H193" s="375"/>
      <c r="I193" s="245"/>
      <c r="J193" s="245"/>
      <c r="K193" s="243"/>
      <c r="L193" s="188"/>
    </row>
    <row r="194" spans="1:12">
      <c r="A194" s="188"/>
      <c r="B194" s="243"/>
      <c r="C194" s="249"/>
      <c r="D194" s="390"/>
      <c r="E194" s="392"/>
      <c r="F194" s="244"/>
      <c r="G194" s="375"/>
      <c r="H194" s="375"/>
      <c r="I194" s="245"/>
      <c r="J194" s="245"/>
      <c r="K194" s="243"/>
      <c r="L194" s="188"/>
    </row>
    <row r="195" spans="1:12">
      <c r="A195" s="188"/>
      <c r="B195" s="243"/>
      <c r="C195" s="250" t="s">
        <v>433</v>
      </c>
      <c r="D195" s="251">
        <v>175000</v>
      </c>
      <c r="E195" s="252">
        <v>0.35</v>
      </c>
      <c r="F195" s="200"/>
      <c r="G195" s="200"/>
      <c r="H195" s="253"/>
      <c r="I195" s="236"/>
      <c r="J195" s="236"/>
      <c r="K195" s="243"/>
      <c r="L195" s="188"/>
    </row>
    <row r="196" spans="1:12">
      <c r="A196" s="188"/>
      <c r="B196" s="375"/>
      <c r="C196" s="254" t="s">
        <v>434</v>
      </c>
      <c r="D196" s="255">
        <v>175000</v>
      </c>
      <c r="E196" s="256">
        <v>0.35</v>
      </c>
      <c r="F196" s="200"/>
      <c r="G196" s="200"/>
      <c r="H196" s="253"/>
      <c r="I196" s="236"/>
      <c r="J196" s="236"/>
      <c r="K196" s="188"/>
      <c r="L196" s="188"/>
    </row>
    <row r="197" spans="1:12">
      <c r="A197" s="188"/>
      <c r="B197" s="375"/>
      <c r="C197" s="254" t="s">
        <v>435</v>
      </c>
      <c r="D197" s="255">
        <v>150000</v>
      </c>
      <c r="E197" s="256">
        <v>0.3</v>
      </c>
      <c r="F197" s="200"/>
      <c r="G197" s="200"/>
      <c r="H197" s="253"/>
      <c r="I197" s="236"/>
      <c r="J197" s="236"/>
      <c r="K197" s="188"/>
      <c r="L197" s="188"/>
    </row>
    <row r="198" spans="1:12">
      <c r="A198" s="188"/>
      <c r="B198" s="375"/>
      <c r="C198" s="257" t="s">
        <v>436</v>
      </c>
      <c r="D198" s="258">
        <f>SUM(D195:D197)</f>
        <v>500000</v>
      </c>
      <c r="E198" s="259"/>
      <c r="F198" s="200"/>
      <c r="G198" s="200"/>
      <c r="H198" s="260"/>
      <c r="I198" s="261"/>
      <c r="J198" s="261"/>
      <c r="K198" s="188"/>
      <c r="L198" s="188"/>
    </row>
    <row r="199" spans="1:12">
      <c r="A199" s="188"/>
      <c r="B199" s="375"/>
      <c r="C199" s="235"/>
      <c r="D199" s="262"/>
      <c r="E199" s="262"/>
      <c r="F199" s="262"/>
      <c r="G199" s="262"/>
      <c r="H199" s="262"/>
      <c r="I199" s="263"/>
      <c r="J199" s="263"/>
      <c r="K199" s="188"/>
      <c r="L199" s="188"/>
    </row>
    <row r="200" spans="1:12">
      <c r="A200" s="188"/>
      <c r="B200" s="375"/>
      <c r="C200" s="264" t="s">
        <v>437</v>
      </c>
      <c r="D200" s="265">
        <f>SUM(H16,H26,H36,H46,H58,H68,H78,H88,H100,H110,H120,H130,H142,H152,H162,H172,H180)*1.07</f>
        <v>208997.58950000003</v>
      </c>
      <c r="E200" s="266" t="s">
        <v>438</v>
      </c>
      <c r="F200" s="341">
        <f>SUM(I180,I172,I162,I152,I142,I130,I120,I110,I100,I88,I78,I68,I58,I46,I36,I26,I16)</f>
        <v>466598.80724736664</v>
      </c>
      <c r="G200" s="267"/>
      <c r="J200" s="268"/>
      <c r="K200" s="188"/>
      <c r="L200" s="188"/>
    </row>
    <row r="201" spans="1:12">
      <c r="A201" s="188"/>
      <c r="B201" s="375"/>
      <c r="C201" s="269" t="s">
        <v>439</v>
      </c>
      <c r="D201" s="270">
        <f>D200/D189</f>
        <v>0.41799499976374416</v>
      </c>
      <c r="E201" s="271" t="s">
        <v>440</v>
      </c>
      <c r="F201" s="272">
        <f>F200/D187</f>
        <v>0.99852101934355153</v>
      </c>
      <c r="G201" s="273"/>
      <c r="J201" s="274"/>
      <c r="K201" s="188"/>
      <c r="L201" s="188"/>
    </row>
    <row r="202" spans="1:12">
      <c r="A202" s="188"/>
      <c r="B202" s="375"/>
      <c r="C202" s="376"/>
      <c r="D202" s="377"/>
      <c r="E202" s="275"/>
      <c r="F202" s="275"/>
      <c r="G202" s="275"/>
      <c r="H202" s="188"/>
      <c r="I202" s="190"/>
      <c r="J202" s="190"/>
      <c r="K202" s="188"/>
      <c r="L202" s="188"/>
    </row>
    <row r="203" spans="1:12">
      <c r="A203" s="188"/>
      <c r="B203" s="375"/>
      <c r="C203" s="269" t="s">
        <v>441</v>
      </c>
      <c r="D203" s="276">
        <f>SUM(D177:F179)*1.07</f>
        <v>26750</v>
      </c>
      <c r="E203" s="277"/>
      <c r="F203" s="277"/>
      <c r="G203" s="277"/>
      <c r="H203" s="188"/>
      <c r="I203" s="190"/>
      <c r="J203" s="190"/>
      <c r="K203" s="188"/>
      <c r="L203" s="188"/>
    </row>
    <row r="204" spans="1:12">
      <c r="A204" s="188"/>
      <c r="B204" s="375"/>
      <c r="C204" s="278" t="s">
        <v>442</v>
      </c>
      <c r="D204" s="279">
        <f>D203/D189</f>
        <v>5.3499977059209836E-2</v>
      </c>
      <c r="E204" s="277"/>
      <c r="F204" s="277"/>
      <c r="G204" s="277"/>
      <c r="H204" s="188"/>
      <c r="I204" s="190"/>
      <c r="J204" s="190"/>
      <c r="K204" s="188"/>
      <c r="L204" s="188"/>
    </row>
    <row r="205" spans="1:12">
      <c r="A205" s="188"/>
      <c r="B205" s="375"/>
      <c r="C205" s="378" t="s">
        <v>443</v>
      </c>
      <c r="D205" s="379"/>
      <c r="E205" s="280"/>
      <c r="F205" s="340"/>
      <c r="G205" s="280"/>
      <c r="H205" s="188"/>
      <c r="I205" s="281"/>
      <c r="J205" s="281"/>
      <c r="K205" s="188"/>
      <c r="L205" s="188"/>
    </row>
    <row r="206" spans="1:12">
      <c r="A206" s="188"/>
      <c r="B206" s="375"/>
      <c r="C206" s="188"/>
      <c r="D206" s="188"/>
      <c r="E206" s="188"/>
      <c r="F206" s="188"/>
      <c r="G206" s="188"/>
      <c r="H206" s="188"/>
      <c r="I206" s="190"/>
      <c r="J206" s="190"/>
      <c r="K206" s="188"/>
      <c r="L206" s="188"/>
    </row>
    <row r="207" spans="1:12">
      <c r="A207" s="188"/>
      <c r="B207" s="375"/>
      <c r="C207" s="188"/>
      <c r="D207" s="188"/>
      <c r="E207" s="188"/>
      <c r="F207" s="188"/>
      <c r="G207" s="188"/>
      <c r="H207" s="188"/>
      <c r="I207" s="190"/>
      <c r="J207" s="190"/>
      <c r="K207" s="188"/>
      <c r="L207" s="188"/>
    </row>
    <row r="208" spans="1:12">
      <c r="A208" s="188"/>
      <c r="B208" s="188"/>
      <c r="C208" s="188"/>
      <c r="D208" s="188"/>
      <c r="E208" s="188"/>
      <c r="F208" s="188"/>
      <c r="G208" s="188"/>
      <c r="H208" s="188"/>
      <c r="I208" s="190"/>
      <c r="J208" s="190"/>
      <c r="K208" s="188"/>
      <c r="L208" s="188"/>
    </row>
    <row r="209" spans="1:12">
      <c r="A209" s="188"/>
      <c r="B209" s="188"/>
      <c r="C209" s="188"/>
      <c r="D209" s="188"/>
      <c r="E209" s="188"/>
      <c r="F209" s="188"/>
      <c r="G209" s="188"/>
      <c r="H209" s="188"/>
      <c r="I209" s="190"/>
      <c r="J209" s="190"/>
      <c r="K209" s="188"/>
      <c r="L209" s="188"/>
    </row>
    <row r="210" spans="1:12">
      <c r="A210" s="188"/>
      <c r="B210" s="188"/>
      <c r="C210" s="188"/>
      <c r="D210" s="188"/>
      <c r="E210" s="188"/>
      <c r="F210" s="188"/>
      <c r="G210" s="188"/>
      <c r="H210" s="188"/>
      <c r="I210" s="190"/>
      <c r="J210" s="190"/>
      <c r="K210" s="188"/>
      <c r="L210" s="188"/>
    </row>
    <row r="211" spans="1:12">
      <c r="A211" s="188"/>
      <c r="B211" s="188"/>
      <c r="C211" s="188"/>
      <c r="D211" s="188"/>
      <c r="E211" s="188"/>
      <c r="F211" s="188"/>
      <c r="G211" s="188"/>
      <c r="H211" s="188"/>
      <c r="I211" s="190"/>
      <c r="J211" s="190"/>
      <c r="K211" s="188"/>
      <c r="L211" s="188"/>
    </row>
    <row r="212" spans="1:12">
      <c r="A212" s="188"/>
      <c r="B212" s="188"/>
      <c r="C212" s="188"/>
      <c r="D212" s="188"/>
      <c r="E212" s="188"/>
      <c r="F212" s="188"/>
      <c r="G212" s="188"/>
      <c r="H212" s="188"/>
      <c r="I212" s="190"/>
      <c r="J212" s="190"/>
      <c r="K212" s="188"/>
      <c r="L212" s="188"/>
    </row>
    <row r="213" spans="1:12">
      <c r="A213" s="188"/>
      <c r="B213" s="188"/>
      <c r="C213" s="188"/>
      <c r="D213" s="188"/>
      <c r="E213" s="188"/>
      <c r="F213" s="188"/>
      <c r="G213" s="188"/>
      <c r="H213" s="188"/>
      <c r="I213" s="190"/>
      <c r="J213" s="190"/>
      <c r="K213" s="188"/>
      <c r="L213" s="188"/>
    </row>
    <row r="214" spans="1:12">
      <c r="A214" s="188"/>
      <c r="B214" s="188"/>
      <c r="C214" s="188"/>
      <c r="D214" s="188"/>
      <c r="E214" s="188"/>
      <c r="F214" s="188"/>
      <c r="G214" s="188"/>
      <c r="H214" s="188"/>
      <c r="I214" s="190"/>
      <c r="J214" s="190"/>
      <c r="K214" s="188"/>
      <c r="L214" s="188"/>
    </row>
    <row r="215" spans="1:12">
      <c r="A215" s="188"/>
      <c r="B215" s="188"/>
      <c r="C215" s="188"/>
      <c r="D215" s="188"/>
      <c r="E215" s="188"/>
      <c r="F215" s="188"/>
      <c r="G215" s="188"/>
      <c r="H215" s="188"/>
      <c r="I215" s="190"/>
      <c r="J215" s="190"/>
      <c r="K215" s="188"/>
      <c r="L215" s="188"/>
    </row>
    <row r="216" spans="1:12">
      <c r="A216" s="188"/>
      <c r="B216" s="188"/>
      <c r="C216" s="188"/>
      <c r="D216" s="188"/>
      <c r="E216" s="188"/>
      <c r="F216" s="188"/>
      <c r="G216" s="188"/>
      <c r="H216" s="188"/>
      <c r="I216" s="190"/>
      <c r="J216" s="190"/>
      <c r="K216" s="188"/>
      <c r="L216" s="188"/>
    </row>
  </sheetData>
  <mergeCells count="34">
    <mergeCell ref="C27:K27"/>
    <mergeCell ref="B1:E1"/>
    <mergeCell ref="B3:E3"/>
    <mergeCell ref="C6:K6"/>
    <mergeCell ref="C7:K7"/>
    <mergeCell ref="C17:K17"/>
    <mergeCell ref="C132:K132"/>
    <mergeCell ref="C37:K37"/>
    <mergeCell ref="C48:K48"/>
    <mergeCell ref="C49:K49"/>
    <mergeCell ref="C59:K59"/>
    <mergeCell ref="C69:K69"/>
    <mergeCell ref="C79:K79"/>
    <mergeCell ref="C90:K90"/>
    <mergeCell ref="C91:K91"/>
    <mergeCell ref="C101:K101"/>
    <mergeCell ref="C111:K111"/>
    <mergeCell ref="C121:K121"/>
    <mergeCell ref="B196:B198"/>
    <mergeCell ref="B199:B207"/>
    <mergeCell ref="C202:D202"/>
    <mergeCell ref="C205:D205"/>
    <mergeCell ref="C133:K133"/>
    <mergeCell ref="C143:K143"/>
    <mergeCell ref="C153:K153"/>
    <mergeCell ref="C163:K163"/>
    <mergeCell ref="C184:D184"/>
    <mergeCell ref="C185:C186"/>
    <mergeCell ref="D185:D186"/>
    <mergeCell ref="K186:K187"/>
    <mergeCell ref="D193:D194"/>
    <mergeCell ref="E193:E194"/>
    <mergeCell ref="G193:G194"/>
    <mergeCell ref="H193:H194"/>
  </mergeCells>
  <conditionalFormatting sqref="D201">
    <cfRule type="cellIs" dxfId="1" priority="2" operator="lessThan">
      <formula>0.15</formula>
    </cfRule>
  </conditionalFormatting>
  <conditionalFormatting sqref="D204">
    <cfRule type="cellIs" dxfId="0" priority="1" operator="lessThan">
      <formula>0.05</formula>
    </cfRule>
  </conditionalFormatting>
  <dataValidations count="6">
    <dataValidation allowBlank="1" showErrorMessage="1" prompt="% Towards Gender Equality and Women's Empowerment Must be Higher than 15%_x000a_" sqref="D203:G203" xr:uid="{00000000-0002-0000-0100-000000000000}"/>
    <dataValidation allowBlank="1" showInputMessage="1" showErrorMessage="1" prompt="Insert *text* description of Activity here" sqref="C8 C18 C28 C38 C50 C60 C70 C80 C92 C102 C112 C122 C134 C144 C154 C164" xr:uid="{00000000-0002-0000-0100-000001000000}"/>
    <dataValidation allowBlank="1" showInputMessage="1" showErrorMessage="1" prompt="Insert *text* description of Output here" sqref="C7 C17 C27 C37 C49 C59 C69 C79 C91 C101 C111 C121 C133 C143 C153 C163" xr:uid="{00000000-0002-0000-0100-000002000000}"/>
    <dataValidation allowBlank="1" showInputMessage="1" showErrorMessage="1" prompt="Insert *text* description of Outcome here" sqref="C6:K6 C48:K48 C90:K90 C132:K132" xr:uid="{00000000-0002-0000-0100-000003000000}"/>
    <dataValidation allowBlank="1" showInputMessage="1" showErrorMessage="1" prompt="M&amp;E Budget Cannot be Less than 5%_x000a_" sqref="D204:G204" xr:uid="{00000000-0002-0000-0100-000004000000}"/>
    <dataValidation allowBlank="1" showInputMessage="1" showErrorMessage="1" prompt="% Towards Gender Equality and Women's Empowerment Must be Higher than 15%_x000a_" sqref="D201:G201" xr:uid="{00000000-0002-0000-0100-000005000000}"/>
  </dataValidations>
  <pageMargins left="0.7" right="0.7" top="0.75" bottom="0.75" header="0.3" footer="0.3"/>
  <pageSetup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K970"/>
  <sheetViews>
    <sheetView topLeftCell="A730" workbookViewId="0">
      <selection activeCell="F761" sqref="F761"/>
    </sheetView>
  </sheetViews>
  <sheetFormatPr defaultColWidth="9.1328125" defaultRowHeight="9.75"/>
  <cols>
    <col min="1" max="1" width="14.33203125" style="283" customWidth="1"/>
    <col min="2" max="3" width="24.33203125" style="283" customWidth="1"/>
    <col min="4" max="4" width="14.33203125" style="283" customWidth="1"/>
    <col min="5" max="5" width="12.1328125" style="283" customWidth="1"/>
    <col min="6" max="7" width="15" style="283" customWidth="1"/>
    <col min="8" max="10" width="17.53125" style="283" customWidth="1"/>
    <col min="11" max="11" width="31" style="283" customWidth="1"/>
    <col min="12" max="12" width="9.1328125" style="283"/>
    <col min="13" max="13" width="13.1328125" style="283" customWidth="1"/>
    <col min="14" max="14" width="12.46484375" style="283" customWidth="1"/>
    <col min="15" max="15" width="50.1328125" style="283" customWidth="1"/>
    <col min="16" max="16" width="58.86328125" style="283" customWidth="1"/>
    <col min="17" max="17" width="57.1328125" style="283" customWidth="1"/>
    <col min="18" max="18" width="52.53125" style="283" customWidth="1"/>
    <col min="19" max="19" width="56.86328125" style="283" customWidth="1"/>
    <col min="20" max="20" width="52.6640625" style="283" customWidth="1"/>
    <col min="21" max="21" width="44.6640625" style="283" customWidth="1"/>
    <col min="22" max="22" width="58.6640625" style="283" customWidth="1"/>
    <col min="23" max="23" width="42.46484375" style="283" customWidth="1"/>
    <col min="24" max="24" width="58.1328125" style="283" customWidth="1"/>
    <col min="25" max="25" width="53.46484375" style="283" customWidth="1"/>
    <col min="26" max="26" width="46.53125" style="283" customWidth="1"/>
    <col min="27" max="27" width="56.33203125" style="283" customWidth="1"/>
    <col min="28" max="28" width="55" style="283" customWidth="1"/>
    <col min="29" max="29" width="55.46484375" style="283" customWidth="1"/>
    <col min="30" max="30" width="55.86328125" style="283" customWidth="1"/>
    <col min="31" max="31" width="12.53125" style="283" customWidth="1"/>
    <col min="32" max="32" width="17.86328125" style="283" customWidth="1"/>
    <col min="33" max="33" width="14.6640625" style="283" customWidth="1"/>
    <col min="34" max="34" width="43.53125" style="283" customWidth="1"/>
    <col min="35" max="35" width="59.46484375" style="283" customWidth="1"/>
    <col min="36" max="36" width="39.86328125" style="283" customWidth="1"/>
    <col min="37" max="37" width="38.53125" style="283" customWidth="1"/>
    <col min="38" max="38" width="41.86328125" style="283" customWidth="1"/>
    <col min="39" max="39" width="25.53125" style="283" customWidth="1"/>
    <col min="40" max="40" width="15.33203125" style="283" customWidth="1"/>
    <col min="41" max="41" width="18.33203125" style="283" customWidth="1"/>
    <col min="42" max="43" width="26.6640625" style="283" customWidth="1"/>
    <col min="44" max="45" width="16.33203125" style="283" customWidth="1"/>
    <col min="46" max="46" width="47.1328125" style="283" bestFit="1" customWidth="1"/>
    <col min="47" max="47" width="24.53125" style="283" bestFit="1" customWidth="1"/>
    <col min="48" max="48" width="35.33203125" style="283" bestFit="1" customWidth="1"/>
    <col min="49" max="49" width="24.86328125" style="283" bestFit="1" customWidth="1"/>
    <col min="50" max="50" width="27.33203125" style="283" bestFit="1" customWidth="1"/>
    <col min="51" max="51" width="51.86328125" style="283" bestFit="1" customWidth="1"/>
    <col min="52" max="52" width="97.1328125" style="283" bestFit="1" customWidth="1"/>
    <col min="53" max="53" width="14.6640625" style="283" bestFit="1" customWidth="1"/>
    <col min="54" max="54" width="37.1328125" style="283" bestFit="1" customWidth="1"/>
    <col min="55" max="55" width="92.6640625" style="283" bestFit="1" customWidth="1"/>
    <col min="56" max="56" width="84" style="283" bestFit="1" customWidth="1"/>
    <col min="57" max="57" width="5" style="283" customWidth="1"/>
    <col min="58" max="58" width="34.33203125" style="283" bestFit="1" customWidth="1"/>
    <col min="59" max="59" width="31.6640625" style="283" bestFit="1" customWidth="1"/>
    <col min="60" max="60" width="34.53125" style="283" bestFit="1" customWidth="1"/>
    <col min="61" max="61" width="32.1328125" style="283" bestFit="1" customWidth="1"/>
    <col min="62" max="62" width="27.1328125" style="283" bestFit="1" customWidth="1"/>
    <col min="63" max="63" width="34.1328125" style="283" bestFit="1" customWidth="1"/>
    <col min="64" max="64" width="39.53125" style="283" bestFit="1" customWidth="1"/>
    <col min="65" max="65" width="33.53125" style="283" bestFit="1" customWidth="1"/>
    <col min="66" max="66" width="44.46484375" style="283" bestFit="1" customWidth="1"/>
    <col min="67" max="67" width="27.33203125" style="283" bestFit="1" customWidth="1"/>
    <col min="68" max="68" width="27.53125" style="283" bestFit="1" customWidth="1"/>
    <col min="69" max="69" width="38.53125" style="283" bestFit="1" customWidth="1"/>
    <col min="70" max="70" width="34.46484375" style="283" bestFit="1" customWidth="1"/>
    <col min="71" max="71" width="34.6640625" style="283" bestFit="1" customWidth="1"/>
    <col min="72" max="72" width="34.53125" style="283" bestFit="1" customWidth="1"/>
    <col min="73" max="73" width="33.86328125" style="283" bestFit="1" customWidth="1"/>
    <col min="74" max="74" width="34.6640625" style="283" bestFit="1" customWidth="1"/>
    <col min="75" max="75" width="34.33203125" style="283" bestFit="1" customWidth="1"/>
    <col min="76" max="77" width="35.1328125" style="283" bestFit="1" customWidth="1"/>
    <col min="78" max="78" width="30.33203125" style="283" bestFit="1" customWidth="1"/>
    <col min="79" max="79" width="39.6640625" style="283" bestFit="1" customWidth="1"/>
    <col min="80" max="80" width="35" style="283" bestFit="1" customWidth="1"/>
    <col min="81" max="81" width="33.46484375" style="283" bestFit="1" customWidth="1"/>
    <col min="82" max="82" width="23.86328125" style="283" bestFit="1" customWidth="1"/>
    <col min="83" max="83" width="15.1328125" style="283" bestFit="1" customWidth="1"/>
    <col min="84" max="84" width="6.86328125" style="283" customWidth="1"/>
    <col min="85" max="85" width="11.86328125" style="283" bestFit="1" customWidth="1"/>
    <col min="86" max="86" width="23.33203125" style="283" bestFit="1" customWidth="1"/>
    <col min="87" max="87" width="22" style="283" bestFit="1" customWidth="1"/>
    <col min="88" max="88" width="23.6640625" style="283" bestFit="1" customWidth="1"/>
    <col min="89" max="89" width="44.6640625" style="283" bestFit="1" customWidth="1"/>
    <col min="90" max="90" width="68.53125" style="283" bestFit="1" customWidth="1"/>
    <col min="91" max="91" width="25.33203125" style="283" bestFit="1" customWidth="1"/>
    <col min="92" max="92" width="11.33203125" style="283" bestFit="1" customWidth="1"/>
    <col min="93" max="93" width="22.6640625" style="283" bestFit="1" customWidth="1"/>
    <col min="94" max="94" width="7" style="283" customWidth="1"/>
    <col min="95" max="95" width="12" style="283" bestFit="1" customWidth="1"/>
    <col min="96" max="96" width="30.6640625" style="283" bestFit="1" customWidth="1"/>
    <col min="97" max="97" width="15.33203125" style="283" bestFit="1" customWidth="1"/>
    <col min="98" max="98" width="11.46484375" style="283" bestFit="1" customWidth="1"/>
    <col min="99" max="99" width="31.1328125" style="283" bestFit="1" customWidth="1"/>
    <col min="100" max="100" width="34.53125" style="283" bestFit="1" customWidth="1"/>
    <col min="101" max="101" width="33.33203125" style="283" bestFit="1" customWidth="1"/>
    <col min="102" max="102" width="32.33203125" style="283" bestFit="1" customWidth="1"/>
    <col min="103" max="103" width="33.46484375" style="283" bestFit="1" customWidth="1"/>
    <col min="104" max="104" width="33.53125" style="283" bestFit="1" customWidth="1"/>
    <col min="105" max="105" width="34.1328125" style="283" bestFit="1" customWidth="1"/>
    <col min="106" max="106" width="80.33203125" style="283" bestFit="1" customWidth="1"/>
    <col min="107" max="107" width="90.86328125" style="283" bestFit="1" customWidth="1"/>
    <col min="108" max="108" width="86" style="283" bestFit="1" customWidth="1"/>
    <col min="109" max="109" width="16" style="283" bestFit="1" customWidth="1"/>
    <col min="110" max="110" width="29" style="283" bestFit="1" customWidth="1"/>
    <col min="111" max="111" width="52.6640625" style="283" bestFit="1" customWidth="1"/>
    <col min="112" max="112" width="21.86328125" style="283" bestFit="1" customWidth="1"/>
    <col min="113" max="113" width="17" style="283" bestFit="1" customWidth="1"/>
    <col min="114" max="114" width="31.33203125" style="283" bestFit="1" customWidth="1"/>
    <col min="115" max="115" width="15.46484375" style="283" bestFit="1" customWidth="1"/>
    <col min="116" max="116" width="13.86328125" style="283" bestFit="1" customWidth="1"/>
    <col min="117" max="117" width="34" style="283" bestFit="1" customWidth="1"/>
    <col min="118" max="118" width="7" style="283" customWidth="1"/>
    <col min="119" max="119" width="40.33203125" style="283" bestFit="1" customWidth="1"/>
    <col min="120" max="120" width="41.46484375" style="283" bestFit="1" customWidth="1"/>
    <col min="121" max="121" width="42.1328125" style="283" bestFit="1" customWidth="1"/>
    <col min="122" max="122" width="38.86328125" style="283" bestFit="1" customWidth="1"/>
    <col min="123" max="123" width="27.1328125" style="283" bestFit="1" customWidth="1"/>
    <col min="124" max="124" width="12.53125" style="283" bestFit="1" customWidth="1"/>
    <col min="125" max="125" width="48.53125" style="283" bestFit="1" customWidth="1"/>
    <col min="126" max="126" width="40.6640625" style="283" bestFit="1" customWidth="1"/>
    <col min="127" max="127" width="7.86328125" style="283" customWidth="1"/>
    <col min="128" max="128" width="33.46484375" style="283" bestFit="1" customWidth="1"/>
    <col min="129" max="129" width="28" style="283" bestFit="1" customWidth="1"/>
    <col min="130" max="130" width="40.33203125" style="283" bestFit="1" customWidth="1"/>
    <col min="131" max="131" width="15.86328125" style="283" bestFit="1" customWidth="1"/>
    <col min="132" max="132" width="39.46484375" style="283" bestFit="1" customWidth="1"/>
    <col min="133" max="133" width="44.1328125" style="283" bestFit="1" customWidth="1"/>
    <col min="134" max="134" width="39" style="283" bestFit="1" customWidth="1"/>
    <col min="135" max="135" width="47.33203125" style="283" bestFit="1" customWidth="1"/>
    <col min="136" max="136" width="51" style="283" bestFit="1" customWidth="1"/>
    <col min="137" max="137" width="55.6640625" style="283" bestFit="1" customWidth="1"/>
    <col min="138" max="138" width="50.1328125" style="283" bestFit="1" customWidth="1"/>
    <col min="139" max="139" width="16.86328125" style="283" bestFit="1" customWidth="1"/>
    <col min="140" max="141" width="30.6640625" style="283" bestFit="1" customWidth="1"/>
    <col min="142" max="142" width="33.1328125" style="283" bestFit="1" customWidth="1"/>
    <col min="143" max="143" width="12.1328125" style="283" bestFit="1" customWidth="1"/>
    <col min="144" max="144" width="32.86328125" style="283" bestFit="1" customWidth="1"/>
    <col min="145" max="145" width="15.1328125" style="283" bestFit="1" customWidth="1"/>
    <col min="146" max="146" width="40.33203125" style="283" bestFit="1" customWidth="1"/>
    <col min="147" max="147" width="50.6640625" style="283" bestFit="1" customWidth="1"/>
    <col min="148" max="148" width="45.46484375" style="283" bestFit="1" customWidth="1"/>
    <col min="149" max="149" width="49.53125" style="283" bestFit="1" customWidth="1"/>
    <col min="150" max="150" width="43" style="283" bestFit="1" customWidth="1"/>
    <col min="151" max="151" width="47.1328125" style="283" bestFit="1" customWidth="1"/>
    <col min="152" max="152" width="37.53125" style="283" bestFit="1" customWidth="1"/>
    <col min="153" max="153" width="19.33203125" style="283" bestFit="1" customWidth="1"/>
    <col min="154" max="154" width="37.1328125" style="283" bestFit="1" customWidth="1"/>
    <col min="155" max="155" width="11" style="283" bestFit="1" customWidth="1"/>
    <col min="156" max="156" width="13.6640625" style="283" bestFit="1" customWidth="1"/>
    <col min="157" max="157" width="42.46484375" style="283" bestFit="1" customWidth="1"/>
    <col min="158" max="158" width="24.86328125" style="283" bestFit="1" customWidth="1"/>
    <col min="159" max="159" width="40.33203125" style="283" bestFit="1" customWidth="1"/>
    <col min="160" max="160" width="35.86328125" style="283" bestFit="1" customWidth="1"/>
    <col min="161" max="161" width="44.33203125" style="283" bestFit="1" customWidth="1"/>
    <col min="162" max="162" width="19.86328125" style="283" bestFit="1" customWidth="1"/>
    <col min="163" max="163" width="44.33203125" style="283" bestFit="1" customWidth="1"/>
    <col min="164" max="164" width="35" style="283" bestFit="1" customWidth="1"/>
    <col min="165" max="165" width="54.33203125" style="283" bestFit="1" customWidth="1"/>
    <col min="166" max="166" width="81.1328125" style="283" bestFit="1" customWidth="1"/>
    <col min="167" max="167" width="84.86328125" style="283" bestFit="1" customWidth="1"/>
    <col min="168" max="168" width="76.6640625" style="283" bestFit="1" customWidth="1"/>
    <col min="169" max="169" width="80.46484375" style="283" bestFit="1" customWidth="1"/>
    <col min="170" max="170" width="32.86328125" style="283" bestFit="1" customWidth="1"/>
    <col min="171" max="171" width="77.1328125" style="283" bestFit="1" customWidth="1"/>
    <col min="172" max="172" width="80.86328125" style="283" bestFit="1" customWidth="1"/>
    <col min="173" max="173" width="28.53125" style="283" bestFit="1" customWidth="1"/>
    <col min="174" max="174" width="42.1328125" style="283" bestFit="1" customWidth="1"/>
    <col min="175" max="175" width="46.33203125" style="283" bestFit="1" customWidth="1"/>
    <col min="176" max="176" width="18.46484375" style="283" bestFit="1" customWidth="1"/>
    <col min="177" max="177" width="15.53125" style="283" bestFit="1" customWidth="1"/>
    <col min="178" max="178" width="39.53125" style="283" bestFit="1" customWidth="1"/>
    <col min="179" max="179" width="10" style="283" bestFit="1" customWidth="1"/>
    <col min="180" max="180" width="12.1328125" style="283" bestFit="1" customWidth="1"/>
    <col min="181" max="181" width="17.86328125" style="283" bestFit="1" customWidth="1"/>
    <col min="182" max="182" width="26.1328125" style="283" bestFit="1" customWidth="1"/>
    <col min="183" max="183" width="11.46484375" style="283" bestFit="1" customWidth="1"/>
    <col min="184" max="184" width="22.6640625" style="283" bestFit="1" customWidth="1"/>
    <col min="185" max="185" width="20.53125" style="283" bestFit="1" customWidth="1"/>
    <col min="186" max="186" width="29.1328125" style="283" bestFit="1" customWidth="1"/>
    <col min="187" max="187" width="50.53125" style="283" bestFit="1" customWidth="1"/>
    <col min="188" max="188" width="22.6640625" style="283" bestFit="1" customWidth="1"/>
    <col min="189" max="189" width="80.53125" style="283" bestFit="1" customWidth="1"/>
    <col min="190" max="190" width="17.33203125" style="283" bestFit="1" customWidth="1"/>
    <col min="191" max="191" width="41" style="283" bestFit="1" customWidth="1"/>
    <col min="192" max="192" width="42.86328125" style="283" bestFit="1" customWidth="1"/>
    <col min="193" max="193" width="42.1328125" style="283" bestFit="1" customWidth="1"/>
    <col min="194" max="194" width="17.53125" style="283" bestFit="1" customWidth="1"/>
    <col min="195" max="195" width="6" style="283" customWidth="1"/>
    <col min="196" max="196" width="34.86328125" style="283" bestFit="1" customWidth="1"/>
    <col min="197" max="197" width="17" style="283" bestFit="1" customWidth="1"/>
    <col min="198" max="198" width="17.6640625" style="283" bestFit="1" customWidth="1"/>
    <col min="199" max="199" width="36.6640625" style="283" bestFit="1" customWidth="1"/>
    <col min="200" max="200" width="41" style="283" bestFit="1" customWidth="1"/>
    <col min="201" max="201" width="10.86328125" style="283" bestFit="1" customWidth="1"/>
    <col min="202" max="202" width="15.6640625" style="283" bestFit="1" customWidth="1"/>
    <col min="203" max="203" width="18.86328125" style="283" bestFit="1" customWidth="1"/>
    <col min="204" max="204" width="29.33203125" style="283" bestFit="1" customWidth="1"/>
    <col min="205" max="205" width="29" style="283" bestFit="1" customWidth="1"/>
    <col min="206" max="206" width="28.6640625" style="283" bestFit="1" customWidth="1"/>
    <col min="207" max="207" width="25.33203125" style="283" bestFit="1" customWidth="1"/>
    <col min="208" max="208" width="19.53125" style="283" bestFit="1" customWidth="1"/>
    <col min="209" max="209" width="15.46484375" style="283" bestFit="1" customWidth="1"/>
    <col min="210" max="210" width="42.46484375" style="283" bestFit="1" customWidth="1"/>
    <col min="211" max="211" width="39.86328125" style="283" bestFit="1" customWidth="1"/>
    <col min="212" max="212" width="9.6640625" style="283" bestFit="1" customWidth="1"/>
    <col min="213" max="213" width="19.6640625" style="283" bestFit="1" customWidth="1"/>
    <col min="214" max="214" width="14.86328125" style="283" bestFit="1" customWidth="1"/>
    <col min="215" max="215" width="95.46484375" style="283" bestFit="1" customWidth="1"/>
    <col min="216" max="216" width="89.6640625" style="283" bestFit="1" customWidth="1"/>
    <col min="217" max="217" width="86.6640625" style="283" bestFit="1" customWidth="1"/>
    <col min="218" max="218" width="112.53125" style="283" bestFit="1" customWidth="1"/>
    <col min="219" max="219" width="84.6640625" style="283" bestFit="1" customWidth="1"/>
    <col min="220" max="220" width="44.6640625" style="283" bestFit="1" customWidth="1"/>
    <col min="221" max="221" width="20" style="283" bestFit="1" customWidth="1"/>
    <col min="222" max="222" width="50.46484375" style="283" bestFit="1" customWidth="1"/>
    <col min="223" max="223" width="41.33203125" style="283" bestFit="1" customWidth="1"/>
    <col min="224" max="224" width="31.86328125" style="283" bestFit="1" customWidth="1"/>
    <col min="225" max="225" width="29.1328125" style="283" bestFit="1" customWidth="1"/>
    <col min="226" max="226" width="36.86328125" style="283" bestFit="1" customWidth="1"/>
    <col min="227" max="227" width="10.46484375" style="283" bestFit="1" customWidth="1"/>
    <col min="228" max="228" width="10.33203125" style="283" bestFit="1" customWidth="1"/>
    <col min="229" max="229" width="44.33203125" style="283" bestFit="1" customWidth="1"/>
    <col min="230" max="230" width="48.46484375" style="283" bestFit="1" customWidth="1"/>
    <col min="231" max="231" width="44.33203125" style="283" bestFit="1" customWidth="1"/>
    <col min="232" max="232" width="15" style="283" bestFit="1" customWidth="1"/>
    <col min="233" max="233" width="8.53125" style="283" customWidth="1"/>
    <col min="234" max="234" width="13.6640625" style="283" bestFit="1" customWidth="1"/>
    <col min="235" max="235" width="17" style="283" bestFit="1" customWidth="1"/>
    <col min="236" max="236" width="17.33203125" style="283" bestFit="1" customWidth="1"/>
    <col min="237" max="237" width="25.86328125" style="283" bestFit="1" customWidth="1"/>
    <col min="238" max="239" width="27" style="283" bestFit="1" customWidth="1"/>
    <col min="240" max="240" width="44.6640625" style="283" bestFit="1" customWidth="1"/>
    <col min="241" max="241" width="35" style="283" bestFit="1" customWidth="1"/>
    <col min="242" max="242" width="49" style="283" bestFit="1" customWidth="1"/>
    <col min="243" max="243" width="38.86328125" style="283" bestFit="1" customWidth="1"/>
    <col min="244" max="244" width="54.53125" style="283" bestFit="1" customWidth="1"/>
    <col min="245" max="245" width="123.86328125" style="283" bestFit="1" customWidth="1"/>
    <col min="246" max="246" width="101.86328125" style="283" bestFit="1" customWidth="1"/>
    <col min="247" max="247" width="16" style="283" bestFit="1" customWidth="1"/>
    <col min="248" max="248" width="56.6640625" style="283" bestFit="1" customWidth="1"/>
    <col min="249" max="249" width="16.53125" style="283" bestFit="1" customWidth="1"/>
    <col min="250" max="250" width="43.53125" style="283" bestFit="1" customWidth="1"/>
    <col min="251" max="251" width="48.86328125" style="283" bestFit="1" customWidth="1"/>
    <col min="252" max="252" width="68.1328125" style="283" bestFit="1" customWidth="1"/>
    <col min="253" max="253" width="57" style="283" bestFit="1" customWidth="1"/>
    <col min="254" max="254" width="58.1328125" style="283" bestFit="1" customWidth="1"/>
    <col min="255" max="255" width="39.33203125" style="283" bestFit="1" customWidth="1"/>
    <col min="256" max="256" width="55.86328125" style="283" bestFit="1" customWidth="1"/>
    <col min="257" max="257" width="53.86328125" style="283" bestFit="1" customWidth="1"/>
    <col min="258" max="258" width="53.53125" style="283" bestFit="1" customWidth="1"/>
    <col min="259" max="259" width="51.46484375" style="283" bestFit="1" customWidth="1"/>
    <col min="260" max="260" width="49.6640625" style="283" bestFit="1" customWidth="1"/>
    <col min="261" max="261" width="70.53125" style="283" bestFit="1" customWidth="1"/>
    <col min="262" max="262" width="57" style="283" bestFit="1" customWidth="1"/>
    <col min="263" max="263" width="51" style="283" bestFit="1" customWidth="1"/>
    <col min="264" max="264" width="58.33203125" style="283" bestFit="1" customWidth="1"/>
    <col min="265" max="265" width="55.46484375" style="283" bestFit="1" customWidth="1"/>
    <col min="266" max="266" width="26.6640625" style="283" bestFit="1" customWidth="1"/>
    <col min="267" max="267" width="18.46484375" style="283" bestFit="1" customWidth="1"/>
    <col min="268" max="268" width="46" style="283" bestFit="1" customWidth="1"/>
    <col min="269" max="269" width="51.53125" style="283" bestFit="1" customWidth="1"/>
    <col min="270" max="270" width="39" style="283" bestFit="1" customWidth="1"/>
    <col min="271" max="271" width="45.6640625" style="283" bestFit="1" customWidth="1"/>
    <col min="272" max="272" width="50.53125" style="283" bestFit="1" customWidth="1"/>
    <col min="273" max="273" width="75.53125" style="283" bestFit="1" customWidth="1"/>
    <col min="274" max="274" width="13.33203125" style="283" bestFit="1" customWidth="1"/>
    <col min="275" max="275" width="16.33203125" style="283" bestFit="1" customWidth="1"/>
    <col min="276" max="276" width="15.6640625" style="283" bestFit="1" customWidth="1"/>
    <col min="277" max="277" width="9" style="283" customWidth="1"/>
    <col min="278" max="278" width="34.1328125" style="283" bestFit="1" customWidth="1"/>
    <col min="279" max="280" width="45.53125" style="283" bestFit="1" customWidth="1"/>
    <col min="281" max="281" width="44.1328125" style="283" bestFit="1" customWidth="1"/>
    <col min="282" max="282" width="52.53125" style="283" bestFit="1" customWidth="1"/>
    <col min="283" max="283" width="53.1328125" style="283" bestFit="1" customWidth="1"/>
    <col min="284" max="284" width="59.33203125" style="283" bestFit="1" customWidth="1"/>
    <col min="285" max="285" width="62.46484375" style="283" bestFit="1" customWidth="1"/>
    <col min="286" max="286" width="42.46484375" style="283" bestFit="1" customWidth="1"/>
    <col min="287" max="287" width="49.1328125" style="283" bestFit="1" customWidth="1"/>
    <col min="288" max="288" width="57.1328125" style="283" bestFit="1" customWidth="1"/>
    <col min="289" max="289" width="80.86328125" style="283" bestFit="1" customWidth="1"/>
    <col min="290" max="290" width="61.1328125" style="283" bestFit="1" customWidth="1"/>
    <col min="291" max="291" width="37.33203125" style="283" bestFit="1" customWidth="1"/>
    <col min="292" max="292" width="30.53125" style="283" bestFit="1" customWidth="1"/>
    <col min="293" max="293" width="39.46484375" style="283" bestFit="1" customWidth="1"/>
    <col min="294" max="294" width="37.53125" style="283" bestFit="1" customWidth="1"/>
    <col min="295" max="295" width="20.53125" style="283" bestFit="1" customWidth="1"/>
    <col min="296" max="296" width="21.1328125" style="283" bestFit="1" customWidth="1"/>
    <col min="297" max="297" width="21.86328125" style="283" bestFit="1" customWidth="1"/>
    <col min="298" max="298" width="23.46484375" style="283" bestFit="1" customWidth="1"/>
    <col min="299" max="299" width="21.86328125" style="283" bestFit="1" customWidth="1"/>
    <col min="300" max="300" width="36" style="283" bestFit="1" customWidth="1"/>
    <col min="301" max="301" width="46.33203125" style="283" bestFit="1" customWidth="1"/>
    <col min="302" max="302" width="36.33203125" style="283" bestFit="1" customWidth="1"/>
    <col min="303" max="303" width="36.53125" style="283" bestFit="1" customWidth="1"/>
    <col min="304" max="304" width="30.6640625" style="283" bestFit="1" customWidth="1"/>
    <col min="305" max="306" width="34.1328125" style="283" bestFit="1" customWidth="1"/>
    <col min="307" max="307" width="38.53125" style="283" bestFit="1" customWidth="1"/>
    <col min="308" max="308" width="34.53125" style="283" bestFit="1" customWidth="1"/>
    <col min="309" max="309" width="35.1328125" style="283" bestFit="1" customWidth="1"/>
    <col min="310" max="310" width="45.33203125" style="283" bestFit="1" customWidth="1"/>
    <col min="311" max="311" width="33.46484375" style="283" bestFit="1" customWidth="1"/>
    <col min="312" max="312" width="42.53125" style="283" bestFit="1" customWidth="1"/>
    <col min="313" max="313" width="38.33203125" style="283" bestFit="1" customWidth="1"/>
    <col min="314" max="314" width="38.1328125" style="283" bestFit="1" customWidth="1"/>
    <col min="315" max="315" width="38.6640625" style="283" bestFit="1" customWidth="1"/>
    <col min="316" max="316" width="38.53125" style="283" bestFit="1" customWidth="1"/>
    <col min="317" max="318" width="37.6640625" style="283" bestFit="1" customWidth="1"/>
    <col min="319" max="319" width="36.53125" style="283" bestFit="1" customWidth="1"/>
    <col min="320" max="320" width="39.1328125" style="283" bestFit="1" customWidth="1"/>
    <col min="321" max="321" width="35.53125" style="283" bestFit="1" customWidth="1"/>
    <col min="322" max="322" width="35.6640625" style="283" bestFit="1" customWidth="1"/>
    <col min="323" max="323" width="29.86328125" style="283" bestFit="1" customWidth="1"/>
    <col min="324" max="324" width="32.33203125" style="283" bestFit="1" customWidth="1"/>
    <col min="325" max="325" width="42.53125" style="283" bestFit="1" customWidth="1"/>
    <col min="326" max="326" width="36.46484375" style="283" bestFit="1" customWidth="1"/>
    <col min="327" max="327" width="30.53125" style="283" bestFit="1" customWidth="1"/>
    <col min="328" max="328" width="33" style="283" bestFit="1" customWidth="1"/>
    <col min="329" max="329" width="47.53125" style="283" bestFit="1" customWidth="1"/>
    <col min="330" max="330" width="43.33203125" style="283" bestFit="1" customWidth="1"/>
    <col min="331" max="331" width="32" style="283" bestFit="1" customWidth="1"/>
    <col min="332" max="333" width="35.46484375" style="283" bestFit="1" customWidth="1"/>
    <col min="334" max="334" width="36.1328125" style="283" bestFit="1" customWidth="1"/>
    <col min="335" max="335" width="30.33203125" style="283" bestFit="1" customWidth="1"/>
    <col min="336" max="336" width="32.6640625" style="283" bestFit="1" customWidth="1"/>
    <col min="337" max="337" width="47.33203125" style="283" bestFit="1" customWidth="1"/>
    <col min="338" max="338" width="43.46484375" style="283" bestFit="1" customWidth="1"/>
    <col min="339" max="339" width="38.53125" style="283" bestFit="1" customWidth="1"/>
    <col min="340" max="340" width="41.86328125" style="283" bestFit="1" customWidth="1"/>
    <col min="341" max="341" width="38.53125" style="283" bestFit="1" customWidth="1"/>
    <col min="342" max="342" width="39" style="283" bestFit="1" customWidth="1"/>
    <col min="343" max="343" width="39.53125" style="283" bestFit="1" customWidth="1"/>
    <col min="344" max="344" width="36.1328125" style="283" bestFit="1" customWidth="1"/>
    <col min="345" max="345" width="36.53125" style="283" bestFit="1" customWidth="1"/>
    <col min="346" max="346" width="32" style="283" bestFit="1" customWidth="1"/>
    <col min="347" max="347" width="34.53125" style="283" bestFit="1" customWidth="1"/>
    <col min="348" max="348" width="42.46484375" style="283" bestFit="1" customWidth="1"/>
    <col min="349" max="349" width="38.46484375" style="283" bestFit="1" customWidth="1"/>
    <col min="350" max="350" width="39" style="283" bestFit="1" customWidth="1"/>
    <col min="351" max="351" width="34.86328125" style="283" bestFit="1" customWidth="1"/>
    <col min="352" max="352" width="49.1328125" style="283" bestFit="1" customWidth="1"/>
    <col min="353" max="353" width="37.33203125" style="283" bestFit="1" customWidth="1"/>
    <col min="354" max="354" width="23.6640625" style="283" bestFit="1" customWidth="1"/>
    <col min="355" max="355" width="15.86328125" style="283" bestFit="1" customWidth="1"/>
    <col min="356" max="356" width="12.86328125" style="283" bestFit="1" customWidth="1"/>
    <col min="357" max="357" width="55.6640625" style="283" bestFit="1" customWidth="1"/>
    <col min="358" max="358" width="86.6640625" style="283" bestFit="1" customWidth="1"/>
    <col min="359" max="359" width="12.86328125" style="283" bestFit="1" customWidth="1"/>
    <col min="360" max="360" width="23.86328125" style="283" bestFit="1" customWidth="1"/>
    <col min="361" max="361" width="41.6640625" style="283" bestFit="1" customWidth="1"/>
    <col min="362" max="362" width="52.86328125" style="283" bestFit="1" customWidth="1"/>
    <col min="363" max="363" width="25.6640625" style="283" bestFit="1" customWidth="1"/>
    <col min="364" max="364" width="26.33203125" style="283" bestFit="1" customWidth="1"/>
    <col min="365" max="365" width="22.53125" style="283" bestFit="1" customWidth="1"/>
    <col min="366" max="366" width="37.6640625" style="283" bestFit="1" customWidth="1"/>
    <col min="367" max="367" width="20.86328125" style="283" bestFit="1" customWidth="1"/>
    <col min="368" max="368" width="21" style="283" bestFit="1" customWidth="1"/>
    <col min="369" max="369" width="25.6640625" style="283" bestFit="1" customWidth="1"/>
    <col min="370" max="370" width="27.1328125" style="283" bestFit="1" customWidth="1"/>
    <col min="371" max="371" width="9.46484375" style="283" bestFit="1" customWidth="1"/>
    <col min="372" max="372" width="17.6640625" style="283" bestFit="1" customWidth="1"/>
    <col min="373" max="373" width="59.33203125" style="283" bestFit="1" customWidth="1"/>
    <col min="374" max="374" width="57.53125" style="283" bestFit="1" customWidth="1"/>
    <col min="375" max="375" width="55.1328125" style="283" bestFit="1" customWidth="1"/>
    <col min="376" max="376" width="53.53125" style="283" bestFit="1" customWidth="1"/>
    <col min="377" max="377" width="11.6640625" style="283" bestFit="1" customWidth="1"/>
    <col min="378" max="378" width="16.86328125" style="283" bestFit="1" customWidth="1"/>
    <col min="379" max="379" width="20.1328125" style="283" bestFit="1" customWidth="1"/>
    <col min="380" max="380" width="11.86328125" style="283" bestFit="1" customWidth="1"/>
    <col min="381" max="381" width="37.6640625" style="283" bestFit="1" customWidth="1"/>
    <col min="382" max="382" width="33.33203125" style="283" bestFit="1" customWidth="1"/>
    <col min="383" max="383" width="31.1328125" style="283" bestFit="1" customWidth="1"/>
    <col min="384" max="384" width="46.6640625" style="283" bestFit="1" customWidth="1"/>
    <col min="385" max="385" width="53.6640625" style="283" bestFit="1" customWidth="1"/>
    <col min="386" max="386" width="53.46484375" style="283" bestFit="1" customWidth="1"/>
    <col min="387" max="387" width="30.53125" style="283" bestFit="1" customWidth="1"/>
    <col min="388" max="388" width="38.53125" style="283" bestFit="1" customWidth="1"/>
    <col min="389" max="389" width="58.86328125" style="283" bestFit="1" customWidth="1"/>
    <col min="390" max="390" width="48.6640625" style="283" bestFit="1" customWidth="1"/>
    <col min="391" max="391" width="73.33203125" style="283" bestFit="1" customWidth="1"/>
    <col min="392" max="392" width="38.86328125" style="283" bestFit="1" customWidth="1"/>
    <col min="393" max="393" width="28.46484375" style="283" bestFit="1" customWidth="1"/>
    <col min="394" max="394" width="12.33203125" style="283" bestFit="1" customWidth="1"/>
    <col min="395" max="395" width="53.33203125" style="283" bestFit="1" customWidth="1"/>
    <col min="396" max="396" width="42.46484375" style="283" bestFit="1" customWidth="1"/>
    <col min="397" max="397" width="32.1328125" style="283" bestFit="1" customWidth="1"/>
    <col min="398" max="398" width="50.53125" style="283" bestFit="1" customWidth="1"/>
    <col min="399" max="399" width="52.86328125" style="283" bestFit="1" customWidth="1"/>
    <col min="400" max="400" width="40.33203125" style="283" bestFit="1" customWidth="1"/>
    <col min="401" max="401" width="51.53125" style="283" bestFit="1" customWidth="1"/>
    <col min="402" max="402" width="46.86328125" style="283" bestFit="1" customWidth="1"/>
    <col min="403" max="403" width="38.46484375" style="283" bestFit="1" customWidth="1"/>
    <col min="404" max="404" width="41.1328125" style="283" bestFit="1" customWidth="1"/>
    <col min="405" max="405" width="37" style="283" bestFit="1" customWidth="1"/>
    <col min="406" max="406" width="42.46484375" style="283" bestFit="1" customWidth="1"/>
    <col min="407" max="407" width="7.86328125" style="283" customWidth="1"/>
    <col min="408" max="408" width="25.6640625" style="283" bestFit="1" customWidth="1"/>
    <col min="409" max="409" width="21.46484375" style="283" bestFit="1" customWidth="1"/>
    <col min="410" max="410" width="11.6640625" style="283" bestFit="1" customWidth="1"/>
    <col min="411" max="411" width="10.33203125" style="283" bestFit="1" customWidth="1"/>
    <col min="412" max="412" width="10" style="283" bestFit="1" customWidth="1"/>
    <col min="413" max="413" width="18.86328125" style="283" bestFit="1" customWidth="1"/>
    <col min="414" max="414" width="15" style="283" bestFit="1" customWidth="1"/>
    <col min="415" max="415" width="13.1328125" style="283" bestFit="1" customWidth="1"/>
    <col min="416" max="416" width="45.86328125" style="283" bestFit="1" customWidth="1"/>
    <col min="417" max="417" width="56.6640625" style="283" bestFit="1" customWidth="1"/>
    <col min="418" max="418" width="33.46484375" style="283" bestFit="1" customWidth="1"/>
    <col min="419" max="419" width="16.46484375" style="283" bestFit="1" customWidth="1"/>
    <col min="420" max="420" width="36.1328125" style="283" bestFit="1" customWidth="1"/>
    <col min="421" max="421" width="32.1328125" style="283" bestFit="1" customWidth="1"/>
    <col min="422" max="422" width="60" style="283" bestFit="1" customWidth="1"/>
    <col min="423" max="423" width="30.46484375" style="283" bestFit="1" customWidth="1"/>
    <col min="424" max="424" width="47" style="283" bestFit="1" customWidth="1"/>
    <col min="425" max="425" width="32.1328125" style="283" bestFit="1" customWidth="1"/>
    <col min="426" max="426" width="27" style="283" bestFit="1" customWidth="1"/>
    <col min="427" max="427" width="42.33203125" style="283" bestFit="1" customWidth="1"/>
    <col min="428" max="428" width="33" style="283" bestFit="1" customWidth="1"/>
    <col min="429" max="429" width="34.53125" style="283" bestFit="1" customWidth="1"/>
    <col min="430" max="430" width="29" style="283" bestFit="1" customWidth="1"/>
    <col min="431" max="431" width="48.6640625" style="283" bestFit="1" customWidth="1"/>
    <col min="432" max="432" width="30.1328125" style="283" bestFit="1" customWidth="1"/>
    <col min="433" max="433" width="39" style="283" bestFit="1" customWidth="1"/>
    <col min="434" max="434" width="39.46484375" style="283" bestFit="1" customWidth="1"/>
    <col min="435" max="435" width="38.6640625" style="283" bestFit="1" customWidth="1"/>
    <col min="436" max="437" width="39.33203125" style="283" bestFit="1" customWidth="1"/>
    <col min="438" max="438" width="40.86328125" style="283" bestFit="1" customWidth="1"/>
    <col min="439" max="439" width="38.53125" style="283" bestFit="1" customWidth="1"/>
    <col min="440" max="440" width="31.53125" style="283" bestFit="1" customWidth="1"/>
    <col min="441" max="441" width="24.33203125" style="283" bestFit="1" customWidth="1"/>
    <col min="442" max="442" width="55" style="283" bestFit="1" customWidth="1"/>
    <col min="443" max="443" width="22" style="283" bestFit="1" customWidth="1"/>
    <col min="444" max="444" width="40.33203125" style="283" bestFit="1" customWidth="1"/>
    <col min="445" max="445" width="52.86328125" style="283" bestFit="1" customWidth="1"/>
    <col min="446" max="446" width="29.86328125" style="283" bestFit="1" customWidth="1"/>
    <col min="447" max="447" width="29.33203125" style="283" bestFit="1" customWidth="1"/>
    <col min="448" max="448" width="25.33203125" style="283" bestFit="1" customWidth="1"/>
    <col min="449" max="449" width="23.46484375" style="283" bestFit="1" customWidth="1"/>
    <col min="450" max="450" width="23.53125" style="283" bestFit="1" customWidth="1"/>
    <col min="451" max="451" width="23.1328125" style="283" bestFit="1" customWidth="1"/>
    <col min="452" max="452" width="23.86328125" style="283" bestFit="1" customWidth="1"/>
    <col min="453" max="453" width="23.46484375" style="283" bestFit="1" customWidth="1"/>
    <col min="454" max="454" width="35.1328125" style="283" bestFit="1" customWidth="1"/>
    <col min="455" max="455" width="29" style="283" bestFit="1" customWidth="1"/>
    <col min="456" max="456" width="38.46484375" style="283" bestFit="1" customWidth="1"/>
    <col min="457" max="457" width="61.1328125" style="283" bestFit="1" customWidth="1"/>
    <col min="458" max="458" width="40.6640625" style="283" bestFit="1" customWidth="1"/>
    <col min="459" max="459" width="47.86328125" style="283" bestFit="1" customWidth="1"/>
    <col min="460" max="460" width="55" style="283" bestFit="1" customWidth="1"/>
    <col min="461" max="461" width="42.1328125" style="283" bestFit="1" customWidth="1"/>
    <col min="462" max="462" width="49.1328125" style="283" bestFit="1" customWidth="1"/>
    <col min="463" max="463" width="17.53125" style="283" bestFit="1" customWidth="1"/>
    <col min="464" max="464" width="14" style="283" bestFit="1" customWidth="1"/>
    <col min="465" max="465" width="7" style="283" customWidth="1"/>
    <col min="466" max="466" width="11" style="283" bestFit="1" customWidth="1"/>
    <col min="467" max="467" width="35.53125" style="283" bestFit="1" customWidth="1"/>
    <col min="468" max="468" width="6.53125" style="283" customWidth="1"/>
    <col min="469" max="469" width="22.6640625" style="283" bestFit="1" customWidth="1"/>
    <col min="470" max="470" width="23.1328125" style="283" bestFit="1" customWidth="1"/>
    <col min="471" max="471" width="21" style="283" bestFit="1" customWidth="1"/>
    <col min="472" max="472" width="19" style="283" bestFit="1" customWidth="1"/>
    <col min="473" max="473" width="25.1328125" style="283" bestFit="1" customWidth="1"/>
    <col min="474" max="474" width="16.86328125" style="283" bestFit="1" customWidth="1"/>
    <col min="475" max="475" width="23.1328125" style="283" bestFit="1" customWidth="1"/>
    <col min="476" max="476" width="44.33203125" style="283" bestFit="1" customWidth="1"/>
    <col min="477" max="477" width="48.46484375" style="283" bestFit="1" customWidth="1"/>
    <col min="478" max="478" width="7.33203125" style="283" customWidth="1"/>
    <col min="479" max="479" width="11.33203125" style="283" bestFit="1" customWidth="1"/>
    <col min="480" max="16384" width="9.1328125" style="283"/>
  </cols>
  <sheetData>
    <row r="1" spans="1:11">
      <c r="A1" s="283" t="s">
        <v>444</v>
      </c>
      <c r="B1" s="283" t="s">
        <v>445</v>
      </c>
      <c r="C1" s="284" t="s">
        <v>446</v>
      </c>
      <c r="D1" s="283" t="s">
        <v>447</v>
      </c>
      <c r="E1" s="283" t="s">
        <v>448</v>
      </c>
      <c r="F1" s="283" t="s">
        <v>449</v>
      </c>
      <c r="G1" s="283" t="s">
        <v>450</v>
      </c>
      <c r="H1" s="284" t="s">
        <v>451</v>
      </c>
      <c r="I1" s="284" t="s">
        <v>452</v>
      </c>
      <c r="J1" s="284" t="s">
        <v>453</v>
      </c>
      <c r="K1" s="284" t="s">
        <v>454</v>
      </c>
    </row>
    <row r="2" spans="1:11" ht="6.95" customHeight="1">
      <c r="A2" s="285" t="s">
        <v>210</v>
      </c>
      <c r="B2" s="285" t="s">
        <v>210</v>
      </c>
      <c r="C2" s="285" t="s">
        <v>210</v>
      </c>
      <c r="D2" s="285" t="s">
        <v>210</v>
      </c>
      <c r="E2" s="285" t="s">
        <v>210</v>
      </c>
      <c r="F2" s="285" t="s">
        <v>210</v>
      </c>
      <c r="G2" s="285" t="s">
        <v>210</v>
      </c>
      <c r="H2" s="285" t="s">
        <v>210</v>
      </c>
      <c r="I2" s="285" t="s">
        <v>210</v>
      </c>
      <c r="J2" s="285" t="s">
        <v>210</v>
      </c>
      <c r="K2" s="285" t="s">
        <v>210</v>
      </c>
    </row>
    <row r="3" spans="1:11" ht="22.25" customHeight="1">
      <c r="A3" s="286" t="s">
        <v>455</v>
      </c>
      <c r="B3" s="286" t="s">
        <v>456</v>
      </c>
      <c r="D3" s="287" t="s">
        <v>457</v>
      </c>
      <c r="F3" s="288">
        <v>0</v>
      </c>
      <c r="H3" s="287" t="s">
        <v>458</v>
      </c>
      <c r="I3" s="287" t="s">
        <v>458</v>
      </c>
      <c r="J3" s="287" t="s">
        <v>459</v>
      </c>
      <c r="K3" s="287" t="s">
        <v>460</v>
      </c>
    </row>
    <row r="4" spans="1:11" ht="22.25" customHeight="1">
      <c r="A4" s="286" t="s">
        <v>455</v>
      </c>
      <c r="B4" s="286" t="s">
        <v>456</v>
      </c>
      <c r="C4" s="287" t="s">
        <v>461</v>
      </c>
      <c r="D4" s="286" t="s">
        <v>462</v>
      </c>
      <c r="E4" s="289">
        <v>45046</v>
      </c>
      <c r="F4" s="288">
        <v>563.28</v>
      </c>
      <c r="H4" s="287" t="s">
        <v>458</v>
      </c>
      <c r="I4" s="287" t="s">
        <v>458</v>
      </c>
      <c r="J4" s="287" t="s">
        <v>459</v>
      </c>
      <c r="K4" s="287" t="s">
        <v>460</v>
      </c>
    </row>
    <row r="5" spans="1:11" ht="22.25" customHeight="1">
      <c r="A5" s="286" t="s">
        <v>455</v>
      </c>
      <c r="B5" s="286" t="s">
        <v>456</v>
      </c>
      <c r="C5" s="287" t="s">
        <v>463</v>
      </c>
      <c r="D5" s="286" t="s">
        <v>462</v>
      </c>
      <c r="E5" s="289">
        <v>45046</v>
      </c>
      <c r="F5" s="288">
        <v>436.8</v>
      </c>
      <c r="H5" s="287" t="s">
        <v>458</v>
      </c>
      <c r="I5" s="287" t="s">
        <v>458</v>
      </c>
      <c r="J5" s="287" t="s">
        <v>459</v>
      </c>
      <c r="K5" s="287" t="s">
        <v>460</v>
      </c>
    </row>
    <row r="6" spans="1:11" ht="22.25" customHeight="1">
      <c r="A6" s="286" t="s">
        <v>455</v>
      </c>
      <c r="B6" s="286" t="s">
        <v>456</v>
      </c>
      <c r="C6" s="287" t="s">
        <v>464</v>
      </c>
      <c r="D6" s="286" t="s">
        <v>462</v>
      </c>
      <c r="E6" s="289">
        <v>45046</v>
      </c>
      <c r="F6" s="288">
        <v>720</v>
      </c>
      <c r="H6" s="287" t="s">
        <v>458</v>
      </c>
      <c r="I6" s="287" t="s">
        <v>458</v>
      </c>
      <c r="J6" s="287" t="s">
        <v>459</v>
      </c>
      <c r="K6" s="287" t="s">
        <v>460</v>
      </c>
    </row>
    <row r="7" spans="1:11" ht="22.25" customHeight="1">
      <c r="A7" s="286" t="s">
        <v>465</v>
      </c>
      <c r="B7" s="286" t="s">
        <v>466</v>
      </c>
      <c r="C7" s="287" t="s">
        <v>467</v>
      </c>
      <c r="D7" s="286" t="s">
        <v>468</v>
      </c>
      <c r="E7" s="289">
        <v>45046</v>
      </c>
      <c r="F7" s="288">
        <v>41.12</v>
      </c>
      <c r="H7" s="287" t="s">
        <v>458</v>
      </c>
      <c r="I7" s="287" t="s">
        <v>469</v>
      </c>
      <c r="J7" s="287" t="s">
        <v>459</v>
      </c>
      <c r="K7" s="287" t="s">
        <v>460</v>
      </c>
    </row>
    <row r="8" spans="1:11" ht="33.200000000000003" customHeight="1">
      <c r="A8" s="286" t="s">
        <v>470</v>
      </c>
      <c r="B8" s="286" t="s">
        <v>471</v>
      </c>
      <c r="C8" s="287" t="s">
        <v>472</v>
      </c>
      <c r="D8" s="286" t="s">
        <v>468</v>
      </c>
      <c r="E8" s="289">
        <v>45046</v>
      </c>
      <c r="F8" s="288">
        <v>65.790000000000006</v>
      </c>
      <c r="H8" s="287" t="s">
        <v>458</v>
      </c>
      <c r="I8" s="287" t="s">
        <v>469</v>
      </c>
      <c r="J8" s="287" t="s">
        <v>459</v>
      </c>
      <c r="K8" s="287" t="s">
        <v>460</v>
      </c>
    </row>
    <row r="9" spans="1:11" ht="22.25" customHeight="1">
      <c r="A9" s="286" t="s">
        <v>455</v>
      </c>
      <c r="B9" s="286" t="s">
        <v>456</v>
      </c>
      <c r="C9" s="287" t="s">
        <v>461</v>
      </c>
      <c r="D9" s="286" t="s">
        <v>473</v>
      </c>
      <c r="E9" s="289">
        <v>45077</v>
      </c>
      <c r="F9" s="288">
        <v>563.28</v>
      </c>
      <c r="H9" s="287" t="s">
        <v>458</v>
      </c>
      <c r="I9" s="287" t="s">
        <v>458</v>
      </c>
      <c r="J9" s="287" t="s">
        <v>459</v>
      </c>
      <c r="K9" s="287" t="s">
        <v>460</v>
      </c>
    </row>
    <row r="10" spans="1:11" ht="22.25" customHeight="1">
      <c r="A10" s="286" t="s">
        <v>455</v>
      </c>
      <c r="B10" s="286" t="s">
        <v>456</v>
      </c>
      <c r="C10" s="287" t="s">
        <v>463</v>
      </c>
      <c r="D10" s="286" t="s">
        <v>473</v>
      </c>
      <c r="E10" s="289">
        <v>45077</v>
      </c>
      <c r="F10" s="288">
        <v>436.8</v>
      </c>
      <c r="H10" s="287" t="s">
        <v>458</v>
      </c>
      <c r="I10" s="287" t="s">
        <v>458</v>
      </c>
      <c r="J10" s="287" t="s">
        <v>459</v>
      </c>
      <c r="K10" s="287" t="s">
        <v>460</v>
      </c>
    </row>
    <row r="11" spans="1:11" ht="22.25" customHeight="1">
      <c r="A11" s="286" t="s">
        <v>455</v>
      </c>
      <c r="B11" s="286" t="s">
        <v>456</v>
      </c>
      <c r="C11" s="287" t="s">
        <v>464</v>
      </c>
      <c r="D11" s="286" t="s">
        <v>473</v>
      </c>
      <c r="E11" s="289">
        <v>45077</v>
      </c>
      <c r="F11" s="288">
        <v>720</v>
      </c>
      <c r="H11" s="287" t="s">
        <v>458</v>
      </c>
      <c r="I11" s="287" t="s">
        <v>458</v>
      </c>
      <c r="J11" s="287" t="s">
        <v>459</v>
      </c>
      <c r="K11" s="287" t="s">
        <v>460</v>
      </c>
    </row>
    <row r="12" spans="1:11" ht="22.25" customHeight="1">
      <c r="A12" s="286" t="s">
        <v>474</v>
      </c>
      <c r="B12" s="286" t="s">
        <v>475</v>
      </c>
      <c r="C12" s="287" t="s">
        <v>476</v>
      </c>
      <c r="D12" s="286" t="s">
        <v>477</v>
      </c>
      <c r="E12" s="289">
        <v>45077</v>
      </c>
      <c r="F12" s="288">
        <v>999.46</v>
      </c>
      <c r="H12" s="287" t="s">
        <v>458</v>
      </c>
      <c r="I12" s="287" t="s">
        <v>469</v>
      </c>
      <c r="J12" s="287" t="s">
        <v>459</v>
      </c>
      <c r="K12" s="287" t="s">
        <v>460</v>
      </c>
    </row>
    <row r="13" spans="1:11" ht="22.25" customHeight="1">
      <c r="A13" s="286" t="s">
        <v>478</v>
      </c>
      <c r="B13" s="286" t="s">
        <v>479</v>
      </c>
      <c r="C13" s="287" t="s">
        <v>480</v>
      </c>
      <c r="D13" s="286" t="s">
        <v>477</v>
      </c>
      <c r="E13" s="289">
        <v>45077</v>
      </c>
      <c r="F13" s="288">
        <v>837.89</v>
      </c>
      <c r="H13" s="287" t="s">
        <v>458</v>
      </c>
      <c r="I13" s="287" t="s">
        <v>469</v>
      </c>
      <c r="J13" s="287" t="s">
        <v>459</v>
      </c>
      <c r="K13" s="287" t="s">
        <v>460</v>
      </c>
    </row>
    <row r="14" spans="1:11" ht="22.25" customHeight="1">
      <c r="A14" s="286" t="s">
        <v>481</v>
      </c>
      <c r="B14" s="286" t="s">
        <v>482</v>
      </c>
      <c r="C14" s="287" t="s">
        <v>483</v>
      </c>
      <c r="D14" s="286" t="s">
        <v>477</v>
      </c>
      <c r="E14" s="289">
        <v>45077</v>
      </c>
      <c r="F14" s="288">
        <v>498.74</v>
      </c>
      <c r="H14" s="287" t="s">
        <v>458</v>
      </c>
      <c r="I14" s="287" t="s">
        <v>469</v>
      </c>
      <c r="J14" s="287" t="s">
        <v>459</v>
      </c>
      <c r="K14" s="287" t="s">
        <v>460</v>
      </c>
    </row>
    <row r="15" spans="1:11" ht="22.25" customHeight="1">
      <c r="A15" s="286" t="s">
        <v>465</v>
      </c>
      <c r="B15" s="286" t="s">
        <v>466</v>
      </c>
      <c r="C15" s="287" t="s">
        <v>484</v>
      </c>
      <c r="D15" s="286" t="s">
        <v>477</v>
      </c>
      <c r="E15" s="289">
        <v>45077</v>
      </c>
      <c r="F15" s="288">
        <v>33.6</v>
      </c>
      <c r="H15" s="287" t="s">
        <v>458</v>
      </c>
      <c r="I15" s="287" t="s">
        <v>469</v>
      </c>
      <c r="J15" s="287" t="s">
        <v>459</v>
      </c>
      <c r="K15" s="287" t="s">
        <v>460</v>
      </c>
    </row>
    <row r="16" spans="1:11" ht="22.25" customHeight="1">
      <c r="A16" s="286" t="s">
        <v>485</v>
      </c>
      <c r="B16" s="286" t="s">
        <v>486</v>
      </c>
      <c r="C16" s="287" t="s">
        <v>487</v>
      </c>
      <c r="D16" s="286" t="s">
        <v>477</v>
      </c>
      <c r="E16" s="289">
        <v>45077</v>
      </c>
      <c r="F16" s="288">
        <v>125.99</v>
      </c>
      <c r="H16" s="287" t="s">
        <v>458</v>
      </c>
      <c r="I16" s="287" t="s">
        <v>469</v>
      </c>
      <c r="J16" s="287" t="s">
        <v>459</v>
      </c>
      <c r="K16" s="287" t="s">
        <v>460</v>
      </c>
    </row>
    <row r="17" spans="1:14" ht="22.25" customHeight="1">
      <c r="A17" s="286" t="s">
        <v>470</v>
      </c>
      <c r="B17" s="286" t="s">
        <v>471</v>
      </c>
      <c r="C17" s="287" t="s">
        <v>488</v>
      </c>
      <c r="D17" s="286" t="s">
        <v>477</v>
      </c>
      <c r="E17" s="289">
        <v>45077</v>
      </c>
      <c r="F17" s="288">
        <v>748.4</v>
      </c>
      <c r="H17" s="287" t="s">
        <v>458</v>
      </c>
      <c r="I17" s="287" t="s">
        <v>469</v>
      </c>
      <c r="J17" s="287" t="s">
        <v>459</v>
      </c>
      <c r="K17" s="287" t="s">
        <v>460</v>
      </c>
    </row>
    <row r="18" spans="1:14" ht="44.1" customHeight="1">
      <c r="A18" s="286" t="s">
        <v>489</v>
      </c>
      <c r="B18" s="286" t="s">
        <v>490</v>
      </c>
      <c r="C18" s="287" t="s">
        <v>491</v>
      </c>
      <c r="D18" s="286" t="s">
        <v>477</v>
      </c>
      <c r="E18" s="289">
        <v>45077</v>
      </c>
      <c r="F18" s="288">
        <v>4125.2</v>
      </c>
      <c r="H18" s="287" t="s">
        <v>458</v>
      </c>
      <c r="I18" s="287" t="s">
        <v>469</v>
      </c>
      <c r="J18" s="287" t="s">
        <v>459</v>
      </c>
      <c r="K18" s="287" t="s">
        <v>460</v>
      </c>
    </row>
    <row r="19" spans="1:14" ht="22.25" customHeight="1">
      <c r="A19" s="286" t="s">
        <v>465</v>
      </c>
      <c r="B19" s="286" t="s">
        <v>466</v>
      </c>
      <c r="C19" s="287" t="s">
        <v>492</v>
      </c>
      <c r="D19" s="286" t="s">
        <v>477</v>
      </c>
      <c r="E19" s="289">
        <v>45077</v>
      </c>
      <c r="F19" s="288">
        <v>604.77</v>
      </c>
      <c r="H19" s="287" t="s">
        <v>458</v>
      </c>
      <c r="I19" s="287" t="s">
        <v>469</v>
      </c>
      <c r="J19" s="287" t="s">
        <v>459</v>
      </c>
      <c r="K19" s="287" t="s">
        <v>460</v>
      </c>
    </row>
    <row r="20" spans="1:14" ht="22.25" customHeight="1">
      <c r="A20" s="286" t="s">
        <v>470</v>
      </c>
      <c r="B20" s="286" t="s">
        <v>471</v>
      </c>
      <c r="C20" s="287" t="s">
        <v>493</v>
      </c>
      <c r="D20" s="286" t="s">
        <v>477</v>
      </c>
      <c r="E20" s="289">
        <v>45077</v>
      </c>
      <c r="F20" s="288">
        <v>281.39</v>
      </c>
      <c r="H20" s="287" t="s">
        <v>458</v>
      </c>
      <c r="I20" s="287" t="s">
        <v>469</v>
      </c>
      <c r="J20" s="287" t="s">
        <v>459</v>
      </c>
      <c r="K20" s="287" t="s">
        <v>460</v>
      </c>
    </row>
    <row r="21" spans="1:14" ht="22.25" customHeight="1">
      <c r="A21" s="286" t="s">
        <v>465</v>
      </c>
      <c r="B21" s="286" t="s">
        <v>466</v>
      </c>
      <c r="C21" s="287" t="s">
        <v>494</v>
      </c>
      <c r="D21" s="286" t="s">
        <v>477</v>
      </c>
      <c r="E21" s="289">
        <v>45077</v>
      </c>
      <c r="F21" s="288">
        <v>33.6</v>
      </c>
      <c r="H21" s="287" t="s">
        <v>458</v>
      </c>
      <c r="I21" s="287" t="s">
        <v>469</v>
      </c>
      <c r="J21" s="287" t="s">
        <v>459</v>
      </c>
      <c r="K21" s="287" t="s">
        <v>460</v>
      </c>
    </row>
    <row r="22" spans="1:14" ht="22.25" customHeight="1">
      <c r="A22" s="286" t="s">
        <v>489</v>
      </c>
      <c r="B22" s="286" t="s">
        <v>490</v>
      </c>
      <c r="C22" s="287" t="s">
        <v>495</v>
      </c>
      <c r="D22" s="286" t="s">
        <v>477</v>
      </c>
      <c r="E22" s="289">
        <v>45077</v>
      </c>
      <c r="F22" s="288">
        <v>56.45</v>
      </c>
      <c r="H22" s="287" t="s">
        <v>458</v>
      </c>
      <c r="I22" s="287" t="s">
        <v>469</v>
      </c>
      <c r="J22" s="287" t="s">
        <v>459</v>
      </c>
      <c r="K22" s="287" t="s">
        <v>460</v>
      </c>
    </row>
    <row r="23" spans="1:14" ht="22.25" customHeight="1">
      <c r="A23" s="286" t="s">
        <v>465</v>
      </c>
      <c r="B23" s="286" t="s">
        <v>466</v>
      </c>
      <c r="C23" s="287" t="s">
        <v>496</v>
      </c>
      <c r="D23" s="286" t="s">
        <v>477</v>
      </c>
      <c r="E23" s="289">
        <v>45077</v>
      </c>
      <c r="F23" s="288">
        <v>436.78</v>
      </c>
      <c r="H23" s="287" t="s">
        <v>458</v>
      </c>
      <c r="I23" s="287" t="s">
        <v>469</v>
      </c>
      <c r="J23" s="287" t="s">
        <v>459</v>
      </c>
      <c r="K23" s="287" t="s">
        <v>460</v>
      </c>
    </row>
    <row r="24" spans="1:14" ht="22.25" customHeight="1">
      <c r="A24" s="286" t="s">
        <v>489</v>
      </c>
      <c r="B24" s="286" t="s">
        <v>490</v>
      </c>
      <c r="C24" s="287" t="s">
        <v>497</v>
      </c>
      <c r="D24" s="286" t="s">
        <v>477</v>
      </c>
      <c r="E24" s="289">
        <v>45077</v>
      </c>
      <c r="F24" s="288">
        <v>1310.33</v>
      </c>
      <c r="H24" s="287" t="s">
        <v>458</v>
      </c>
      <c r="I24" s="287" t="s">
        <v>469</v>
      </c>
      <c r="J24" s="287" t="s">
        <v>459</v>
      </c>
      <c r="K24" s="287" t="s">
        <v>460</v>
      </c>
    </row>
    <row r="25" spans="1:14" ht="22.25" customHeight="1">
      <c r="A25" s="286" t="s">
        <v>498</v>
      </c>
      <c r="B25" s="286" t="s">
        <v>499</v>
      </c>
      <c r="C25" s="287" t="s">
        <v>500</v>
      </c>
      <c r="D25" s="286" t="s">
        <v>477</v>
      </c>
      <c r="E25" s="289">
        <v>45077</v>
      </c>
      <c r="F25" s="288">
        <v>100.79</v>
      </c>
      <c r="H25" s="287" t="s">
        <v>458</v>
      </c>
      <c r="I25" s="287" t="s">
        <v>469</v>
      </c>
      <c r="J25" s="287" t="s">
        <v>459</v>
      </c>
      <c r="K25" s="287" t="s">
        <v>460</v>
      </c>
    </row>
    <row r="26" spans="1:14" ht="22.25" customHeight="1">
      <c r="A26" s="286" t="s">
        <v>465</v>
      </c>
      <c r="B26" s="286" t="s">
        <v>466</v>
      </c>
      <c r="C26" s="287" t="s">
        <v>501</v>
      </c>
      <c r="D26" s="286" t="s">
        <v>477</v>
      </c>
      <c r="E26" s="289">
        <v>45077</v>
      </c>
      <c r="F26" s="288">
        <v>33.6</v>
      </c>
      <c r="H26" s="287" t="s">
        <v>458</v>
      </c>
      <c r="I26" s="287" t="s">
        <v>469</v>
      </c>
      <c r="J26" s="287" t="s">
        <v>459</v>
      </c>
      <c r="K26" s="287" t="s">
        <v>460</v>
      </c>
    </row>
    <row r="27" spans="1:14" ht="22.25" customHeight="1">
      <c r="A27" s="286" t="s">
        <v>465</v>
      </c>
      <c r="B27" s="286" t="s">
        <v>466</v>
      </c>
      <c r="C27" s="287" t="s">
        <v>502</v>
      </c>
      <c r="D27" s="286" t="s">
        <v>477</v>
      </c>
      <c r="E27" s="289">
        <v>45077</v>
      </c>
      <c r="F27" s="288">
        <v>67.2</v>
      </c>
      <c r="H27" s="287" t="s">
        <v>458</v>
      </c>
      <c r="I27" s="287" t="s">
        <v>469</v>
      </c>
      <c r="J27" s="287" t="s">
        <v>459</v>
      </c>
      <c r="K27" s="287" t="s">
        <v>460</v>
      </c>
    </row>
    <row r="28" spans="1:14" ht="22.25" customHeight="1">
      <c r="A28" s="286" t="s">
        <v>485</v>
      </c>
      <c r="B28" s="286" t="s">
        <v>486</v>
      </c>
      <c r="C28" s="287" t="s">
        <v>503</v>
      </c>
      <c r="D28" s="286" t="s">
        <v>477</v>
      </c>
      <c r="E28" s="289">
        <v>45077</v>
      </c>
      <c r="F28" s="288">
        <v>113.31</v>
      </c>
      <c r="H28" s="287" t="s">
        <v>458</v>
      </c>
      <c r="I28" s="287" t="s">
        <v>469</v>
      </c>
      <c r="J28" s="287" t="s">
        <v>459</v>
      </c>
      <c r="K28" s="287" t="s">
        <v>460</v>
      </c>
    </row>
    <row r="29" spans="1:14" ht="22.25" customHeight="1">
      <c r="A29" s="286" t="s">
        <v>485</v>
      </c>
      <c r="B29" s="286" t="s">
        <v>486</v>
      </c>
      <c r="C29" s="287" t="s">
        <v>504</v>
      </c>
      <c r="D29" s="286" t="s">
        <v>477</v>
      </c>
      <c r="E29" s="289">
        <v>45077</v>
      </c>
      <c r="F29" s="288">
        <v>75.599999999999994</v>
      </c>
      <c r="H29" s="287" t="s">
        <v>458</v>
      </c>
      <c r="I29" s="287" t="s">
        <v>469</v>
      </c>
      <c r="J29" s="287" t="s">
        <v>459</v>
      </c>
      <c r="K29" s="287" t="s">
        <v>460</v>
      </c>
    </row>
    <row r="30" spans="1:14" ht="22.25" customHeight="1">
      <c r="A30" s="286" t="s">
        <v>489</v>
      </c>
      <c r="B30" s="286" t="s">
        <v>490</v>
      </c>
      <c r="C30" s="287" t="s">
        <v>505</v>
      </c>
      <c r="D30" s="286" t="s">
        <v>477</v>
      </c>
      <c r="E30" s="289">
        <v>45077</v>
      </c>
      <c r="F30" s="288">
        <v>43.68</v>
      </c>
      <c r="H30" s="287" t="s">
        <v>458</v>
      </c>
      <c r="I30" s="287" t="s">
        <v>469</v>
      </c>
      <c r="J30" s="287" t="s">
        <v>459</v>
      </c>
      <c r="K30" s="287" t="s">
        <v>460</v>
      </c>
    </row>
    <row r="31" spans="1:14" ht="44.1" customHeight="1">
      <c r="A31" s="286" t="s">
        <v>506</v>
      </c>
      <c r="B31" s="286" t="s">
        <v>507</v>
      </c>
      <c r="C31" s="287" t="s">
        <v>508</v>
      </c>
      <c r="D31" s="286" t="s">
        <v>509</v>
      </c>
      <c r="E31" s="289">
        <v>45086</v>
      </c>
      <c r="F31" s="288">
        <v>4000</v>
      </c>
      <c r="H31" s="287" t="s">
        <v>458</v>
      </c>
      <c r="I31" s="287" t="s">
        <v>469</v>
      </c>
      <c r="J31" s="287" t="s">
        <v>459</v>
      </c>
      <c r="K31" s="287" t="s">
        <v>460</v>
      </c>
    </row>
    <row r="32" spans="1:14" ht="22.25" customHeight="1">
      <c r="A32" s="286" t="s">
        <v>455</v>
      </c>
      <c r="B32" s="286" t="s">
        <v>456</v>
      </c>
      <c r="C32" s="287" t="s">
        <v>461</v>
      </c>
      <c r="D32" s="286" t="s">
        <v>510</v>
      </c>
      <c r="E32" s="289">
        <v>45107</v>
      </c>
      <c r="F32" s="288">
        <v>563.28</v>
      </c>
      <c r="H32" s="287" t="s">
        <v>458</v>
      </c>
      <c r="I32" s="287" t="s">
        <v>458</v>
      </c>
      <c r="J32" s="287" t="s">
        <v>459</v>
      </c>
      <c r="K32" s="287" t="s">
        <v>460</v>
      </c>
      <c r="M32" s="178" t="s">
        <v>448</v>
      </c>
      <c r="N32" t="s">
        <v>511</v>
      </c>
    </row>
    <row r="33" spans="1:479" ht="22.25" customHeight="1">
      <c r="A33" s="286" t="s">
        <v>455</v>
      </c>
      <c r="B33" s="286" t="s">
        <v>456</v>
      </c>
      <c r="C33" s="287" t="s">
        <v>463</v>
      </c>
      <c r="D33" s="286" t="s">
        <v>510</v>
      </c>
      <c r="E33" s="289">
        <v>45107</v>
      </c>
      <c r="F33" s="288">
        <v>436.8</v>
      </c>
      <c r="H33" s="287" t="s">
        <v>458</v>
      </c>
      <c r="I33" s="287" t="s">
        <v>458</v>
      </c>
      <c r="J33" s="287" t="s">
        <v>459</v>
      </c>
      <c r="K33" s="287" t="s">
        <v>460</v>
      </c>
    </row>
    <row r="34" spans="1:479" ht="22.25" customHeight="1">
      <c r="A34" s="286" t="s">
        <v>455</v>
      </c>
      <c r="B34" s="286" t="s">
        <v>456</v>
      </c>
      <c r="C34" s="287" t="s">
        <v>464</v>
      </c>
      <c r="D34" s="286" t="s">
        <v>510</v>
      </c>
      <c r="E34" s="289">
        <v>45107</v>
      </c>
      <c r="F34" s="288">
        <v>720</v>
      </c>
      <c r="H34" s="287" t="s">
        <v>458</v>
      </c>
      <c r="I34" s="287" t="s">
        <v>458</v>
      </c>
      <c r="J34" s="287" t="s">
        <v>459</v>
      </c>
      <c r="K34" s="287" t="s">
        <v>460</v>
      </c>
      <c r="M34" s="178" t="s">
        <v>512</v>
      </c>
      <c r="N34" t="s">
        <v>513</v>
      </c>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row>
    <row r="35" spans="1:479" ht="22.25" customHeight="1">
      <c r="A35" s="286" t="s">
        <v>478</v>
      </c>
      <c r="B35" s="286" t="s">
        <v>479</v>
      </c>
      <c r="C35" s="287" t="s">
        <v>514</v>
      </c>
      <c r="D35" s="286" t="s">
        <v>515</v>
      </c>
      <c r="E35" s="289">
        <v>45107</v>
      </c>
      <c r="F35" s="288">
        <v>839.01</v>
      </c>
      <c r="H35" s="287" t="s">
        <v>458</v>
      </c>
      <c r="I35" s="287" t="s">
        <v>469</v>
      </c>
      <c r="J35" s="287" t="s">
        <v>459</v>
      </c>
      <c r="K35" s="287" t="s">
        <v>460</v>
      </c>
      <c r="M35" s="168" t="s">
        <v>210</v>
      </c>
      <c r="N35">
        <v>0</v>
      </c>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row>
    <row r="36" spans="1:479" ht="22.25" customHeight="1">
      <c r="A36" s="286" t="s">
        <v>481</v>
      </c>
      <c r="B36" s="286" t="s">
        <v>482</v>
      </c>
      <c r="C36" s="287" t="s">
        <v>516</v>
      </c>
      <c r="D36" s="286" t="s">
        <v>515</v>
      </c>
      <c r="E36" s="289">
        <v>45107</v>
      </c>
      <c r="F36" s="288">
        <v>499.41</v>
      </c>
      <c r="H36" s="287" t="s">
        <v>458</v>
      </c>
      <c r="I36" s="287" t="s">
        <v>469</v>
      </c>
      <c r="J36" s="287" t="s">
        <v>459</v>
      </c>
      <c r="K36" s="287" t="s">
        <v>460</v>
      </c>
      <c r="M36" s="168" t="s">
        <v>478</v>
      </c>
      <c r="N36">
        <v>32853.610000000008</v>
      </c>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row>
    <row r="37" spans="1:479" ht="33.200000000000003" customHeight="1">
      <c r="A37" s="286" t="s">
        <v>465</v>
      </c>
      <c r="B37" s="286" t="s">
        <v>466</v>
      </c>
      <c r="C37" s="287" t="s">
        <v>517</v>
      </c>
      <c r="D37" s="286" t="s">
        <v>515</v>
      </c>
      <c r="E37" s="289">
        <v>45107</v>
      </c>
      <c r="F37" s="288">
        <v>25.32</v>
      </c>
      <c r="H37" s="287" t="s">
        <v>458</v>
      </c>
      <c r="I37" s="287" t="s">
        <v>469</v>
      </c>
      <c r="J37" s="287" t="s">
        <v>459</v>
      </c>
      <c r="K37" s="287" t="s">
        <v>460</v>
      </c>
      <c r="M37" s="168" t="s">
        <v>481</v>
      </c>
      <c r="N37">
        <v>998.15000000000009</v>
      </c>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row>
    <row r="38" spans="1:479" ht="33.200000000000003" customHeight="1">
      <c r="A38" s="286" t="s">
        <v>465</v>
      </c>
      <c r="B38" s="286" t="s">
        <v>466</v>
      </c>
      <c r="C38" s="287" t="s">
        <v>518</v>
      </c>
      <c r="D38" s="286" t="s">
        <v>515</v>
      </c>
      <c r="E38" s="289">
        <v>45107</v>
      </c>
      <c r="F38" s="288">
        <v>25.32</v>
      </c>
      <c r="H38" s="287" t="s">
        <v>458</v>
      </c>
      <c r="I38" s="287" t="s">
        <v>469</v>
      </c>
      <c r="J38" s="287" t="s">
        <v>459</v>
      </c>
      <c r="K38" s="287" t="s">
        <v>460</v>
      </c>
      <c r="M38" s="168" t="s">
        <v>455</v>
      </c>
      <c r="N38">
        <v>37841.529999999984</v>
      </c>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row>
    <row r="39" spans="1:479" ht="22.25" customHeight="1">
      <c r="A39" s="286" t="s">
        <v>489</v>
      </c>
      <c r="B39" s="286" t="s">
        <v>490</v>
      </c>
      <c r="C39" s="287" t="s">
        <v>519</v>
      </c>
      <c r="D39" s="286" t="s">
        <v>515</v>
      </c>
      <c r="E39" s="289">
        <v>45107</v>
      </c>
      <c r="F39" s="288">
        <v>18.309999999999999</v>
      </c>
      <c r="H39" s="287" t="s">
        <v>458</v>
      </c>
      <c r="I39" s="287" t="s">
        <v>469</v>
      </c>
      <c r="J39" s="287" t="s">
        <v>459</v>
      </c>
      <c r="K39" s="287" t="s">
        <v>460</v>
      </c>
      <c r="M39" s="168" t="s">
        <v>506</v>
      </c>
      <c r="N39">
        <v>48698.709999999992</v>
      </c>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row>
    <row r="40" spans="1:479" ht="22.25" customHeight="1">
      <c r="A40" s="286" t="s">
        <v>465</v>
      </c>
      <c r="B40" s="286" t="s">
        <v>466</v>
      </c>
      <c r="C40" s="287" t="s">
        <v>520</v>
      </c>
      <c r="D40" s="286" t="s">
        <v>515</v>
      </c>
      <c r="E40" s="289">
        <v>45107</v>
      </c>
      <c r="F40" s="288">
        <v>6.75</v>
      </c>
      <c r="H40" s="287" t="s">
        <v>458</v>
      </c>
      <c r="I40" s="287" t="s">
        <v>469</v>
      </c>
      <c r="J40" s="287" t="s">
        <v>459</v>
      </c>
      <c r="K40" s="287" t="s">
        <v>460</v>
      </c>
      <c r="M40" s="168" t="s">
        <v>521</v>
      </c>
      <c r="N40">
        <v>178.57</v>
      </c>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row>
    <row r="41" spans="1:479" ht="22.25" customHeight="1">
      <c r="A41" s="286" t="s">
        <v>465</v>
      </c>
      <c r="B41" s="286" t="s">
        <v>466</v>
      </c>
      <c r="C41" s="287" t="s">
        <v>496</v>
      </c>
      <c r="D41" s="286" t="s">
        <v>515</v>
      </c>
      <c r="E41" s="289">
        <v>45107</v>
      </c>
      <c r="F41" s="288">
        <v>42.2</v>
      </c>
      <c r="H41" s="287" t="s">
        <v>458</v>
      </c>
      <c r="I41" s="287" t="s">
        <v>469</v>
      </c>
      <c r="J41" s="287" t="s">
        <v>459</v>
      </c>
      <c r="K41" s="287" t="s">
        <v>460</v>
      </c>
      <c r="M41" s="168" t="s">
        <v>522</v>
      </c>
      <c r="N41">
        <v>1008.43</v>
      </c>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row>
    <row r="42" spans="1:479" ht="22.25" customHeight="1">
      <c r="A42" s="286" t="s">
        <v>465</v>
      </c>
      <c r="B42" s="286" t="s">
        <v>466</v>
      </c>
      <c r="C42" s="287" t="s">
        <v>496</v>
      </c>
      <c r="D42" s="286" t="s">
        <v>515</v>
      </c>
      <c r="E42" s="289">
        <v>45107</v>
      </c>
      <c r="F42" s="288">
        <v>25.32</v>
      </c>
      <c r="H42" s="287" t="s">
        <v>458</v>
      </c>
      <c r="I42" s="287" t="s">
        <v>469</v>
      </c>
      <c r="J42" s="287" t="s">
        <v>459</v>
      </c>
      <c r="K42" s="287" t="s">
        <v>460</v>
      </c>
      <c r="M42" s="168" t="s">
        <v>523</v>
      </c>
      <c r="N42">
        <v>65.97</v>
      </c>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row>
    <row r="43" spans="1:479" ht="44.1" customHeight="1">
      <c r="A43" s="286" t="s">
        <v>506</v>
      </c>
      <c r="B43" s="286" t="s">
        <v>507</v>
      </c>
      <c r="C43" s="287" t="s">
        <v>524</v>
      </c>
      <c r="D43" s="286" t="s">
        <v>525</v>
      </c>
      <c r="E43" s="289">
        <v>45131</v>
      </c>
      <c r="F43" s="288">
        <v>4000</v>
      </c>
      <c r="H43" s="287" t="s">
        <v>458</v>
      </c>
      <c r="I43" s="287" t="s">
        <v>469</v>
      </c>
      <c r="J43" s="287" t="s">
        <v>459</v>
      </c>
      <c r="K43" s="287" t="s">
        <v>460</v>
      </c>
      <c r="M43" s="168" t="s">
        <v>485</v>
      </c>
      <c r="N43">
        <v>2497.0100000000007</v>
      </c>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row>
    <row r="44" spans="1:479" ht="22.25" customHeight="1">
      <c r="A44" s="286" t="s">
        <v>455</v>
      </c>
      <c r="B44" s="286" t="s">
        <v>456</v>
      </c>
      <c r="C44" s="287" t="s">
        <v>461</v>
      </c>
      <c r="D44" s="286" t="s">
        <v>526</v>
      </c>
      <c r="E44" s="289">
        <v>45138</v>
      </c>
      <c r="F44" s="288">
        <v>563.29</v>
      </c>
      <c r="H44" s="287" t="s">
        <v>458</v>
      </c>
      <c r="I44" s="287" t="s">
        <v>458</v>
      </c>
      <c r="J44" s="287" t="s">
        <v>459</v>
      </c>
      <c r="K44" s="287" t="s">
        <v>460</v>
      </c>
      <c r="M44" s="168" t="s">
        <v>527</v>
      </c>
      <c r="N44">
        <v>8.7799999999999994</v>
      </c>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row>
    <row r="45" spans="1:479" ht="22.25" customHeight="1">
      <c r="A45" s="286" t="s">
        <v>455</v>
      </c>
      <c r="B45" s="286" t="s">
        <v>456</v>
      </c>
      <c r="C45" s="287" t="s">
        <v>463</v>
      </c>
      <c r="D45" s="286" t="s">
        <v>526</v>
      </c>
      <c r="E45" s="289">
        <v>45138</v>
      </c>
      <c r="F45" s="288">
        <v>436.8</v>
      </c>
      <c r="H45" s="287" t="s">
        <v>458</v>
      </c>
      <c r="I45" s="287" t="s">
        <v>458</v>
      </c>
      <c r="J45" s="287" t="s">
        <v>459</v>
      </c>
      <c r="K45" s="287" t="s">
        <v>460</v>
      </c>
      <c r="M45" s="168" t="s">
        <v>528</v>
      </c>
      <c r="N45">
        <v>89.419999999999987</v>
      </c>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row>
    <row r="46" spans="1:479" ht="22.25" customHeight="1">
      <c r="A46" s="286" t="s">
        <v>455</v>
      </c>
      <c r="B46" s="286" t="s">
        <v>456</v>
      </c>
      <c r="C46" s="287" t="s">
        <v>464</v>
      </c>
      <c r="D46" s="286" t="s">
        <v>526</v>
      </c>
      <c r="E46" s="289">
        <v>45138</v>
      </c>
      <c r="F46" s="288">
        <v>720</v>
      </c>
      <c r="H46" s="287" t="s">
        <v>458</v>
      </c>
      <c r="I46" s="287" t="s">
        <v>458</v>
      </c>
      <c r="J46" s="287" t="s">
        <v>459</v>
      </c>
      <c r="K46" s="287" t="s">
        <v>460</v>
      </c>
      <c r="M46" s="168" t="s">
        <v>529</v>
      </c>
      <c r="N46">
        <v>5585.5899999999992</v>
      </c>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row>
    <row r="47" spans="1:479" ht="22.25" customHeight="1">
      <c r="A47" s="286" t="s">
        <v>530</v>
      </c>
      <c r="B47" s="286" t="s">
        <v>531</v>
      </c>
      <c r="C47" s="287" t="s">
        <v>532</v>
      </c>
      <c r="D47" s="286" t="s">
        <v>533</v>
      </c>
      <c r="E47" s="289">
        <v>45138</v>
      </c>
      <c r="F47" s="288">
        <v>2278.6</v>
      </c>
      <c r="H47" s="287" t="s">
        <v>458</v>
      </c>
      <c r="I47" s="287" t="s">
        <v>469</v>
      </c>
      <c r="J47" s="287" t="s">
        <v>459</v>
      </c>
      <c r="K47" s="287" t="s">
        <v>460</v>
      </c>
      <c r="M47" s="168" t="s">
        <v>534</v>
      </c>
      <c r="N47">
        <v>111.73999999999995</v>
      </c>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row>
    <row r="48" spans="1:479" ht="22.25" customHeight="1">
      <c r="A48" s="286" t="s">
        <v>465</v>
      </c>
      <c r="B48" s="286" t="s">
        <v>466</v>
      </c>
      <c r="C48" s="287" t="s">
        <v>535</v>
      </c>
      <c r="D48" s="286" t="s">
        <v>533</v>
      </c>
      <c r="E48" s="289">
        <v>45138</v>
      </c>
      <c r="F48" s="288">
        <v>25.24</v>
      </c>
      <c r="H48" s="287" t="s">
        <v>458</v>
      </c>
      <c r="I48" s="287" t="s">
        <v>469</v>
      </c>
      <c r="J48" s="287" t="s">
        <v>459</v>
      </c>
      <c r="K48" s="287" t="s">
        <v>460</v>
      </c>
      <c r="M48" s="168" t="s">
        <v>536</v>
      </c>
      <c r="N48">
        <v>13363.229999999998</v>
      </c>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row>
    <row r="49" spans="1:479" ht="22.25" customHeight="1">
      <c r="A49" s="286" t="s">
        <v>478</v>
      </c>
      <c r="B49" s="286" t="s">
        <v>479</v>
      </c>
      <c r="C49" s="287" t="s">
        <v>537</v>
      </c>
      <c r="D49" s="286" t="s">
        <v>533</v>
      </c>
      <c r="E49" s="289">
        <v>45138</v>
      </c>
      <c r="F49" s="288">
        <v>839.67</v>
      </c>
      <c r="H49" s="287" t="s">
        <v>458</v>
      </c>
      <c r="I49" s="287" t="s">
        <v>469</v>
      </c>
      <c r="J49" s="287" t="s">
        <v>459</v>
      </c>
      <c r="K49" s="287" t="s">
        <v>460</v>
      </c>
      <c r="M49" s="168" t="s">
        <v>538</v>
      </c>
      <c r="N49">
        <v>70.25</v>
      </c>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row>
    <row r="50" spans="1:479" ht="22.25" customHeight="1">
      <c r="A50" s="286" t="s">
        <v>489</v>
      </c>
      <c r="B50" s="286" t="s">
        <v>490</v>
      </c>
      <c r="C50" s="287" t="s">
        <v>519</v>
      </c>
      <c r="D50" s="286" t="s">
        <v>533</v>
      </c>
      <c r="E50" s="289">
        <v>45138</v>
      </c>
      <c r="F50" s="288">
        <v>16.82</v>
      </c>
      <c r="H50" s="287" t="s">
        <v>458</v>
      </c>
      <c r="I50" s="287" t="s">
        <v>469</v>
      </c>
      <c r="J50" s="287" t="s">
        <v>459</v>
      </c>
      <c r="K50" s="287" t="s">
        <v>460</v>
      </c>
      <c r="M50" s="168" t="s">
        <v>539</v>
      </c>
      <c r="N50">
        <v>150.41999999999999</v>
      </c>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row>
    <row r="51" spans="1:479" ht="22.25" customHeight="1">
      <c r="A51" s="286" t="s">
        <v>465</v>
      </c>
      <c r="B51" s="286" t="s">
        <v>466</v>
      </c>
      <c r="C51" s="287" t="s">
        <v>520</v>
      </c>
      <c r="D51" s="286" t="s">
        <v>533</v>
      </c>
      <c r="E51" s="289">
        <v>45138</v>
      </c>
      <c r="F51" s="288">
        <v>6.73</v>
      </c>
      <c r="H51" s="287" t="s">
        <v>458</v>
      </c>
      <c r="I51" s="287" t="s">
        <v>469</v>
      </c>
      <c r="J51" s="287" t="s">
        <v>459</v>
      </c>
      <c r="K51" s="287" t="s">
        <v>460</v>
      </c>
      <c r="M51" s="168" t="s">
        <v>474</v>
      </c>
      <c r="N51">
        <v>2677.5</v>
      </c>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row>
    <row r="52" spans="1:479" ht="22.25" customHeight="1">
      <c r="A52" s="286" t="s">
        <v>465</v>
      </c>
      <c r="B52" s="286" t="s">
        <v>466</v>
      </c>
      <c r="C52" s="287" t="s">
        <v>496</v>
      </c>
      <c r="D52" s="286" t="s">
        <v>533</v>
      </c>
      <c r="E52" s="289">
        <v>45138</v>
      </c>
      <c r="F52" s="288">
        <v>50.47</v>
      </c>
      <c r="H52" s="287" t="s">
        <v>458</v>
      </c>
      <c r="I52" s="287" t="s">
        <v>469</v>
      </c>
      <c r="J52" s="287" t="s">
        <v>459</v>
      </c>
      <c r="K52" s="287" t="s">
        <v>460</v>
      </c>
      <c r="M52" s="168" t="s">
        <v>540</v>
      </c>
      <c r="N52">
        <v>1514.6599999999999</v>
      </c>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row>
    <row r="53" spans="1:479" ht="22.25" customHeight="1">
      <c r="A53" s="286" t="s">
        <v>489</v>
      </c>
      <c r="B53" s="286" t="s">
        <v>490</v>
      </c>
      <c r="C53" s="287" t="s">
        <v>519</v>
      </c>
      <c r="D53" s="286" t="s">
        <v>533</v>
      </c>
      <c r="E53" s="289">
        <v>45138</v>
      </c>
      <c r="F53" s="288">
        <v>45.42</v>
      </c>
      <c r="H53" s="287" t="s">
        <v>458</v>
      </c>
      <c r="I53" s="287" t="s">
        <v>469</v>
      </c>
      <c r="J53" s="287" t="s">
        <v>459</v>
      </c>
      <c r="K53" s="287" t="s">
        <v>460</v>
      </c>
      <c r="M53" s="168" t="s">
        <v>541</v>
      </c>
      <c r="N53">
        <v>649.06000000000006</v>
      </c>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row>
    <row r="54" spans="1:479" ht="22.25" customHeight="1">
      <c r="A54" s="286" t="s">
        <v>465</v>
      </c>
      <c r="B54" s="286" t="s">
        <v>466</v>
      </c>
      <c r="C54" s="287" t="s">
        <v>520</v>
      </c>
      <c r="D54" s="286" t="s">
        <v>533</v>
      </c>
      <c r="E54" s="289">
        <v>45138</v>
      </c>
      <c r="F54" s="288">
        <v>3.36</v>
      </c>
      <c r="H54" s="287" t="s">
        <v>458</v>
      </c>
      <c r="I54" s="287" t="s">
        <v>469</v>
      </c>
      <c r="J54" s="287" t="s">
        <v>459</v>
      </c>
      <c r="K54" s="287" t="s">
        <v>460</v>
      </c>
      <c r="M54" s="168" t="s">
        <v>542</v>
      </c>
      <c r="N54">
        <v>2499.17</v>
      </c>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row>
    <row r="55" spans="1:479" ht="22.25" customHeight="1">
      <c r="A55" s="286" t="s">
        <v>465</v>
      </c>
      <c r="B55" s="286" t="s">
        <v>466</v>
      </c>
      <c r="C55" s="287" t="s">
        <v>496</v>
      </c>
      <c r="D55" s="286" t="s">
        <v>533</v>
      </c>
      <c r="E55" s="289">
        <v>45138</v>
      </c>
      <c r="F55" s="288">
        <v>126.18</v>
      </c>
      <c r="H55" s="287" t="s">
        <v>458</v>
      </c>
      <c r="I55" s="287" t="s">
        <v>469</v>
      </c>
      <c r="J55" s="287" t="s">
        <v>459</v>
      </c>
      <c r="K55" s="287" t="s">
        <v>460</v>
      </c>
      <c r="M55" s="168" t="s">
        <v>543</v>
      </c>
      <c r="N55">
        <v>1118.5899999999999</v>
      </c>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row>
    <row r="56" spans="1:479" ht="22.25" customHeight="1">
      <c r="A56" s="286" t="s">
        <v>489</v>
      </c>
      <c r="B56" s="286" t="s">
        <v>490</v>
      </c>
      <c r="C56" s="287" t="s">
        <v>544</v>
      </c>
      <c r="D56" s="286" t="s">
        <v>533</v>
      </c>
      <c r="E56" s="289">
        <v>45138</v>
      </c>
      <c r="F56" s="288">
        <v>1211.31</v>
      </c>
      <c r="H56" s="287" t="s">
        <v>458</v>
      </c>
      <c r="I56" s="287" t="s">
        <v>469</v>
      </c>
      <c r="J56" s="287" t="s">
        <v>459</v>
      </c>
      <c r="K56" s="287" t="s">
        <v>460</v>
      </c>
      <c r="M56" s="168" t="s">
        <v>545</v>
      </c>
      <c r="N56">
        <v>2539.09</v>
      </c>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row>
    <row r="57" spans="1:479" ht="22.25" customHeight="1">
      <c r="A57" s="286" t="s">
        <v>485</v>
      </c>
      <c r="B57" s="286" t="s">
        <v>486</v>
      </c>
      <c r="C57" s="287" t="s">
        <v>546</v>
      </c>
      <c r="D57" s="286" t="s">
        <v>533</v>
      </c>
      <c r="E57" s="289">
        <v>45138</v>
      </c>
      <c r="F57" s="288">
        <v>63.09</v>
      </c>
      <c r="H57" s="287" t="s">
        <v>458</v>
      </c>
      <c r="I57" s="287" t="s">
        <v>469</v>
      </c>
      <c r="J57" s="287" t="s">
        <v>459</v>
      </c>
      <c r="K57" s="287" t="s">
        <v>460</v>
      </c>
      <c r="M57" s="168" t="s">
        <v>470</v>
      </c>
      <c r="N57">
        <v>1471.36</v>
      </c>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row>
    <row r="58" spans="1:479" ht="22.25" customHeight="1">
      <c r="A58" s="286" t="s">
        <v>539</v>
      </c>
      <c r="B58" s="286" t="s">
        <v>547</v>
      </c>
      <c r="C58" s="287" t="s">
        <v>548</v>
      </c>
      <c r="D58" s="286" t="s">
        <v>533</v>
      </c>
      <c r="E58" s="289">
        <v>45138</v>
      </c>
      <c r="F58" s="288">
        <v>100.94</v>
      </c>
      <c r="H58" s="287" t="s">
        <v>458</v>
      </c>
      <c r="I58" s="287" t="s">
        <v>469</v>
      </c>
      <c r="J58" s="287" t="s">
        <v>459</v>
      </c>
      <c r="K58" s="287" t="s">
        <v>460</v>
      </c>
      <c r="M58" s="168" t="s">
        <v>549</v>
      </c>
      <c r="N58">
        <v>2438.08</v>
      </c>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row>
    <row r="59" spans="1:479" ht="22.25" customHeight="1">
      <c r="A59" s="286" t="s">
        <v>465</v>
      </c>
      <c r="B59" s="286" t="s">
        <v>466</v>
      </c>
      <c r="C59" s="287" t="s">
        <v>550</v>
      </c>
      <c r="D59" s="286" t="s">
        <v>533</v>
      </c>
      <c r="E59" s="289">
        <v>45138</v>
      </c>
      <c r="F59" s="288">
        <v>8.41</v>
      </c>
      <c r="H59" s="287" t="s">
        <v>458</v>
      </c>
      <c r="I59" s="287" t="s">
        <v>469</v>
      </c>
      <c r="J59" s="287" t="s">
        <v>459</v>
      </c>
      <c r="K59" s="287" t="s">
        <v>460</v>
      </c>
      <c r="M59" s="168" t="s">
        <v>551</v>
      </c>
      <c r="N59">
        <v>49.61</v>
      </c>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row>
    <row r="60" spans="1:479" ht="33.200000000000003" customHeight="1">
      <c r="A60" s="286" t="s">
        <v>465</v>
      </c>
      <c r="B60" s="286" t="s">
        <v>466</v>
      </c>
      <c r="C60" s="287" t="s">
        <v>552</v>
      </c>
      <c r="D60" s="286" t="s">
        <v>533</v>
      </c>
      <c r="E60" s="289">
        <v>45138</v>
      </c>
      <c r="F60" s="288">
        <v>436.41</v>
      </c>
      <c r="H60" s="287" t="s">
        <v>458</v>
      </c>
      <c r="I60" s="287" t="s">
        <v>469</v>
      </c>
      <c r="J60" s="287" t="s">
        <v>459</v>
      </c>
      <c r="K60" s="287" t="s">
        <v>460</v>
      </c>
      <c r="M60" s="168" t="s">
        <v>553</v>
      </c>
      <c r="N60">
        <v>15274.52</v>
      </c>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row>
    <row r="61" spans="1:479" ht="55.25" customHeight="1">
      <c r="A61" s="286" t="s">
        <v>506</v>
      </c>
      <c r="B61" s="286" t="s">
        <v>507</v>
      </c>
      <c r="C61" s="287" t="s">
        <v>554</v>
      </c>
      <c r="D61" s="286" t="s">
        <v>555</v>
      </c>
      <c r="E61" s="289">
        <v>45166</v>
      </c>
      <c r="F61" s="288">
        <v>1000</v>
      </c>
      <c r="H61" s="287" t="s">
        <v>458</v>
      </c>
      <c r="I61" s="287" t="s">
        <v>469</v>
      </c>
      <c r="J61" s="287" t="s">
        <v>459</v>
      </c>
      <c r="K61" s="287" t="s">
        <v>460</v>
      </c>
      <c r="M61" s="168" t="s">
        <v>465</v>
      </c>
      <c r="N61">
        <v>21191.249999999993</v>
      </c>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row>
    <row r="62" spans="1:479" ht="22.25" customHeight="1">
      <c r="A62" s="286" t="s">
        <v>455</v>
      </c>
      <c r="B62" s="286" t="s">
        <v>456</v>
      </c>
      <c r="C62" s="287" t="s">
        <v>461</v>
      </c>
      <c r="D62" s="286" t="s">
        <v>556</v>
      </c>
      <c r="E62" s="289">
        <v>45169</v>
      </c>
      <c r="F62" s="288">
        <v>563.29</v>
      </c>
      <c r="H62" s="287" t="s">
        <v>458</v>
      </c>
      <c r="I62" s="287" t="s">
        <v>458</v>
      </c>
      <c r="J62" s="287" t="s">
        <v>459</v>
      </c>
      <c r="K62" s="287" t="s">
        <v>460</v>
      </c>
      <c r="M62" s="168" t="s">
        <v>557</v>
      </c>
      <c r="N62">
        <v>1768.79</v>
      </c>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row>
    <row r="63" spans="1:479" ht="22.25" customHeight="1">
      <c r="A63" s="286" t="s">
        <v>455</v>
      </c>
      <c r="B63" s="286" t="s">
        <v>456</v>
      </c>
      <c r="C63" s="287" t="s">
        <v>463</v>
      </c>
      <c r="D63" s="286" t="s">
        <v>556</v>
      </c>
      <c r="E63" s="289">
        <v>45169</v>
      </c>
      <c r="F63" s="288">
        <v>436.8</v>
      </c>
      <c r="H63" s="287" t="s">
        <v>458</v>
      </c>
      <c r="I63" s="287" t="s">
        <v>458</v>
      </c>
      <c r="J63" s="287" t="s">
        <v>459</v>
      </c>
      <c r="K63" s="287" t="s">
        <v>460</v>
      </c>
      <c r="M63" s="168" t="s">
        <v>489</v>
      </c>
      <c r="N63">
        <v>49555.709999999985</v>
      </c>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row>
    <row r="64" spans="1:479" ht="22.25" customHeight="1">
      <c r="A64" s="286" t="s">
        <v>455</v>
      </c>
      <c r="B64" s="286" t="s">
        <v>456</v>
      </c>
      <c r="C64" s="287" t="s">
        <v>464</v>
      </c>
      <c r="D64" s="286" t="s">
        <v>556</v>
      </c>
      <c r="E64" s="289">
        <v>45169</v>
      </c>
      <c r="F64" s="288">
        <v>720</v>
      </c>
      <c r="H64" s="287" t="s">
        <v>458</v>
      </c>
      <c r="I64" s="287" t="s">
        <v>458</v>
      </c>
      <c r="J64" s="287" t="s">
        <v>459</v>
      </c>
      <c r="K64" s="287" t="s">
        <v>460</v>
      </c>
      <c r="M64" s="168" t="s">
        <v>530</v>
      </c>
      <c r="N64">
        <v>7315.0400000000018</v>
      </c>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row>
    <row r="65" spans="1:479" ht="22.25" customHeight="1">
      <c r="A65" s="286" t="s">
        <v>478</v>
      </c>
      <c r="B65" s="286" t="s">
        <v>479</v>
      </c>
      <c r="C65" s="287" t="s">
        <v>558</v>
      </c>
      <c r="D65" s="286" t="s">
        <v>559</v>
      </c>
      <c r="E65" s="289">
        <v>45169</v>
      </c>
      <c r="F65" s="288">
        <v>490.19</v>
      </c>
      <c r="H65" s="287" t="s">
        <v>458</v>
      </c>
      <c r="I65" s="287" t="s">
        <v>469</v>
      </c>
      <c r="J65" s="287" t="s">
        <v>459</v>
      </c>
      <c r="K65" s="287" t="s">
        <v>460</v>
      </c>
      <c r="M65" s="168" t="s">
        <v>560</v>
      </c>
      <c r="N65">
        <v>422.4</v>
      </c>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row>
    <row r="66" spans="1:479" ht="22.25" customHeight="1">
      <c r="A66" s="286" t="s">
        <v>465</v>
      </c>
      <c r="B66" s="286" t="s">
        <v>466</v>
      </c>
      <c r="C66" s="287" t="s">
        <v>561</v>
      </c>
      <c r="D66" s="286" t="s">
        <v>559</v>
      </c>
      <c r="E66" s="289">
        <v>45169</v>
      </c>
      <c r="F66" s="288">
        <v>49.48</v>
      </c>
      <c r="H66" s="287" t="s">
        <v>458</v>
      </c>
      <c r="I66" s="287" t="s">
        <v>469</v>
      </c>
      <c r="J66" s="287" t="s">
        <v>459</v>
      </c>
      <c r="K66" s="287" t="s">
        <v>460</v>
      </c>
      <c r="M66" s="168" t="s">
        <v>498</v>
      </c>
      <c r="N66">
        <v>268.59000000000003</v>
      </c>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row>
    <row r="67" spans="1:479" ht="33.200000000000003" customHeight="1">
      <c r="A67" s="286" t="s">
        <v>523</v>
      </c>
      <c r="B67" s="286" t="s">
        <v>562</v>
      </c>
      <c r="C67" s="287" t="s">
        <v>563</v>
      </c>
      <c r="D67" s="286" t="s">
        <v>559</v>
      </c>
      <c r="E67" s="289">
        <v>45169</v>
      </c>
      <c r="F67" s="288">
        <v>65.97</v>
      </c>
      <c r="H67" s="287" t="s">
        <v>458</v>
      </c>
      <c r="I67" s="287" t="s">
        <v>469</v>
      </c>
      <c r="J67" s="287" t="s">
        <v>459</v>
      </c>
      <c r="K67" s="287" t="s">
        <v>460</v>
      </c>
      <c r="M67" s="168" t="s">
        <v>564</v>
      </c>
      <c r="N67">
        <v>172655.13</v>
      </c>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row>
    <row r="68" spans="1:479" ht="33.200000000000003" customHeight="1">
      <c r="A68" s="286" t="s">
        <v>530</v>
      </c>
      <c r="B68" s="286" t="s">
        <v>531</v>
      </c>
      <c r="C68" s="287" t="s">
        <v>565</v>
      </c>
      <c r="D68" s="286" t="s">
        <v>559</v>
      </c>
      <c r="E68" s="289">
        <v>45169</v>
      </c>
      <c r="F68" s="288">
        <v>2307.44</v>
      </c>
      <c r="H68" s="287" t="s">
        <v>458</v>
      </c>
      <c r="I68" s="287" t="s">
        <v>469</v>
      </c>
      <c r="J68" s="287" t="s">
        <v>459</v>
      </c>
      <c r="K68" s="287" t="s">
        <v>460</v>
      </c>
      <c r="M68" s="168" t="s">
        <v>566</v>
      </c>
      <c r="N68">
        <v>426929.95999999996</v>
      </c>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row>
    <row r="69" spans="1:479" ht="22.25" customHeight="1">
      <c r="A69" s="286" t="s">
        <v>478</v>
      </c>
      <c r="B69" s="286" t="s">
        <v>479</v>
      </c>
      <c r="C69" s="287" t="s">
        <v>567</v>
      </c>
      <c r="D69" s="286" t="s">
        <v>559</v>
      </c>
      <c r="E69" s="289">
        <v>45169</v>
      </c>
      <c r="F69" s="288">
        <v>837.49</v>
      </c>
      <c r="H69" s="287" t="s">
        <v>458</v>
      </c>
      <c r="I69" s="287" t="s">
        <v>469</v>
      </c>
      <c r="J69" s="287" t="s">
        <v>459</v>
      </c>
      <c r="K69" s="287" t="s">
        <v>460</v>
      </c>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row>
    <row r="70" spans="1:479" ht="22.25" customHeight="1">
      <c r="A70" s="286" t="s">
        <v>478</v>
      </c>
      <c r="B70" s="286" t="s">
        <v>479</v>
      </c>
      <c r="C70" s="287" t="s">
        <v>568</v>
      </c>
      <c r="D70" s="286" t="s">
        <v>559</v>
      </c>
      <c r="E70" s="289">
        <v>45169</v>
      </c>
      <c r="F70" s="288">
        <v>498.51</v>
      </c>
      <c r="H70" s="287" t="s">
        <v>458</v>
      </c>
      <c r="I70" s="287" t="s">
        <v>469</v>
      </c>
      <c r="J70" s="287" t="s">
        <v>459</v>
      </c>
      <c r="K70" s="287" t="s">
        <v>460</v>
      </c>
      <c r="M70"/>
      <c r="N70"/>
      <c r="O70"/>
      <c r="P70"/>
      <c r="Q70"/>
      <c r="R70"/>
      <c r="S70"/>
      <c r="T70"/>
      <c r="U70"/>
      <c r="V70"/>
      <c r="W70"/>
      <c r="X70"/>
      <c r="Y70"/>
      <c r="Z70"/>
      <c r="AA70"/>
      <c r="AB70"/>
      <c r="AC70"/>
      <c r="AD70"/>
      <c r="AE70"/>
      <c r="AF70"/>
      <c r="AG70"/>
      <c r="AH70"/>
      <c r="AI70"/>
      <c r="AJ70"/>
      <c r="AK70"/>
      <c r="AL70"/>
      <c r="AM70"/>
      <c r="AN70"/>
      <c r="AO70"/>
      <c r="AP70"/>
      <c r="AQ70"/>
      <c r="AR70"/>
      <c r="AS70"/>
      <c r="AT70"/>
      <c r="AU70"/>
    </row>
    <row r="71" spans="1:479" ht="22.25" customHeight="1">
      <c r="A71" s="286" t="s">
        <v>489</v>
      </c>
      <c r="B71" s="286" t="s">
        <v>490</v>
      </c>
      <c r="C71" s="287" t="s">
        <v>544</v>
      </c>
      <c r="D71" s="286" t="s">
        <v>559</v>
      </c>
      <c r="E71" s="289">
        <v>45169</v>
      </c>
      <c r="F71" s="288">
        <v>1055.58</v>
      </c>
      <c r="H71" s="287" t="s">
        <v>458</v>
      </c>
      <c r="I71" s="287" t="s">
        <v>469</v>
      </c>
      <c r="J71" s="287" t="s">
        <v>459</v>
      </c>
      <c r="K71" s="287" t="s">
        <v>460</v>
      </c>
      <c r="M71"/>
      <c r="N71"/>
      <c r="O71"/>
      <c r="P71"/>
      <c r="Q71"/>
      <c r="R71"/>
      <c r="S71"/>
      <c r="T71"/>
      <c r="U71"/>
      <c r="V71"/>
      <c r="W71"/>
      <c r="X71"/>
      <c r="Y71"/>
      <c r="Z71"/>
      <c r="AA71"/>
      <c r="AB71"/>
      <c r="AC71"/>
      <c r="AD71"/>
      <c r="AE71"/>
      <c r="AF71"/>
      <c r="AG71"/>
      <c r="AH71"/>
      <c r="AI71"/>
      <c r="AJ71"/>
      <c r="AK71"/>
      <c r="AL71"/>
      <c r="AM71"/>
      <c r="AN71"/>
      <c r="AO71"/>
      <c r="AP71"/>
      <c r="AQ71"/>
      <c r="AR71"/>
      <c r="AS71"/>
      <c r="AT71"/>
      <c r="AU71"/>
    </row>
    <row r="72" spans="1:479" ht="22.25" customHeight="1">
      <c r="A72" s="286" t="s">
        <v>530</v>
      </c>
      <c r="B72" s="286" t="s">
        <v>531</v>
      </c>
      <c r="C72" s="287" t="s">
        <v>569</v>
      </c>
      <c r="D72" s="286" t="s">
        <v>559</v>
      </c>
      <c r="E72" s="289">
        <v>45169</v>
      </c>
      <c r="F72" s="288">
        <v>164.93</v>
      </c>
      <c r="H72" s="287" t="s">
        <v>458</v>
      </c>
      <c r="I72" s="287" t="s">
        <v>469</v>
      </c>
      <c r="J72" s="287" t="s">
        <v>459</v>
      </c>
      <c r="K72" s="287" t="s">
        <v>460</v>
      </c>
      <c r="M72"/>
      <c r="N72"/>
      <c r="O72"/>
      <c r="P72"/>
      <c r="Q72"/>
      <c r="R72"/>
      <c r="S72"/>
      <c r="T72"/>
      <c r="U72"/>
      <c r="V72"/>
      <c r="W72"/>
      <c r="X72"/>
      <c r="Y72"/>
      <c r="Z72"/>
      <c r="AA72"/>
      <c r="AB72"/>
      <c r="AC72"/>
      <c r="AD72"/>
      <c r="AE72"/>
      <c r="AF72"/>
      <c r="AG72"/>
      <c r="AH72"/>
      <c r="AI72"/>
      <c r="AJ72"/>
      <c r="AK72"/>
      <c r="AL72"/>
      <c r="AM72"/>
      <c r="AN72"/>
      <c r="AO72"/>
      <c r="AP72"/>
      <c r="AQ72"/>
      <c r="AR72"/>
      <c r="AS72"/>
      <c r="AT72"/>
      <c r="AU72"/>
    </row>
    <row r="73" spans="1:479" ht="22.25" customHeight="1">
      <c r="A73" s="286" t="s">
        <v>539</v>
      </c>
      <c r="B73" s="286" t="s">
        <v>547</v>
      </c>
      <c r="C73" s="287" t="s">
        <v>548</v>
      </c>
      <c r="D73" s="286" t="s">
        <v>559</v>
      </c>
      <c r="E73" s="289">
        <v>45169</v>
      </c>
      <c r="F73" s="288">
        <v>49.48</v>
      </c>
      <c r="H73" s="287" t="s">
        <v>458</v>
      </c>
      <c r="I73" s="287" t="s">
        <v>469</v>
      </c>
      <c r="J73" s="287" t="s">
        <v>459</v>
      </c>
      <c r="K73" s="287" t="s">
        <v>460</v>
      </c>
      <c r="M73"/>
      <c r="N73"/>
      <c r="O73"/>
      <c r="P73"/>
      <c r="Q73"/>
      <c r="R73"/>
      <c r="S73"/>
      <c r="T73"/>
      <c r="U73"/>
      <c r="V73"/>
      <c r="W73"/>
      <c r="X73"/>
      <c r="Y73"/>
      <c r="Z73"/>
      <c r="AA73"/>
      <c r="AB73"/>
      <c r="AC73"/>
      <c r="AD73"/>
      <c r="AE73"/>
      <c r="AF73"/>
      <c r="AG73"/>
      <c r="AH73"/>
      <c r="AI73"/>
      <c r="AJ73"/>
      <c r="AK73"/>
      <c r="AL73"/>
      <c r="AM73"/>
      <c r="AN73"/>
      <c r="AO73"/>
      <c r="AP73"/>
      <c r="AQ73"/>
      <c r="AR73"/>
      <c r="AS73"/>
      <c r="AT73"/>
      <c r="AU73"/>
    </row>
    <row r="74" spans="1:479" ht="22.25" customHeight="1">
      <c r="A74" s="286" t="s">
        <v>489</v>
      </c>
      <c r="B74" s="286" t="s">
        <v>490</v>
      </c>
      <c r="C74" s="287" t="s">
        <v>570</v>
      </c>
      <c r="D74" s="286" t="s">
        <v>559</v>
      </c>
      <c r="E74" s="289">
        <v>45169</v>
      </c>
      <c r="F74" s="288">
        <v>204.52</v>
      </c>
      <c r="H74" s="287" t="s">
        <v>458</v>
      </c>
      <c r="I74" s="287" t="s">
        <v>469</v>
      </c>
      <c r="J74" s="287" t="s">
        <v>459</v>
      </c>
      <c r="K74" s="287" t="s">
        <v>460</v>
      </c>
      <c r="M74"/>
      <c r="N74"/>
      <c r="O74"/>
      <c r="P74"/>
      <c r="Q74"/>
      <c r="R74"/>
      <c r="S74"/>
      <c r="T74"/>
      <c r="U74"/>
      <c r="V74"/>
      <c r="W74"/>
      <c r="X74"/>
      <c r="Y74"/>
      <c r="Z74"/>
      <c r="AA74"/>
      <c r="AB74"/>
      <c r="AC74"/>
      <c r="AD74"/>
      <c r="AE74"/>
      <c r="AF74"/>
      <c r="AG74"/>
      <c r="AH74"/>
      <c r="AI74"/>
      <c r="AJ74"/>
      <c r="AK74"/>
      <c r="AL74"/>
      <c r="AM74"/>
      <c r="AN74"/>
      <c r="AO74"/>
      <c r="AP74"/>
      <c r="AQ74"/>
      <c r="AR74"/>
      <c r="AS74"/>
      <c r="AT74"/>
      <c r="AU74"/>
    </row>
    <row r="75" spans="1:479" ht="22.25" customHeight="1">
      <c r="A75" s="286" t="s">
        <v>489</v>
      </c>
      <c r="B75" s="286" t="s">
        <v>490</v>
      </c>
      <c r="C75" s="287" t="s">
        <v>571</v>
      </c>
      <c r="D75" s="286" t="s">
        <v>559</v>
      </c>
      <c r="E75" s="289">
        <v>45169</v>
      </c>
      <c r="F75" s="288">
        <v>715.82</v>
      </c>
      <c r="H75" s="287" t="s">
        <v>458</v>
      </c>
      <c r="I75" s="287" t="s">
        <v>469</v>
      </c>
      <c r="J75" s="287" t="s">
        <v>459</v>
      </c>
      <c r="K75" s="287" t="s">
        <v>460</v>
      </c>
      <c r="M75"/>
      <c r="N75"/>
      <c r="O75"/>
      <c r="P75"/>
      <c r="Q75"/>
      <c r="R75"/>
      <c r="S75"/>
      <c r="T75"/>
      <c r="U75"/>
      <c r="V75"/>
      <c r="W75"/>
      <c r="X75"/>
      <c r="Y75"/>
      <c r="Z75"/>
      <c r="AA75"/>
      <c r="AB75"/>
      <c r="AC75"/>
      <c r="AD75"/>
      <c r="AE75"/>
      <c r="AF75"/>
      <c r="AG75"/>
      <c r="AH75"/>
      <c r="AI75"/>
      <c r="AJ75"/>
      <c r="AK75"/>
      <c r="AL75"/>
      <c r="AM75"/>
      <c r="AN75"/>
      <c r="AO75"/>
      <c r="AP75"/>
      <c r="AQ75"/>
      <c r="AR75"/>
      <c r="AS75"/>
      <c r="AT75"/>
      <c r="AU75"/>
    </row>
    <row r="76" spans="1:479" ht="33.200000000000003" customHeight="1">
      <c r="A76" s="286" t="s">
        <v>465</v>
      </c>
      <c r="B76" s="286" t="s">
        <v>466</v>
      </c>
      <c r="C76" s="287" t="s">
        <v>552</v>
      </c>
      <c r="D76" s="286" t="s">
        <v>559</v>
      </c>
      <c r="E76" s="289">
        <v>45169</v>
      </c>
      <c r="F76" s="288">
        <v>387.93</v>
      </c>
      <c r="H76" s="287" t="s">
        <v>458</v>
      </c>
      <c r="I76" s="287" t="s">
        <v>469</v>
      </c>
      <c r="J76" s="287" t="s">
        <v>459</v>
      </c>
      <c r="K76" s="287" t="s">
        <v>460</v>
      </c>
      <c r="M76"/>
      <c r="N76"/>
      <c r="O76"/>
      <c r="P76"/>
      <c r="Q76"/>
      <c r="R76"/>
      <c r="S76"/>
      <c r="T76"/>
      <c r="U76"/>
      <c r="V76"/>
      <c r="W76"/>
      <c r="X76"/>
      <c r="Y76"/>
      <c r="Z76"/>
      <c r="AA76"/>
      <c r="AB76"/>
      <c r="AC76"/>
      <c r="AD76"/>
      <c r="AE76"/>
      <c r="AF76"/>
      <c r="AG76"/>
      <c r="AH76"/>
      <c r="AI76"/>
      <c r="AJ76"/>
      <c r="AK76"/>
      <c r="AL76"/>
      <c r="AM76"/>
      <c r="AN76"/>
      <c r="AO76"/>
      <c r="AP76"/>
      <c r="AQ76"/>
      <c r="AR76"/>
      <c r="AS76"/>
      <c r="AT76"/>
      <c r="AU76"/>
    </row>
    <row r="77" spans="1:479" ht="22.25" customHeight="1">
      <c r="A77" s="286" t="s">
        <v>455</v>
      </c>
      <c r="B77" s="286" t="s">
        <v>456</v>
      </c>
      <c r="C77" s="287" t="s">
        <v>461</v>
      </c>
      <c r="D77" s="286" t="s">
        <v>572</v>
      </c>
      <c r="E77" s="289">
        <v>45199</v>
      </c>
      <c r="F77" s="288">
        <v>563.29</v>
      </c>
      <c r="H77" s="287" t="s">
        <v>458</v>
      </c>
      <c r="I77" s="287" t="s">
        <v>458</v>
      </c>
      <c r="J77" s="287" t="s">
        <v>459</v>
      </c>
      <c r="K77" s="287" t="s">
        <v>460</v>
      </c>
      <c r="M77"/>
      <c r="N77"/>
      <c r="O77"/>
      <c r="P77"/>
      <c r="Q77"/>
      <c r="R77"/>
      <c r="S77"/>
      <c r="T77"/>
      <c r="U77"/>
      <c r="V77"/>
      <c r="W77"/>
      <c r="X77"/>
      <c r="Y77"/>
      <c r="Z77"/>
      <c r="AA77"/>
      <c r="AB77"/>
      <c r="AC77"/>
      <c r="AD77"/>
      <c r="AE77"/>
      <c r="AF77"/>
      <c r="AG77"/>
      <c r="AH77"/>
      <c r="AI77"/>
      <c r="AJ77"/>
      <c r="AK77"/>
      <c r="AL77"/>
      <c r="AM77"/>
      <c r="AN77"/>
      <c r="AO77"/>
      <c r="AP77"/>
      <c r="AQ77"/>
      <c r="AR77"/>
      <c r="AS77"/>
      <c r="AT77"/>
      <c r="AU77"/>
    </row>
    <row r="78" spans="1:479" ht="22.25" customHeight="1">
      <c r="A78" s="286" t="s">
        <v>455</v>
      </c>
      <c r="B78" s="286" t="s">
        <v>456</v>
      </c>
      <c r="C78" s="287" t="s">
        <v>463</v>
      </c>
      <c r="D78" s="286" t="s">
        <v>572</v>
      </c>
      <c r="E78" s="289">
        <v>45199</v>
      </c>
      <c r="F78" s="288">
        <v>436.8</v>
      </c>
      <c r="H78" s="287" t="s">
        <v>458</v>
      </c>
      <c r="I78" s="287" t="s">
        <v>458</v>
      </c>
      <c r="J78" s="287" t="s">
        <v>459</v>
      </c>
      <c r="K78" s="287" t="s">
        <v>460</v>
      </c>
      <c r="M78"/>
      <c r="N78"/>
      <c r="O78"/>
      <c r="P78"/>
      <c r="Q78"/>
      <c r="R78"/>
      <c r="S78"/>
      <c r="T78"/>
      <c r="U78"/>
      <c r="V78"/>
      <c r="W78"/>
      <c r="X78"/>
      <c r="Y78"/>
      <c r="Z78"/>
      <c r="AA78"/>
      <c r="AB78"/>
      <c r="AC78"/>
      <c r="AD78"/>
      <c r="AE78"/>
      <c r="AF78"/>
      <c r="AG78"/>
      <c r="AH78"/>
      <c r="AI78"/>
      <c r="AJ78"/>
      <c r="AK78"/>
      <c r="AL78"/>
      <c r="AM78"/>
      <c r="AN78"/>
      <c r="AO78"/>
      <c r="AP78"/>
      <c r="AQ78"/>
      <c r="AR78"/>
      <c r="AS78"/>
      <c r="AT78"/>
      <c r="AU78"/>
    </row>
    <row r="79" spans="1:479" ht="22.25" customHeight="1">
      <c r="A79" s="286" t="s">
        <v>455</v>
      </c>
      <c r="B79" s="286" t="s">
        <v>456</v>
      </c>
      <c r="C79" s="287" t="s">
        <v>464</v>
      </c>
      <c r="D79" s="286" t="s">
        <v>572</v>
      </c>
      <c r="E79" s="289">
        <v>45199</v>
      </c>
      <c r="F79" s="288">
        <v>720</v>
      </c>
      <c r="H79" s="287" t="s">
        <v>458</v>
      </c>
      <c r="I79" s="287" t="s">
        <v>458</v>
      </c>
      <c r="J79" s="287" t="s">
        <v>459</v>
      </c>
      <c r="K79" s="287" t="s">
        <v>460</v>
      </c>
      <c r="M79"/>
      <c r="N79"/>
      <c r="O79"/>
      <c r="P79"/>
      <c r="Q79"/>
      <c r="R79"/>
      <c r="S79"/>
      <c r="T79"/>
      <c r="U79"/>
      <c r="V79"/>
      <c r="W79"/>
      <c r="X79"/>
      <c r="Y79"/>
      <c r="Z79"/>
      <c r="AA79"/>
      <c r="AB79"/>
      <c r="AC79"/>
      <c r="AD79"/>
      <c r="AE79"/>
      <c r="AF79"/>
      <c r="AG79"/>
      <c r="AH79"/>
      <c r="AI79"/>
      <c r="AJ79"/>
      <c r="AK79"/>
      <c r="AL79"/>
      <c r="AM79"/>
      <c r="AN79"/>
      <c r="AO79"/>
      <c r="AP79"/>
      <c r="AQ79"/>
      <c r="AR79"/>
      <c r="AS79"/>
      <c r="AT79"/>
      <c r="AU79"/>
    </row>
    <row r="80" spans="1:479" ht="22.25" customHeight="1">
      <c r="A80" s="286" t="s">
        <v>529</v>
      </c>
      <c r="B80" s="286" t="s">
        <v>573</v>
      </c>
      <c r="C80" s="287" t="s">
        <v>574</v>
      </c>
      <c r="D80" s="286" t="s">
        <v>575</v>
      </c>
      <c r="E80" s="289">
        <v>45199</v>
      </c>
      <c r="F80" s="288">
        <v>598.91</v>
      </c>
      <c r="H80" s="287" t="s">
        <v>458</v>
      </c>
      <c r="I80" s="287" t="s">
        <v>469</v>
      </c>
      <c r="J80" s="287" t="s">
        <v>459</v>
      </c>
      <c r="K80" s="287" t="s">
        <v>460</v>
      </c>
      <c r="M80"/>
      <c r="N80"/>
      <c r="O80"/>
      <c r="P80"/>
      <c r="Q80"/>
      <c r="R80"/>
      <c r="S80"/>
      <c r="T80"/>
      <c r="U80"/>
      <c r="V80"/>
      <c r="W80"/>
      <c r="X80"/>
      <c r="Y80"/>
      <c r="Z80"/>
      <c r="AA80"/>
      <c r="AB80"/>
      <c r="AC80"/>
      <c r="AD80"/>
      <c r="AE80"/>
      <c r="AF80"/>
      <c r="AG80"/>
      <c r="AH80"/>
      <c r="AI80"/>
      <c r="AJ80"/>
      <c r="AK80"/>
      <c r="AL80"/>
      <c r="AM80"/>
      <c r="AN80"/>
      <c r="AO80"/>
      <c r="AP80"/>
      <c r="AQ80"/>
      <c r="AR80"/>
      <c r="AS80"/>
      <c r="AT80"/>
      <c r="AU80"/>
    </row>
    <row r="81" spans="1:47" ht="33.200000000000003" customHeight="1">
      <c r="A81" s="286" t="s">
        <v>478</v>
      </c>
      <c r="B81" s="286" t="s">
        <v>479</v>
      </c>
      <c r="C81" s="287" t="s">
        <v>576</v>
      </c>
      <c r="D81" s="286" t="s">
        <v>575</v>
      </c>
      <c r="E81" s="289">
        <v>45199</v>
      </c>
      <c r="F81" s="288">
        <v>802.26</v>
      </c>
      <c r="H81" s="287" t="s">
        <v>458</v>
      </c>
      <c r="I81" s="287" t="s">
        <v>469</v>
      </c>
      <c r="J81" s="287" t="s">
        <v>459</v>
      </c>
      <c r="K81" s="287" t="s">
        <v>460</v>
      </c>
      <c r="M81"/>
      <c r="N81"/>
      <c r="O81"/>
      <c r="P81"/>
      <c r="Q81"/>
      <c r="R81"/>
      <c r="S81"/>
      <c r="T81"/>
      <c r="U81"/>
      <c r="V81"/>
      <c r="W81"/>
      <c r="X81"/>
      <c r="Y81"/>
      <c r="Z81"/>
      <c r="AA81"/>
      <c r="AB81"/>
      <c r="AC81"/>
      <c r="AD81"/>
      <c r="AE81"/>
      <c r="AF81"/>
      <c r="AG81"/>
      <c r="AH81"/>
      <c r="AI81"/>
      <c r="AJ81"/>
      <c r="AK81"/>
      <c r="AL81"/>
      <c r="AM81"/>
      <c r="AN81"/>
      <c r="AO81"/>
      <c r="AP81"/>
      <c r="AQ81"/>
      <c r="AR81"/>
      <c r="AS81"/>
      <c r="AT81"/>
      <c r="AU81"/>
    </row>
    <row r="82" spans="1:47" ht="22.25" customHeight="1">
      <c r="A82" s="286" t="s">
        <v>478</v>
      </c>
      <c r="B82" s="286" t="s">
        <v>479</v>
      </c>
      <c r="C82" s="287" t="s">
        <v>577</v>
      </c>
      <c r="D82" s="286" t="s">
        <v>575</v>
      </c>
      <c r="E82" s="289">
        <v>45199</v>
      </c>
      <c r="F82" s="288">
        <v>477.53</v>
      </c>
      <c r="H82" s="287" t="s">
        <v>458</v>
      </c>
      <c r="I82" s="287" t="s">
        <v>469</v>
      </c>
      <c r="J82" s="287" t="s">
        <v>459</v>
      </c>
      <c r="K82" s="287" t="s">
        <v>460</v>
      </c>
      <c r="M82"/>
      <c r="N82"/>
      <c r="O82"/>
      <c r="P82"/>
      <c r="Q82"/>
      <c r="R82"/>
      <c r="S82"/>
      <c r="T82"/>
      <c r="U82"/>
      <c r="V82"/>
      <c r="W82"/>
      <c r="X82"/>
      <c r="Y82"/>
      <c r="Z82"/>
      <c r="AA82"/>
      <c r="AB82"/>
      <c r="AC82"/>
      <c r="AD82"/>
      <c r="AE82"/>
      <c r="AF82"/>
      <c r="AG82"/>
      <c r="AH82"/>
      <c r="AI82"/>
      <c r="AJ82"/>
      <c r="AK82"/>
      <c r="AL82"/>
      <c r="AM82"/>
      <c r="AN82"/>
      <c r="AO82"/>
      <c r="AP82"/>
      <c r="AQ82"/>
      <c r="AR82"/>
      <c r="AS82"/>
      <c r="AT82"/>
      <c r="AU82"/>
    </row>
    <row r="83" spans="1:47" ht="22.25" customHeight="1">
      <c r="A83" s="286" t="s">
        <v>478</v>
      </c>
      <c r="B83" s="286" t="s">
        <v>479</v>
      </c>
      <c r="C83" s="287" t="s">
        <v>578</v>
      </c>
      <c r="D83" s="286" t="s">
        <v>575</v>
      </c>
      <c r="E83" s="289">
        <v>45199</v>
      </c>
      <c r="F83" s="288">
        <v>764.05</v>
      </c>
      <c r="H83" s="287" t="s">
        <v>458</v>
      </c>
      <c r="I83" s="287" t="s">
        <v>469</v>
      </c>
      <c r="J83" s="287" t="s">
        <v>459</v>
      </c>
      <c r="K83" s="287" t="s">
        <v>460</v>
      </c>
      <c r="M83"/>
      <c r="N83"/>
      <c r="O83"/>
      <c r="P83"/>
      <c r="Q83"/>
      <c r="R83"/>
      <c r="S83"/>
      <c r="T83"/>
      <c r="U83"/>
      <c r="V83"/>
      <c r="W83"/>
      <c r="X83"/>
      <c r="Y83"/>
      <c r="Z83"/>
      <c r="AA83"/>
      <c r="AB83"/>
      <c r="AC83"/>
      <c r="AD83"/>
      <c r="AE83"/>
      <c r="AF83"/>
      <c r="AG83"/>
      <c r="AH83"/>
      <c r="AI83"/>
      <c r="AJ83"/>
      <c r="AK83"/>
      <c r="AL83"/>
      <c r="AM83"/>
      <c r="AN83"/>
      <c r="AO83"/>
      <c r="AP83"/>
      <c r="AQ83"/>
      <c r="AR83"/>
      <c r="AS83"/>
      <c r="AT83"/>
      <c r="AU83"/>
    </row>
    <row r="84" spans="1:47" ht="22.25" customHeight="1">
      <c r="A84" s="286" t="s">
        <v>489</v>
      </c>
      <c r="B84" s="286" t="s">
        <v>490</v>
      </c>
      <c r="C84" s="287" t="s">
        <v>544</v>
      </c>
      <c r="D84" s="286" t="s">
        <v>575</v>
      </c>
      <c r="E84" s="289">
        <v>45199</v>
      </c>
      <c r="F84" s="288">
        <v>1026.71</v>
      </c>
      <c r="H84" s="287" t="s">
        <v>458</v>
      </c>
      <c r="I84" s="287" t="s">
        <v>469</v>
      </c>
      <c r="J84" s="287" t="s">
        <v>459</v>
      </c>
      <c r="K84" s="287" t="s">
        <v>460</v>
      </c>
      <c r="M84"/>
      <c r="N84"/>
      <c r="O84"/>
      <c r="P84"/>
      <c r="Q84"/>
      <c r="R84"/>
      <c r="S84"/>
      <c r="T84"/>
      <c r="U84"/>
      <c r="V84"/>
      <c r="W84"/>
      <c r="X84"/>
      <c r="Y84"/>
      <c r="Z84"/>
      <c r="AA84"/>
      <c r="AB84"/>
      <c r="AC84"/>
      <c r="AD84"/>
      <c r="AE84"/>
      <c r="AF84"/>
      <c r="AG84"/>
      <c r="AH84"/>
      <c r="AI84"/>
      <c r="AJ84"/>
      <c r="AK84"/>
      <c r="AL84"/>
      <c r="AM84"/>
      <c r="AN84"/>
      <c r="AO84"/>
      <c r="AP84"/>
      <c r="AQ84"/>
      <c r="AR84"/>
      <c r="AS84"/>
      <c r="AT84"/>
      <c r="AU84"/>
    </row>
    <row r="85" spans="1:47" ht="22.25" customHeight="1">
      <c r="A85" s="286" t="s">
        <v>530</v>
      </c>
      <c r="B85" s="286" t="s">
        <v>531</v>
      </c>
      <c r="C85" s="287" t="s">
        <v>569</v>
      </c>
      <c r="D85" s="286" t="s">
        <v>575</v>
      </c>
      <c r="E85" s="289">
        <v>45199</v>
      </c>
      <c r="F85" s="288">
        <v>155.56</v>
      </c>
      <c r="H85" s="287" t="s">
        <v>458</v>
      </c>
      <c r="I85" s="287" t="s">
        <v>469</v>
      </c>
      <c r="J85" s="287" t="s">
        <v>459</v>
      </c>
      <c r="K85" s="287" t="s">
        <v>460</v>
      </c>
      <c r="M85"/>
      <c r="N85"/>
      <c r="O85"/>
      <c r="P85"/>
      <c r="Q85"/>
      <c r="R85"/>
      <c r="S85"/>
      <c r="T85"/>
      <c r="U85"/>
      <c r="V85"/>
      <c r="W85"/>
      <c r="X85"/>
      <c r="Y85"/>
      <c r="Z85"/>
      <c r="AA85"/>
      <c r="AB85"/>
      <c r="AC85"/>
      <c r="AD85"/>
      <c r="AE85"/>
      <c r="AF85"/>
      <c r="AG85"/>
      <c r="AH85"/>
      <c r="AI85"/>
      <c r="AJ85"/>
      <c r="AK85"/>
      <c r="AL85"/>
      <c r="AM85"/>
      <c r="AN85"/>
      <c r="AO85"/>
      <c r="AP85"/>
      <c r="AQ85"/>
      <c r="AR85"/>
      <c r="AS85"/>
      <c r="AT85"/>
      <c r="AU85"/>
    </row>
    <row r="86" spans="1:47" ht="22.25" customHeight="1">
      <c r="A86" s="286" t="s">
        <v>560</v>
      </c>
      <c r="B86" s="286" t="s">
        <v>579</v>
      </c>
      <c r="C86" s="287" t="s">
        <v>548</v>
      </c>
      <c r="D86" s="286" t="s">
        <v>575</v>
      </c>
      <c r="E86" s="289">
        <v>45199</v>
      </c>
      <c r="F86" s="288">
        <v>93.34</v>
      </c>
      <c r="H86" s="287" t="s">
        <v>458</v>
      </c>
      <c r="I86" s="287" t="s">
        <v>469</v>
      </c>
      <c r="J86" s="287" t="s">
        <v>459</v>
      </c>
      <c r="K86" s="287" t="s">
        <v>460</v>
      </c>
      <c r="M86"/>
      <c r="N86"/>
      <c r="O86"/>
      <c r="P86"/>
      <c r="Q86"/>
      <c r="R86"/>
      <c r="S86"/>
      <c r="T86"/>
      <c r="U86"/>
      <c r="V86"/>
      <c r="W86"/>
      <c r="X86"/>
      <c r="Y86"/>
      <c r="Z86"/>
      <c r="AA86"/>
      <c r="AB86"/>
      <c r="AC86"/>
      <c r="AD86"/>
      <c r="AE86"/>
      <c r="AF86"/>
      <c r="AG86"/>
      <c r="AH86"/>
      <c r="AI86"/>
      <c r="AJ86"/>
      <c r="AK86"/>
      <c r="AL86"/>
      <c r="AM86"/>
      <c r="AN86"/>
      <c r="AO86"/>
      <c r="AP86"/>
      <c r="AQ86"/>
      <c r="AR86"/>
      <c r="AS86"/>
      <c r="AT86"/>
      <c r="AU86"/>
    </row>
    <row r="87" spans="1:47" ht="22.25" customHeight="1">
      <c r="A87" s="286" t="s">
        <v>560</v>
      </c>
      <c r="B87" s="286" t="s">
        <v>579</v>
      </c>
      <c r="C87" s="287" t="s">
        <v>580</v>
      </c>
      <c r="D87" s="286" t="s">
        <v>575</v>
      </c>
      <c r="E87" s="289">
        <v>45199</v>
      </c>
      <c r="F87" s="288">
        <v>116.67</v>
      </c>
      <c r="H87" s="287" t="s">
        <v>458</v>
      </c>
      <c r="I87" s="287" t="s">
        <v>469</v>
      </c>
      <c r="J87" s="287" t="s">
        <v>459</v>
      </c>
      <c r="K87" s="287" t="s">
        <v>460</v>
      </c>
      <c r="M87"/>
      <c r="N87"/>
      <c r="O87"/>
      <c r="P87"/>
      <c r="Q87"/>
      <c r="R87"/>
      <c r="S87"/>
      <c r="T87"/>
      <c r="U87"/>
      <c r="V87"/>
      <c r="W87"/>
      <c r="X87"/>
      <c r="Y87"/>
      <c r="Z87"/>
      <c r="AA87"/>
      <c r="AB87"/>
      <c r="AC87"/>
      <c r="AD87"/>
      <c r="AE87"/>
      <c r="AF87"/>
      <c r="AG87"/>
      <c r="AH87"/>
      <c r="AI87"/>
      <c r="AJ87"/>
      <c r="AK87"/>
      <c r="AL87"/>
      <c r="AM87"/>
      <c r="AN87"/>
      <c r="AO87"/>
      <c r="AP87"/>
      <c r="AQ87"/>
      <c r="AR87"/>
      <c r="AS87"/>
      <c r="AT87"/>
      <c r="AU87"/>
    </row>
    <row r="88" spans="1:47" ht="22.25" customHeight="1">
      <c r="A88" s="286" t="s">
        <v>489</v>
      </c>
      <c r="B88" s="286" t="s">
        <v>490</v>
      </c>
      <c r="C88" s="287" t="s">
        <v>570</v>
      </c>
      <c r="D88" s="286" t="s">
        <v>575</v>
      </c>
      <c r="E88" s="289">
        <v>45199</v>
      </c>
      <c r="F88" s="288">
        <v>192.9</v>
      </c>
      <c r="H88" s="287" t="s">
        <v>458</v>
      </c>
      <c r="I88" s="287" t="s">
        <v>469</v>
      </c>
      <c r="J88" s="287" t="s">
        <v>459</v>
      </c>
      <c r="K88" s="287" t="s">
        <v>460</v>
      </c>
      <c r="M88"/>
      <c r="N88"/>
      <c r="O88"/>
      <c r="P88"/>
      <c r="Q88"/>
      <c r="R88"/>
      <c r="S88"/>
      <c r="T88"/>
      <c r="U88"/>
      <c r="V88"/>
      <c r="W88"/>
      <c r="X88"/>
      <c r="Y88"/>
      <c r="Z88"/>
      <c r="AA88"/>
      <c r="AB88"/>
      <c r="AC88"/>
      <c r="AD88"/>
      <c r="AE88"/>
      <c r="AF88"/>
      <c r="AG88"/>
      <c r="AH88"/>
      <c r="AI88"/>
      <c r="AJ88"/>
      <c r="AK88"/>
      <c r="AL88"/>
      <c r="AM88"/>
      <c r="AN88"/>
      <c r="AO88"/>
      <c r="AP88"/>
      <c r="AQ88"/>
      <c r="AR88"/>
      <c r="AS88"/>
      <c r="AT88"/>
      <c r="AU88"/>
    </row>
    <row r="89" spans="1:47" ht="22.25" customHeight="1">
      <c r="A89" s="286" t="s">
        <v>489</v>
      </c>
      <c r="B89" s="286" t="s">
        <v>490</v>
      </c>
      <c r="C89" s="287" t="s">
        <v>571</v>
      </c>
      <c r="D89" s="286" t="s">
        <v>575</v>
      </c>
      <c r="E89" s="289">
        <v>45199</v>
      </c>
      <c r="F89" s="288">
        <v>675.14</v>
      </c>
      <c r="H89" s="287" t="s">
        <v>458</v>
      </c>
      <c r="I89" s="287" t="s">
        <v>469</v>
      </c>
      <c r="J89" s="287" t="s">
        <v>459</v>
      </c>
      <c r="K89" s="287" t="s">
        <v>460</v>
      </c>
      <c r="M89"/>
      <c r="N89"/>
      <c r="O89"/>
      <c r="P89"/>
      <c r="Q89"/>
      <c r="R89"/>
      <c r="S89"/>
      <c r="T89"/>
      <c r="U89"/>
      <c r="V89"/>
      <c r="W89"/>
      <c r="X89"/>
      <c r="Y89"/>
      <c r="Z89"/>
      <c r="AA89"/>
      <c r="AB89"/>
      <c r="AC89"/>
      <c r="AD89"/>
      <c r="AE89"/>
      <c r="AF89"/>
      <c r="AG89"/>
      <c r="AH89"/>
      <c r="AI89"/>
      <c r="AJ89"/>
      <c r="AK89"/>
      <c r="AL89"/>
      <c r="AM89"/>
      <c r="AN89"/>
      <c r="AO89"/>
      <c r="AP89"/>
      <c r="AQ89"/>
      <c r="AR89"/>
      <c r="AS89"/>
      <c r="AT89"/>
      <c r="AU89"/>
    </row>
    <row r="90" spans="1:47" ht="33.200000000000003" customHeight="1">
      <c r="A90" s="286" t="s">
        <v>465</v>
      </c>
      <c r="B90" s="286" t="s">
        <v>466</v>
      </c>
      <c r="C90" s="287" t="s">
        <v>552</v>
      </c>
      <c r="D90" s="286" t="s">
        <v>575</v>
      </c>
      <c r="E90" s="289">
        <v>45199</v>
      </c>
      <c r="F90" s="288">
        <v>357.48</v>
      </c>
      <c r="H90" s="287" t="s">
        <v>458</v>
      </c>
      <c r="I90" s="287" t="s">
        <v>469</v>
      </c>
      <c r="J90" s="287" t="s">
        <v>459</v>
      </c>
      <c r="K90" s="287" t="s">
        <v>460</v>
      </c>
      <c r="M90"/>
      <c r="N90"/>
      <c r="O90"/>
      <c r="P90"/>
      <c r="Q90"/>
      <c r="R90"/>
      <c r="S90"/>
      <c r="T90"/>
      <c r="U90"/>
      <c r="V90"/>
      <c r="W90"/>
      <c r="X90"/>
      <c r="Y90"/>
      <c r="Z90"/>
      <c r="AA90"/>
      <c r="AB90"/>
      <c r="AC90"/>
      <c r="AD90"/>
      <c r="AE90"/>
      <c r="AF90"/>
      <c r="AG90"/>
      <c r="AH90"/>
      <c r="AI90"/>
      <c r="AJ90"/>
      <c r="AK90"/>
      <c r="AL90"/>
      <c r="AM90"/>
      <c r="AN90"/>
      <c r="AO90"/>
      <c r="AP90"/>
      <c r="AQ90"/>
      <c r="AR90"/>
      <c r="AS90"/>
      <c r="AT90"/>
      <c r="AU90"/>
    </row>
    <row r="91" spans="1:47" ht="66.2" customHeight="1">
      <c r="A91" s="286" t="s">
        <v>506</v>
      </c>
      <c r="B91" s="286" t="s">
        <v>507</v>
      </c>
      <c r="C91" s="287" t="s">
        <v>581</v>
      </c>
      <c r="D91" s="286" t="s">
        <v>582</v>
      </c>
      <c r="E91" s="289">
        <v>45205</v>
      </c>
      <c r="F91" s="288">
        <v>2000</v>
      </c>
      <c r="H91" s="287" t="s">
        <v>458</v>
      </c>
      <c r="I91" s="287" t="s">
        <v>469</v>
      </c>
      <c r="J91" s="287" t="s">
        <v>459</v>
      </c>
      <c r="K91" s="287" t="s">
        <v>460</v>
      </c>
      <c r="M91"/>
      <c r="N91"/>
      <c r="O91"/>
      <c r="P91"/>
      <c r="Q91"/>
      <c r="R91"/>
      <c r="S91"/>
      <c r="T91"/>
      <c r="U91"/>
      <c r="V91"/>
      <c r="W91"/>
      <c r="X91"/>
      <c r="Y91"/>
      <c r="Z91"/>
      <c r="AA91"/>
      <c r="AB91"/>
      <c r="AC91"/>
      <c r="AD91"/>
      <c r="AE91"/>
      <c r="AF91"/>
      <c r="AG91"/>
      <c r="AH91"/>
      <c r="AI91"/>
      <c r="AJ91"/>
      <c r="AK91"/>
      <c r="AL91"/>
      <c r="AM91"/>
      <c r="AN91"/>
      <c r="AO91"/>
      <c r="AP91"/>
      <c r="AQ91"/>
      <c r="AR91"/>
      <c r="AS91"/>
      <c r="AT91"/>
      <c r="AU91"/>
    </row>
    <row r="92" spans="1:47" ht="55.25" customHeight="1">
      <c r="A92" s="286" t="s">
        <v>506</v>
      </c>
      <c r="B92" s="286" t="s">
        <v>507</v>
      </c>
      <c r="C92" s="287" t="s">
        <v>583</v>
      </c>
      <c r="D92" s="286" t="s">
        <v>582</v>
      </c>
      <c r="E92" s="289">
        <v>45205</v>
      </c>
      <c r="F92" s="288">
        <v>2500</v>
      </c>
      <c r="H92" s="287" t="s">
        <v>458</v>
      </c>
      <c r="I92" s="287" t="s">
        <v>469</v>
      </c>
      <c r="J92" s="287" t="s">
        <v>459</v>
      </c>
      <c r="K92" s="287" t="s">
        <v>460</v>
      </c>
      <c r="M92"/>
      <c r="N92"/>
      <c r="O92"/>
      <c r="P92"/>
      <c r="Q92"/>
      <c r="R92"/>
      <c r="S92"/>
      <c r="T92"/>
      <c r="U92"/>
      <c r="V92"/>
      <c r="W92"/>
      <c r="X92"/>
      <c r="Y92"/>
      <c r="Z92"/>
      <c r="AA92"/>
      <c r="AB92"/>
      <c r="AC92"/>
      <c r="AD92"/>
      <c r="AE92"/>
      <c r="AF92"/>
      <c r="AG92"/>
      <c r="AH92"/>
      <c r="AI92"/>
      <c r="AJ92"/>
      <c r="AK92"/>
      <c r="AL92"/>
      <c r="AM92"/>
      <c r="AN92"/>
      <c r="AO92"/>
      <c r="AP92"/>
      <c r="AQ92"/>
      <c r="AR92"/>
      <c r="AS92"/>
      <c r="AT92"/>
      <c r="AU92"/>
    </row>
    <row r="93" spans="1:47" ht="22.25" customHeight="1">
      <c r="A93" s="286" t="s">
        <v>455</v>
      </c>
      <c r="B93" s="286" t="s">
        <v>456</v>
      </c>
      <c r="C93" s="287" t="s">
        <v>461</v>
      </c>
      <c r="D93" s="286" t="s">
        <v>584</v>
      </c>
      <c r="E93" s="289">
        <v>45230</v>
      </c>
      <c r="F93" s="288">
        <v>563.29</v>
      </c>
      <c r="H93" s="287" t="s">
        <v>458</v>
      </c>
      <c r="I93" s="287" t="s">
        <v>458</v>
      </c>
      <c r="J93" s="287" t="s">
        <v>459</v>
      </c>
      <c r="K93" s="287" t="s">
        <v>460</v>
      </c>
      <c r="M93"/>
      <c r="N93"/>
      <c r="O93"/>
      <c r="P93"/>
      <c r="Q93"/>
      <c r="R93"/>
      <c r="S93"/>
      <c r="T93"/>
      <c r="U93"/>
      <c r="V93"/>
      <c r="W93"/>
      <c r="X93"/>
      <c r="Y93"/>
      <c r="Z93"/>
      <c r="AA93"/>
      <c r="AB93"/>
      <c r="AC93"/>
      <c r="AD93"/>
      <c r="AE93"/>
      <c r="AF93"/>
      <c r="AG93"/>
      <c r="AH93"/>
      <c r="AI93"/>
      <c r="AJ93"/>
      <c r="AK93"/>
      <c r="AL93"/>
      <c r="AM93"/>
      <c r="AN93"/>
      <c r="AO93"/>
      <c r="AP93"/>
      <c r="AQ93"/>
      <c r="AR93"/>
      <c r="AS93"/>
      <c r="AT93"/>
      <c r="AU93"/>
    </row>
    <row r="94" spans="1:47" ht="22.25" customHeight="1">
      <c r="A94" s="286" t="s">
        <v>455</v>
      </c>
      <c r="B94" s="286" t="s">
        <v>456</v>
      </c>
      <c r="C94" s="287" t="s">
        <v>463</v>
      </c>
      <c r="D94" s="286" t="s">
        <v>584</v>
      </c>
      <c r="E94" s="289">
        <v>45230</v>
      </c>
      <c r="F94" s="288">
        <v>436.8</v>
      </c>
      <c r="H94" s="287" t="s">
        <v>458</v>
      </c>
      <c r="I94" s="287" t="s">
        <v>458</v>
      </c>
      <c r="J94" s="287" t="s">
        <v>459</v>
      </c>
      <c r="K94" s="287" t="s">
        <v>460</v>
      </c>
      <c r="M94"/>
      <c r="N94"/>
      <c r="O94"/>
      <c r="P94"/>
      <c r="Q94"/>
      <c r="R94"/>
      <c r="S94"/>
      <c r="T94"/>
      <c r="U94"/>
      <c r="V94"/>
      <c r="W94"/>
      <c r="X94"/>
      <c r="Y94"/>
      <c r="Z94"/>
      <c r="AA94"/>
      <c r="AB94"/>
      <c r="AC94"/>
      <c r="AD94"/>
      <c r="AE94"/>
      <c r="AF94"/>
      <c r="AG94"/>
      <c r="AH94"/>
      <c r="AI94"/>
      <c r="AJ94"/>
      <c r="AK94"/>
      <c r="AL94"/>
      <c r="AM94"/>
      <c r="AN94"/>
      <c r="AO94"/>
      <c r="AP94"/>
      <c r="AQ94"/>
      <c r="AR94"/>
      <c r="AS94"/>
      <c r="AT94"/>
      <c r="AU94"/>
    </row>
    <row r="95" spans="1:47" ht="22.25" customHeight="1">
      <c r="A95" s="286" t="s">
        <v>455</v>
      </c>
      <c r="B95" s="286" t="s">
        <v>456</v>
      </c>
      <c r="C95" s="287" t="s">
        <v>464</v>
      </c>
      <c r="D95" s="286" t="s">
        <v>584</v>
      </c>
      <c r="E95" s="289">
        <v>45230</v>
      </c>
      <c r="F95" s="288">
        <v>720</v>
      </c>
      <c r="H95" s="287" t="s">
        <v>458</v>
      </c>
      <c r="I95" s="287" t="s">
        <v>458</v>
      </c>
      <c r="J95" s="287" t="s">
        <v>459</v>
      </c>
      <c r="K95" s="287" t="s">
        <v>460</v>
      </c>
      <c r="M95"/>
      <c r="N95"/>
      <c r="O95"/>
      <c r="P95"/>
      <c r="Q95"/>
      <c r="R95"/>
      <c r="S95"/>
      <c r="T95"/>
      <c r="U95"/>
      <c r="V95"/>
      <c r="W95"/>
      <c r="X95"/>
      <c r="Y95"/>
      <c r="Z95"/>
      <c r="AA95"/>
      <c r="AB95"/>
      <c r="AC95"/>
      <c r="AD95"/>
      <c r="AE95"/>
      <c r="AF95"/>
      <c r="AG95"/>
      <c r="AH95"/>
      <c r="AI95"/>
      <c r="AJ95"/>
      <c r="AK95"/>
      <c r="AL95"/>
      <c r="AM95"/>
      <c r="AN95"/>
      <c r="AO95"/>
      <c r="AP95"/>
      <c r="AQ95"/>
      <c r="AR95"/>
      <c r="AS95"/>
      <c r="AT95"/>
      <c r="AU95"/>
    </row>
    <row r="96" spans="1:47" ht="22.25" customHeight="1">
      <c r="A96" s="286" t="s">
        <v>489</v>
      </c>
      <c r="B96" s="286" t="s">
        <v>490</v>
      </c>
      <c r="C96" s="287" t="s">
        <v>585</v>
      </c>
      <c r="D96" s="286" t="s">
        <v>586</v>
      </c>
      <c r="E96" s="289">
        <v>45230</v>
      </c>
      <c r="F96" s="288">
        <v>84.94</v>
      </c>
      <c r="H96" s="287" t="s">
        <v>458</v>
      </c>
      <c r="I96" s="287" t="s">
        <v>469</v>
      </c>
      <c r="J96" s="287" t="s">
        <v>459</v>
      </c>
      <c r="K96" s="287" t="s">
        <v>460</v>
      </c>
      <c r="M96"/>
      <c r="N96"/>
      <c r="O96"/>
      <c r="P96"/>
      <c r="Q96"/>
      <c r="R96"/>
      <c r="S96"/>
      <c r="T96"/>
      <c r="U96"/>
      <c r="V96"/>
      <c r="W96"/>
      <c r="X96"/>
      <c r="Y96"/>
      <c r="Z96"/>
      <c r="AA96"/>
      <c r="AB96"/>
      <c r="AC96"/>
      <c r="AD96"/>
      <c r="AE96"/>
      <c r="AF96"/>
      <c r="AG96"/>
      <c r="AH96"/>
      <c r="AI96"/>
      <c r="AJ96"/>
      <c r="AK96"/>
      <c r="AL96"/>
      <c r="AM96"/>
      <c r="AN96"/>
      <c r="AO96"/>
      <c r="AP96"/>
      <c r="AQ96"/>
      <c r="AR96"/>
      <c r="AS96"/>
      <c r="AT96"/>
      <c r="AU96"/>
    </row>
    <row r="97" spans="1:47" ht="22.25" customHeight="1">
      <c r="A97" s="286" t="s">
        <v>465</v>
      </c>
      <c r="B97" s="286" t="s">
        <v>466</v>
      </c>
      <c r="C97" s="287" t="s">
        <v>496</v>
      </c>
      <c r="D97" s="286" t="s">
        <v>586</v>
      </c>
      <c r="E97" s="289">
        <v>45230</v>
      </c>
      <c r="F97" s="288">
        <v>60.57</v>
      </c>
      <c r="H97" s="287" t="s">
        <v>458</v>
      </c>
      <c r="I97" s="287" t="s">
        <v>469</v>
      </c>
      <c r="J97" s="287" t="s">
        <v>459</v>
      </c>
      <c r="K97" s="287" t="s">
        <v>460</v>
      </c>
      <c r="M97"/>
      <c r="N97"/>
      <c r="O97"/>
      <c r="P97"/>
      <c r="Q97"/>
      <c r="R97"/>
      <c r="S97"/>
      <c r="T97"/>
      <c r="U97"/>
      <c r="V97"/>
      <c r="W97"/>
      <c r="X97"/>
      <c r="Y97"/>
      <c r="Z97"/>
      <c r="AA97"/>
      <c r="AB97"/>
      <c r="AC97"/>
      <c r="AD97"/>
      <c r="AE97"/>
      <c r="AF97"/>
      <c r="AG97"/>
      <c r="AH97"/>
      <c r="AI97"/>
      <c r="AJ97"/>
      <c r="AK97"/>
      <c r="AL97"/>
      <c r="AM97"/>
      <c r="AN97"/>
      <c r="AO97"/>
      <c r="AP97"/>
      <c r="AQ97"/>
      <c r="AR97"/>
      <c r="AS97"/>
      <c r="AT97"/>
      <c r="AU97"/>
    </row>
    <row r="98" spans="1:47" ht="22.25" customHeight="1">
      <c r="A98" s="286" t="s">
        <v>465</v>
      </c>
      <c r="B98" s="286" t="s">
        <v>466</v>
      </c>
      <c r="C98" s="287" t="s">
        <v>587</v>
      </c>
      <c r="D98" s="286" t="s">
        <v>586</v>
      </c>
      <c r="E98" s="289">
        <v>45230</v>
      </c>
      <c r="F98" s="288">
        <v>4.47</v>
      </c>
      <c r="H98" s="287" t="s">
        <v>458</v>
      </c>
      <c r="I98" s="287" t="s">
        <v>469</v>
      </c>
      <c r="J98" s="287" t="s">
        <v>459</v>
      </c>
      <c r="K98" s="287" t="s">
        <v>460</v>
      </c>
      <c r="M98"/>
      <c r="N98"/>
      <c r="O98"/>
      <c r="P98"/>
      <c r="Q98"/>
      <c r="R98"/>
      <c r="S98"/>
      <c r="T98"/>
      <c r="U98"/>
      <c r="V98"/>
      <c r="W98"/>
      <c r="X98"/>
      <c r="Y98"/>
      <c r="Z98"/>
      <c r="AA98"/>
      <c r="AB98"/>
      <c r="AC98"/>
      <c r="AD98"/>
      <c r="AE98"/>
      <c r="AF98"/>
      <c r="AG98"/>
      <c r="AH98"/>
      <c r="AI98"/>
      <c r="AJ98"/>
      <c r="AK98"/>
      <c r="AL98"/>
      <c r="AM98"/>
      <c r="AN98"/>
      <c r="AO98"/>
      <c r="AP98"/>
      <c r="AQ98"/>
      <c r="AR98"/>
      <c r="AS98"/>
      <c r="AT98"/>
      <c r="AU98"/>
    </row>
    <row r="99" spans="1:47" ht="22.25" customHeight="1">
      <c r="A99" s="286" t="s">
        <v>478</v>
      </c>
      <c r="B99" s="286" t="s">
        <v>479</v>
      </c>
      <c r="C99" s="287" t="s">
        <v>588</v>
      </c>
      <c r="D99" s="286" t="s">
        <v>589</v>
      </c>
      <c r="E99" s="289">
        <v>45230</v>
      </c>
      <c r="F99" s="288">
        <v>501.9</v>
      </c>
      <c r="H99" s="287" t="s">
        <v>458</v>
      </c>
      <c r="I99" s="287" t="s">
        <v>469</v>
      </c>
      <c r="J99" s="287" t="s">
        <v>459</v>
      </c>
      <c r="K99" s="287" t="s">
        <v>460</v>
      </c>
      <c r="M99"/>
      <c r="N99"/>
      <c r="O99"/>
      <c r="P99"/>
      <c r="Q99"/>
      <c r="R99"/>
      <c r="S99"/>
      <c r="T99"/>
      <c r="U99"/>
      <c r="V99"/>
      <c r="W99"/>
      <c r="X99"/>
      <c r="Y99"/>
      <c r="Z99"/>
      <c r="AA99"/>
      <c r="AB99"/>
      <c r="AC99"/>
      <c r="AD99"/>
      <c r="AE99"/>
      <c r="AF99"/>
      <c r="AG99"/>
      <c r="AH99"/>
      <c r="AI99"/>
      <c r="AJ99"/>
      <c r="AK99"/>
      <c r="AL99"/>
      <c r="AM99"/>
      <c r="AN99"/>
      <c r="AO99"/>
      <c r="AP99"/>
      <c r="AQ99"/>
      <c r="AR99"/>
      <c r="AS99"/>
      <c r="AT99"/>
      <c r="AU99"/>
    </row>
    <row r="100" spans="1:47" ht="22.25" customHeight="1">
      <c r="A100" s="286" t="s">
        <v>478</v>
      </c>
      <c r="B100" s="286" t="s">
        <v>479</v>
      </c>
      <c r="C100" s="287" t="s">
        <v>590</v>
      </c>
      <c r="D100" s="286" t="s">
        <v>589</v>
      </c>
      <c r="E100" s="289">
        <v>45230</v>
      </c>
      <c r="F100" s="288">
        <v>445.69</v>
      </c>
      <c r="H100" s="287" t="s">
        <v>458</v>
      </c>
      <c r="I100" s="287" t="s">
        <v>469</v>
      </c>
      <c r="J100" s="287" t="s">
        <v>459</v>
      </c>
      <c r="K100" s="287" t="s">
        <v>460</v>
      </c>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row>
    <row r="101" spans="1:47" ht="55.25" customHeight="1">
      <c r="A101" s="286" t="s">
        <v>506</v>
      </c>
      <c r="B101" s="286" t="s">
        <v>507</v>
      </c>
      <c r="C101" s="287" t="s">
        <v>591</v>
      </c>
      <c r="D101" s="286" t="s">
        <v>592</v>
      </c>
      <c r="E101" s="289">
        <v>45239</v>
      </c>
      <c r="F101" s="288">
        <v>2500</v>
      </c>
      <c r="H101" s="287" t="s">
        <v>458</v>
      </c>
      <c r="I101" s="287" t="s">
        <v>458</v>
      </c>
      <c r="J101" s="287" t="s">
        <v>459</v>
      </c>
      <c r="K101" s="287" t="s">
        <v>460</v>
      </c>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row>
    <row r="102" spans="1:47" ht="33.200000000000003" customHeight="1">
      <c r="A102" s="286" t="s">
        <v>564</v>
      </c>
      <c r="B102" s="286" t="s">
        <v>593</v>
      </c>
      <c r="C102" s="287" t="s">
        <v>594</v>
      </c>
      <c r="D102" s="286" t="s">
        <v>595</v>
      </c>
      <c r="E102" s="289">
        <v>45260</v>
      </c>
      <c r="F102" s="288">
        <v>14160.24</v>
      </c>
      <c r="H102" s="287" t="s">
        <v>596</v>
      </c>
      <c r="I102" s="287" t="s">
        <v>596</v>
      </c>
      <c r="J102" s="287" t="s">
        <v>459</v>
      </c>
      <c r="K102" s="287" t="s">
        <v>460</v>
      </c>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row>
    <row r="103" spans="1:47" ht="33.200000000000003" customHeight="1">
      <c r="A103" s="286" t="s">
        <v>564</v>
      </c>
      <c r="B103" s="286" t="s">
        <v>593</v>
      </c>
      <c r="C103" s="287" t="s">
        <v>597</v>
      </c>
      <c r="D103" s="286" t="s">
        <v>595</v>
      </c>
      <c r="E103" s="289">
        <v>45260</v>
      </c>
      <c r="F103" s="288">
        <v>14890.03</v>
      </c>
      <c r="H103" s="287" t="s">
        <v>596</v>
      </c>
      <c r="I103" s="287" t="s">
        <v>596</v>
      </c>
      <c r="J103" s="287" t="s">
        <v>459</v>
      </c>
      <c r="K103" s="287" t="s">
        <v>460</v>
      </c>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row>
    <row r="104" spans="1:47" ht="33.200000000000003" customHeight="1">
      <c r="A104" s="286" t="s">
        <v>564</v>
      </c>
      <c r="B104" s="286" t="s">
        <v>593</v>
      </c>
      <c r="C104" s="287" t="s">
        <v>598</v>
      </c>
      <c r="D104" s="286" t="s">
        <v>595</v>
      </c>
      <c r="E104" s="289">
        <v>45260</v>
      </c>
      <c r="F104" s="288">
        <v>13811.75</v>
      </c>
      <c r="H104" s="287" t="s">
        <v>596</v>
      </c>
      <c r="I104" s="287" t="s">
        <v>596</v>
      </c>
      <c r="J104" s="287" t="s">
        <v>459</v>
      </c>
      <c r="K104" s="287" t="s">
        <v>460</v>
      </c>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row>
    <row r="105" spans="1:47" ht="22.25" customHeight="1">
      <c r="A105" s="286" t="s">
        <v>564</v>
      </c>
      <c r="B105" s="286" t="s">
        <v>593</v>
      </c>
      <c r="C105" s="287" t="s">
        <v>599</v>
      </c>
      <c r="D105" s="286" t="s">
        <v>595</v>
      </c>
      <c r="E105" s="289">
        <v>45260</v>
      </c>
      <c r="F105" s="288">
        <v>15271.44</v>
      </c>
      <c r="H105" s="287" t="s">
        <v>596</v>
      </c>
      <c r="I105" s="287" t="s">
        <v>596</v>
      </c>
      <c r="J105" s="287" t="s">
        <v>459</v>
      </c>
      <c r="K105" s="287" t="s">
        <v>460</v>
      </c>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row>
    <row r="106" spans="1:47" ht="22.25" customHeight="1">
      <c r="A106" s="286" t="s">
        <v>455</v>
      </c>
      <c r="B106" s="286" t="s">
        <v>456</v>
      </c>
      <c r="C106" s="287" t="s">
        <v>461</v>
      </c>
      <c r="D106" s="286" t="s">
        <v>600</v>
      </c>
      <c r="E106" s="289">
        <v>45260</v>
      </c>
      <c r="F106" s="288">
        <v>563.29</v>
      </c>
      <c r="H106" s="287" t="s">
        <v>458</v>
      </c>
      <c r="I106" s="287" t="s">
        <v>458</v>
      </c>
      <c r="J106" s="287" t="s">
        <v>459</v>
      </c>
      <c r="K106" s="287" t="s">
        <v>460</v>
      </c>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row>
    <row r="107" spans="1:47" ht="22.25" customHeight="1">
      <c r="A107" s="286" t="s">
        <v>455</v>
      </c>
      <c r="B107" s="286" t="s">
        <v>456</v>
      </c>
      <c r="C107" s="287" t="s">
        <v>463</v>
      </c>
      <c r="D107" s="286" t="s">
        <v>600</v>
      </c>
      <c r="E107" s="289">
        <v>45260</v>
      </c>
      <c r="F107" s="288">
        <v>436.8</v>
      </c>
      <c r="H107" s="287" t="s">
        <v>458</v>
      </c>
      <c r="I107" s="287" t="s">
        <v>458</v>
      </c>
      <c r="J107" s="287" t="s">
        <v>459</v>
      </c>
      <c r="K107" s="287" t="s">
        <v>460</v>
      </c>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row>
    <row r="108" spans="1:47" ht="22.25" customHeight="1">
      <c r="A108" s="286" t="s">
        <v>455</v>
      </c>
      <c r="B108" s="286" t="s">
        <v>456</v>
      </c>
      <c r="C108" s="287" t="s">
        <v>464</v>
      </c>
      <c r="D108" s="286" t="s">
        <v>600</v>
      </c>
      <c r="E108" s="289">
        <v>45260</v>
      </c>
      <c r="F108" s="288">
        <v>720</v>
      </c>
      <c r="H108" s="287" t="s">
        <v>458</v>
      </c>
      <c r="I108" s="287" t="s">
        <v>458</v>
      </c>
      <c r="J108" s="287" t="s">
        <v>459</v>
      </c>
      <c r="K108" s="287" t="s">
        <v>460</v>
      </c>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row>
    <row r="109" spans="1:47" ht="22.25" customHeight="1">
      <c r="A109" s="286" t="s">
        <v>534</v>
      </c>
      <c r="B109" s="286" t="s">
        <v>601</v>
      </c>
      <c r="C109" s="287" t="s">
        <v>602</v>
      </c>
      <c r="D109" s="286" t="s">
        <v>595</v>
      </c>
      <c r="E109" s="289">
        <v>45260</v>
      </c>
      <c r="F109" s="288">
        <v>3.45</v>
      </c>
      <c r="H109" s="287" t="s">
        <v>458</v>
      </c>
      <c r="I109" s="287" t="s">
        <v>469</v>
      </c>
      <c r="J109" s="287" t="s">
        <v>459</v>
      </c>
      <c r="K109" s="287" t="s">
        <v>460</v>
      </c>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ht="22.25" customHeight="1">
      <c r="A110" s="286" t="s">
        <v>534</v>
      </c>
      <c r="B110" s="286" t="s">
        <v>601</v>
      </c>
      <c r="C110" s="287" t="s">
        <v>603</v>
      </c>
      <c r="D110" s="286" t="s">
        <v>595</v>
      </c>
      <c r="E110" s="289">
        <v>45260</v>
      </c>
      <c r="F110" s="288">
        <v>3.45</v>
      </c>
      <c r="H110" s="287" t="s">
        <v>458</v>
      </c>
      <c r="I110" s="287" t="s">
        <v>469</v>
      </c>
      <c r="J110" s="287" t="s">
        <v>459</v>
      </c>
      <c r="K110" s="287" t="s">
        <v>460</v>
      </c>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row>
    <row r="111" spans="1:47" ht="22.25" customHeight="1">
      <c r="A111" s="286" t="s">
        <v>465</v>
      </c>
      <c r="B111" s="286" t="s">
        <v>466</v>
      </c>
      <c r="C111" s="287" t="s">
        <v>604</v>
      </c>
      <c r="D111" s="286" t="s">
        <v>595</v>
      </c>
      <c r="E111" s="289">
        <v>45260</v>
      </c>
      <c r="F111" s="288">
        <v>60.06</v>
      </c>
      <c r="H111" s="287" t="s">
        <v>458</v>
      </c>
      <c r="I111" s="287" t="s">
        <v>469</v>
      </c>
      <c r="J111" s="287" t="s">
        <v>459</v>
      </c>
      <c r="K111" s="287" t="s">
        <v>460</v>
      </c>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row>
    <row r="112" spans="1:47" ht="22.25" customHeight="1">
      <c r="A112" s="286" t="s">
        <v>489</v>
      </c>
      <c r="B112" s="286" t="s">
        <v>490</v>
      </c>
      <c r="C112" s="287" t="s">
        <v>605</v>
      </c>
      <c r="D112" s="286" t="s">
        <v>595</v>
      </c>
      <c r="E112" s="289">
        <v>45260</v>
      </c>
      <c r="F112" s="288">
        <v>60.06</v>
      </c>
      <c r="H112" s="287" t="s">
        <v>458</v>
      </c>
      <c r="I112" s="287" t="s">
        <v>469</v>
      </c>
      <c r="J112" s="287" t="s">
        <v>459</v>
      </c>
      <c r="K112" s="287" t="s">
        <v>460</v>
      </c>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row>
    <row r="113" spans="1:47" ht="22.25" customHeight="1">
      <c r="A113" s="286" t="s">
        <v>465</v>
      </c>
      <c r="B113" s="286" t="s">
        <v>466</v>
      </c>
      <c r="C113" s="287" t="s">
        <v>606</v>
      </c>
      <c r="D113" s="286" t="s">
        <v>595</v>
      </c>
      <c r="E113" s="289">
        <v>45260</v>
      </c>
      <c r="F113" s="288">
        <v>4.5</v>
      </c>
      <c r="H113" s="287" t="s">
        <v>458</v>
      </c>
      <c r="I113" s="287" t="s">
        <v>469</v>
      </c>
      <c r="J113" s="287" t="s">
        <v>459</v>
      </c>
      <c r="K113" s="287" t="s">
        <v>460</v>
      </c>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row>
    <row r="114" spans="1:47" ht="22.25" customHeight="1">
      <c r="A114" s="286" t="s">
        <v>542</v>
      </c>
      <c r="B114" s="286" t="s">
        <v>607</v>
      </c>
      <c r="C114" s="287" t="s">
        <v>608</v>
      </c>
      <c r="D114" s="286" t="s">
        <v>595</v>
      </c>
      <c r="E114" s="289">
        <v>45260</v>
      </c>
      <c r="F114" s="288">
        <v>600.65</v>
      </c>
      <c r="H114" s="287" t="s">
        <v>458</v>
      </c>
      <c r="I114" s="287" t="s">
        <v>469</v>
      </c>
      <c r="J114" s="287" t="s">
        <v>459</v>
      </c>
      <c r="K114" s="287" t="s">
        <v>460</v>
      </c>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row>
    <row r="115" spans="1:47" ht="33.200000000000003" customHeight="1">
      <c r="A115" s="286" t="s">
        <v>522</v>
      </c>
      <c r="B115" s="286" t="s">
        <v>609</v>
      </c>
      <c r="C115" s="287" t="s">
        <v>610</v>
      </c>
      <c r="D115" s="286" t="s">
        <v>595</v>
      </c>
      <c r="E115" s="289">
        <v>45260</v>
      </c>
      <c r="F115" s="288">
        <v>15.02</v>
      </c>
      <c r="H115" s="287" t="s">
        <v>458</v>
      </c>
      <c r="I115" s="287" t="s">
        <v>469</v>
      </c>
      <c r="J115" s="287" t="s">
        <v>459</v>
      </c>
      <c r="K115" s="287" t="s">
        <v>460</v>
      </c>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row>
    <row r="116" spans="1:47" ht="22.25" customHeight="1">
      <c r="A116" s="286" t="s">
        <v>478</v>
      </c>
      <c r="B116" s="286" t="s">
        <v>479</v>
      </c>
      <c r="C116" s="287" t="s">
        <v>611</v>
      </c>
      <c r="D116" s="286" t="s">
        <v>595</v>
      </c>
      <c r="E116" s="289">
        <v>45260</v>
      </c>
      <c r="F116" s="288">
        <v>498.84</v>
      </c>
      <c r="H116" s="287" t="s">
        <v>458</v>
      </c>
      <c r="I116" s="287" t="s">
        <v>469</v>
      </c>
      <c r="J116" s="287" t="s">
        <v>459</v>
      </c>
      <c r="K116" s="287" t="s">
        <v>460</v>
      </c>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row>
    <row r="117" spans="1:47" ht="55.25" customHeight="1">
      <c r="A117" s="286" t="s">
        <v>506</v>
      </c>
      <c r="B117" s="286" t="s">
        <v>507</v>
      </c>
      <c r="C117" s="287" t="s">
        <v>612</v>
      </c>
      <c r="D117" s="286" t="s">
        <v>613</v>
      </c>
      <c r="E117" s="289">
        <v>45290</v>
      </c>
      <c r="F117" s="288">
        <v>1000</v>
      </c>
      <c r="H117" s="287" t="s">
        <v>458</v>
      </c>
      <c r="I117" s="287" t="s">
        <v>469</v>
      </c>
      <c r="J117" s="287" t="s">
        <v>459</v>
      </c>
      <c r="K117" s="287" t="s">
        <v>460</v>
      </c>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row>
    <row r="118" spans="1:47" ht="55.25" customHeight="1">
      <c r="A118" s="286" t="s">
        <v>506</v>
      </c>
      <c r="B118" s="286" t="s">
        <v>507</v>
      </c>
      <c r="C118" s="287" t="s">
        <v>614</v>
      </c>
      <c r="D118" s="286" t="s">
        <v>613</v>
      </c>
      <c r="E118" s="289">
        <v>45290</v>
      </c>
      <c r="F118" s="288">
        <v>2844.12</v>
      </c>
      <c r="H118" s="287" t="s">
        <v>458</v>
      </c>
      <c r="I118" s="287" t="s">
        <v>469</v>
      </c>
      <c r="J118" s="287" t="s">
        <v>459</v>
      </c>
      <c r="K118" s="287" t="s">
        <v>460</v>
      </c>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row>
    <row r="119" spans="1:47" ht="22.25" customHeight="1">
      <c r="A119" s="286" t="s">
        <v>455</v>
      </c>
      <c r="B119" s="286" t="s">
        <v>456</v>
      </c>
      <c r="C119" s="287" t="s">
        <v>461</v>
      </c>
      <c r="D119" s="286" t="s">
        <v>615</v>
      </c>
      <c r="E119" s="289">
        <v>45291</v>
      </c>
      <c r="F119" s="288">
        <v>563.29</v>
      </c>
      <c r="H119" s="287" t="s">
        <v>458</v>
      </c>
      <c r="I119" s="287" t="s">
        <v>458</v>
      </c>
      <c r="J119" s="287" t="s">
        <v>459</v>
      </c>
      <c r="K119" s="287" t="s">
        <v>460</v>
      </c>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row>
    <row r="120" spans="1:47" ht="22.25" customHeight="1">
      <c r="A120" s="286" t="s">
        <v>455</v>
      </c>
      <c r="B120" s="286" t="s">
        <v>456</v>
      </c>
      <c r="C120" s="287" t="s">
        <v>463</v>
      </c>
      <c r="D120" s="286" t="s">
        <v>615</v>
      </c>
      <c r="E120" s="289">
        <v>45291</v>
      </c>
      <c r="F120" s="288">
        <v>436.8</v>
      </c>
      <c r="H120" s="287" t="s">
        <v>458</v>
      </c>
      <c r="I120" s="287" t="s">
        <v>458</v>
      </c>
      <c r="J120" s="287" t="s">
        <v>459</v>
      </c>
      <c r="K120" s="287" t="s">
        <v>460</v>
      </c>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row>
    <row r="121" spans="1:47" ht="22.25" customHeight="1">
      <c r="A121" s="286" t="s">
        <v>455</v>
      </c>
      <c r="B121" s="286" t="s">
        <v>456</v>
      </c>
      <c r="C121" s="287" t="s">
        <v>464</v>
      </c>
      <c r="D121" s="286" t="s">
        <v>615</v>
      </c>
      <c r="E121" s="289">
        <v>45291</v>
      </c>
      <c r="F121" s="288">
        <v>720</v>
      </c>
      <c r="H121" s="287" t="s">
        <v>458</v>
      </c>
      <c r="I121" s="287" t="s">
        <v>458</v>
      </c>
      <c r="J121" s="287" t="s">
        <v>459</v>
      </c>
      <c r="K121" s="287" t="s">
        <v>460</v>
      </c>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row>
    <row r="122" spans="1:47" ht="22.25" customHeight="1">
      <c r="A122" s="286" t="s">
        <v>553</v>
      </c>
      <c r="B122" s="286" t="s">
        <v>616</v>
      </c>
      <c r="C122" s="287" t="s">
        <v>617</v>
      </c>
      <c r="D122" s="286" t="s">
        <v>618</v>
      </c>
      <c r="E122" s="289">
        <v>45291</v>
      </c>
      <c r="F122" s="288">
        <v>35</v>
      </c>
      <c r="H122" s="287" t="s">
        <v>458</v>
      </c>
      <c r="I122" s="287" t="s">
        <v>458</v>
      </c>
      <c r="J122" s="287" t="s">
        <v>459</v>
      </c>
      <c r="K122" s="287" t="s">
        <v>460</v>
      </c>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row>
    <row r="123" spans="1:47" ht="22.25" customHeight="1">
      <c r="A123" s="286" t="s">
        <v>553</v>
      </c>
      <c r="B123" s="286" t="s">
        <v>616</v>
      </c>
      <c r="C123" s="287" t="s">
        <v>619</v>
      </c>
      <c r="D123" s="286" t="s">
        <v>618</v>
      </c>
      <c r="E123" s="289">
        <v>45291</v>
      </c>
      <c r="F123" s="288">
        <v>831</v>
      </c>
      <c r="H123" s="287" t="s">
        <v>458</v>
      </c>
      <c r="I123" s="287" t="s">
        <v>458</v>
      </c>
      <c r="J123" s="287" t="s">
        <v>459</v>
      </c>
      <c r="K123" s="287" t="s">
        <v>460</v>
      </c>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row>
    <row r="124" spans="1:47" ht="22.25" customHeight="1">
      <c r="A124" s="286" t="s">
        <v>478</v>
      </c>
      <c r="B124" s="286" t="s">
        <v>479</v>
      </c>
      <c r="C124" s="287" t="s">
        <v>620</v>
      </c>
      <c r="D124" s="286" t="s">
        <v>621</v>
      </c>
      <c r="E124" s="289">
        <v>45291</v>
      </c>
      <c r="F124" s="288">
        <v>500.8</v>
      </c>
      <c r="H124" s="287" t="s">
        <v>458</v>
      </c>
      <c r="I124" s="287" t="s">
        <v>469</v>
      </c>
      <c r="J124" s="287" t="s">
        <v>459</v>
      </c>
      <c r="K124" s="287" t="s">
        <v>460</v>
      </c>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row>
    <row r="125" spans="1:47" ht="33.200000000000003" customHeight="1">
      <c r="A125" s="286" t="s">
        <v>465</v>
      </c>
      <c r="B125" s="286" t="s">
        <v>466</v>
      </c>
      <c r="C125" s="287" t="s">
        <v>622</v>
      </c>
      <c r="D125" s="286" t="s">
        <v>621</v>
      </c>
      <c r="E125" s="289">
        <v>45291</v>
      </c>
      <c r="F125" s="288">
        <v>629.85</v>
      </c>
      <c r="H125" s="287" t="s">
        <v>458</v>
      </c>
      <c r="I125" s="287" t="s">
        <v>469</v>
      </c>
      <c r="J125" s="287" t="s">
        <v>459</v>
      </c>
      <c r="K125" s="287" t="s">
        <v>460</v>
      </c>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row>
    <row r="126" spans="1:47" ht="22.25" customHeight="1">
      <c r="A126" s="286" t="s">
        <v>529</v>
      </c>
      <c r="B126" s="286" t="s">
        <v>573</v>
      </c>
      <c r="C126" s="287" t="s">
        <v>623</v>
      </c>
      <c r="D126" s="286" t="s">
        <v>621</v>
      </c>
      <c r="E126" s="289">
        <v>45291</v>
      </c>
      <c r="F126" s="288">
        <v>50.94</v>
      </c>
      <c r="H126" s="287" t="s">
        <v>458</v>
      </c>
      <c r="I126" s="287" t="s">
        <v>469</v>
      </c>
      <c r="J126" s="287" t="s">
        <v>459</v>
      </c>
      <c r="K126" s="287" t="s">
        <v>460</v>
      </c>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row>
    <row r="127" spans="1:47" ht="22.25" customHeight="1">
      <c r="A127" s="286" t="s">
        <v>485</v>
      </c>
      <c r="B127" s="286" t="s">
        <v>486</v>
      </c>
      <c r="C127" s="287" t="s">
        <v>624</v>
      </c>
      <c r="D127" s="286" t="s">
        <v>621</v>
      </c>
      <c r="E127" s="289">
        <v>45291</v>
      </c>
      <c r="F127" s="288">
        <v>3.6</v>
      </c>
      <c r="H127" s="287" t="s">
        <v>458</v>
      </c>
      <c r="I127" s="287" t="s">
        <v>469</v>
      </c>
      <c r="J127" s="287" t="s">
        <v>459</v>
      </c>
      <c r="K127" s="287" t="s">
        <v>460</v>
      </c>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row>
    <row r="128" spans="1:47" ht="22.25" customHeight="1">
      <c r="A128" s="286" t="s">
        <v>485</v>
      </c>
      <c r="B128" s="286" t="s">
        <v>486</v>
      </c>
      <c r="C128" s="287" t="s">
        <v>625</v>
      </c>
      <c r="D128" s="286" t="s">
        <v>621</v>
      </c>
      <c r="E128" s="289">
        <v>45291</v>
      </c>
      <c r="F128" s="288">
        <v>4.3499999999999996</v>
      </c>
      <c r="H128" s="287" t="s">
        <v>458</v>
      </c>
      <c r="I128" s="287" t="s">
        <v>469</v>
      </c>
      <c r="J128" s="287" t="s">
        <v>459</v>
      </c>
      <c r="K128" s="287" t="s">
        <v>460</v>
      </c>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row>
    <row r="129" spans="1:47" ht="22.25" customHeight="1">
      <c r="A129" s="286" t="s">
        <v>485</v>
      </c>
      <c r="B129" s="286" t="s">
        <v>486</v>
      </c>
      <c r="C129" s="287" t="s">
        <v>626</v>
      </c>
      <c r="D129" s="286" t="s">
        <v>621</v>
      </c>
      <c r="E129" s="289">
        <v>45291</v>
      </c>
      <c r="F129" s="288">
        <v>7.0000000000000007E-2</v>
      </c>
      <c r="H129" s="287" t="s">
        <v>458</v>
      </c>
      <c r="I129" s="287" t="s">
        <v>469</v>
      </c>
      <c r="J129" s="287" t="s">
        <v>459</v>
      </c>
      <c r="K129" s="287" t="s">
        <v>460</v>
      </c>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row>
    <row r="130" spans="1:47" ht="22.25" customHeight="1">
      <c r="A130" s="286" t="s">
        <v>465</v>
      </c>
      <c r="B130" s="286" t="s">
        <v>466</v>
      </c>
      <c r="C130" s="287" t="s">
        <v>604</v>
      </c>
      <c r="D130" s="286" t="s">
        <v>621</v>
      </c>
      <c r="E130" s="289">
        <v>45291</v>
      </c>
      <c r="F130" s="288">
        <v>15</v>
      </c>
      <c r="H130" s="287" t="s">
        <v>458</v>
      </c>
      <c r="I130" s="287" t="s">
        <v>469</v>
      </c>
      <c r="J130" s="287" t="s">
        <v>459</v>
      </c>
      <c r="K130" s="287" t="s">
        <v>460</v>
      </c>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row>
    <row r="131" spans="1:47" ht="22.25" customHeight="1">
      <c r="A131" s="286" t="s">
        <v>489</v>
      </c>
      <c r="B131" s="286" t="s">
        <v>490</v>
      </c>
      <c r="C131" s="287" t="s">
        <v>627</v>
      </c>
      <c r="D131" s="286" t="s">
        <v>621</v>
      </c>
      <c r="E131" s="289">
        <v>45291</v>
      </c>
      <c r="F131" s="288">
        <v>25.49</v>
      </c>
      <c r="H131" s="287" t="s">
        <v>458</v>
      </c>
      <c r="I131" s="287" t="s">
        <v>469</v>
      </c>
      <c r="J131" s="287" t="s">
        <v>459</v>
      </c>
      <c r="K131" s="287" t="s">
        <v>460</v>
      </c>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row>
    <row r="132" spans="1:47" ht="22.25" customHeight="1">
      <c r="A132" s="286" t="s">
        <v>465</v>
      </c>
      <c r="B132" s="286" t="s">
        <v>466</v>
      </c>
      <c r="C132" s="287" t="s">
        <v>628</v>
      </c>
      <c r="D132" s="286" t="s">
        <v>621</v>
      </c>
      <c r="E132" s="289">
        <v>45291</v>
      </c>
      <c r="F132" s="288">
        <v>149.96</v>
      </c>
      <c r="H132" s="287" t="s">
        <v>458</v>
      </c>
      <c r="I132" s="287" t="s">
        <v>469</v>
      </c>
      <c r="J132" s="287" t="s">
        <v>459</v>
      </c>
      <c r="K132" s="287" t="s">
        <v>460</v>
      </c>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row>
    <row r="133" spans="1:47" ht="22.25" customHeight="1">
      <c r="A133" s="286" t="s">
        <v>489</v>
      </c>
      <c r="B133" s="286" t="s">
        <v>490</v>
      </c>
      <c r="C133" s="287" t="s">
        <v>629</v>
      </c>
      <c r="D133" s="286" t="s">
        <v>621</v>
      </c>
      <c r="E133" s="289">
        <v>45291</v>
      </c>
      <c r="F133" s="288">
        <v>18</v>
      </c>
      <c r="H133" s="287" t="s">
        <v>458</v>
      </c>
      <c r="I133" s="287" t="s">
        <v>469</v>
      </c>
      <c r="J133" s="287" t="s">
        <v>459</v>
      </c>
      <c r="K133" s="287" t="s">
        <v>460</v>
      </c>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row>
    <row r="134" spans="1:47" ht="22.25" customHeight="1">
      <c r="A134" s="286" t="s">
        <v>465</v>
      </c>
      <c r="B134" s="286" t="s">
        <v>466</v>
      </c>
      <c r="C134" s="287" t="s">
        <v>630</v>
      </c>
      <c r="D134" s="286" t="s">
        <v>621</v>
      </c>
      <c r="E134" s="289">
        <v>45291</v>
      </c>
      <c r="F134" s="288">
        <v>239.94</v>
      </c>
      <c r="H134" s="287" t="s">
        <v>458</v>
      </c>
      <c r="I134" s="287" t="s">
        <v>469</v>
      </c>
      <c r="J134" s="287" t="s">
        <v>459</v>
      </c>
      <c r="K134" s="287" t="s">
        <v>460</v>
      </c>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row>
    <row r="135" spans="1:47" ht="22.25" customHeight="1">
      <c r="A135" s="286" t="s">
        <v>489</v>
      </c>
      <c r="B135" s="286" t="s">
        <v>490</v>
      </c>
      <c r="C135" s="287" t="s">
        <v>631</v>
      </c>
      <c r="D135" s="286" t="s">
        <v>621</v>
      </c>
      <c r="E135" s="289">
        <v>45291</v>
      </c>
      <c r="F135" s="288">
        <v>467.89</v>
      </c>
      <c r="H135" s="287" t="s">
        <v>458</v>
      </c>
      <c r="I135" s="287" t="s">
        <v>469</v>
      </c>
      <c r="J135" s="287" t="s">
        <v>459</v>
      </c>
      <c r="K135" s="287" t="s">
        <v>460</v>
      </c>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row>
    <row r="136" spans="1:47" ht="22.25" customHeight="1">
      <c r="A136" s="286" t="s">
        <v>489</v>
      </c>
      <c r="B136" s="286" t="s">
        <v>490</v>
      </c>
      <c r="C136" s="287" t="s">
        <v>632</v>
      </c>
      <c r="D136" s="286" t="s">
        <v>621</v>
      </c>
      <c r="E136" s="289">
        <v>45291</v>
      </c>
      <c r="F136" s="288">
        <v>779.81</v>
      </c>
      <c r="H136" s="287" t="s">
        <v>458</v>
      </c>
      <c r="I136" s="287" t="s">
        <v>469</v>
      </c>
      <c r="J136" s="287" t="s">
        <v>459</v>
      </c>
      <c r="K136" s="287" t="s">
        <v>460</v>
      </c>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row>
    <row r="137" spans="1:47" ht="22.25" customHeight="1">
      <c r="A137" s="286" t="s">
        <v>465</v>
      </c>
      <c r="B137" s="286" t="s">
        <v>466</v>
      </c>
      <c r="C137" s="287" t="s">
        <v>496</v>
      </c>
      <c r="D137" s="286" t="s">
        <v>621</v>
      </c>
      <c r="E137" s="289">
        <v>45291</v>
      </c>
      <c r="F137" s="288">
        <v>749.82</v>
      </c>
      <c r="H137" s="287" t="s">
        <v>458</v>
      </c>
      <c r="I137" s="287" t="s">
        <v>469</v>
      </c>
      <c r="J137" s="287" t="s">
        <v>459</v>
      </c>
      <c r="K137" s="287" t="s">
        <v>460</v>
      </c>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row>
    <row r="138" spans="1:47" ht="22.25" customHeight="1">
      <c r="A138" s="286" t="s">
        <v>506</v>
      </c>
      <c r="B138" s="286" t="s">
        <v>507</v>
      </c>
      <c r="C138" s="287" t="s">
        <v>633</v>
      </c>
      <c r="D138" s="286" t="s">
        <v>621</v>
      </c>
      <c r="E138" s="289">
        <v>45291</v>
      </c>
      <c r="F138" s="288">
        <v>149.96</v>
      </c>
      <c r="H138" s="287" t="s">
        <v>458</v>
      </c>
      <c r="I138" s="287" t="s">
        <v>469</v>
      </c>
      <c r="J138" s="287" t="s">
        <v>459</v>
      </c>
      <c r="K138" s="287" t="s">
        <v>460</v>
      </c>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row>
    <row r="139" spans="1:47" ht="22.25" customHeight="1">
      <c r="A139" s="286" t="s">
        <v>530</v>
      </c>
      <c r="B139" s="286" t="s">
        <v>531</v>
      </c>
      <c r="C139" s="287" t="s">
        <v>634</v>
      </c>
      <c r="D139" s="286" t="s">
        <v>621</v>
      </c>
      <c r="E139" s="289">
        <v>45291</v>
      </c>
      <c r="F139" s="288">
        <v>89.98</v>
      </c>
      <c r="H139" s="287" t="s">
        <v>458</v>
      </c>
      <c r="I139" s="287" t="s">
        <v>469</v>
      </c>
      <c r="J139" s="287" t="s">
        <v>459</v>
      </c>
      <c r="K139" s="287" t="s">
        <v>460</v>
      </c>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row>
    <row r="140" spans="1:47" ht="22.25" customHeight="1">
      <c r="A140" s="286" t="s">
        <v>485</v>
      </c>
      <c r="B140" s="286" t="s">
        <v>486</v>
      </c>
      <c r="C140" s="287" t="s">
        <v>635</v>
      </c>
      <c r="D140" s="286" t="s">
        <v>621</v>
      </c>
      <c r="E140" s="289">
        <v>45291</v>
      </c>
      <c r="F140" s="288">
        <v>34.49</v>
      </c>
      <c r="H140" s="287" t="s">
        <v>458</v>
      </c>
      <c r="I140" s="287" t="s">
        <v>469</v>
      </c>
      <c r="J140" s="287" t="s">
        <v>459</v>
      </c>
      <c r="K140" s="287" t="s">
        <v>460</v>
      </c>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row>
    <row r="141" spans="1:47" ht="22.25" customHeight="1">
      <c r="A141" s="286" t="s">
        <v>465</v>
      </c>
      <c r="B141" s="286" t="s">
        <v>466</v>
      </c>
      <c r="C141" s="287" t="s">
        <v>636</v>
      </c>
      <c r="D141" s="286" t="s">
        <v>621</v>
      </c>
      <c r="E141" s="289">
        <v>45291</v>
      </c>
      <c r="F141" s="288">
        <v>7.5</v>
      </c>
      <c r="H141" s="287" t="s">
        <v>458</v>
      </c>
      <c r="I141" s="287" t="s">
        <v>469</v>
      </c>
      <c r="J141" s="287" t="s">
        <v>459</v>
      </c>
      <c r="K141" s="287" t="s">
        <v>460</v>
      </c>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row>
    <row r="142" spans="1:47" ht="22.25" customHeight="1">
      <c r="A142" s="286" t="s">
        <v>465</v>
      </c>
      <c r="B142" s="286" t="s">
        <v>466</v>
      </c>
      <c r="C142" s="287" t="s">
        <v>637</v>
      </c>
      <c r="D142" s="286" t="s">
        <v>621</v>
      </c>
      <c r="E142" s="289">
        <v>45291</v>
      </c>
      <c r="F142" s="288">
        <v>29.99</v>
      </c>
      <c r="H142" s="287" t="s">
        <v>458</v>
      </c>
      <c r="I142" s="287" t="s">
        <v>469</v>
      </c>
      <c r="J142" s="287" t="s">
        <v>459</v>
      </c>
      <c r="K142" s="287" t="s">
        <v>460</v>
      </c>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row>
    <row r="143" spans="1:47" ht="44.1" customHeight="1">
      <c r="A143" s="286" t="s">
        <v>506</v>
      </c>
      <c r="B143" s="286" t="s">
        <v>507</v>
      </c>
      <c r="C143" s="287" t="s">
        <v>638</v>
      </c>
      <c r="D143" s="286" t="s">
        <v>639</v>
      </c>
      <c r="E143" s="289">
        <v>45315</v>
      </c>
      <c r="F143" s="288">
        <v>500</v>
      </c>
      <c r="H143" s="287" t="s">
        <v>458</v>
      </c>
      <c r="I143" s="287" t="s">
        <v>469</v>
      </c>
      <c r="J143" s="287" t="s">
        <v>459</v>
      </c>
      <c r="K143" s="287" t="s">
        <v>460</v>
      </c>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row>
    <row r="144" spans="1:47" ht="22.25" customHeight="1">
      <c r="A144" s="286" t="s">
        <v>455</v>
      </c>
      <c r="B144" s="286" t="s">
        <v>456</v>
      </c>
      <c r="C144" s="287" t="s">
        <v>461</v>
      </c>
      <c r="D144" s="286" t="s">
        <v>640</v>
      </c>
      <c r="E144" s="289">
        <v>45322</v>
      </c>
      <c r="F144" s="288">
        <v>563.29</v>
      </c>
      <c r="H144" s="287" t="s">
        <v>458</v>
      </c>
      <c r="I144" s="287" t="s">
        <v>458</v>
      </c>
      <c r="J144" s="287" t="s">
        <v>459</v>
      </c>
      <c r="K144" s="287" t="s">
        <v>460</v>
      </c>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row>
    <row r="145" spans="1:47" ht="22.25" customHeight="1">
      <c r="A145" s="286" t="s">
        <v>455</v>
      </c>
      <c r="B145" s="286" t="s">
        <v>456</v>
      </c>
      <c r="C145" s="287" t="s">
        <v>463</v>
      </c>
      <c r="D145" s="286" t="s">
        <v>640</v>
      </c>
      <c r="E145" s="289">
        <v>45322</v>
      </c>
      <c r="F145" s="288">
        <v>436.8</v>
      </c>
      <c r="H145" s="287" t="s">
        <v>458</v>
      </c>
      <c r="I145" s="287" t="s">
        <v>458</v>
      </c>
      <c r="J145" s="287" t="s">
        <v>459</v>
      </c>
      <c r="K145" s="287" t="s">
        <v>460</v>
      </c>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row>
    <row r="146" spans="1:47" ht="22.25" customHeight="1">
      <c r="A146" s="286" t="s">
        <v>455</v>
      </c>
      <c r="B146" s="286" t="s">
        <v>456</v>
      </c>
      <c r="C146" s="287" t="s">
        <v>464</v>
      </c>
      <c r="D146" s="286" t="s">
        <v>640</v>
      </c>
      <c r="E146" s="289">
        <v>45322</v>
      </c>
      <c r="F146" s="288">
        <v>720</v>
      </c>
      <c r="H146" s="287" t="s">
        <v>458</v>
      </c>
      <c r="I146" s="287" t="s">
        <v>458</v>
      </c>
      <c r="J146" s="287" t="s">
        <v>459</v>
      </c>
      <c r="K146" s="287" t="s">
        <v>460</v>
      </c>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row>
    <row r="147" spans="1:47" ht="22.25" customHeight="1">
      <c r="A147" s="286" t="s">
        <v>529</v>
      </c>
      <c r="B147" s="286" t="s">
        <v>573</v>
      </c>
      <c r="C147" s="287" t="s">
        <v>641</v>
      </c>
      <c r="D147" s="286" t="s">
        <v>642</v>
      </c>
      <c r="E147" s="289">
        <v>45322</v>
      </c>
      <c r="F147" s="288">
        <v>39.9</v>
      </c>
      <c r="H147" s="287" t="s">
        <v>458</v>
      </c>
      <c r="I147" s="287" t="s">
        <v>469</v>
      </c>
      <c r="J147" s="287" t="s">
        <v>459</v>
      </c>
      <c r="K147" s="287" t="s">
        <v>460</v>
      </c>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row>
    <row r="148" spans="1:47" ht="22.25" customHeight="1">
      <c r="A148" s="286" t="s">
        <v>478</v>
      </c>
      <c r="B148" s="286" t="s">
        <v>479</v>
      </c>
      <c r="C148" s="287" t="s">
        <v>643</v>
      </c>
      <c r="D148" s="286" t="s">
        <v>642</v>
      </c>
      <c r="E148" s="289">
        <v>45322</v>
      </c>
      <c r="F148" s="288">
        <v>497.69</v>
      </c>
      <c r="H148" s="287" t="s">
        <v>458</v>
      </c>
      <c r="I148" s="287" t="s">
        <v>469</v>
      </c>
      <c r="J148" s="287" t="s">
        <v>459</v>
      </c>
      <c r="K148" s="287" t="s">
        <v>460</v>
      </c>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row>
    <row r="149" spans="1:47" ht="22.25" customHeight="1">
      <c r="A149" s="286" t="s">
        <v>489</v>
      </c>
      <c r="B149" s="286" t="s">
        <v>490</v>
      </c>
      <c r="C149" s="287" t="s">
        <v>644</v>
      </c>
      <c r="D149" s="286" t="s">
        <v>642</v>
      </c>
      <c r="E149" s="289">
        <v>45322</v>
      </c>
      <c r="F149" s="288">
        <v>74.84</v>
      </c>
      <c r="H149" s="287" t="s">
        <v>458</v>
      </c>
      <c r="I149" s="287" t="s">
        <v>469</v>
      </c>
      <c r="J149" s="287" t="s">
        <v>459</v>
      </c>
      <c r="K149" s="287" t="s">
        <v>460</v>
      </c>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row>
    <row r="150" spans="1:47" ht="22.25" customHeight="1">
      <c r="A150" s="286" t="s">
        <v>489</v>
      </c>
      <c r="B150" s="286" t="s">
        <v>490</v>
      </c>
      <c r="C150" s="287" t="s">
        <v>645</v>
      </c>
      <c r="D150" s="286" t="s">
        <v>642</v>
      </c>
      <c r="E150" s="289">
        <v>45322</v>
      </c>
      <c r="F150" s="288">
        <v>74.84</v>
      </c>
      <c r="H150" s="287" t="s">
        <v>458</v>
      </c>
      <c r="I150" s="287" t="s">
        <v>469</v>
      </c>
      <c r="J150" s="287" t="s">
        <v>459</v>
      </c>
      <c r="K150" s="287" t="s">
        <v>460</v>
      </c>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row>
    <row r="151" spans="1:47" ht="33.200000000000003" customHeight="1">
      <c r="A151" s="286" t="s">
        <v>465</v>
      </c>
      <c r="B151" s="286" t="s">
        <v>466</v>
      </c>
      <c r="C151" s="287" t="s">
        <v>646</v>
      </c>
      <c r="D151" s="286" t="s">
        <v>642</v>
      </c>
      <c r="E151" s="289">
        <v>45322</v>
      </c>
      <c r="F151" s="288">
        <v>296.37</v>
      </c>
      <c r="H151" s="287" t="s">
        <v>458</v>
      </c>
      <c r="I151" s="287" t="s">
        <v>469</v>
      </c>
      <c r="J151" s="287" t="s">
        <v>459</v>
      </c>
      <c r="K151" s="287" t="s">
        <v>460</v>
      </c>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row>
    <row r="152" spans="1:47" ht="33.200000000000003" customHeight="1">
      <c r="A152" s="286" t="s">
        <v>536</v>
      </c>
      <c r="B152" s="286" t="s">
        <v>647</v>
      </c>
      <c r="C152" s="287" t="s">
        <v>648</v>
      </c>
      <c r="D152" s="286" t="s">
        <v>642</v>
      </c>
      <c r="E152" s="289">
        <v>45322</v>
      </c>
      <c r="F152" s="288">
        <v>666.09</v>
      </c>
      <c r="H152" s="287" t="s">
        <v>458</v>
      </c>
      <c r="I152" s="287" t="s">
        <v>469</v>
      </c>
      <c r="J152" s="287" t="s">
        <v>459</v>
      </c>
      <c r="K152" s="287" t="s">
        <v>460</v>
      </c>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row>
    <row r="153" spans="1:47" ht="22.25" customHeight="1">
      <c r="A153" s="286" t="s">
        <v>465</v>
      </c>
      <c r="B153" s="286" t="s">
        <v>466</v>
      </c>
      <c r="C153" s="287" t="s">
        <v>649</v>
      </c>
      <c r="D153" s="286" t="s">
        <v>642</v>
      </c>
      <c r="E153" s="289">
        <v>45322</v>
      </c>
      <c r="F153" s="288">
        <v>633.9</v>
      </c>
      <c r="H153" s="287" t="s">
        <v>458</v>
      </c>
      <c r="I153" s="287" t="s">
        <v>469</v>
      </c>
      <c r="J153" s="287" t="s">
        <v>459</v>
      </c>
      <c r="K153" s="287" t="s">
        <v>460</v>
      </c>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row>
    <row r="154" spans="1:47" ht="22.25" customHeight="1">
      <c r="A154" s="286" t="s">
        <v>529</v>
      </c>
      <c r="B154" s="286" t="s">
        <v>573</v>
      </c>
      <c r="C154" s="287" t="s">
        <v>623</v>
      </c>
      <c r="D154" s="286" t="s">
        <v>642</v>
      </c>
      <c r="E154" s="289">
        <v>45322</v>
      </c>
      <c r="F154" s="288">
        <v>50.87</v>
      </c>
      <c r="H154" s="287" t="s">
        <v>458</v>
      </c>
      <c r="I154" s="287" t="s">
        <v>469</v>
      </c>
      <c r="J154" s="287" t="s">
        <v>459</v>
      </c>
      <c r="K154" s="287" t="s">
        <v>460</v>
      </c>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row>
    <row r="155" spans="1:47" ht="22.25" customHeight="1">
      <c r="A155" s="286" t="s">
        <v>529</v>
      </c>
      <c r="B155" s="286" t="s">
        <v>573</v>
      </c>
      <c r="C155" s="287" t="s">
        <v>650</v>
      </c>
      <c r="D155" s="286" t="s">
        <v>642</v>
      </c>
      <c r="E155" s="289">
        <v>45322</v>
      </c>
      <c r="F155" s="288">
        <v>39.9</v>
      </c>
      <c r="H155" s="287" t="s">
        <v>458</v>
      </c>
      <c r="I155" s="287" t="s">
        <v>469</v>
      </c>
      <c r="J155" s="287" t="s">
        <v>459</v>
      </c>
      <c r="K155" s="287" t="s">
        <v>460</v>
      </c>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row>
    <row r="156" spans="1:47" ht="22.25" customHeight="1">
      <c r="A156" s="286" t="s">
        <v>529</v>
      </c>
      <c r="B156" s="286" t="s">
        <v>573</v>
      </c>
      <c r="C156" s="287" t="s">
        <v>651</v>
      </c>
      <c r="D156" s="286" t="s">
        <v>642</v>
      </c>
      <c r="E156" s="289">
        <v>45322</v>
      </c>
      <c r="F156" s="288">
        <v>40.9</v>
      </c>
      <c r="H156" s="287" t="s">
        <v>458</v>
      </c>
      <c r="I156" s="287" t="s">
        <v>469</v>
      </c>
      <c r="J156" s="287" t="s">
        <v>459</v>
      </c>
      <c r="K156" s="287" t="s">
        <v>460</v>
      </c>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row>
    <row r="157" spans="1:47" ht="22.25" customHeight="1">
      <c r="A157" s="286" t="s">
        <v>529</v>
      </c>
      <c r="B157" s="286" t="s">
        <v>573</v>
      </c>
      <c r="C157" s="287" t="s">
        <v>652</v>
      </c>
      <c r="D157" s="286" t="s">
        <v>642</v>
      </c>
      <c r="E157" s="289">
        <v>45322</v>
      </c>
      <c r="F157" s="288">
        <v>40.9</v>
      </c>
      <c r="H157" s="287" t="s">
        <v>458</v>
      </c>
      <c r="I157" s="287" t="s">
        <v>469</v>
      </c>
      <c r="J157" s="287" t="s">
        <v>459</v>
      </c>
      <c r="K157" s="287" t="s">
        <v>460</v>
      </c>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row>
    <row r="158" spans="1:47" ht="22.25" customHeight="1">
      <c r="A158" s="286" t="s">
        <v>529</v>
      </c>
      <c r="B158" s="286" t="s">
        <v>573</v>
      </c>
      <c r="C158" s="287" t="s">
        <v>653</v>
      </c>
      <c r="D158" s="286" t="s">
        <v>642</v>
      </c>
      <c r="E158" s="289">
        <v>45322</v>
      </c>
      <c r="F158" s="288">
        <v>28.44</v>
      </c>
      <c r="H158" s="287" t="s">
        <v>458</v>
      </c>
      <c r="I158" s="287" t="s">
        <v>469</v>
      </c>
      <c r="J158" s="287" t="s">
        <v>459</v>
      </c>
      <c r="K158" s="287" t="s">
        <v>460</v>
      </c>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row>
    <row r="159" spans="1:47" ht="22.25" customHeight="1">
      <c r="A159" s="286" t="s">
        <v>485</v>
      </c>
      <c r="B159" s="286" t="s">
        <v>486</v>
      </c>
      <c r="C159" s="287" t="s">
        <v>654</v>
      </c>
      <c r="D159" s="286" t="s">
        <v>642</v>
      </c>
      <c r="E159" s="289">
        <v>45322</v>
      </c>
      <c r="F159" s="288">
        <v>9.58</v>
      </c>
      <c r="H159" s="287" t="s">
        <v>458</v>
      </c>
      <c r="I159" s="287" t="s">
        <v>469</v>
      </c>
      <c r="J159" s="287" t="s">
        <v>459</v>
      </c>
      <c r="K159" s="287" t="s">
        <v>460</v>
      </c>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row>
    <row r="160" spans="1:47" ht="22.25" customHeight="1">
      <c r="A160" s="286" t="s">
        <v>465</v>
      </c>
      <c r="B160" s="286" t="s">
        <v>466</v>
      </c>
      <c r="C160" s="287" t="s">
        <v>655</v>
      </c>
      <c r="D160" s="286" t="s">
        <v>642</v>
      </c>
      <c r="E160" s="289">
        <v>45322</v>
      </c>
      <c r="F160" s="288">
        <v>7.48</v>
      </c>
      <c r="H160" s="287" t="s">
        <v>458</v>
      </c>
      <c r="I160" s="287" t="s">
        <v>469</v>
      </c>
      <c r="J160" s="287" t="s">
        <v>459</v>
      </c>
      <c r="K160" s="287" t="s">
        <v>460</v>
      </c>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row>
    <row r="161" spans="1:47" ht="22.25" customHeight="1">
      <c r="A161" s="286" t="s">
        <v>485</v>
      </c>
      <c r="B161" s="286" t="s">
        <v>486</v>
      </c>
      <c r="C161" s="287" t="s">
        <v>656</v>
      </c>
      <c r="D161" s="286" t="s">
        <v>642</v>
      </c>
      <c r="E161" s="289">
        <v>45322</v>
      </c>
      <c r="F161" s="288">
        <v>10.4</v>
      </c>
      <c r="H161" s="287" t="s">
        <v>458</v>
      </c>
      <c r="I161" s="287" t="s">
        <v>469</v>
      </c>
      <c r="J161" s="287" t="s">
        <v>459</v>
      </c>
      <c r="K161" s="287" t="s">
        <v>460</v>
      </c>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row>
    <row r="162" spans="1:47" ht="22.25" customHeight="1">
      <c r="A162" s="286" t="s">
        <v>485</v>
      </c>
      <c r="B162" s="286" t="s">
        <v>486</v>
      </c>
      <c r="C162" s="287" t="s">
        <v>657</v>
      </c>
      <c r="D162" s="286" t="s">
        <v>642</v>
      </c>
      <c r="E162" s="289">
        <v>45322</v>
      </c>
      <c r="F162" s="288">
        <v>7.86</v>
      </c>
      <c r="H162" s="287" t="s">
        <v>458</v>
      </c>
      <c r="I162" s="287" t="s">
        <v>469</v>
      </c>
      <c r="J162" s="287" t="s">
        <v>459</v>
      </c>
      <c r="K162" s="287" t="s">
        <v>460</v>
      </c>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row>
    <row r="163" spans="1:47" ht="22.25" customHeight="1">
      <c r="A163" s="286" t="s">
        <v>485</v>
      </c>
      <c r="B163" s="286" t="s">
        <v>486</v>
      </c>
      <c r="C163" s="287" t="s">
        <v>624</v>
      </c>
      <c r="D163" s="286" t="s">
        <v>642</v>
      </c>
      <c r="E163" s="289">
        <v>45322</v>
      </c>
      <c r="F163" s="288">
        <v>0.9</v>
      </c>
      <c r="H163" s="287" t="s">
        <v>458</v>
      </c>
      <c r="I163" s="287" t="s">
        <v>469</v>
      </c>
      <c r="J163" s="287" t="s">
        <v>459</v>
      </c>
      <c r="K163" s="287" t="s">
        <v>460</v>
      </c>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row>
    <row r="164" spans="1:47" ht="22.25" customHeight="1">
      <c r="A164" s="286" t="s">
        <v>485</v>
      </c>
      <c r="B164" s="286" t="s">
        <v>486</v>
      </c>
      <c r="C164" s="287" t="s">
        <v>658</v>
      </c>
      <c r="D164" s="286" t="s">
        <v>642</v>
      </c>
      <c r="E164" s="289">
        <v>45322</v>
      </c>
      <c r="F164" s="288">
        <v>3.89</v>
      </c>
      <c r="H164" s="287" t="s">
        <v>458</v>
      </c>
      <c r="I164" s="287" t="s">
        <v>469</v>
      </c>
      <c r="J164" s="287" t="s">
        <v>459</v>
      </c>
      <c r="K164" s="287" t="s">
        <v>460</v>
      </c>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row>
    <row r="165" spans="1:47" ht="22.25" customHeight="1">
      <c r="A165" s="286" t="s">
        <v>485</v>
      </c>
      <c r="B165" s="286" t="s">
        <v>486</v>
      </c>
      <c r="C165" s="287" t="s">
        <v>659</v>
      </c>
      <c r="D165" s="286" t="s">
        <v>642</v>
      </c>
      <c r="E165" s="289">
        <v>45322</v>
      </c>
      <c r="F165" s="288">
        <v>74.84</v>
      </c>
      <c r="H165" s="287" t="s">
        <v>458</v>
      </c>
      <c r="I165" s="287" t="s">
        <v>469</v>
      </c>
      <c r="J165" s="287" t="s">
        <v>459</v>
      </c>
      <c r="K165" s="287" t="s">
        <v>460</v>
      </c>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row>
    <row r="166" spans="1:47" ht="22.25" customHeight="1">
      <c r="A166" s="286" t="s">
        <v>485</v>
      </c>
      <c r="B166" s="286" t="s">
        <v>486</v>
      </c>
      <c r="C166" s="287" t="s">
        <v>660</v>
      </c>
      <c r="D166" s="286" t="s">
        <v>642</v>
      </c>
      <c r="E166" s="289">
        <v>45322</v>
      </c>
      <c r="F166" s="288">
        <v>3.59</v>
      </c>
      <c r="H166" s="287" t="s">
        <v>458</v>
      </c>
      <c r="I166" s="287" t="s">
        <v>469</v>
      </c>
      <c r="J166" s="287" t="s">
        <v>459</v>
      </c>
      <c r="K166" s="287" t="s">
        <v>460</v>
      </c>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row>
    <row r="167" spans="1:47" ht="22.25" customHeight="1">
      <c r="A167" s="286" t="s">
        <v>485</v>
      </c>
      <c r="B167" s="286" t="s">
        <v>486</v>
      </c>
      <c r="C167" s="287" t="s">
        <v>626</v>
      </c>
      <c r="D167" s="286" t="s">
        <v>642</v>
      </c>
      <c r="E167" s="289">
        <v>45322</v>
      </c>
      <c r="F167" s="288">
        <v>7.0000000000000007E-2</v>
      </c>
      <c r="H167" s="287" t="s">
        <v>458</v>
      </c>
      <c r="I167" s="287" t="s">
        <v>469</v>
      </c>
      <c r="J167" s="287" t="s">
        <v>459</v>
      </c>
      <c r="K167" s="287" t="s">
        <v>460</v>
      </c>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row>
    <row r="168" spans="1:47" ht="22.25" customHeight="1">
      <c r="A168" s="286" t="s">
        <v>465</v>
      </c>
      <c r="B168" s="286" t="s">
        <v>466</v>
      </c>
      <c r="C168" s="287" t="s">
        <v>630</v>
      </c>
      <c r="D168" s="286" t="s">
        <v>642</v>
      </c>
      <c r="E168" s="289">
        <v>45322</v>
      </c>
      <c r="F168" s="288">
        <v>598.73</v>
      </c>
      <c r="H168" s="287" t="s">
        <v>458</v>
      </c>
      <c r="I168" s="287" t="s">
        <v>469</v>
      </c>
      <c r="J168" s="287" t="s">
        <v>459</v>
      </c>
      <c r="K168" s="287" t="s">
        <v>460</v>
      </c>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row>
    <row r="169" spans="1:47" ht="22.25" customHeight="1">
      <c r="A169" s="286" t="s">
        <v>489</v>
      </c>
      <c r="B169" s="286" t="s">
        <v>490</v>
      </c>
      <c r="C169" s="287" t="s">
        <v>661</v>
      </c>
      <c r="D169" s="286" t="s">
        <v>642</v>
      </c>
      <c r="E169" s="289">
        <v>45322</v>
      </c>
      <c r="F169" s="288">
        <v>889.11</v>
      </c>
      <c r="H169" s="287" t="s">
        <v>458</v>
      </c>
      <c r="I169" s="287" t="s">
        <v>469</v>
      </c>
      <c r="J169" s="287" t="s">
        <v>459</v>
      </c>
      <c r="K169" s="287" t="s">
        <v>460</v>
      </c>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row>
    <row r="170" spans="1:47" ht="22.25" customHeight="1">
      <c r="A170" s="286" t="s">
        <v>465</v>
      </c>
      <c r="B170" s="286" t="s">
        <v>466</v>
      </c>
      <c r="C170" s="287" t="s">
        <v>662</v>
      </c>
      <c r="D170" s="286" t="s">
        <v>642</v>
      </c>
      <c r="E170" s="289">
        <v>45322</v>
      </c>
      <c r="F170" s="288">
        <v>763.38</v>
      </c>
      <c r="H170" s="287" t="s">
        <v>458</v>
      </c>
      <c r="I170" s="287" t="s">
        <v>469</v>
      </c>
      <c r="J170" s="287" t="s">
        <v>459</v>
      </c>
      <c r="K170" s="287" t="s">
        <v>460</v>
      </c>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row>
    <row r="171" spans="1:47" ht="22.25" customHeight="1">
      <c r="A171" s="286" t="s">
        <v>506</v>
      </c>
      <c r="B171" s="286" t="s">
        <v>507</v>
      </c>
      <c r="C171" s="287" t="s">
        <v>663</v>
      </c>
      <c r="D171" s="286" t="s">
        <v>642</v>
      </c>
      <c r="E171" s="289">
        <v>45322</v>
      </c>
      <c r="F171" s="288">
        <v>149.68</v>
      </c>
      <c r="H171" s="287" t="s">
        <v>458</v>
      </c>
      <c r="I171" s="287" t="s">
        <v>469</v>
      </c>
      <c r="J171" s="287" t="s">
        <v>459</v>
      </c>
      <c r="K171" s="287" t="s">
        <v>460</v>
      </c>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row>
    <row r="172" spans="1:47" ht="22.25" customHeight="1">
      <c r="A172" s="286" t="s">
        <v>529</v>
      </c>
      <c r="B172" s="286" t="s">
        <v>573</v>
      </c>
      <c r="C172" s="287" t="s">
        <v>664</v>
      </c>
      <c r="D172" s="286" t="s">
        <v>642</v>
      </c>
      <c r="E172" s="289">
        <v>45322</v>
      </c>
      <c r="F172" s="288">
        <v>7.48</v>
      </c>
      <c r="H172" s="287" t="s">
        <v>458</v>
      </c>
      <c r="I172" s="287" t="s">
        <v>469</v>
      </c>
      <c r="J172" s="287" t="s">
        <v>459</v>
      </c>
      <c r="K172" s="287" t="s">
        <v>460</v>
      </c>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row>
    <row r="173" spans="1:47" ht="22.25" customHeight="1">
      <c r="A173" s="286" t="s">
        <v>465</v>
      </c>
      <c r="B173" s="286" t="s">
        <v>466</v>
      </c>
      <c r="C173" s="287" t="s">
        <v>665</v>
      </c>
      <c r="D173" s="286" t="s">
        <v>642</v>
      </c>
      <c r="E173" s="289">
        <v>45322</v>
      </c>
      <c r="F173" s="288">
        <v>7.48</v>
      </c>
      <c r="H173" s="287" t="s">
        <v>458</v>
      </c>
      <c r="I173" s="287" t="s">
        <v>469</v>
      </c>
      <c r="J173" s="287" t="s">
        <v>459</v>
      </c>
      <c r="K173" s="287" t="s">
        <v>460</v>
      </c>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row>
    <row r="174" spans="1:47" ht="22.25" customHeight="1">
      <c r="A174" s="286" t="s">
        <v>530</v>
      </c>
      <c r="B174" s="286" t="s">
        <v>531</v>
      </c>
      <c r="C174" s="287" t="s">
        <v>666</v>
      </c>
      <c r="D174" s="286" t="s">
        <v>642</v>
      </c>
      <c r="E174" s="289">
        <v>45322</v>
      </c>
      <c r="F174" s="288">
        <v>89.81</v>
      </c>
      <c r="H174" s="287" t="s">
        <v>458</v>
      </c>
      <c r="I174" s="287" t="s">
        <v>469</v>
      </c>
      <c r="J174" s="287" t="s">
        <v>459</v>
      </c>
      <c r="K174" s="287" t="s">
        <v>460</v>
      </c>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row>
    <row r="175" spans="1:47" ht="22.25" customHeight="1">
      <c r="A175" s="286" t="s">
        <v>465</v>
      </c>
      <c r="B175" s="286" t="s">
        <v>466</v>
      </c>
      <c r="C175" s="287" t="s">
        <v>667</v>
      </c>
      <c r="D175" s="286" t="s">
        <v>642</v>
      </c>
      <c r="E175" s="289">
        <v>45322</v>
      </c>
      <c r="F175" s="288">
        <v>74.84</v>
      </c>
      <c r="H175" s="287" t="s">
        <v>458</v>
      </c>
      <c r="I175" s="287" t="s">
        <v>469</v>
      </c>
      <c r="J175" s="287" t="s">
        <v>459</v>
      </c>
      <c r="K175" s="287" t="s">
        <v>460</v>
      </c>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row>
    <row r="176" spans="1:47" ht="22.25" customHeight="1">
      <c r="A176" s="286" t="s">
        <v>455</v>
      </c>
      <c r="B176" s="286" t="s">
        <v>456</v>
      </c>
      <c r="C176" s="287" t="s">
        <v>461</v>
      </c>
      <c r="D176" s="286" t="s">
        <v>668</v>
      </c>
      <c r="E176" s="289">
        <v>45351</v>
      </c>
      <c r="F176" s="288">
        <v>563.29</v>
      </c>
      <c r="H176" s="287" t="s">
        <v>458</v>
      </c>
      <c r="I176" s="287" t="s">
        <v>458</v>
      </c>
      <c r="J176" s="287" t="s">
        <v>459</v>
      </c>
      <c r="K176" s="287" t="s">
        <v>460</v>
      </c>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row>
    <row r="177" spans="1:47" ht="22.25" customHeight="1">
      <c r="A177" s="286" t="s">
        <v>455</v>
      </c>
      <c r="B177" s="286" t="s">
        <v>456</v>
      </c>
      <c r="C177" s="287" t="s">
        <v>463</v>
      </c>
      <c r="D177" s="286" t="s">
        <v>668</v>
      </c>
      <c r="E177" s="289">
        <v>45351</v>
      </c>
      <c r="F177" s="288">
        <v>436.8</v>
      </c>
      <c r="H177" s="287" t="s">
        <v>458</v>
      </c>
      <c r="I177" s="287" t="s">
        <v>458</v>
      </c>
      <c r="J177" s="287" t="s">
        <v>459</v>
      </c>
      <c r="K177" s="287" t="s">
        <v>460</v>
      </c>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row>
    <row r="178" spans="1:47" ht="22.25" customHeight="1">
      <c r="A178" s="286" t="s">
        <v>455</v>
      </c>
      <c r="B178" s="286" t="s">
        <v>456</v>
      </c>
      <c r="C178" s="287" t="s">
        <v>464</v>
      </c>
      <c r="D178" s="286" t="s">
        <v>668</v>
      </c>
      <c r="E178" s="289">
        <v>45351</v>
      </c>
      <c r="F178" s="288">
        <v>720</v>
      </c>
      <c r="H178" s="287" t="s">
        <v>458</v>
      </c>
      <c r="I178" s="287" t="s">
        <v>458</v>
      </c>
      <c r="J178" s="287" t="s">
        <v>459</v>
      </c>
      <c r="K178" s="287" t="s">
        <v>460</v>
      </c>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row>
    <row r="179" spans="1:47" ht="22.25" customHeight="1">
      <c r="A179" s="286" t="s">
        <v>478</v>
      </c>
      <c r="B179" s="286" t="s">
        <v>479</v>
      </c>
      <c r="C179" s="287" t="s">
        <v>669</v>
      </c>
      <c r="D179" s="286" t="s">
        <v>670</v>
      </c>
      <c r="E179" s="289">
        <v>45351</v>
      </c>
      <c r="F179" s="288">
        <v>564.84</v>
      </c>
      <c r="H179" s="287" t="s">
        <v>458</v>
      </c>
      <c r="I179" s="287" t="s">
        <v>469</v>
      </c>
      <c r="J179" s="287" t="s">
        <v>459</v>
      </c>
      <c r="K179" s="287" t="s">
        <v>460</v>
      </c>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row>
    <row r="180" spans="1:47" ht="22.25" customHeight="1">
      <c r="A180" s="286" t="s">
        <v>478</v>
      </c>
      <c r="B180" s="286" t="s">
        <v>479</v>
      </c>
      <c r="C180" s="287" t="s">
        <v>671</v>
      </c>
      <c r="D180" s="286" t="s">
        <v>670</v>
      </c>
      <c r="E180" s="289">
        <v>45351</v>
      </c>
      <c r="F180" s="288">
        <v>1113.32</v>
      </c>
      <c r="H180" s="287" t="s">
        <v>458</v>
      </c>
      <c r="I180" s="287" t="s">
        <v>469</v>
      </c>
      <c r="J180" s="287" t="s">
        <v>459</v>
      </c>
      <c r="K180" s="287" t="s">
        <v>460</v>
      </c>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row>
    <row r="181" spans="1:47" ht="22.25" customHeight="1">
      <c r="A181" s="286" t="s">
        <v>478</v>
      </c>
      <c r="B181" s="286" t="s">
        <v>479</v>
      </c>
      <c r="C181" s="287" t="s">
        <v>672</v>
      </c>
      <c r="D181" s="286" t="s">
        <v>670</v>
      </c>
      <c r="E181" s="289">
        <v>45351</v>
      </c>
      <c r="F181" s="288">
        <v>497.02</v>
      </c>
      <c r="H181" s="287" t="s">
        <v>458</v>
      </c>
      <c r="I181" s="287" t="s">
        <v>469</v>
      </c>
      <c r="J181" s="287" t="s">
        <v>459</v>
      </c>
      <c r="K181" s="287" t="s">
        <v>460</v>
      </c>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row>
    <row r="182" spans="1:47" ht="22.25" customHeight="1">
      <c r="A182" s="286" t="s">
        <v>529</v>
      </c>
      <c r="B182" s="286" t="s">
        <v>573</v>
      </c>
      <c r="C182" s="287" t="s">
        <v>623</v>
      </c>
      <c r="D182" s="286" t="s">
        <v>670</v>
      </c>
      <c r="E182" s="289">
        <v>45351</v>
      </c>
      <c r="F182" s="288">
        <v>50.25</v>
      </c>
      <c r="H182" s="287" t="s">
        <v>458</v>
      </c>
      <c r="I182" s="287" t="s">
        <v>469</v>
      </c>
      <c r="J182" s="287" t="s">
        <v>459</v>
      </c>
      <c r="K182" s="287" t="s">
        <v>460</v>
      </c>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row>
    <row r="183" spans="1:47" ht="22.25" customHeight="1">
      <c r="A183" s="286" t="s">
        <v>529</v>
      </c>
      <c r="B183" s="286" t="s">
        <v>573</v>
      </c>
      <c r="C183" s="287" t="s">
        <v>650</v>
      </c>
      <c r="D183" s="286" t="s">
        <v>670</v>
      </c>
      <c r="E183" s="289">
        <v>45351</v>
      </c>
      <c r="F183" s="288">
        <v>39.409999999999997</v>
      </c>
      <c r="H183" s="287" t="s">
        <v>458</v>
      </c>
      <c r="I183" s="287" t="s">
        <v>469</v>
      </c>
      <c r="J183" s="287" t="s">
        <v>459</v>
      </c>
      <c r="K183" s="287" t="s">
        <v>460</v>
      </c>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row>
    <row r="184" spans="1:47" ht="22.25" customHeight="1">
      <c r="A184" s="286" t="s">
        <v>529</v>
      </c>
      <c r="B184" s="286" t="s">
        <v>573</v>
      </c>
      <c r="C184" s="287" t="s">
        <v>673</v>
      </c>
      <c r="D184" s="286" t="s">
        <v>670</v>
      </c>
      <c r="E184" s="289">
        <v>45351</v>
      </c>
      <c r="F184" s="288">
        <v>39.409999999999997</v>
      </c>
      <c r="H184" s="287" t="s">
        <v>458</v>
      </c>
      <c r="I184" s="287" t="s">
        <v>469</v>
      </c>
      <c r="J184" s="287" t="s">
        <v>459</v>
      </c>
      <c r="K184" s="287" t="s">
        <v>460</v>
      </c>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row>
    <row r="185" spans="1:47" ht="22.25" customHeight="1">
      <c r="A185" s="286" t="s">
        <v>529</v>
      </c>
      <c r="B185" s="286" t="s">
        <v>573</v>
      </c>
      <c r="C185" s="287" t="s">
        <v>651</v>
      </c>
      <c r="D185" s="286" t="s">
        <v>670</v>
      </c>
      <c r="E185" s="289">
        <v>45351</v>
      </c>
      <c r="F185" s="288">
        <v>40.4</v>
      </c>
      <c r="H185" s="287" t="s">
        <v>458</v>
      </c>
      <c r="I185" s="287" t="s">
        <v>469</v>
      </c>
      <c r="J185" s="287" t="s">
        <v>459</v>
      </c>
      <c r="K185" s="287" t="s">
        <v>460</v>
      </c>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row>
    <row r="186" spans="1:47" ht="22.25" customHeight="1">
      <c r="A186" s="286" t="s">
        <v>529</v>
      </c>
      <c r="B186" s="286" t="s">
        <v>573</v>
      </c>
      <c r="C186" s="287" t="s">
        <v>652</v>
      </c>
      <c r="D186" s="286" t="s">
        <v>670</v>
      </c>
      <c r="E186" s="289">
        <v>45351</v>
      </c>
      <c r="F186" s="288">
        <v>40.4</v>
      </c>
      <c r="H186" s="287" t="s">
        <v>458</v>
      </c>
      <c r="I186" s="287" t="s">
        <v>469</v>
      </c>
      <c r="J186" s="287" t="s">
        <v>459</v>
      </c>
      <c r="K186" s="287" t="s">
        <v>460</v>
      </c>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row>
    <row r="187" spans="1:47" ht="22.25" customHeight="1">
      <c r="A187" s="286" t="s">
        <v>485</v>
      </c>
      <c r="B187" s="286" t="s">
        <v>486</v>
      </c>
      <c r="C187" s="287" t="s">
        <v>654</v>
      </c>
      <c r="D187" s="286" t="s">
        <v>670</v>
      </c>
      <c r="E187" s="289">
        <v>45351</v>
      </c>
      <c r="F187" s="288">
        <v>12.98</v>
      </c>
      <c r="H187" s="287" t="s">
        <v>458</v>
      </c>
      <c r="I187" s="287" t="s">
        <v>469</v>
      </c>
      <c r="J187" s="287" t="s">
        <v>459</v>
      </c>
      <c r="K187" s="287" t="s">
        <v>460</v>
      </c>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row>
    <row r="188" spans="1:47" ht="22.25" customHeight="1">
      <c r="A188" s="286" t="s">
        <v>465</v>
      </c>
      <c r="B188" s="286" t="s">
        <v>466</v>
      </c>
      <c r="C188" s="287" t="s">
        <v>655</v>
      </c>
      <c r="D188" s="286" t="s">
        <v>670</v>
      </c>
      <c r="E188" s="289">
        <v>45351</v>
      </c>
      <c r="F188" s="288">
        <v>11.8</v>
      </c>
      <c r="H188" s="287" t="s">
        <v>458</v>
      </c>
      <c r="I188" s="287" t="s">
        <v>469</v>
      </c>
      <c r="J188" s="287" t="s">
        <v>459</v>
      </c>
      <c r="K188" s="287" t="s">
        <v>460</v>
      </c>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row>
    <row r="189" spans="1:47" ht="22.25" customHeight="1">
      <c r="A189" s="286" t="s">
        <v>485</v>
      </c>
      <c r="B189" s="286" t="s">
        <v>486</v>
      </c>
      <c r="C189" s="287" t="s">
        <v>656</v>
      </c>
      <c r="D189" s="286" t="s">
        <v>670</v>
      </c>
      <c r="E189" s="289">
        <v>45351</v>
      </c>
      <c r="F189" s="288">
        <v>10.25</v>
      </c>
      <c r="H189" s="287" t="s">
        <v>458</v>
      </c>
      <c r="I189" s="287" t="s">
        <v>469</v>
      </c>
      <c r="J189" s="287" t="s">
        <v>459</v>
      </c>
      <c r="K189" s="287" t="s">
        <v>460</v>
      </c>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row>
    <row r="190" spans="1:47" ht="22.25" customHeight="1">
      <c r="A190" s="286" t="s">
        <v>485</v>
      </c>
      <c r="B190" s="286" t="s">
        <v>486</v>
      </c>
      <c r="C190" s="287" t="s">
        <v>657</v>
      </c>
      <c r="D190" s="286" t="s">
        <v>670</v>
      </c>
      <c r="E190" s="289">
        <v>45351</v>
      </c>
      <c r="F190" s="288">
        <v>7.74</v>
      </c>
      <c r="H190" s="287" t="s">
        <v>458</v>
      </c>
      <c r="I190" s="287" t="s">
        <v>469</v>
      </c>
      <c r="J190" s="287" t="s">
        <v>459</v>
      </c>
      <c r="K190" s="287" t="s">
        <v>460</v>
      </c>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row>
    <row r="191" spans="1:47" ht="22.25" customHeight="1">
      <c r="A191" s="286" t="s">
        <v>485</v>
      </c>
      <c r="B191" s="286" t="s">
        <v>486</v>
      </c>
      <c r="C191" s="287" t="s">
        <v>624</v>
      </c>
      <c r="D191" s="286" t="s">
        <v>670</v>
      </c>
      <c r="E191" s="289">
        <v>45351</v>
      </c>
      <c r="F191" s="288">
        <v>3.54</v>
      </c>
      <c r="H191" s="287" t="s">
        <v>458</v>
      </c>
      <c r="I191" s="287" t="s">
        <v>469</v>
      </c>
      <c r="J191" s="287" t="s">
        <v>459</v>
      </c>
      <c r="K191" s="287" t="s">
        <v>460</v>
      </c>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row>
    <row r="192" spans="1:47" ht="22.25" customHeight="1">
      <c r="A192" s="286" t="s">
        <v>485</v>
      </c>
      <c r="B192" s="286" t="s">
        <v>486</v>
      </c>
      <c r="C192" s="287" t="s">
        <v>659</v>
      </c>
      <c r="D192" s="286" t="s">
        <v>670</v>
      </c>
      <c r="E192" s="289">
        <v>45351</v>
      </c>
      <c r="F192" s="288">
        <v>73.75</v>
      </c>
      <c r="H192" s="287" t="s">
        <v>458</v>
      </c>
      <c r="I192" s="287" t="s">
        <v>469</v>
      </c>
      <c r="J192" s="287" t="s">
        <v>459</v>
      </c>
      <c r="K192" s="287" t="s">
        <v>460</v>
      </c>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row>
    <row r="193" spans="1:47" ht="22.25" customHeight="1">
      <c r="A193" s="286" t="s">
        <v>485</v>
      </c>
      <c r="B193" s="286" t="s">
        <v>486</v>
      </c>
      <c r="C193" s="287" t="s">
        <v>626</v>
      </c>
      <c r="D193" s="286" t="s">
        <v>670</v>
      </c>
      <c r="E193" s="289">
        <v>45351</v>
      </c>
      <c r="F193" s="288">
        <v>7.0000000000000007E-2</v>
      </c>
      <c r="H193" s="287" t="s">
        <v>458</v>
      </c>
      <c r="I193" s="287" t="s">
        <v>469</v>
      </c>
      <c r="J193" s="287" t="s">
        <v>459</v>
      </c>
      <c r="K193" s="287" t="s">
        <v>460</v>
      </c>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row>
    <row r="194" spans="1:47" ht="22.25" customHeight="1">
      <c r="A194" s="286" t="s">
        <v>485</v>
      </c>
      <c r="B194" s="286" t="s">
        <v>486</v>
      </c>
      <c r="C194" s="287" t="s">
        <v>674</v>
      </c>
      <c r="D194" s="286" t="s">
        <v>670</v>
      </c>
      <c r="E194" s="289">
        <v>45351</v>
      </c>
      <c r="F194" s="288">
        <v>4.43</v>
      </c>
      <c r="H194" s="287" t="s">
        <v>458</v>
      </c>
      <c r="I194" s="287" t="s">
        <v>469</v>
      </c>
      <c r="J194" s="287" t="s">
        <v>459</v>
      </c>
      <c r="K194" s="287" t="s">
        <v>460</v>
      </c>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row>
    <row r="195" spans="1:47" ht="22.25" customHeight="1">
      <c r="A195" s="286" t="s">
        <v>485</v>
      </c>
      <c r="B195" s="286" t="s">
        <v>486</v>
      </c>
      <c r="C195" s="287" t="s">
        <v>675</v>
      </c>
      <c r="D195" s="286" t="s">
        <v>670</v>
      </c>
      <c r="E195" s="289">
        <v>45351</v>
      </c>
      <c r="F195" s="288">
        <v>2.95</v>
      </c>
      <c r="H195" s="287" t="s">
        <v>458</v>
      </c>
      <c r="I195" s="287" t="s">
        <v>469</v>
      </c>
      <c r="J195" s="287" t="s">
        <v>459</v>
      </c>
      <c r="K195" s="287" t="s">
        <v>460</v>
      </c>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row>
    <row r="196" spans="1:47" ht="22.25" customHeight="1">
      <c r="A196" s="286" t="s">
        <v>485</v>
      </c>
      <c r="B196" s="286" t="s">
        <v>486</v>
      </c>
      <c r="C196" s="287" t="s">
        <v>676</v>
      </c>
      <c r="D196" s="286" t="s">
        <v>670</v>
      </c>
      <c r="E196" s="289">
        <v>45351</v>
      </c>
      <c r="F196" s="288">
        <v>10.33</v>
      </c>
      <c r="H196" s="287" t="s">
        <v>458</v>
      </c>
      <c r="I196" s="287" t="s">
        <v>469</v>
      </c>
      <c r="J196" s="287" t="s">
        <v>459</v>
      </c>
      <c r="K196" s="287" t="s">
        <v>460</v>
      </c>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row>
    <row r="197" spans="1:47" ht="22.25" customHeight="1">
      <c r="A197" s="286" t="s">
        <v>485</v>
      </c>
      <c r="B197" s="286" t="s">
        <v>486</v>
      </c>
      <c r="C197" s="287" t="s">
        <v>677</v>
      </c>
      <c r="D197" s="286" t="s">
        <v>670</v>
      </c>
      <c r="E197" s="289">
        <v>45351</v>
      </c>
      <c r="F197" s="288">
        <v>17.04</v>
      </c>
      <c r="H197" s="287" t="s">
        <v>458</v>
      </c>
      <c r="I197" s="287" t="s">
        <v>469</v>
      </c>
      <c r="J197" s="287" t="s">
        <v>459</v>
      </c>
      <c r="K197" s="287" t="s">
        <v>460</v>
      </c>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row>
    <row r="198" spans="1:47" ht="22.25" customHeight="1">
      <c r="A198" s="286" t="s">
        <v>485</v>
      </c>
      <c r="B198" s="286" t="s">
        <v>486</v>
      </c>
      <c r="C198" s="287" t="s">
        <v>678</v>
      </c>
      <c r="D198" s="286" t="s">
        <v>670</v>
      </c>
      <c r="E198" s="289">
        <v>45351</v>
      </c>
      <c r="F198" s="288">
        <v>1.48</v>
      </c>
      <c r="H198" s="287" t="s">
        <v>458</v>
      </c>
      <c r="I198" s="287" t="s">
        <v>469</v>
      </c>
      <c r="J198" s="287" t="s">
        <v>459</v>
      </c>
      <c r="K198" s="287" t="s">
        <v>460</v>
      </c>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row>
    <row r="199" spans="1:47" ht="22.25" customHeight="1">
      <c r="A199" s="286" t="s">
        <v>485</v>
      </c>
      <c r="B199" s="286" t="s">
        <v>486</v>
      </c>
      <c r="C199" s="287" t="s">
        <v>679</v>
      </c>
      <c r="D199" s="286" t="s">
        <v>670</v>
      </c>
      <c r="E199" s="289">
        <v>45351</v>
      </c>
      <c r="F199" s="288">
        <v>35.4</v>
      </c>
      <c r="H199" s="287" t="s">
        <v>458</v>
      </c>
      <c r="I199" s="287" t="s">
        <v>469</v>
      </c>
      <c r="J199" s="287" t="s">
        <v>459</v>
      </c>
      <c r="K199" s="287" t="s">
        <v>460</v>
      </c>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row>
    <row r="200" spans="1:47" ht="22.25" customHeight="1">
      <c r="A200" s="286" t="s">
        <v>485</v>
      </c>
      <c r="B200" s="286" t="s">
        <v>486</v>
      </c>
      <c r="C200" s="287" t="s">
        <v>680</v>
      </c>
      <c r="D200" s="286" t="s">
        <v>670</v>
      </c>
      <c r="E200" s="289">
        <v>45351</v>
      </c>
      <c r="F200" s="288">
        <v>2.21</v>
      </c>
      <c r="H200" s="287" t="s">
        <v>458</v>
      </c>
      <c r="I200" s="287" t="s">
        <v>469</v>
      </c>
      <c r="J200" s="287" t="s">
        <v>459</v>
      </c>
      <c r="K200" s="287" t="s">
        <v>460</v>
      </c>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row>
    <row r="201" spans="1:47" ht="22.25" customHeight="1">
      <c r="A201" s="286" t="s">
        <v>485</v>
      </c>
      <c r="B201" s="286" t="s">
        <v>486</v>
      </c>
      <c r="C201" s="287" t="s">
        <v>681</v>
      </c>
      <c r="D201" s="286" t="s">
        <v>670</v>
      </c>
      <c r="E201" s="289">
        <v>45351</v>
      </c>
      <c r="F201" s="288">
        <v>10.62</v>
      </c>
      <c r="H201" s="287" t="s">
        <v>458</v>
      </c>
      <c r="I201" s="287" t="s">
        <v>469</v>
      </c>
      <c r="J201" s="287" t="s">
        <v>459</v>
      </c>
      <c r="K201" s="287" t="s">
        <v>460</v>
      </c>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row>
    <row r="202" spans="1:47" ht="22.25" customHeight="1">
      <c r="A202" s="286" t="s">
        <v>485</v>
      </c>
      <c r="B202" s="286" t="s">
        <v>486</v>
      </c>
      <c r="C202" s="287" t="s">
        <v>682</v>
      </c>
      <c r="D202" s="286" t="s">
        <v>670</v>
      </c>
      <c r="E202" s="289">
        <v>45351</v>
      </c>
      <c r="F202" s="288">
        <v>6.05</v>
      </c>
      <c r="H202" s="287" t="s">
        <v>458</v>
      </c>
      <c r="I202" s="287" t="s">
        <v>469</v>
      </c>
      <c r="J202" s="287" t="s">
        <v>459</v>
      </c>
      <c r="K202" s="287" t="s">
        <v>460</v>
      </c>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row>
    <row r="203" spans="1:47" ht="22.25" customHeight="1">
      <c r="A203" s="286" t="s">
        <v>485</v>
      </c>
      <c r="B203" s="286" t="s">
        <v>486</v>
      </c>
      <c r="C203" s="287" t="s">
        <v>683</v>
      </c>
      <c r="D203" s="286" t="s">
        <v>670</v>
      </c>
      <c r="E203" s="289">
        <v>45351</v>
      </c>
      <c r="F203" s="288">
        <v>3.54</v>
      </c>
      <c r="H203" s="287" t="s">
        <v>458</v>
      </c>
      <c r="I203" s="287" t="s">
        <v>469</v>
      </c>
      <c r="J203" s="287" t="s">
        <v>459</v>
      </c>
      <c r="K203" s="287" t="s">
        <v>460</v>
      </c>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row>
    <row r="204" spans="1:47" ht="22.25" customHeight="1">
      <c r="A204" s="286" t="s">
        <v>489</v>
      </c>
      <c r="B204" s="286" t="s">
        <v>490</v>
      </c>
      <c r="C204" s="287" t="s">
        <v>585</v>
      </c>
      <c r="D204" s="286" t="s">
        <v>670</v>
      </c>
      <c r="E204" s="289">
        <v>45351</v>
      </c>
      <c r="F204" s="288">
        <v>47.94</v>
      </c>
      <c r="H204" s="287" t="s">
        <v>458</v>
      </c>
      <c r="I204" s="287" t="s">
        <v>469</v>
      </c>
      <c r="J204" s="287" t="s">
        <v>459</v>
      </c>
      <c r="K204" s="287" t="s">
        <v>460</v>
      </c>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row>
    <row r="205" spans="1:47" ht="22.25" customHeight="1">
      <c r="A205" s="286" t="s">
        <v>465</v>
      </c>
      <c r="B205" s="286" t="s">
        <v>466</v>
      </c>
      <c r="C205" s="287" t="s">
        <v>604</v>
      </c>
      <c r="D205" s="286" t="s">
        <v>670</v>
      </c>
      <c r="E205" s="289">
        <v>45351</v>
      </c>
      <c r="F205" s="288">
        <v>59</v>
      </c>
      <c r="H205" s="287" t="s">
        <v>458</v>
      </c>
      <c r="I205" s="287" t="s">
        <v>469</v>
      </c>
      <c r="J205" s="287" t="s">
        <v>459</v>
      </c>
      <c r="K205" s="287" t="s">
        <v>460</v>
      </c>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row>
    <row r="206" spans="1:47" ht="22.25" customHeight="1">
      <c r="A206" s="286" t="s">
        <v>465</v>
      </c>
      <c r="B206" s="286" t="s">
        <v>466</v>
      </c>
      <c r="C206" s="287" t="s">
        <v>684</v>
      </c>
      <c r="D206" s="286" t="s">
        <v>670</v>
      </c>
      <c r="E206" s="289">
        <v>45351</v>
      </c>
      <c r="F206" s="288">
        <v>4.43</v>
      </c>
      <c r="H206" s="287" t="s">
        <v>458</v>
      </c>
      <c r="I206" s="287" t="s">
        <v>469</v>
      </c>
      <c r="J206" s="287" t="s">
        <v>459</v>
      </c>
      <c r="K206" s="287" t="s">
        <v>460</v>
      </c>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row>
    <row r="207" spans="1:47" ht="22.25" customHeight="1">
      <c r="A207" s="286" t="s">
        <v>489</v>
      </c>
      <c r="B207" s="286" t="s">
        <v>490</v>
      </c>
      <c r="C207" s="287" t="s">
        <v>685</v>
      </c>
      <c r="D207" s="286" t="s">
        <v>670</v>
      </c>
      <c r="E207" s="289">
        <v>45351</v>
      </c>
      <c r="F207" s="288">
        <v>44.25</v>
      </c>
      <c r="H207" s="287" t="s">
        <v>458</v>
      </c>
      <c r="I207" s="287" t="s">
        <v>469</v>
      </c>
      <c r="J207" s="287" t="s">
        <v>459</v>
      </c>
      <c r="K207" s="287" t="s">
        <v>460</v>
      </c>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row>
    <row r="208" spans="1:47" ht="22.25" customHeight="1">
      <c r="A208" s="286" t="s">
        <v>465</v>
      </c>
      <c r="B208" s="286" t="s">
        <v>466</v>
      </c>
      <c r="C208" s="287" t="s">
        <v>604</v>
      </c>
      <c r="D208" s="286" t="s">
        <v>670</v>
      </c>
      <c r="E208" s="289">
        <v>45351</v>
      </c>
      <c r="F208" s="288">
        <v>36.880000000000003</v>
      </c>
      <c r="H208" s="287" t="s">
        <v>458</v>
      </c>
      <c r="I208" s="287" t="s">
        <v>469</v>
      </c>
      <c r="J208" s="287" t="s">
        <v>459</v>
      </c>
      <c r="K208" s="287" t="s">
        <v>460</v>
      </c>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row>
    <row r="209" spans="1:47" ht="22.25" customHeight="1">
      <c r="A209" s="286" t="s">
        <v>465</v>
      </c>
      <c r="B209" s="286" t="s">
        <v>466</v>
      </c>
      <c r="C209" s="287" t="s">
        <v>684</v>
      </c>
      <c r="D209" s="286" t="s">
        <v>670</v>
      </c>
      <c r="E209" s="289">
        <v>45351</v>
      </c>
      <c r="F209" s="288">
        <v>4.43</v>
      </c>
      <c r="H209" s="287" t="s">
        <v>458</v>
      </c>
      <c r="I209" s="287" t="s">
        <v>469</v>
      </c>
      <c r="J209" s="287" t="s">
        <v>459</v>
      </c>
      <c r="K209" s="287" t="s">
        <v>460</v>
      </c>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row>
    <row r="210" spans="1:47" ht="66.2" customHeight="1">
      <c r="A210" s="286" t="s">
        <v>506</v>
      </c>
      <c r="B210" s="286" t="s">
        <v>507</v>
      </c>
      <c r="C210" s="287" t="s">
        <v>686</v>
      </c>
      <c r="D210" s="286" t="s">
        <v>687</v>
      </c>
      <c r="E210" s="289">
        <v>45376</v>
      </c>
      <c r="F210" s="288">
        <v>2500</v>
      </c>
      <c r="H210" s="287" t="s">
        <v>458</v>
      </c>
      <c r="I210" s="287" t="s">
        <v>469</v>
      </c>
      <c r="J210" s="287" t="s">
        <v>459</v>
      </c>
      <c r="K210" s="287" t="s">
        <v>460</v>
      </c>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row>
    <row r="211" spans="1:47" ht="22.25" customHeight="1">
      <c r="A211" s="286" t="s">
        <v>564</v>
      </c>
      <c r="B211" s="286" t="s">
        <v>593</v>
      </c>
      <c r="C211" s="287" t="s">
        <v>688</v>
      </c>
      <c r="D211" s="286" t="s">
        <v>689</v>
      </c>
      <c r="E211" s="289">
        <v>45382</v>
      </c>
      <c r="F211" s="288">
        <v>11543.31</v>
      </c>
      <c r="H211" s="287" t="s">
        <v>596</v>
      </c>
      <c r="I211" s="287" t="s">
        <v>596</v>
      </c>
      <c r="J211" s="287" t="s">
        <v>459</v>
      </c>
      <c r="K211" s="287" t="s">
        <v>460</v>
      </c>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row>
    <row r="212" spans="1:47" ht="22.25" customHeight="1">
      <c r="A212" s="286" t="s">
        <v>564</v>
      </c>
      <c r="B212" s="286" t="s">
        <v>593</v>
      </c>
      <c r="C212" s="287" t="s">
        <v>690</v>
      </c>
      <c r="D212" s="286" t="s">
        <v>689</v>
      </c>
      <c r="E212" s="289">
        <v>45382</v>
      </c>
      <c r="F212" s="288">
        <v>12121.36</v>
      </c>
      <c r="H212" s="287" t="s">
        <v>596</v>
      </c>
      <c r="I212" s="287" t="s">
        <v>596</v>
      </c>
      <c r="J212" s="287" t="s">
        <v>459</v>
      </c>
      <c r="K212" s="287" t="s">
        <v>460</v>
      </c>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row>
    <row r="213" spans="1:47" ht="22.25" customHeight="1">
      <c r="A213" s="286" t="s">
        <v>564</v>
      </c>
      <c r="B213" s="286" t="s">
        <v>593</v>
      </c>
      <c r="C213" s="287" t="s">
        <v>691</v>
      </c>
      <c r="D213" s="286" t="s">
        <v>689</v>
      </c>
      <c r="E213" s="289">
        <v>45382</v>
      </c>
      <c r="F213" s="288">
        <v>12136.84</v>
      </c>
      <c r="H213" s="287" t="s">
        <v>596</v>
      </c>
      <c r="I213" s="287" t="s">
        <v>596</v>
      </c>
      <c r="J213" s="287" t="s">
        <v>459</v>
      </c>
      <c r="K213" s="287" t="s">
        <v>460</v>
      </c>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row>
    <row r="214" spans="1:47" ht="22.25" customHeight="1">
      <c r="A214" s="286" t="s">
        <v>564</v>
      </c>
      <c r="B214" s="286" t="s">
        <v>593</v>
      </c>
      <c r="C214" s="287" t="s">
        <v>692</v>
      </c>
      <c r="D214" s="286" t="s">
        <v>689</v>
      </c>
      <c r="E214" s="289">
        <v>45382</v>
      </c>
      <c r="F214" s="288">
        <v>12268.82</v>
      </c>
      <c r="H214" s="287" t="s">
        <v>596</v>
      </c>
      <c r="I214" s="287" t="s">
        <v>596</v>
      </c>
      <c r="J214" s="287" t="s">
        <v>459</v>
      </c>
      <c r="K214" s="287" t="s">
        <v>460</v>
      </c>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row>
    <row r="215" spans="1:47" ht="22.25" customHeight="1">
      <c r="A215" s="286" t="s">
        <v>455</v>
      </c>
      <c r="B215" s="286" t="s">
        <v>456</v>
      </c>
      <c r="C215" s="287" t="s">
        <v>461</v>
      </c>
      <c r="D215" s="286" t="s">
        <v>693</v>
      </c>
      <c r="E215" s="289">
        <v>45382</v>
      </c>
      <c r="F215" s="288">
        <v>563.29</v>
      </c>
      <c r="H215" s="287" t="s">
        <v>458</v>
      </c>
      <c r="I215" s="287" t="s">
        <v>458</v>
      </c>
      <c r="J215" s="287" t="s">
        <v>459</v>
      </c>
      <c r="K215" s="287" t="s">
        <v>460</v>
      </c>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row>
    <row r="216" spans="1:47" ht="22.25" customHeight="1">
      <c r="A216" s="286" t="s">
        <v>455</v>
      </c>
      <c r="B216" s="286" t="s">
        <v>456</v>
      </c>
      <c r="C216" s="287" t="s">
        <v>463</v>
      </c>
      <c r="D216" s="286" t="s">
        <v>693</v>
      </c>
      <c r="E216" s="289">
        <v>45382</v>
      </c>
      <c r="F216" s="288">
        <v>436.8</v>
      </c>
      <c r="H216" s="287" t="s">
        <v>458</v>
      </c>
      <c r="I216" s="287" t="s">
        <v>458</v>
      </c>
      <c r="J216" s="287" t="s">
        <v>459</v>
      </c>
      <c r="K216" s="287" t="s">
        <v>460</v>
      </c>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row>
    <row r="217" spans="1:47" ht="22.25" customHeight="1">
      <c r="A217" s="286" t="s">
        <v>455</v>
      </c>
      <c r="B217" s="286" t="s">
        <v>456</v>
      </c>
      <c r="C217" s="287" t="s">
        <v>464</v>
      </c>
      <c r="D217" s="286" t="s">
        <v>693</v>
      </c>
      <c r="E217" s="289">
        <v>45382</v>
      </c>
      <c r="F217" s="288">
        <v>720</v>
      </c>
      <c r="H217" s="287" t="s">
        <v>458</v>
      </c>
      <c r="I217" s="287" t="s">
        <v>458</v>
      </c>
      <c r="J217" s="287" t="s">
        <v>459</v>
      </c>
      <c r="K217" s="287" t="s">
        <v>460</v>
      </c>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row>
    <row r="218" spans="1:47" ht="22.25" customHeight="1">
      <c r="A218" s="286" t="s">
        <v>465</v>
      </c>
      <c r="B218" s="286" t="s">
        <v>466</v>
      </c>
      <c r="C218" s="287" t="s">
        <v>694</v>
      </c>
      <c r="D218" s="286" t="s">
        <v>689</v>
      </c>
      <c r="E218" s="289">
        <v>45382</v>
      </c>
      <c r="F218" s="288">
        <v>46.82</v>
      </c>
      <c r="H218" s="287" t="s">
        <v>458</v>
      </c>
      <c r="I218" s="287" t="s">
        <v>469</v>
      </c>
      <c r="J218" s="287" t="s">
        <v>459</v>
      </c>
      <c r="K218" s="287" t="s">
        <v>460</v>
      </c>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row>
    <row r="219" spans="1:47" ht="33.200000000000003" customHeight="1">
      <c r="A219" s="286" t="s">
        <v>536</v>
      </c>
      <c r="B219" s="286" t="s">
        <v>647</v>
      </c>
      <c r="C219" s="287" t="s">
        <v>695</v>
      </c>
      <c r="D219" s="286" t="s">
        <v>689</v>
      </c>
      <c r="E219" s="289">
        <v>45382</v>
      </c>
      <c r="F219" s="288">
        <v>425.27</v>
      </c>
      <c r="H219" s="287" t="s">
        <v>458</v>
      </c>
      <c r="I219" s="287" t="s">
        <v>469</v>
      </c>
      <c r="J219" s="287" t="s">
        <v>459</v>
      </c>
      <c r="K219" s="287" t="s">
        <v>460</v>
      </c>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row>
    <row r="220" spans="1:47" ht="22.25" customHeight="1">
      <c r="A220" s="286" t="s">
        <v>534</v>
      </c>
      <c r="B220" s="286" t="s">
        <v>601</v>
      </c>
      <c r="C220" s="287" t="s">
        <v>603</v>
      </c>
      <c r="D220" s="286" t="s">
        <v>689</v>
      </c>
      <c r="E220" s="289">
        <v>45382</v>
      </c>
      <c r="F220" s="288">
        <v>3.39</v>
      </c>
      <c r="H220" s="287" t="s">
        <v>458</v>
      </c>
      <c r="I220" s="287" t="s">
        <v>469</v>
      </c>
      <c r="J220" s="287" t="s">
        <v>459</v>
      </c>
      <c r="K220" s="287" t="s">
        <v>460</v>
      </c>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row>
    <row r="221" spans="1:47" ht="22.25" customHeight="1">
      <c r="A221" s="286" t="s">
        <v>478</v>
      </c>
      <c r="B221" s="286" t="s">
        <v>479</v>
      </c>
      <c r="C221" s="287" t="s">
        <v>696</v>
      </c>
      <c r="D221" s="286" t="s">
        <v>689</v>
      </c>
      <c r="E221" s="289">
        <v>45382</v>
      </c>
      <c r="F221" s="288">
        <v>500.26</v>
      </c>
      <c r="H221" s="287" t="s">
        <v>458</v>
      </c>
      <c r="I221" s="287" t="s">
        <v>469</v>
      </c>
      <c r="J221" s="287" t="s">
        <v>459</v>
      </c>
      <c r="K221" s="287" t="s">
        <v>460</v>
      </c>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row>
    <row r="222" spans="1:47" ht="22.25" customHeight="1">
      <c r="A222" s="286" t="s">
        <v>478</v>
      </c>
      <c r="B222" s="286" t="s">
        <v>479</v>
      </c>
      <c r="C222" s="287" t="s">
        <v>697</v>
      </c>
      <c r="D222" s="286" t="s">
        <v>689</v>
      </c>
      <c r="E222" s="289">
        <v>45382</v>
      </c>
      <c r="F222" s="288">
        <v>1200.6300000000001</v>
      </c>
      <c r="H222" s="287" t="s">
        <v>458</v>
      </c>
      <c r="I222" s="287" t="s">
        <v>469</v>
      </c>
      <c r="J222" s="287" t="s">
        <v>459</v>
      </c>
      <c r="K222" s="287" t="s">
        <v>460</v>
      </c>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row>
    <row r="223" spans="1:47" ht="22.25" customHeight="1">
      <c r="A223" s="286" t="s">
        <v>478</v>
      </c>
      <c r="B223" s="286" t="s">
        <v>479</v>
      </c>
      <c r="C223" s="287" t="s">
        <v>698</v>
      </c>
      <c r="D223" s="286" t="s">
        <v>689</v>
      </c>
      <c r="E223" s="289">
        <v>45382</v>
      </c>
      <c r="F223" s="288">
        <v>1120.5899999999999</v>
      </c>
      <c r="H223" s="287" t="s">
        <v>458</v>
      </c>
      <c r="I223" s="287" t="s">
        <v>469</v>
      </c>
      <c r="J223" s="287" t="s">
        <v>459</v>
      </c>
      <c r="K223" s="287" t="s">
        <v>460</v>
      </c>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row>
    <row r="224" spans="1:47" ht="22.25" customHeight="1">
      <c r="A224" s="286" t="s">
        <v>465</v>
      </c>
      <c r="B224" s="286" t="s">
        <v>466</v>
      </c>
      <c r="C224" s="287" t="s">
        <v>699</v>
      </c>
      <c r="D224" s="286" t="s">
        <v>689</v>
      </c>
      <c r="E224" s="289">
        <v>45382</v>
      </c>
      <c r="F224" s="288">
        <v>17.7</v>
      </c>
      <c r="H224" s="287" t="s">
        <v>458</v>
      </c>
      <c r="I224" s="287" t="s">
        <v>469</v>
      </c>
      <c r="J224" s="287" t="s">
        <v>459</v>
      </c>
      <c r="K224" s="287" t="s">
        <v>460</v>
      </c>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row>
    <row r="225" spans="1:47" ht="33.200000000000003" customHeight="1">
      <c r="A225" s="286" t="s">
        <v>465</v>
      </c>
      <c r="B225" s="286" t="s">
        <v>466</v>
      </c>
      <c r="C225" s="287" t="s">
        <v>700</v>
      </c>
      <c r="D225" s="286" t="s">
        <v>689</v>
      </c>
      <c r="E225" s="289">
        <v>45382</v>
      </c>
      <c r="F225" s="288">
        <v>7.37</v>
      </c>
      <c r="H225" s="287" t="s">
        <v>458</v>
      </c>
      <c r="I225" s="287" t="s">
        <v>469</v>
      </c>
      <c r="J225" s="287" t="s">
        <v>459</v>
      </c>
      <c r="K225" s="287" t="s">
        <v>460</v>
      </c>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row>
    <row r="226" spans="1:47" ht="22.25" customHeight="1">
      <c r="A226" s="286" t="s">
        <v>529</v>
      </c>
      <c r="B226" s="286" t="s">
        <v>573</v>
      </c>
      <c r="C226" s="287" t="s">
        <v>623</v>
      </c>
      <c r="D226" s="286" t="s">
        <v>689</v>
      </c>
      <c r="E226" s="289">
        <v>45382</v>
      </c>
      <c r="F226" s="288">
        <v>51.01</v>
      </c>
      <c r="H226" s="287" t="s">
        <v>458</v>
      </c>
      <c r="I226" s="287" t="s">
        <v>469</v>
      </c>
      <c r="J226" s="287" t="s">
        <v>459</v>
      </c>
      <c r="K226" s="287" t="s">
        <v>460</v>
      </c>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row>
    <row r="227" spans="1:47" ht="22.25" customHeight="1">
      <c r="A227" s="286" t="s">
        <v>529</v>
      </c>
      <c r="B227" s="286" t="s">
        <v>573</v>
      </c>
      <c r="C227" s="287" t="s">
        <v>650</v>
      </c>
      <c r="D227" s="286" t="s">
        <v>689</v>
      </c>
      <c r="E227" s="289">
        <v>45382</v>
      </c>
      <c r="F227" s="288">
        <v>40.01</v>
      </c>
      <c r="H227" s="287" t="s">
        <v>458</v>
      </c>
      <c r="I227" s="287" t="s">
        <v>469</v>
      </c>
      <c r="J227" s="287" t="s">
        <v>459</v>
      </c>
      <c r="K227" s="287" t="s">
        <v>460</v>
      </c>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row>
    <row r="228" spans="1:47" ht="22.25" customHeight="1">
      <c r="A228" s="286" t="s">
        <v>529</v>
      </c>
      <c r="B228" s="286" t="s">
        <v>573</v>
      </c>
      <c r="C228" s="287" t="s">
        <v>673</v>
      </c>
      <c r="D228" s="286" t="s">
        <v>689</v>
      </c>
      <c r="E228" s="289">
        <v>45382</v>
      </c>
      <c r="F228" s="288">
        <v>40.01</v>
      </c>
      <c r="H228" s="287" t="s">
        <v>458</v>
      </c>
      <c r="I228" s="287" t="s">
        <v>469</v>
      </c>
      <c r="J228" s="287" t="s">
        <v>459</v>
      </c>
      <c r="K228" s="287" t="s">
        <v>460</v>
      </c>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row>
    <row r="229" spans="1:47" ht="22.25" customHeight="1">
      <c r="A229" s="286" t="s">
        <v>529</v>
      </c>
      <c r="B229" s="286" t="s">
        <v>573</v>
      </c>
      <c r="C229" s="287" t="s">
        <v>651</v>
      </c>
      <c r="D229" s="286" t="s">
        <v>689</v>
      </c>
      <c r="E229" s="289">
        <v>45382</v>
      </c>
      <c r="F229" s="288">
        <v>41.01</v>
      </c>
      <c r="H229" s="287" t="s">
        <v>458</v>
      </c>
      <c r="I229" s="287" t="s">
        <v>469</v>
      </c>
      <c r="J229" s="287" t="s">
        <v>459</v>
      </c>
      <c r="K229" s="287" t="s">
        <v>460</v>
      </c>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row>
    <row r="230" spans="1:47" ht="22.25" customHeight="1">
      <c r="A230" s="286" t="s">
        <v>529</v>
      </c>
      <c r="B230" s="286" t="s">
        <v>573</v>
      </c>
      <c r="C230" s="287" t="s">
        <v>652</v>
      </c>
      <c r="D230" s="286" t="s">
        <v>689</v>
      </c>
      <c r="E230" s="289">
        <v>45382</v>
      </c>
      <c r="F230" s="288">
        <v>41.01</v>
      </c>
      <c r="H230" s="287" t="s">
        <v>458</v>
      </c>
      <c r="I230" s="287" t="s">
        <v>469</v>
      </c>
      <c r="J230" s="287" t="s">
        <v>459</v>
      </c>
      <c r="K230" s="287" t="s">
        <v>460</v>
      </c>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row>
    <row r="231" spans="1:47" ht="22.25" customHeight="1">
      <c r="A231" s="286" t="s">
        <v>528</v>
      </c>
      <c r="B231" s="286" t="s">
        <v>701</v>
      </c>
      <c r="C231" s="287" t="s">
        <v>654</v>
      </c>
      <c r="D231" s="286" t="s">
        <v>689</v>
      </c>
      <c r="E231" s="289">
        <v>45382</v>
      </c>
      <c r="F231" s="288">
        <v>11.8</v>
      </c>
      <c r="H231" s="287" t="s">
        <v>458</v>
      </c>
      <c r="I231" s="287" t="s">
        <v>469</v>
      </c>
      <c r="J231" s="287" t="s">
        <v>459</v>
      </c>
      <c r="K231" s="287" t="s">
        <v>460</v>
      </c>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row>
    <row r="232" spans="1:47" ht="22.25" customHeight="1">
      <c r="A232" s="286" t="s">
        <v>465</v>
      </c>
      <c r="B232" s="286" t="s">
        <v>466</v>
      </c>
      <c r="C232" s="287" t="s">
        <v>655</v>
      </c>
      <c r="D232" s="286" t="s">
        <v>689</v>
      </c>
      <c r="E232" s="289">
        <v>45382</v>
      </c>
      <c r="F232" s="288">
        <v>8.85</v>
      </c>
      <c r="H232" s="287" t="s">
        <v>458</v>
      </c>
      <c r="I232" s="287" t="s">
        <v>469</v>
      </c>
      <c r="J232" s="287" t="s">
        <v>459</v>
      </c>
      <c r="K232" s="287" t="s">
        <v>460</v>
      </c>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row>
    <row r="233" spans="1:47" ht="22.25" customHeight="1">
      <c r="A233" s="286" t="s">
        <v>485</v>
      </c>
      <c r="B233" s="286" t="s">
        <v>486</v>
      </c>
      <c r="C233" s="287" t="s">
        <v>656</v>
      </c>
      <c r="D233" s="286" t="s">
        <v>689</v>
      </c>
      <c r="E233" s="289">
        <v>45382</v>
      </c>
      <c r="F233" s="288">
        <v>10.25</v>
      </c>
      <c r="H233" s="287" t="s">
        <v>458</v>
      </c>
      <c r="I233" s="287" t="s">
        <v>469</v>
      </c>
      <c r="J233" s="287" t="s">
        <v>459</v>
      </c>
      <c r="K233" s="287" t="s">
        <v>460</v>
      </c>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row>
    <row r="234" spans="1:47" ht="22.25" customHeight="1">
      <c r="A234" s="286" t="s">
        <v>485</v>
      </c>
      <c r="B234" s="286" t="s">
        <v>486</v>
      </c>
      <c r="C234" s="287" t="s">
        <v>657</v>
      </c>
      <c r="D234" s="286" t="s">
        <v>689</v>
      </c>
      <c r="E234" s="289">
        <v>45382</v>
      </c>
      <c r="F234" s="288">
        <v>7</v>
      </c>
      <c r="H234" s="287" t="s">
        <v>458</v>
      </c>
      <c r="I234" s="287" t="s">
        <v>469</v>
      </c>
      <c r="J234" s="287" t="s">
        <v>459</v>
      </c>
      <c r="K234" s="287" t="s">
        <v>460</v>
      </c>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row>
    <row r="235" spans="1:47" ht="22.25" customHeight="1">
      <c r="A235" s="286" t="s">
        <v>485</v>
      </c>
      <c r="B235" s="286" t="s">
        <v>486</v>
      </c>
      <c r="C235" s="287" t="s">
        <v>624</v>
      </c>
      <c r="D235" s="286" t="s">
        <v>689</v>
      </c>
      <c r="E235" s="289">
        <v>45382</v>
      </c>
      <c r="F235" s="288">
        <v>3.54</v>
      </c>
      <c r="H235" s="287" t="s">
        <v>458</v>
      </c>
      <c r="I235" s="287" t="s">
        <v>469</v>
      </c>
      <c r="J235" s="287" t="s">
        <v>459</v>
      </c>
      <c r="K235" s="287" t="s">
        <v>460</v>
      </c>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row>
    <row r="236" spans="1:47" ht="22.25" customHeight="1">
      <c r="A236" s="286" t="s">
        <v>485</v>
      </c>
      <c r="B236" s="286" t="s">
        <v>486</v>
      </c>
      <c r="C236" s="287" t="s">
        <v>702</v>
      </c>
      <c r="D236" s="286" t="s">
        <v>689</v>
      </c>
      <c r="E236" s="289">
        <v>45382</v>
      </c>
      <c r="F236" s="288">
        <v>73.73</v>
      </c>
      <c r="H236" s="287" t="s">
        <v>458</v>
      </c>
      <c r="I236" s="287" t="s">
        <v>469</v>
      </c>
      <c r="J236" s="287" t="s">
        <v>459</v>
      </c>
      <c r="K236" s="287" t="s">
        <v>460</v>
      </c>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row>
    <row r="237" spans="1:47" ht="22.25" customHeight="1">
      <c r="A237" s="286" t="s">
        <v>485</v>
      </c>
      <c r="B237" s="286" t="s">
        <v>486</v>
      </c>
      <c r="C237" s="287" t="s">
        <v>626</v>
      </c>
      <c r="D237" s="286" t="s">
        <v>689</v>
      </c>
      <c r="E237" s="289">
        <v>45382</v>
      </c>
      <c r="F237" s="288">
        <v>7.0000000000000007E-2</v>
      </c>
      <c r="H237" s="287" t="s">
        <v>458</v>
      </c>
      <c r="I237" s="287" t="s">
        <v>469</v>
      </c>
      <c r="J237" s="287" t="s">
        <v>459</v>
      </c>
      <c r="K237" s="287" t="s">
        <v>460</v>
      </c>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row>
    <row r="238" spans="1:47" ht="22.25" customHeight="1">
      <c r="A238" s="286" t="s">
        <v>485</v>
      </c>
      <c r="B238" s="286" t="s">
        <v>486</v>
      </c>
      <c r="C238" s="287" t="s">
        <v>703</v>
      </c>
      <c r="D238" s="286" t="s">
        <v>689</v>
      </c>
      <c r="E238" s="289">
        <v>45382</v>
      </c>
      <c r="F238" s="288">
        <v>3.98</v>
      </c>
      <c r="H238" s="287" t="s">
        <v>458</v>
      </c>
      <c r="I238" s="287" t="s">
        <v>469</v>
      </c>
      <c r="J238" s="287" t="s">
        <v>459</v>
      </c>
      <c r="K238" s="287" t="s">
        <v>460</v>
      </c>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row>
    <row r="239" spans="1:47" ht="22.25" customHeight="1">
      <c r="A239" s="286" t="s">
        <v>485</v>
      </c>
      <c r="B239" s="286" t="s">
        <v>486</v>
      </c>
      <c r="C239" s="287" t="s">
        <v>704</v>
      </c>
      <c r="D239" s="286" t="s">
        <v>689</v>
      </c>
      <c r="E239" s="289">
        <v>45382</v>
      </c>
      <c r="F239" s="288">
        <v>2.21</v>
      </c>
      <c r="H239" s="287" t="s">
        <v>458</v>
      </c>
      <c r="I239" s="287" t="s">
        <v>469</v>
      </c>
      <c r="J239" s="287" t="s">
        <v>459</v>
      </c>
      <c r="K239" s="287" t="s">
        <v>460</v>
      </c>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row>
    <row r="240" spans="1:47" ht="22.25" customHeight="1">
      <c r="A240" s="286" t="s">
        <v>485</v>
      </c>
      <c r="B240" s="286" t="s">
        <v>486</v>
      </c>
      <c r="C240" s="287" t="s">
        <v>705</v>
      </c>
      <c r="D240" s="286" t="s">
        <v>689</v>
      </c>
      <c r="E240" s="289">
        <v>45382</v>
      </c>
      <c r="F240" s="288">
        <v>3.47</v>
      </c>
      <c r="H240" s="287" t="s">
        <v>458</v>
      </c>
      <c r="I240" s="287" t="s">
        <v>469</v>
      </c>
      <c r="J240" s="287" t="s">
        <v>459</v>
      </c>
      <c r="K240" s="287" t="s">
        <v>460</v>
      </c>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row>
    <row r="241" spans="1:47" ht="22.25" customHeight="1">
      <c r="A241" s="286" t="s">
        <v>485</v>
      </c>
      <c r="B241" s="286" t="s">
        <v>486</v>
      </c>
      <c r="C241" s="287" t="s">
        <v>706</v>
      </c>
      <c r="D241" s="286" t="s">
        <v>689</v>
      </c>
      <c r="E241" s="289">
        <v>45382</v>
      </c>
      <c r="F241" s="288">
        <v>7.08</v>
      </c>
      <c r="H241" s="287" t="s">
        <v>458</v>
      </c>
      <c r="I241" s="287" t="s">
        <v>469</v>
      </c>
      <c r="J241" s="287" t="s">
        <v>459</v>
      </c>
      <c r="K241" s="287" t="s">
        <v>460</v>
      </c>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row>
    <row r="242" spans="1:47" ht="22.25" customHeight="1">
      <c r="A242" s="286" t="s">
        <v>485</v>
      </c>
      <c r="B242" s="286" t="s">
        <v>486</v>
      </c>
      <c r="C242" s="287" t="s">
        <v>683</v>
      </c>
      <c r="D242" s="286" t="s">
        <v>689</v>
      </c>
      <c r="E242" s="289">
        <v>45382</v>
      </c>
      <c r="F242" s="288">
        <v>3.54</v>
      </c>
      <c r="H242" s="287" t="s">
        <v>458</v>
      </c>
      <c r="I242" s="287" t="s">
        <v>469</v>
      </c>
      <c r="J242" s="287" t="s">
        <v>459</v>
      </c>
      <c r="K242" s="287" t="s">
        <v>460</v>
      </c>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row>
    <row r="243" spans="1:47" ht="22.25" customHeight="1">
      <c r="A243" s="286" t="s">
        <v>529</v>
      </c>
      <c r="B243" s="286" t="s">
        <v>573</v>
      </c>
      <c r="C243" s="287" t="s">
        <v>707</v>
      </c>
      <c r="D243" s="286" t="s">
        <v>708</v>
      </c>
      <c r="E243" s="289">
        <v>45382</v>
      </c>
      <c r="F243" s="288">
        <v>41.18</v>
      </c>
      <c r="H243" s="287" t="s">
        <v>458</v>
      </c>
      <c r="I243" s="287" t="s">
        <v>469</v>
      </c>
      <c r="J243" s="287" t="s">
        <v>459</v>
      </c>
      <c r="K243" s="287" t="s">
        <v>460</v>
      </c>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row>
    <row r="244" spans="1:47" ht="22.25" customHeight="1">
      <c r="A244" s="286" t="s">
        <v>534</v>
      </c>
      <c r="B244" s="286" t="s">
        <v>601</v>
      </c>
      <c r="C244" s="287" t="s">
        <v>709</v>
      </c>
      <c r="D244" s="286" t="s">
        <v>689</v>
      </c>
      <c r="E244" s="289">
        <v>45382</v>
      </c>
      <c r="F244" s="288">
        <v>3.39</v>
      </c>
      <c r="H244" s="287" t="s">
        <v>458</v>
      </c>
      <c r="I244" s="287" t="s">
        <v>469</v>
      </c>
      <c r="J244" s="287" t="s">
        <v>459</v>
      </c>
      <c r="K244" s="287" t="s">
        <v>460</v>
      </c>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row>
    <row r="245" spans="1:47" ht="55.25" customHeight="1">
      <c r="A245" s="286" t="s">
        <v>506</v>
      </c>
      <c r="B245" s="286" t="s">
        <v>507</v>
      </c>
      <c r="C245" s="287" t="s">
        <v>710</v>
      </c>
      <c r="D245" s="286" t="s">
        <v>711</v>
      </c>
      <c r="E245" s="289">
        <v>45411</v>
      </c>
      <c r="F245" s="288">
        <v>2000</v>
      </c>
      <c r="H245" s="287" t="s">
        <v>458</v>
      </c>
      <c r="I245" s="287" t="s">
        <v>469</v>
      </c>
      <c r="J245" s="287" t="s">
        <v>459</v>
      </c>
      <c r="K245" s="287" t="s">
        <v>460</v>
      </c>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row>
    <row r="246" spans="1:47" ht="22.25" customHeight="1">
      <c r="A246" s="286" t="s">
        <v>465</v>
      </c>
      <c r="B246" s="286" t="s">
        <v>466</v>
      </c>
      <c r="C246" s="287" t="s">
        <v>712</v>
      </c>
      <c r="D246" s="286" t="s">
        <v>713</v>
      </c>
      <c r="E246" s="289">
        <v>45412</v>
      </c>
      <c r="F246" s="288">
        <v>44.25</v>
      </c>
      <c r="H246" s="287" t="s">
        <v>94</v>
      </c>
      <c r="I246" s="287" t="s">
        <v>469</v>
      </c>
      <c r="J246" s="287" t="s">
        <v>459</v>
      </c>
      <c r="K246" s="287" t="s">
        <v>460</v>
      </c>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row>
    <row r="247" spans="1:47" ht="22.25" customHeight="1">
      <c r="A247" s="286" t="s">
        <v>489</v>
      </c>
      <c r="B247" s="286" t="s">
        <v>490</v>
      </c>
      <c r="C247" s="287" t="s">
        <v>714</v>
      </c>
      <c r="D247" s="286" t="s">
        <v>713</v>
      </c>
      <c r="E247" s="289">
        <v>45412</v>
      </c>
      <c r="F247" s="288">
        <v>53.1</v>
      </c>
      <c r="H247" s="287" t="s">
        <v>94</v>
      </c>
      <c r="I247" s="287" t="s">
        <v>469</v>
      </c>
      <c r="J247" s="287" t="s">
        <v>459</v>
      </c>
      <c r="K247" s="287" t="s">
        <v>460</v>
      </c>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row>
    <row r="248" spans="1:47" ht="22.25" customHeight="1">
      <c r="A248" s="286" t="s">
        <v>465</v>
      </c>
      <c r="B248" s="286" t="s">
        <v>466</v>
      </c>
      <c r="C248" s="287" t="s">
        <v>715</v>
      </c>
      <c r="D248" s="286" t="s">
        <v>713</v>
      </c>
      <c r="E248" s="289">
        <v>45412</v>
      </c>
      <c r="F248" s="288">
        <v>4.43</v>
      </c>
      <c r="H248" s="287" t="s">
        <v>94</v>
      </c>
      <c r="I248" s="287" t="s">
        <v>469</v>
      </c>
      <c r="J248" s="287" t="s">
        <v>459</v>
      </c>
      <c r="K248" s="287" t="s">
        <v>460</v>
      </c>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row>
    <row r="249" spans="1:47" ht="22.25" customHeight="1">
      <c r="A249" s="286" t="s">
        <v>489</v>
      </c>
      <c r="B249" s="286" t="s">
        <v>490</v>
      </c>
      <c r="C249" s="287" t="s">
        <v>716</v>
      </c>
      <c r="D249" s="286" t="s">
        <v>713</v>
      </c>
      <c r="E249" s="289">
        <v>45412</v>
      </c>
      <c r="F249" s="288">
        <v>1032.5899999999999</v>
      </c>
      <c r="H249" s="287" t="s">
        <v>123</v>
      </c>
      <c r="I249" s="287" t="s">
        <v>469</v>
      </c>
      <c r="J249" s="287" t="s">
        <v>459</v>
      </c>
      <c r="K249" s="287" t="s">
        <v>460</v>
      </c>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row>
    <row r="250" spans="1:47" ht="22.25" customHeight="1">
      <c r="A250" s="286" t="s">
        <v>489</v>
      </c>
      <c r="B250" s="286" t="s">
        <v>490</v>
      </c>
      <c r="C250" s="287" t="s">
        <v>717</v>
      </c>
      <c r="D250" s="286" t="s">
        <v>713</v>
      </c>
      <c r="E250" s="289">
        <v>45412</v>
      </c>
      <c r="F250" s="288">
        <v>1567.33</v>
      </c>
      <c r="H250" s="287" t="s">
        <v>123</v>
      </c>
      <c r="I250" s="287" t="s">
        <v>469</v>
      </c>
      <c r="J250" s="287" t="s">
        <v>459</v>
      </c>
      <c r="K250" s="287" t="s">
        <v>460</v>
      </c>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row>
    <row r="251" spans="1:47" ht="22.25" customHeight="1">
      <c r="A251" s="286" t="s">
        <v>465</v>
      </c>
      <c r="B251" s="286" t="s">
        <v>466</v>
      </c>
      <c r="C251" s="287" t="s">
        <v>718</v>
      </c>
      <c r="D251" s="286" t="s">
        <v>713</v>
      </c>
      <c r="E251" s="289">
        <v>45412</v>
      </c>
      <c r="F251" s="288">
        <v>147.51</v>
      </c>
      <c r="H251" s="287" t="s">
        <v>123</v>
      </c>
      <c r="I251" s="287" t="s">
        <v>469</v>
      </c>
      <c r="J251" s="287" t="s">
        <v>459</v>
      </c>
      <c r="K251" s="287" t="s">
        <v>460</v>
      </c>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row>
    <row r="252" spans="1:47" ht="22.25" customHeight="1">
      <c r="A252" s="286" t="s">
        <v>506</v>
      </c>
      <c r="B252" s="286" t="s">
        <v>507</v>
      </c>
      <c r="C252" s="287" t="s">
        <v>663</v>
      </c>
      <c r="D252" s="286" t="s">
        <v>713</v>
      </c>
      <c r="E252" s="289">
        <v>45412</v>
      </c>
      <c r="F252" s="288">
        <v>295.02999999999997</v>
      </c>
      <c r="H252" s="287" t="s">
        <v>123</v>
      </c>
      <c r="I252" s="287" t="s">
        <v>469</v>
      </c>
      <c r="J252" s="287" t="s">
        <v>459</v>
      </c>
      <c r="K252" s="287" t="s">
        <v>460</v>
      </c>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row>
    <row r="253" spans="1:47" ht="22.25" customHeight="1">
      <c r="A253" s="286" t="s">
        <v>560</v>
      </c>
      <c r="B253" s="286" t="s">
        <v>579</v>
      </c>
      <c r="C253" s="287" t="s">
        <v>719</v>
      </c>
      <c r="D253" s="286" t="s">
        <v>713</v>
      </c>
      <c r="E253" s="289">
        <v>45412</v>
      </c>
      <c r="F253" s="288">
        <v>22.13</v>
      </c>
      <c r="H253" s="287" t="s">
        <v>123</v>
      </c>
      <c r="I253" s="287" t="s">
        <v>469</v>
      </c>
      <c r="J253" s="287" t="s">
        <v>459</v>
      </c>
      <c r="K253" s="287" t="s">
        <v>460</v>
      </c>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row>
    <row r="254" spans="1:47" ht="22.25" customHeight="1">
      <c r="A254" s="286" t="s">
        <v>465</v>
      </c>
      <c r="B254" s="286" t="s">
        <v>466</v>
      </c>
      <c r="C254" s="287" t="s">
        <v>720</v>
      </c>
      <c r="D254" s="286" t="s">
        <v>713</v>
      </c>
      <c r="E254" s="289">
        <v>45412</v>
      </c>
      <c r="F254" s="288">
        <v>11.8</v>
      </c>
      <c r="H254" s="287" t="s">
        <v>123</v>
      </c>
      <c r="I254" s="287" t="s">
        <v>469</v>
      </c>
      <c r="J254" s="287" t="s">
        <v>459</v>
      </c>
      <c r="K254" s="287" t="s">
        <v>460</v>
      </c>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row>
    <row r="255" spans="1:47" ht="22.25" customHeight="1">
      <c r="A255" s="286" t="s">
        <v>530</v>
      </c>
      <c r="B255" s="286" t="s">
        <v>531</v>
      </c>
      <c r="C255" s="287" t="s">
        <v>666</v>
      </c>
      <c r="D255" s="286" t="s">
        <v>713</v>
      </c>
      <c r="E255" s="289">
        <v>45412</v>
      </c>
      <c r="F255" s="288">
        <v>36.880000000000003</v>
      </c>
      <c r="H255" s="287" t="s">
        <v>123</v>
      </c>
      <c r="I255" s="287" t="s">
        <v>469</v>
      </c>
      <c r="J255" s="287" t="s">
        <v>459</v>
      </c>
      <c r="K255" s="287" t="s">
        <v>460</v>
      </c>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row>
    <row r="256" spans="1:47" ht="22.25" customHeight="1">
      <c r="A256" s="286" t="s">
        <v>560</v>
      </c>
      <c r="B256" s="286" t="s">
        <v>579</v>
      </c>
      <c r="C256" s="287" t="s">
        <v>721</v>
      </c>
      <c r="D256" s="286" t="s">
        <v>713</v>
      </c>
      <c r="E256" s="289">
        <v>45412</v>
      </c>
      <c r="F256" s="288">
        <v>1.03</v>
      </c>
      <c r="H256" s="287" t="s">
        <v>123</v>
      </c>
      <c r="I256" s="287" t="s">
        <v>469</v>
      </c>
      <c r="J256" s="287" t="s">
        <v>459</v>
      </c>
      <c r="K256" s="287" t="s">
        <v>460</v>
      </c>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row>
    <row r="257" spans="1:47" ht="33.200000000000003" customHeight="1">
      <c r="A257" s="286" t="s">
        <v>465</v>
      </c>
      <c r="B257" s="286" t="s">
        <v>466</v>
      </c>
      <c r="C257" s="287" t="s">
        <v>722</v>
      </c>
      <c r="D257" s="286" t="s">
        <v>713</v>
      </c>
      <c r="E257" s="289">
        <v>45412</v>
      </c>
      <c r="F257" s="288">
        <v>44.25</v>
      </c>
      <c r="H257" s="287" t="s">
        <v>123</v>
      </c>
      <c r="I257" s="287" t="s">
        <v>469</v>
      </c>
      <c r="J257" s="287" t="s">
        <v>459</v>
      </c>
      <c r="K257" s="287" t="s">
        <v>460</v>
      </c>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row>
    <row r="258" spans="1:47" ht="33.200000000000003" customHeight="1">
      <c r="A258" s="286" t="s">
        <v>470</v>
      </c>
      <c r="B258" s="286" t="s">
        <v>471</v>
      </c>
      <c r="C258" s="287" t="s">
        <v>723</v>
      </c>
      <c r="D258" s="286" t="s">
        <v>713</v>
      </c>
      <c r="E258" s="289">
        <v>45412</v>
      </c>
      <c r="F258" s="288">
        <v>162.26</v>
      </c>
      <c r="H258" s="287" t="s">
        <v>123</v>
      </c>
      <c r="I258" s="287" t="s">
        <v>469</v>
      </c>
      <c r="J258" s="287" t="s">
        <v>459</v>
      </c>
      <c r="K258" s="287" t="s">
        <v>460</v>
      </c>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row>
    <row r="259" spans="1:47" ht="22.25" customHeight="1">
      <c r="A259" s="286" t="s">
        <v>543</v>
      </c>
      <c r="B259" s="286" t="s">
        <v>724</v>
      </c>
      <c r="C259" s="287" t="s">
        <v>725</v>
      </c>
      <c r="D259" s="286" t="s">
        <v>713</v>
      </c>
      <c r="E259" s="289">
        <v>45412</v>
      </c>
      <c r="F259" s="288">
        <v>221.27</v>
      </c>
      <c r="H259" s="287" t="s">
        <v>123</v>
      </c>
      <c r="I259" s="287" t="s">
        <v>469</v>
      </c>
      <c r="J259" s="287" t="s">
        <v>459</v>
      </c>
      <c r="K259" s="287" t="s">
        <v>460</v>
      </c>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row>
    <row r="260" spans="1:47" ht="22.25" customHeight="1">
      <c r="A260" s="286" t="s">
        <v>478</v>
      </c>
      <c r="B260" s="286" t="s">
        <v>479</v>
      </c>
      <c r="C260" s="287" t="s">
        <v>726</v>
      </c>
      <c r="D260" s="286" t="s">
        <v>713</v>
      </c>
      <c r="E260" s="289">
        <v>45412</v>
      </c>
      <c r="F260" s="288">
        <v>1200.08</v>
      </c>
      <c r="H260" s="287" t="s">
        <v>727</v>
      </c>
      <c r="I260" s="287" t="s">
        <v>469</v>
      </c>
      <c r="J260" s="287" t="s">
        <v>459</v>
      </c>
      <c r="K260" s="287" t="s">
        <v>460</v>
      </c>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row>
    <row r="261" spans="1:47" ht="22.25" customHeight="1">
      <c r="A261" s="286" t="s">
        <v>478</v>
      </c>
      <c r="B261" s="286" t="s">
        <v>479</v>
      </c>
      <c r="C261" s="287" t="s">
        <v>728</v>
      </c>
      <c r="D261" s="286" t="s">
        <v>713</v>
      </c>
      <c r="E261" s="289">
        <v>45412</v>
      </c>
      <c r="F261" s="288">
        <v>500.04</v>
      </c>
      <c r="H261" s="287" t="s">
        <v>729</v>
      </c>
      <c r="I261" s="287" t="s">
        <v>469</v>
      </c>
      <c r="J261" s="287" t="s">
        <v>459</v>
      </c>
      <c r="K261" s="287" t="s">
        <v>460</v>
      </c>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row>
    <row r="262" spans="1:47" ht="22.25" customHeight="1">
      <c r="A262" s="286" t="s">
        <v>478</v>
      </c>
      <c r="B262" s="286" t="s">
        <v>479</v>
      </c>
      <c r="C262" s="287" t="s">
        <v>730</v>
      </c>
      <c r="D262" s="286" t="s">
        <v>713</v>
      </c>
      <c r="E262" s="289">
        <v>45412</v>
      </c>
      <c r="F262" s="288">
        <v>1120.07</v>
      </c>
      <c r="H262" s="287" t="s">
        <v>731</v>
      </c>
      <c r="I262" s="287" t="s">
        <v>469</v>
      </c>
      <c r="J262" s="287" t="s">
        <v>459</v>
      </c>
      <c r="K262" s="287" t="s">
        <v>460</v>
      </c>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row>
    <row r="263" spans="1:47" ht="22.25" customHeight="1">
      <c r="A263" s="286" t="s">
        <v>478</v>
      </c>
      <c r="B263" s="286" t="s">
        <v>479</v>
      </c>
      <c r="C263" s="287" t="s">
        <v>732</v>
      </c>
      <c r="D263" s="286" t="s">
        <v>713</v>
      </c>
      <c r="E263" s="289">
        <v>45412</v>
      </c>
      <c r="F263" s="288">
        <v>59.01</v>
      </c>
      <c r="H263" s="287" t="s">
        <v>733</v>
      </c>
      <c r="I263" s="287" t="s">
        <v>469</v>
      </c>
      <c r="J263" s="287" t="s">
        <v>459</v>
      </c>
      <c r="K263" s="287" t="s">
        <v>460</v>
      </c>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row>
    <row r="264" spans="1:47" ht="22.25" customHeight="1">
      <c r="A264" s="286" t="s">
        <v>529</v>
      </c>
      <c r="B264" s="286" t="s">
        <v>573</v>
      </c>
      <c r="C264" s="287" t="s">
        <v>623</v>
      </c>
      <c r="D264" s="286" t="s">
        <v>713</v>
      </c>
      <c r="E264" s="289">
        <v>45412</v>
      </c>
      <c r="F264" s="288">
        <v>50.99</v>
      </c>
      <c r="H264" s="287" t="s">
        <v>733</v>
      </c>
      <c r="I264" s="287" t="s">
        <v>469</v>
      </c>
      <c r="J264" s="287" t="s">
        <v>459</v>
      </c>
      <c r="K264" s="287" t="s">
        <v>460</v>
      </c>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row>
    <row r="265" spans="1:47" ht="22.25" customHeight="1">
      <c r="A265" s="286" t="s">
        <v>529</v>
      </c>
      <c r="B265" s="286" t="s">
        <v>573</v>
      </c>
      <c r="C265" s="287" t="s">
        <v>650</v>
      </c>
      <c r="D265" s="286" t="s">
        <v>713</v>
      </c>
      <c r="E265" s="289">
        <v>45412</v>
      </c>
      <c r="F265" s="288">
        <v>39.99</v>
      </c>
      <c r="H265" s="287" t="s">
        <v>733</v>
      </c>
      <c r="I265" s="287" t="s">
        <v>469</v>
      </c>
      <c r="J265" s="287" t="s">
        <v>459</v>
      </c>
      <c r="K265" s="287" t="s">
        <v>460</v>
      </c>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row>
    <row r="266" spans="1:47" ht="22.25" customHeight="1">
      <c r="A266" s="286" t="s">
        <v>529</v>
      </c>
      <c r="B266" s="286" t="s">
        <v>573</v>
      </c>
      <c r="C266" s="287" t="s">
        <v>673</v>
      </c>
      <c r="D266" s="286" t="s">
        <v>713</v>
      </c>
      <c r="E266" s="289">
        <v>45412</v>
      </c>
      <c r="F266" s="288">
        <v>39.99</v>
      </c>
      <c r="H266" s="287" t="s">
        <v>733</v>
      </c>
      <c r="I266" s="287" t="s">
        <v>469</v>
      </c>
      <c r="J266" s="287" t="s">
        <v>459</v>
      </c>
      <c r="K266" s="287" t="s">
        <v>460</v>
      </c>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row>
    <row r="267" spans="1:47" ht="22.25" customHeight="1">
      <c r="A267" s="286" t="s">
        <v>529</v>
      </c>
      <c r="B267" s="286" t="s">
        <v>573</v>
      </c>
      <c r="C267" s="287" t="s">
        <v>651</v>
      </c>
      <c r="D267" s="286" t="s">
        <v>713</v>
      </c>
      <c r="E267" s="289">
        <v>45412</v>
      </c>
      <c r="F267" s="288">
        <v>40.99</v>
      </c>
      <c r="H267" s="287" t="s">
        <v>733</v>
      </c>
      <c r="I267" s="287" t="s">
        <v>469</v>
      </c>
      <c r="J267" s="287" t="s">
        <v>459</v>
      </c>
      <c r="K267" s="287" t="s">
        <v>460</v>
      </c>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row>
    <row r="268" spans="1:47" ht="22.25" customHeight="1">
      <c r="A268" s="286" t="s">
        <v>529</v>
      </c>
      <c r="B268" s="286" t="s">
        <v>573</v>
      </c>
      <c r="C268" s="287" t="s">
        <v>652</v>
      </c>
      <c r="D268" s="286" t="s">
        <v>713</v>
      </c>
      <c r="E268" s="289">
        <v>45412</v>
      </c>
      <c r="F268" s="288">
        <v>40.99</v>
      </c>
      <c r="H268" s="287" t="s">
        <v>733</v>
      </c>
      <c r="I268" s="287" t="s">
        <v>469</v>
      </c>
      <c r="J268" s="287" t="s">
        <v>459</v>
      </c>
      <c r="K268" s="287" t="s">
        <v>460</v>
      </c>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row>
    <row r="269" spans="1:47" ht="22.25" customHeight="1">
      <c r="A269" s="286" t="s">
        <v>528</v>
      </c>
      <c r="B269" s="286" t="s">
        <v>701</v>
      </c>
      <c r="C269" s="287" t="s">
        <v>654</v>
      </c>
      <c r="D269" s="286" t="s">
        <v>713</v>
      </c>
      <c r="E269" s="289">
        <v>45412</v>
      </c>
      <c r="F269" s="288">
        <v>11.8</v>
      </c>
      <c r="H269" s="287" t="s">
        <v>733</v>
      </c>
      <c r="I269" s="287" t="s">
        <v>469</v>
      </c>
      <c r="J269" s="287" t="s">
        <v>459</v>
      </c>
      <c r="K269" s="287" t="s">
        <v>460</v>
      </c>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row>
    <row r="270" spans="1:47" ht="22.25" customHeight="1">
      <c r="A270" s="286" t="s">
        <v>465</v>
      </c>
      <c r="B270" s="286" t="s">
        <v>466</v>
      </c>
      <c r="C270" s="287" t="s">
        <v>655</v>
      </c>
      <c r="D270" s="286" t="s">
        <v>713</v>
      </c>
      <c r="E270" s="289">
        <v>45412</v>
      </c>
      <c r="F270" s="288">
        <v>7.38</v>
      </c>
      <c r="H270" s="287" t="s">
        <v>733</v>
      </c>
      <c r="I270" s="287" t="s">
        <v>469</v>
      </c>
      <c r="J270" s="287" t="s">
        <v>459</v>
      </c>
      <c r="K270" s="287" t="s">
        <v>460</v>
      </c>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row>
    <row r="271" spans="1:47" ht="22.25" customHeight="1">
      <c r="A271" s="286" t="s">
        <v>485</v>
      </c>
      <c r="B271" s="286" t="s">
        <v>486</v>
      </c>
      <c r="C271" s="287" t="s">
        <v>656</v>
      </c>
      <c r="D271" s="286" t="s">
        <v>713</v>
      </c>
      <c r="E271" s="289">
        <v>45412</v>
      </c>
      <c r="F271" s="288">
        <v>73.760000000000005</v>
      </c>
      <c r="H271" s="287" t="s">
        <v>733</v>
      </c>
      <c r="I271" s="287" t="s">
        <v>469</v>
      </c>
      <c r="J271" s="287" t="s">
        <v>459</v>
      </c>
      <c r="K271" s="287" t="s">
        <v>460</v>
      </c>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row>
    <row r="272" spans="1:47" ht="22.25" customHeight="1">
      <c r="A272" s="286" t="s">
        <v>485</v>
      </c>
      <c r="B272" s="286" t="s">
        <v>486</v>
      </c>
      <c r="C272" s="287" t="s">
        <v>657</v>
      </c>
      <c r="D272" s="286" t="s">
        <v>713</v>
      </c>
      <c r="E272" s="289">
        <v>45412</v>
      </c>
      <c r="F272" s="288">
        <v>7.0000000000000007E-2</v>
      </c>
      <c r="H272" s="287" t="s">
        <v>733</v>
      </c>
      <c r="I272" s="287" t="s">
        <v>469</v>
      </c>
      <c r="J272" s="287" t="s">
        <v>459</v>
      </c>
      <c r="K272" s="287" t="s">
        <v>460</v>
      </c>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row>
    <row r="273" spans="1:47" ht="22.25" customHeight="1">
      <c r="A273" s="286" t="s">
        <v>485</v>
      </c>
      <c r="B273" s="286" t="s">
        <v>486</v>
      </c>
      <c r="C273" s="287" t="s">
        <v>624</v>
      </c>
      <c r="D273" s="286" t="s">
        <v>713</v>
      </c>
      <c r="E273" s="289">
        <v>45412</v>
      </c>
      <c r="F273" s="288">
        <v>7.82</v>
      </c>
      <c r="H273" s="287" t="s">
        <v>733</v>
      </c>
      <c r="I273" s="287" t="s">
        <v>469</v>
      </c>
      <c r="J273" s="287" t="s">
        <v>459</v>
      </c>
      <c r="K273" s="287" t="s">
        <v>460</v>
      </c>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row>
    <row r="274" spans="1:47" ht="22.25" customHeight="1">
      <c r="A274" s="286" t="s">
        <v>485</v>
      </c>
      <c r="B274" s="286" t="s">
        <v>486</v>
      </c>
      <c r="C274" s="287" t="s">
        <v>702</v>
      </c>
      <c r="D274" s="286" t="s">
        <v>713</v>
      </c>
      <c r="E274" s="289">
        <v>45412</v>
      </c>
      <c r="F274" s="288">
        <v>1.84</v>
      </c>
      <c r="H274" s="287" t="s">
        <v>733</v>
      </c>
      <c r="I274" s="287" t="s">
        <v>469</v>
      </c>
      <c r="J274" s="287" t="s">
        <v>459</v>
      </c>
      <c r="K274" s="287" t="s">
        <v>460</v>
      </c>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row>
    <row r="275" spans="1:47" ht="22.25" customHeight="1">
      <c r="A275" s="286" t="s">
        <v>485</v>
      </c>
      <c r="B275" s="286" t="s">
        <v>486</v>
      </c>
      <c r="C275" s="287" t="s">
        <v>626</v>
      </c>
      <c r="D275" s="286" t="s">
        <v>713</v>
      </c>
      <c r="E275" s="289">
        <v>45412</v>
      </c>
      <c r="F275" s="288">
        <v>3.54</v>
      </c>
      <c r="H275" s="287" t="s">
        <v>733</v>
      </c>
      <c r="I275" s="287" t="s">
        <v>469</v>
      </c>
      <c r="J275" s="287" t="s">
        <v>459</v>
      </c>
      <c r="K275" s="287" t="s">
        <v>460</v>
      </c>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row>
    <row r="276" spans="1:47" ht="22.25" customHeight="1">
      <c r="A276" s="286" t="s">
        <v>465</v>
      </c>
      <c r="B276" s="286" t="s">
        <v>466</v>
      </c>
      <c r="C276" s="287" t="s">
        <v>694</v>
      </c>
      <c r="D276" s="286" t="s">
        <v>713</v>
      </c>
      <c r="E276" s="289">
        <v>45412</v>
      </c>
      <c r="F276" s="288">
        <v>16.23</v>
      </c>
      <c r="H276" s="287" t="s">
        <v>733</v>
      </c>
      <c r="I276" s="287" t="s">
        <v>469</v>
      </c>
      <c r="J276" s="287" t="s">
        <v>459</v>
      </c>
      <c r="K276" s="287" t="s">
        <v>460</v>
      </c>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row>
    <row r="277" spans="1:47" ht="33.200000000000003" customHeight="1">
      <c r="A277" s="286" t="s">
        <v>474</v>
      </c>
      <c r="B277" s="286" t="s">
        <v>475</v>
      </c>
      <c r="C277" s="287" t="s">
        <v>734</v>
      </c>
      <c r="D277" s="286" t="s">
        <v>713</v>
      </c>
      <c r="E277" s="289">
        <v>45412</v>
      </c>
      <c r="F277" s="288">
        <v>1678.04</v>
      </c>
      <c r="H277" s="287" t="s">
        <v>733</v>
      </c>
      <c r="I277" s="287" t="s">
        <v>469</v>
      </c>
      <c r="J277" s="287" t="s">
        <v>459</v>
      </c>
      <c r="K277" s="287" t="s">
        <v>460</v>
      </c>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row>
    <row r="278" spans="1:47" ht="22.25" customHeight="1">
      <c r="A278" s="286" t="s">
        <v>465</v>
      </c>
      <c r="B278" s="286" t="s">
        <v>466</v>
      </c>
      <c r="C278" s="287" t="s">
        <v>694</v>
      </c>
      <c r="D278" s="286" t="s">
        <v>713</v>
      </c>
      <c r="E278" s="289">
        <v>45412</v>
      </c>
      <c r="F278" s="288">
        <v>32.450000000000003</v>
      </c>
      <c r="H278" s="287" t="s">
        <v>733</v>
      </c>
      <c r="I278" s="287" t="s">
        <v>469</v>
      </c>
      <c r="J278" s="287" t="s">
        <v>459</v>
      </c>
      <c r="K278" s="287" t="s">
        <v>460</v>
      </c>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row>
    <row r="279" spans="1:47" ht="22.25" customHeight="1">
      <c r="A279" s="286" t="s">
        <v>455</v>
      </c>
      <c r="B279" s="286" t="s">
        <v>456</v>
      </c>
      <c r="C279" s="287" t="s">
        <v>461</v>
      </c>
      <c r="D279" s="286" t="s">
        <v>735</v>
      </c>
      <c r="E279" s="289">
        <v>45412</v>
      </c>
      <c r="F279" s="288">
        <v>563.28</v>
      </c>
      <c r="H279" s="287" t="s">
        <v>458</v>
      </c>
      <c r="I279" s="287" t="s">
        <v>458</v>
      </c>
      <c r="J279" s="287" t="s">
        <v>459</v>
      </c>
      <c r="K279" s="287" t="s">
        <v>460</v>
      </c>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row>
    <row r="280" spans="1:47" ht="22.25" customHeight="1">
      <c r="A280" s="286" t="s">
        <v>455</v>
      </c>
      <c r="B280" s="286" t="s">
        <v>456</v>
      </c>
      <c r="C280" s="287" t="s">
        <v>463</v>
      </c>
      <c r="D280" s="286" t="s">
        <v>735</v>
      </c>
      <c r="E280" s="289">
        <v>45412</v>
      </c>
      <c r="F280" s="288">
        <v>436.8</v>
      </c>
      <c r="H280" s="287" t="s">
        <v>458</v>
      </c>
      <c r="I280" s="287" t="s">
        <v>458</v>
      </c>
      <c r="J280" s="287" t="s">
        <v>459</v>
      </c>
      <c r="K280" s="287" t="s">
        <v>460</v>
      </c>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row>
    <row r="281" spans="1:47" ht="22.25" customHeight="1">
      <c r="A281" s="286" t="s">
        <v>455</v>
      </c>
      <c r="B281" s="286" t="s">
        <v>456</v>
      </c>
      <c r="C281" s="287" t="s">
        <v>464</v>
      </c>
      <c r="D281" s="286" t="s">
        <v>735</v>
      </c>
      <c r="E281" s="289">
        <v>45412</v>
      </c>
      <c r="F281" s="288">
        <v>720</v>
      </c>
      <c r="H281" s="287" t="s">
        <v>458</v>
      </c>
      <c r="I281" s="287" t="s">
        <v>458</v>
      </c>
      <c r="J281" s="287" t="s">
        <v>459</v>
      </c>
      <c r="K281" s="287" t="s">
        <v>460</v>
      </c>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row>
    <row r="282" spans="1:47" ht="22.25" customHeight="1">
      <c r="A282" s="286" t="s">
        <v>522</v>
      </c>
      <c r="B282" s="286" t="s">
        <v>609</v>
      </c>
      <c r="C282" s="287" t="s">
        <v>736</v>
      </c>
      <c r="D282" s="286" t="s">
        <v>737</v>
      </c>
      <c r="E282" s="289">
        <v>45412</v>
      </c>
      <c r="F282" s="288">
        <v>225</v>
      </c>
      <c r="H282" s="287" t="s">
        <v>458</v>
      </c>
      <c r="I282" s="287" t="s">
        <v>458</v>
      </c>
      <c r="J282" s="287" t="s">
        <v>459</v>
      </c>
      <c r="K282" s="287" t="s">
        <v>460</v>
      </c>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row>
    <row r="283" spans="1:47" ht="22.25" customHeight="1">
      <c r="A283" s="286" t="s">
        <v>536</v>
      </c>
      <c r="B283" s="286" t="s">
        <v>647</v>
      </c>
      <c r="C283" s="287" t="s">
        <v>738</v>
      </c>
      <c r="D283" s="286" t="s">
        <v>737</v>
      </c>
      <c r="E283" s="289">
        <v>45412</v>
      </c>
      <c r="F283" s="288">
        <v>164</v>
      </c>
      <c r="H283" s="287" t="s">
        <v>458</v>
      </c>
      <c r="I283" s="287" t="s">
        <v>458</v>
      </c>
      <c r="J283" s="287" t="s">
        <v>459</v>
      </c>
      <c r="K283" s="287" t="s">
        <v>460</v>
      </c>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row>
    <row r="284" spans="1:47" ht="44.1" customHeight="1">
      <c r="A284" s="286" t="s">
        <v>506</v>
      </c>
      <c r="B284" s="286" t="s">
        <v>507</v>
      </c>
      <c r="C284" s="287" t="s">
        <v>739</v>
      </c>
      <c r="D284" s="286" t="s">
        <v>740</v>
      </c>
      <c r="E284" s="289">
        <v>45432</v>
      </c>
      <c r="F284" s="288">
        <v>500</v>
      </c>
      <c r="H284" s="287" t="s">
        <v>458</v>
      </c>
      <c r="I284" s="287" t="s">
        <v>469</v>
      </c>
      <c r="J284" s="287" t="s">
        <v>459</v>
      </c>
      <c r="K284" s="287" t="s">
        <v>460</v>
      </c>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row>
    <row r="285" spans="1:47" ht="22.25" customHeight="1">
      <c r="A285" s="286" t="s">
        <v>465</v>
      </c>
      <c r="B285" s="286" t="s">
        <v>466</v>
      </c>
      <c r="C285" s="287" t="s">
        <v>741</v>
      </c>
      <c r="D285" s="286" t="s">
        <v>742</v>
      </c>
      <c r="E285" s="289">
        <v>45443</v>
      </c>
      <c r="F285" s="288">
        <v>955.07</v>
      </c>
      <c r="H285" s="287" t="s">
        <v>123</v>
      </c>
      <c r="I285" s="287" t="s">
        <v>469</v>
      </c>
      <c r="J285" s="287" t="s">
        <v>459</v>
      </c>
      <c r="K285" s="287" t="s">
        <v>460</v>
      </c>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row>
    <row r="286" spans="1:47" ht="22.25" customHeight="1">
      <c r="A286" s="286" t="s">
        <v>478</v>
      </c>
      <c r="B286" s="286" t="s">
        <v>479</v>
      </c>
      <c r="C286" s="287" t="s">
        <v>743</v>
      </c>
      <c r="D286" s="286" t="s">
        <v>742</v>
      </c>
      <c r="E286" s="289">
        <v>45443</v>
      </c>
      <c r="F286" s="288">
        <v>1199.49</v>
      </c>
      <c r="H286" s="287" t="s">
        <v>727</v>
      </c>
      <c r="I286" s="287" t="s">
        <v>469</v>
      </c>
      <c r="J286" s="287" t="s">
        <v>459</v>
      </c>
      <c r="K286" s="287" t="s">
        <v>460</v>
      </c>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row>
    <row r="287" spans="1:47" ht="22.25" customHeight="1">
      <c r="A287" s="286" t="s">
        <v>478</v>
      </c>
      <c r="B287" s="286" t="s">
        <v>479</v>
      </c>
      <c r="C287" s="287" t="s">
        <v>744</v>
      </c>
      <c r="D287" s="286" t="s">
        <v>742</v>
      </c>
      <c r="E287" s="289">
        <v>45443</v>
      </c>
      <c r="F287" s="288">
        <v>499.79</v>
      </c>
      <c r="H287" s="287" t="s">
        <v>729</v>
      </c>
      <c r="I287" s="287" t="s">
        <v>469</v>
      </c>
      <c r="J287" s="287" t="s">
        <v>459</v>
      </c>
      <c r="K287" s="287" t="s">
        <v>460</v>
      </c>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row>
    <row r="288" spans="1:47" ht="22.25" customHeight="1">
      <c r="A288" s="286" t="s">
        <v>478</v>
      </c>
      <c r="B288" s="286" t="s">
        <v>479</v>
      </c>
      <c r="C288" s="287" t="s">
        <v>745</v>
      </c>
      <c r="D288" s="286" t="s">
        <v>742</v>
      </c>
      <c r="E288" s="289">
        <v>45443</v>
      </c>
      <c r="F288" s="288">
        <v>1119.52</v>
      </c>
      <c r="H288" s="287" t="s">
        <v>731</v>
      </c>
      <c r="I288" s="287" t="s">
        <v>469</v>
      </c>
      <c r="J288" s="287" t="s">
        <v>459</v>
      </c>
      <c r="K288" s="287" t="s">
        <v>460</v>
      </c>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row>
    <row r="289" spans="1:47" ht="22.25" customHeight="1">
      <c r="A289" s="286" t="s">
        <v>534</v>
      </c>
      <c r="B289" s="286" t="s">
        <v>601</v>
      </c>
      <c r="C289" s="287" t="s">
        <v>746</v>
      </c>
      <c r="D289" s="286" t="s">
        <v>742</v>
      </c>
      <c r="E289" s="289">
        <v>45443</v>
      </c>
      <c r="F289" s="288">
        <v>2.67</v>
      </c>
      <c r="H289" s="287" t="s">
        <v>733</v>
      </c>
      <c r="I289" s="287" t="s">
        <v>469</v>
      </c>
      <c r="J289" s="287" t="s">
        <v>459</v>
      </c>
      <c r="K289" s="287" t="s">
        <v>460</v>
      </c>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row>
    <row r="290" spans="1:47" ht="22.25" customHeight="1">
      <c r="A290" s="286" t="s">
        <v>534</v>
      </c>
      <c r="B290" s="286" t="s">
        <v>601</v>
      </c>
      <c r="C290" s="287" t="s">
        <v>747</v>
      </c>
      <c r="D290" s="286" t="s">
        <v>742</v>
      </c>
      <c r="E290" s="289">
        <v>45443</v>
      </c>
      <c r="F290" s="288">
        <v>0.4</v>
      </c>
      <c r="H290" s="287" t="s">
        <v>733</v>
      </c>
      <c r="I290" s="287" t="s">
        <v>469</v>
      </c>
      <c r="J290" s="287" t="s">
        <v>459</v>
      </c>
      <c r="K290" s="287" t="s">
        <v>460</v>
      </c>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row>
    <row r="291" spans="1:47" ht="22.25" customHeight="1">
      <c r="A291" s="286" t="s">
        <v>529</v>
      </c>
      <c r="B291" s="286" t="s">
        <v>573</v>
      </c>
      <c r="C291" s="287" t="s">
        <v>623</v>
      </c>
      <c r="D291" s="286" t="s">
        <v>742</v>
      </c>
      <c r="E291" s="289">
        <v>45443</v>
      </c>
      <c r="F291" s="288">
        <v>51.08</v>
      </c>
      <c r="H291" s="287" t="s">
        <v>733</v>
      </c>
      <c r="I291" s="287" t="s">
        <v>469</v>
      </c>
      <c r="J291" s="287" t="s">
        <v>459</v>
      </c>
      <c r="K291" s="287" t="s">
        <v>460</v>
      </c>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row>
    <row r="292" spans="1:47" ht="22.25" customHeight="1">
      <c r="A292" s="286" t="s">
        <v>529</v>
      </c>
      <c r="B292" s="286" t="s">
        <v>573</v>
      </c>
      <c r="C292" s="287" t="s">
        <v>650</v>
      </c>
      <c r="D292" s="286" t="s">
        <v>742</v>
      </c>
      <c r="E292" s="289">
        <v>45443</v>
      </c>
      <c r="F292" s="288">
        <v>40.06</v>
      </c>
      <c r="H292" s="287" t="s">
        <v>733</v>
      </c>
      <c r="I292" s="287" t="s">
        <v>469</v>
      </c>
      <c r="J292" s="287" t="s">
        <v>459</v>
      </c>
      <c r="K292" s="287" t="s">
        <v>460</v>
      </c>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row>
    <row r="293" spans="1:47" ht="22.25" customHeight="1">
      <c r="A293" s="286" t="s">
        <v>529</v>
      </c>
      <c r="B293" s="286" t="s">
        <v>573</v>
      </c>
      <c r="C293" s="287" t="s">
        <v>673</v>
      </c>
      <c r="D293" s="286" t="s">
        <v>742</v>
      </c>
      <c r="E293" s="289">
        <v>45443</v>
      </c>
      <c r="F293" s="288">
        <v>40.06</v>
      </c>
      <c r="H293" s="287" t="s">
        <v>733</v>
      </c>
      <c r="I293" s="287" t="s">
        <v>469</v>
      </c>
      <c r="J293" s="287" t="s">
        <v>459</v>
      </c>
      <c r="K293" s="287" t="s">
        <v>460</v>
      </c>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row>
    <row r="294" spans="1:47" ht="22.25" customHeight="1">
      <c r="A294" s="286" t="s">
        <v>529</v>
      </c>
      <c r="B294" s="286" t="s">
        <v>573</v>
      </c>
      <c r="C294" s="287" t="s">
        <v>651</v>
      </c>
      <c r="D294" s="286" t="s">
        <v>742</v>
      </c>
      <c r="E294" s="289">
        <v>45443</v>
      </c>
      <c r="F294" s="288">
        <v>41.06</v>
      </c>
      <c r="H294" s="287" t="s">
        <v>733</v>
      </c>
      <c r="I294" s="287" t="s">
        <v>469</v>
      </c>
      <c r="J294" s="287" t="s">
        <v>459</v>
      </c>
      <c r="K294" s="287" t="s">
        <v>460</v>
      </c>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row>
    <row r="295" spans="1:47" ht="22.25" customHeight="1">
      <c r="A295" s="286" t="s">
        <v>529</v>
      </c>
      <c r="B295" s="286" t="s">
        <v>573</v>
      </c>
      <c r="C295" s="287" t="s">
        <v>652</v>
      </c>
      <c r="D295" s="286" t="s">
        <v>742</v>
      </c>
      <c r="E295" s="289">
        <v>45443</v>
      </c>
      <c r="F295" s="288">
        <v>41.06</v>
      </c>
      <c r="H295" s="287" t="s">
        <v>733</v>
      </c>
      <c r="I295" s="287" t="s">
        <v>469</v>
      </c>
      <c r="J295" s="287" t="s">
        <v>459</v>
      </c>
      <c r="K295" s="287" t="s">
        <v>460</v>
      </c>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row>
    <row r="296" spans="1:47" ht="22.25" customHeight="1">
      <c r="A296" s="286" t="s">
        <v>485</v>
      </c>
      <c r="B296" s="286" t="s">
        <v>486</v>
      </c>
      <c r="C296" s="287" t="s">
        <v>654</v>
      </c>
      <c r="D296" s="286" t="s">
        <v>742</v>
      </c>
      <c r="E296" s="289">
        <v>45443</v>
      </c>
      <c r="F296" s="288">
        <v>11.25</v>
      </c>
      <c r="H296" s="287" t="s">
        <v>733</v>
      </c>
      <c r="I296" s="287" t="s">
        <v>469</v>
      </c>
      <c r="J296" s="287" t="s">
        <v>459</v>
      </c>
      <c r="K296" s="287" t="s">
        <v>460</v>
      </c>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row>
    <row r="297" spans="1:47" ht="22.25" customHeight="1">
      <c r="A297" s="286" t="s">
        <v>465</v>
      </c>
      <c r="B297" s="286" t="s">
        <v>466</v>
      </c>
      <c r="C297" s="287" t="s">
        <v>655</v>
      </c>
      <c r="D297" s="286" t="s">
        <v>742</v>
      </c>
      <c r="E297" s="289">
        <v>45443</v>
      </c>
      <c r="F297" s="288">
        <v>7.4</v>
      </c>
      <c r="H297" s="287" t="s">
        <v>733</v>
      </c>
      <c r="I297" s="287" t="s">
        <v>469</v>
      </c>
      <c r="J297" s="287" t="s">
        <v>459</v>
      </c>
      <c r="K297" s="287" t="s">
        <v>460</v>
      </c>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row>
    <row r="298" spans="1:47" ht="22.25" customHeight="1">
      <c r="A298" s="286" t="s">
        <v>485</v>
      </c>
      <c r="B298" s="286" t="s">
        <v>486</v>
      </c>
      <c r="C298" s="287" t="s">
        <v>748</v>
      </c>
      <c r="D298" s="286" t="s">
        <v>742</v>
      </c>
      <c r="E298" s="289">
        <v>45443</v>
      </c>
      <c r="F298" s="288">
        <v>74.040000000000006</v>
      </c>
      <c r="H298" s="287" t="s">
        <v>733</v>
      </c>
      <c r="I298" s="287" t="s">
        <v>469</v>
      </c>
      <c r="J298" s="287" t="s">
        <v>459</v>
      </c>
      <c r="K298" s="287" t="s">
        <v>460</v>
      </c>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row>
    <row r="299" spans="1:47" ht="22.25" customHeight="1">
      <c r="A299" s="286" t="s">
        <v>485</v>
      </c>
      <c r="B299" s="286" t="s">
        <v>486</v>
      </c>
      <c r="C299" s="287" t="s">
        <v>626</v>
      </c>
      <c r="D299" s="286" t="s">
        <v>742</v>
      </c>
      <c r="E299" s="289">
        <v>45443</v>
      </c>
      <c r="F299" s="288">
        <v>7.0000000000000007E-2</v>
      </c>
      <c r="H299" s="287" t="s">
        <v>733</v>
      </c>
      <c r="I299" s="287" t="s">
        <v>469</v>
      </c>
      <c r="J299" s="287" t="s">
        <v>459</v>
      </c>
      <c r="K299" s="287" t="s">
        <v>460</v>
      </c>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row>
    <row r="300" spans="1:47" ht="22.25" customHeight="1">
      <c r="A300" s="286" t="s">
        <v>485</v>
      </c>
      <c r="B300" s="286" t="s">
        <v>486</v>
      </c>
      <c r="C300" s="287" t="s">
        <v>749</v>
      </c>
      <c r="D300" s="286" t="s">
        <v>742</v>
      </c>
      <c r="E300" s="289">
        <v>45443</v>
      </c>
      <c r="F300" s="288">
        <v>7.11</v>
      </c>
      <c r="H300" s="287" t="s">
        <v>733</v>
      </c>
      <c r="I300" s="287" t="s">
        <v>469</v>
      </c>
      <c r="J300" s="287" t="s">
        <v>459</v>
      </c>
      <c r="K300" s="287" t="s">
        <v>460</v>
      </c>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row>
    <row r="301" spans="1:47" ht="22.25" customHeight="1">
      <c r="A301" s="286" t="s">
        <v>485</v>
      </c>
      <c r="B301" s="286" t="s">
        <v>486</v>
      </c>
      <c r="C301" s="287" t="s">
        <v>750</v>
      </c>
      <c r="D301" s="286" t="s">
        <v>742</v>
      </c>
      <c r="E301" s="289">
        <v>45443</v>
      </c>
      <c r="F301" s="288">
        <v>7.03</v>
      </c>
      <c r="H301" s="287" t="s">
        <v>733</v>
      </c>
      <c r="I301" s="287" t="s">
        <v>469</v>
      </c>
      <c r="J301" s="287" t="s">
        <v>459</v>
      </c>
      <c r="K301" s="287" t="s">
        <v>460</v>
      </c>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row>
    <row r="302" spans="1:47" ht="22.25" customHeight="1">
      <c r="A302" s="286" t="s">
        <v>485</v>
      </c>
      <c r="B302" s="286" t="s">
        <v>486</v>
      </c>
      <c r="C302" s="287" t="s">
        <v>751</v>
      </c>
      <c r="D302" s="286" t="s">
        <v>742</v>
      </c>
      <c r="E302" s="289">
        <v>45443</v>
      </c>
      <c r="F302" s="288">
        <v>10.29</v>
      </c>
      <c r="H302" s="287" t="s">
        <v>733</v>
      </c>
      <c r="I302" s="287" t="s">
        <v>469</v>
      </c>
      <c r="J302" s="287" t="s">
        <v>459</v>
      </c>
      <c r="K302" s="287" t="s">
        <v>460</v>
      </c>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row>
    <row r="303" spans="1:47" ht="22.25" customHeight="1">
      <c r="A303" s="286" t="s">
        <v>485</v>
      </c>
      <c r="B303" s="286" t="s">
        <v>486</v>
      </c>
      <c r="C303" s="287" t="s">
        <v>752</v>
      </c>
      <c r="D303" s="286" t="s">
        <v>742</v>
      </c>
      <c r="E303" s="289">
        <v>45443</v>
      </c>
      <c r="F303" s="288">
        <v>2.67</v>
      </c>
      <c r="H303" s="287" t="s">
        <v>733</v>
      </c>
      <c r="I303" s="287" t="s">
        <v>469</v>
      </c>
      <c r="J303" s="287" t="s">
        <v>459</v>
      </c>
      <c r="K303" s="287" t="s">
        <v>460</v>
      </c>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row>
    <row r="304" spans="1:47" ht="22.25" customHeight="1">
      <c r="A304" s="286" t="s">
        <v>485</v>
      </c>
      <c r="B304" s="286" t="s">
        <v>486</v>
      </c>
      <c r="C304" s="287" t="s">
        <v>753</v>
      </c>
      <c r="D304" s="286" t="s">
        <v>742</v>
      </c>
      <c r="E304" s="289">
        <v>45443</v>
      </c>
      <c r="F304" s="288">
        <v>11.11</v>
      </c>
      <c r="H304" s="287" t="s">
        <v>733</v>
      </c>
      <c r="I304" s="287" t="s">
        <v>469</v>
      </c>
      <c r="J304" s="287" t="s">
        <v>459</v>
      </c>
      <c r="K304" s="287" t="s">
        <v>460</v>
      </c>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row>
    <row r="305" spans="1:47" ht="22.25" customHeight="1">
      <c r="A305" s="286" t="s">
        <v>485</v>
      </c>
      <c r="B305" s="286" t="s">
        <v>486</v>
      </c>
      <c r="C305" s="287" t="s">
        <v>754</v>
      </c>
      <c r="D305" s="286" t="s">
        <v>742</v>
      </c>
      <c r="E305" s="289">
        <v>45443</v>
      </c>
      <c r="F305" s="288">
        <v>22.21</v>
      </c>
      <c r="H305" s="287" t="s">
        <v>733</v>
      </c>
      <c r="I305" s="287" t="s">
        <v>469</v>
      </c>
      <c r="J305" s="287" t="s">
        <v>459</v>
      </c>
      <c r="K305" s="287" t="s">
        <v>460</v>
      </c>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row>
    <row r="306" spans="1:47" ht="22.25" customHeight="1">
      <c r="A306" s="286" t="s">
        <v>485</v>
      </c>
      <c r="B306" s="286" t="s">
        <v>486</v>
      </c>
      <c r="C306" s="287" t="s">
        <v>683</v>
      </c>
      <c r="D306" s="286" t="s">
        <v>742</v>
      </c>
      <c r="E306" s="289">
        <v>45443</v>
      </c>
      <c r="F306" s="288">
        <v>3.55</v>
      </c>
      <c r="H306" s="287" t="s">
        <v>733</v>
      </c>
      <c r="I306" s="287" t="s">
        <v>469</v>
      </c>
      <c r="J306" s="287" t="s">
        <v>459</v>
      </c>
      <c r="K306" s="287" t="s">
        <v>460</v>
      </c>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row>
    <row r="307" spans="1:47" ht="22.25" customHeight="1">
      <c r="A307" s="286" t="s">
        <v>529</v>
      </c>
      <c r="B307" s="286" t="s">
        <v>573</v>
      </c>
      <c r="C307" s="287" t="s">
        <v>755</v>
      </c>
      <c r="D307" s="286" t="s">
        <v>742</v>
      </c>
      <c r="E307" s="289">
        <v>45443</v>
      </c>
      <c r="F307" s="288">
        <v>355.37</v>
      </c>
      <c r="H307" s="287" t="s">
        <v>733</v>
      </c>
      <c r="I307" s="287" t="s">
        <v>469</v>
      </c>
      <c r="J307" s="287" t="s">
        <v>459</v>
      </c>
      <c r="K307" s="287" t="s">
        <v>460</v>
      </c>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row>
    <row r="308" spans="1:47" ht="22.25" customHeight="1">
      <c r="A308" s="286" t="s">
        <v>465</v>
      </c>
      <c r="B308" s="286" t="s">
        <v>466</v>
      </c>
      <c r="C308" s="287" t="s">
        <v>694</v>
      </c>
      <c r="D308" s="286" t="s">
        <v>742</v>
      </c>
      <c r="E308" s="289">
        <v>45443</v>
      </c>
      <c r="F308" s="288">
        <v>17.77</v>
      </c>
      <c r="H308" s="287" t="s">
        <v>733</v>
      </c>
      <c r="I308" s="287" t="s">
        <v>469</v>
      </c>
      <c r="J308" s="287" t="s">
        <v>459</v>
      </c>
      <c r="K308" s="287" t="s">
        <v>460</v>
      </c>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row>
    <row r="309" spans="1:47" ht="22.25" customHeight="1">
      <c r="A309" s="286" t="s">
        <v>529</v>
      </c>
      <c r="B309" s="286" t="s">
        <v>573</v>
      </c>
      <c r="C309" s="287" t="s">
        <v>756</v>
      </c>
      <c r="D309" s="286" t="s">
        <v>742</v>
      </c>
      <c r="E309" s="289">
        <v>45443</v>
      </c>
      <c r="F309" s="288">
        <v>40.86</v>
      </c>
      <c r="H309" s="287" t="s">
        <v>733</v>
      </c>
      <c r="I309" s="287" t="s">
        <v>469</v>
      </c>
      <c r="J309" s="287" t="s">
        <v>459</v>
      </c>
      <c r="K309" s="287" t="s">
        <v>460</v>
      </c>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row>
    <row r="310" spans="1:47" ht="33.200000000000003" customHeight="1">
      <c r="A310" s="286" t="s">
        <v>528</v>
      </c>
      <c r="B310" s="286" t="s">
        <v>701</v>
      </c>
      <c r="C310" s="287" t="s">
        <v>757</v>
      </c>
      <c r="D310" s="286" t="s">
        <v>742</v>
      </c>
      <c r="E310" s="289">
        <v>45443</v>
      </c>
      <c r="F310" s="288">
        <v>65.819999999999993</v>
      </c>
      <c r="H310" s="287" t="s">
        <v>733</v>
      </c>
      <c r="I310" s="287" t="s">
        <v>469</v>
      </c>
      <c r="J310" s="287" t="s">
        <v>459</v>
      </c>
      <c r="K310" s="287" t="s">
        <v>460</v>
      </c>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row>
    <row r="311" spans="1:47" ht="33.200000000000003" customHeight="1">
      <c r="A311" s="286" t="s">
        <v>470</v>
      </c>
      <c r="B311" s="286" t="s">
        <v>471</v>
      </c>
      <c r="C311" s="287" t="s">
        <v>758</v>
      </c>
      <c r="D311" s="286" t="s">
        <v>742</v>
      </c>
      <c r="E311" s="289">
        <v>45443</v>
      </c>
      <c r="F311" s="288">
        <v>213.52</v>
      </c>
      <c r="H311" s="287" t="s">
        <v>733</v>
      </c>
      <c r="I311" s="287" t="s">
        <v>469</v>
      </c>
      <c r="J311" s="287" t="s">
        <v>459</v>
      </c>
      <c r="K311" s="287" t="s">
        <v>460</v>
      </c>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row>
    <row r="312" spans="1:47" ht="22.25" customHeight="1">
      <c r="A312" s="286" t="s">
        <v>465</v>
      </c>
      <c r="B312" s="286" t="s">
        <v>466</v>
      </c>
      <c r="C312" s="287" t="s">
        <v>694</v>
      </c>
      <c r="D312" s="286" t="s">
        <v>742</v>
      </c>
      <c r="E312" s="289">
        <v>45443</v>
      </c>
      <c r="F312" s="288">
        <v>53.31</v>
      </c>
      <c r="H312" s="287" t="s">
        <v>733</v>
      </c>
      <c r="I312" s="287" t="s">
        <v>469</v>
      </c>
      <c r="J312" s="287" t="s">
        <v>459</v>
      </c>
      <c r="K312" s="287" t="s">
        <v>460</v>
      </c>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row>
    <row r="313" spans="1:47" ht="22.25" customHeight="1">
      <c r="A313" s="286" t="s">
        <v>478</v>
      </c>
      <c r="B313" s="286" t="s">
        <v>479</v>
      </c>
      <c r="C313" s="287" t="s">
        <v>759</v>
      </c>
      <c r="D313" s="286" t="s">
        <v>742</v>
      </c>
      <c r="E313" s="289">
        <v>45443</v>
      </c>
      <c r="F313" s="288">
        <v>59.23</v>
      </c>
      <c r="H313" s="287" t="s">
        <v>733</v>
      </c>
      <c r="I313" s="287" t="s">
        <v>469</v>
      </c>
      <c r="J313" s="287" t="s">
        <v>459</v>
      </c>
      <c r="K313" s="287" t="s">
        <v>460</v>
      </c>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row>
    <row r="314" spans="1:47" ht="22.25" customHeight="1">
      <c r="A314" s="286" t="s">
        <v>534</v>
      </c>
      <c r="B314" s="286" t="s">
        <v>601</v>
      </c>
      <c r="C314" s="287" t="s">
        <v>760</v>
      </c>
      <c r="D314" s="286" t="s">
        <v>742</v>
      </c>
      <c r="E314" s="289">
        <v>45443</v>
      </c>
      <c r="F314" s="288">
        <v>7.0000000000000007E-2</v>
      </c>
      <c r="H314" s="287" t="s">
        <v>733</v>
      </c>
      <c r="I314" s="287" t="s">
        <v>469</v>
      </c>
      <c r="J314" s="287" t="s">
        <v>459</v>
      </c>
      <c r="K314" s="287" t="s">
        <v>460</v>
      </c>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row>
    <row r="315" spans="1:47" ht="22.25" customHeight="1">
      <c r="A315" s="286" t="s">
        <v>534</v>
      </c>
      <c r="B315" s="286" t="s">
        <v>601</v>
      </c>
      <c r="C315" s="287" t="s">
        <v>761</v>
      </c>
      <c r="D315" s="286" t="s">
        <v>742</v>
      </c>
      <c r="E315" s="289">
        <v>45443</v>
      </c>
      <c r="F315" s="288">
        <v>2.96</v>
      </c>
      <c r="H315" s="287" t="s">
        <v>733</v>
      </c>
      <c r="I315" s="287" t="s">
        <v>469</v>
      </c>
      <c r="J315" s="287" t="s">
        <v>459</v>
      </c>
      <c r="K315" s="287" t="s">
        <v>460</v>
      </c>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row>
    <row r="316" spans="1:47" ht="22.25" customHeight="1">
      <c r="A316" s="286" t="s">
        <v>465</v>
      </c>
      <c r="B316" s="286" t="s">
        <v>466</v>
      </c>
      <c r="C316" s="287" t="s">
        <v>762</v>
      </c>
      <c r="D316" s="286" t="s">
        <v>742</v>
      </c>
      <c r="E316" s="289">
        <v>45443</v>
      </c>
      <c r="F316" s="288">
        <v>25.17</v>
      </c>
      <c r="H316" s="287" t="s">
        <v>733</v>
      </c>
      <c r="I316" s="287" t="s">
        <v>469</v>
      </c>
      <c r="J316" s="287" t="s">
        <v>459</v>
      </c>
      <c r="K316" s="287" t="s">
        <v>460</v>
      </c>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row>
    <row r="317" spans="1:47" ht="22.25" customHeight="1">
      <c r="A317" s="286" t="s">
        <v>498</v>
      </c>
      <c r="B317" s="286" t="s">
        <v>499</v>
      </c>
      <c r="C317" s="287" t="s">
        <v>763</v>
      </c>
      <c r="D317" s="286" t="s">
        <v>742</v>
      </c>
      <c r="E317" s="289">
        <v>45443</v>
      </c>
      <c r="F317" s="288">
        <v>14.81</v>
      </c>
      <c r="H317" s="287" t="s">
        <v>733</v>
      </c>
      <c r="I317" s="287" t="s">
        <v>469</v>
      </c>
      <c r="J317" s="287" t="s">
        <v>459</v>
      </c>
      <c r="K317" s="287" t="s">
        <v>460</v>
      </c>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row>
    <row r="318" spans="1:47" ht="22.25" customHeight="1">
      <c r="A318" s="286" t="s">
        <v>465</v>
      </c>
      <c r="B318" s="286" t="s">
        <v>466</v>
      </c>
      <c r="C318" s="287" t="s">
        <v>764</v>
      </c>
      <c r="D318" s="286" t="s">
        <v>742</v>
      </c>
      <c r="E318" s="289">
        <v>45443</v>
      </c>
      <c r="F318" s="288">
        <v>39.979999999999997</v>
      </c>
      <c r="H318" s="287" t="s">
        <v>733</v>
      </c>
      <c r="I318" s="287" t="s">
        <v>469</v>
      </c>
      <c r="J318" s="287" t="s">
        <v>459</v>
      </c>
      <c r="K318" s="287" t="s">
        <v>460</v>
      </c>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row>
    <row r="319" spans="1:47" ht="22.25" customHeight="1">
      <c r="A319" s="286" t="s">
        <v>489</v>
      </c>
      <c r="B319" s="286" t="s">
        <v>490</v>
      </c>
      <c r="C319" s="287" t="s">
        <v>765</v>
      </c>
      <c r="D319" s="286" t="s">
        <v>742</v>
      </c>
      <c r="E319" s="289">
        <v>45443</v>
      </c>
      <c r="F319" s="288">
        <v>25.17</v>
      </c>
      <c r="H319" s="287" t="s">
        <v>733</v>
      </c>
      <c r="I319" s="287" t="s">
        <v>469</v>
      </c>
      <c r="J319" s="287" t="s">
        <v>459</v>
      </c>
      <c r="K319" s="287" t="s">
        <v>460</v>
      </c>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row>
    <row r="320" spans="1:47" ht="22.25" customHeight="1">
      <c r="A320" s="286" t="s">
        <v>522</v>
      </c>
      <c r="B320" s="286" t="s">
        <v>609</v>
      </c>
      <c r="C320" s="287" t="s">
        <v>736</v>
      </c>
      <c r="D320" s="286" t="s">
        <v>766</v>
      </c>
      <c r="E320" s="289">
        <v>45443</v>
      </c>
      <c r="F320" s="288">
        <v>225</v>
      </c>
      <c r="H320" s="287" t="s">
        <v>458</v>
      </c>
      <c r="I320" s="287" t="s">
        <v>458</v>
      </c>
      <c r="J320" s="287" t="s">
        <v>459</v>
      </c>
      <c r="K320" s="287" t="s">
        <v>460</v>
      </c>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row>
    <row r="321" spans="1:47" ht="22.25" customHeight="1">
      <c r="A321" s="286" t="s">
        <v>536</v>
      </c>
      <c r="B321" s="286" t="s">
        <v>647</v>
      </c>
      <c r="C321" s="287" t="s">
        <v>738</v>
      </c>
      <c r="D321" s="286" t="s">
        <v>766</v>
      </c>
      <c r="E321" s="289">
        <v>45443</v>
      </c>
      <c r="F321" s="288">
        <v>164</v>
      </c>
      <c r="H321" s="287" t="s">
        <v>458</v>
      </c>
      <c r="I321" s="287" t="s">
        <v>458</v>
      </c>
      <c r="J321" s="287" t="s">
        <v>459</v>
      </c>
      <c r="K321" s="287" t="s">
        <v>460</v>
      </c>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row>
    <row r="322" spans="1:47" ht="22.25" customHeight="1">
      <c r="A322" s="286" t="s">
        <v>455</v>
      </c>
      <c r="B322" s="286" t="s">
        <v>456</v>
      </c>
      <c r="C322" s="287" t="s">
        <v>461</v>
      </c>
      <c r="D322" s="286" t="s">
        <v>767</v>
      </c>
      <c r="E322" s="289">
        <v>45443</v>
      </c>
      <c r="F322" s="288">
        <v>563.28</v>
      </c>
      <c r="H322" s="287" t="s">
        <v>458</v>
      </c>
      <c r="I322" s="287" t="s">
        <v>458</v>
      </c>
      <c r="J322" s="287" t="s">
        <v>459</v>
      </c>
      <c r="K322" s="287" t="s">
        <v>460</v>
      </c>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row>
    <row r="323" spans="1:47" ht="22.25" customHeight="1">
      <c r="A323" s="286" t="s">
        <v>455</v>
      </c>
      <c r="B323" s="286" t="s">
        <v>456</v>
      </c>
      <c r="C323" s="287" t="s">
        <v>463</v>
      </c>
      <c r="D323" s="286" t="s">
        <v>767</v>
      </c>
      <c r="E323" s="289">
        <v>45443</v>
      </c>
      <c r="F323" s="288">
        <v>436.8</v>
      </c>
      <c r="H323" s="287" t="s">
        <v>458</v>
      </c>
      <c r="I323" s="287" t="s">
        <v>458</v>
      </c>
      <c r="J323" s="287" t="s">
        <v>459</v>
      </c>
      <c r="K323" s="287" t="s">
        <v>460</v>
      </c>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row>
    <row r="324" spans="1:47" ht="22.25" customHeight="1">
      <c r="A324" s="286" t="s">
        <v>455</v>
      </c>
      <c r="B324" s="286" t="s">
        <v>456</v>
      </c>
      <c r="C324" s="287" t="s">
        <v>464</v>
      </c>
      <c r="D324" s="286" t="s">
        <v>767</v>
      </c>
      <c r="E324" s="289">
        <v>45443</v>
      </c>
      <c r="F324" s="288">
        <v>720</v>
      </c>
      <c r="H324" s="287" t="s">
        <v>458</v>
      </c>
      <c r="I324" s="287" t="s">
        <v>458</v>
      </c>
      <c r="J324" s="287" t="s">
        <v>459</v>
      </c>
      <c r="K324" s="287" t="s">
        <v>460</v>
      </c>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row>
    <row r="325" spans="1:47" ht="44.1" customHeight="1">
      <c r="A325" s="286" t="s">
        <v>506</v>
      </c>
      <c r="B325" s="286" t="s">
        <v>507</v>
      </c>
      <c r="C325" s="287" t="s">
        <v>768</v>
      </c>
      <c r="D325" s="286" t="s">
        <v>769</v>
      </c>
      <c r="E325" s="289">
        <v>45457</v>
      </c>
      <c r="F325" s="288">
        <v>1000</v>
      </c>
      <c r="H325" s="287" t="s">
        <v>458</v>
      </c>
      <c r="I325" s="287" t="s">
        <v>469</v>
      </c>
      <c r="J325" s="287" t="s">
        <v>459</v>
      </c>
      <c r="K325" s="287" t="s">
        <v>460</v>
      </c>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row>
    <row r="326" spans="1:47" ht="22.25" customHeight="1">
      <c r="A326" s="286" t="s">
        <v>564</v>
      </c>
      <c r="B326" s="286" t="s">
        <v>593</v>
      </c>
      <c r="C326" s="287" t="s">
        <v>770</v>
      </c>
      <c r="D326" s="286" t="s">
        <v>771</v>
      </c>
      <c r="E326" s="289">
        <v>45473</v>
      </c>
      <c r="F326" s="288">
        <v>4472.16</v>
      </c>
      <c r="H326" s="287" t="s">
        <v>596</v>
      </c>
      <c r="I326" s="287" t="s">
        <v>596</v>
      </c>
      <c r="J326" s="287" t="s">
        <v>459</v>
      </c>
      <c r="K326" s="287" t="s">
        <v>460</v>
      </c>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row>
    <row r="327" spans="1:47" ht="22.25" customHeight="1">
      <c r="A327" s="286" t="s">
        <v>564</v>
      </c>
      <c r="B327" s="286" t="s">
        <v>593</v>
      </c>
      <c r="C327" s="287" t="s">
        <v>772</v>
      </c>
      <c r="D327" s="286" t="s">
        <v>771</v>
      </c>
      <c r="E327" s="289">
        <v>45473</v>
      </c>
      <c r="F327" s="288">
        <v>4138.97</v>
      </c>
      <c r="H327" s="287" t="s">
        <v>596</v>
      </c>
      <c r="I327" s="287" t="s">
        <v>596</v>
      </c>
      <c r="J327" s="287" t="s">
        <v>459</v>
      </c>
      <c r="K327" s="287" t="s">
        <v>460</v>
      </c>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row>
    <row r="328" spans="1:47" ht="22.25" customHeight="1">
      <c r="A328" s="286" t="s">
        <v>564</v>
      </c>
      <c r="B328" s="286" t="s">
        <v>593</v>
      </c>
      <c r="C328" s="287" t="s">
        <v>773</v>
      </c>
      <c r="D328" s="286" t="s">
        <v>771</v>
      </c>
      <c r="E328" s="289">
        <v>45473</v>
      </c>
      <c r="F328" s="288">
        <v>4442.54</v>
      </c>
      <c r="H328" s="287" t="s">
        <v>596</v>
      </c>
      <c r="I328" s="287" t="s">
        <v>596</v>
      </c>
      <c r="J328" s="287" t="s">
        <v>459</v>
      </c>
      <c r="K328" s="287" t="s">
        <v>460</v>
      </c>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row>
    <row r="329" spans="1:47" ht="22.25" customHeight="1">
      <c r="A329" s="286" t="s">
        <v>564</v>
      </c>
      <c r="B329" s="286" t="s">
        <v>593</v>
      </c>
      <c r="C329" s="287" t="s">
        <v>774</v>
      </c>
      <c r="D329" s="286" t="s">
        <v>771</v>
      </c>
      <c r="E329" s="289">
        <v>45473</v>
      </c>
      <c r="F329" s="288">
        <v>4509.18</v>
      </c>
      <c r="H329" s="287" t="s">
        <v>596</v>
      </c>
      <c r="I329" s="287" t="s">
        <v>596</v>
      </c>
      <c r="J329" s="287" t="s">
        <v>459</v>
      </c>
      <c r="K329" s="287" t="s">
        <v>460</v>
      </c>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row>
    <row r="330" spans="1:47" ht="22.25" customHeight="1">
      <c r="A330" s="286" t="s">
        <v>465</v>
      </c>
      <c r="B330" s="286" t="s">
        <v>466</v>
      </c>
      <c r="C330" s="287" t="s">
        <v>775</v>
      </c>
      <c r="D330" s="286" t="s">
        <v>771</v>
      </c>
      <c r="E330" s="289">
        <v>45473</v>
      </c>
      <c r="F330" s="288">
        <v>59.23</v>
      </c>
      <c r="H330" s="287" t="s">
        <v>94</v>
      </c>
      <c r="I330" s="287" t="s">
        <v>469</v>
      </c>
      <c r="J330" s="287" t="s">
        <v>459</v>
      </c>
      <c r="K330" s="287" t="s">
        <v>460</v>
      </c>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row>
    <row r="331" spans="1:47" ht="33.200000000000003" customHeight="1">
      <c r="A331" s="286" t="s">
        <v>489</v>
      </c>
      <c r="B331" s="286" t="s">
        <v>490</v>
      </c>
      <c r="C331" s="287" t="s">
        <v>776</v>
      </c>
      <c r="D331" s="286" t="s">
        <v>771</v>
      </c>
      <c r="E331" s="289">
        <v>45473</v>
      </c>
      <c r="F331" s="288">
        <v>42.8</v>
      </c>
      <c r="H331" s="287" t="s">
        <v>94</v>
      </c>
      <c r="I331" s="287" t="s">
        <v>469</v>
      </c>
      <c r="J331" s="287" t="s">
        <v>459</v>
      </c>
      <c r="K331" s="287" t="s">
        <v>460</v>
      </c>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row>
    <row r="332" spans="1:47" ht="22.25" customHeight="1">
      <c r="A332" s="286" t="s">
        <v>489</v>
      </c>
      <c r="B332" s="286" t="s">
        <v>490</v>
      </c>
      <c r="C332" s="287" t="s">
        <v>777</v>
      </c>
      <c r="D332" s="286" t="s">
        <v>771</v>
      </c>
      <c r="E332" s="289">
        <v>45473</v>
      </c>
      <c r="F332" s="288">
        <v>49.61</v>
      </c>
      <c r="H332" s="287" t="s">
        <v>94</v>
      </c>
      <c r="I332" s="287" t="s">
        <v>469</v>
      </c>
      <c r="J332" s="287" t="s">
        <v>459</v>
      </c>
      <c r="K332" s="287" t="s">
        <v>460</v>
      </c>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row>
    <row r="333" spans="1:47" ht="22.25" customHeight="1">
      <c r="A333" s="286" t="s">
        <v>465</v>
      </c>
      <c r="B333" s="286" t="s">
        <v>466</v>
      </c>
      <c r="C333" s="287" t="s">
        <v>775</v>
      </c>
      <c r="D333" s="286" t="s">
        <v>771</v>
      </c>
      <c r="E333" s="289">
        <v>45473</v>
      </c>
      <c r="F333" s="288">
        <v>44.43</v>
      </c>
      <c r="H333" s="287" t="s">
        <v>94</v>
      </c>
      <c r="I333" s="287" t="s">
        <v>469</v>
      </c>
      <c r="J333" s="287" t="s">
        <v>459</v>
      </c>
      <c r="K333" s="287" t="s">
        <v>460</v>
      </c>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row>
    <row r="334" spans="1:47" ht="22.25" customHeight="1">
      <c r="A334" s="286" t="s">
        <v>489</v>
      </c>
      <c r="B334" s="286" t="s">
        <v>490</v>
      </c>
      <c r="C334" s="287" t="s">
        <v>627</v>
      </c>
      <c r="D334" s="286" t="s">
        <v>771</v>
      </c>
      <c r="E334" s="289">
        <v>45473</v>
      </c>
      <c r="F334" s="288">
        <v>40.72</v>
      </c>
      <c r="H334" s="287" t="s">
        <v>94</v>
      </c>
      <c r="I334" s="287" t="s">
        <v>469</v>
      </c>
      <c r="J334" s="287" t="s">
        <v>459</v>
      </c>
      <c r="K334" s="287" t="s">
        <v>460</v>
      </c>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row>
    <row r="335" spans="1:47" ht="22.25" customHeight="1">
      <c r="A335" s="286" t="s">
        <v>489</v>
      </c>
      <c r="B335" s="286" t="s">
        <v>490</v>
      </c>
      <c r="C335" s="287" t="s">
        <v>778</v>
      </c>
      <c r="D335" s="286" t="s">
        <v>771</v>
      </c>
      <c r="E335" s="289">
        <v>45473</v>
      </c>
      <c r="F335" s="288">
        <v>4.4400000000000004</v>
      </c>
      <c r="H335" s="287" t="s">
        <v>94</v>
      </c>
      <c r="I335" s="287" t="s">
        <v>469</v>
      </c>
      <c r="J335" s="287" t="s">
        <v>459</v>
      </c>
      <c r="K335" s="287" t="s">
        <v>460</v>
      </c>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row>
    <row r="336" spans="1:47" ht="22.25" customHeight="1">
      <c r="A336" s="286" t="s">
        <v>465</v>
      </c>
      <c r="B336" s="286" t="s">
        <v>466</v>
      </c>
      <c r="C336" s="287" t="s">
        <v>775</v>
      </c>
      <c r="D336" s="286" t="s">
        <v>771</v>
      </c>
      <c r="E336" s="289">
        <v>45473</v>
      </c>
      <c r="F336" s="288">
        <v>59.23</v>
      </c>
      <c r="H336" s="287" t="s">
        <v>94</v>
      </c>
      <c r="I336" s="287" t="s">
        <v>469</v>
      </c>
      <c r="J336" s="287" t="s">
        <v>459</v>
      </c>
      <c r="K336" s="287" t="s">
        <v>460</v>
      </c>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row>
    <row r="337" spans="1:47" ht="22.25" customHeight="1">
      <c r="A337" s="286" t="s">
        <v>489</v>
      </c>
      <c r="B337" s="286" t="s">
        <v>490</v>
      </c>
      <c r="C337" s="287" t="s">
        <v>779</v>
      </c>
      <c r="D337" s="286" t="s">
        <v>771</v>
      </c>
      <c r="E337" s="289">
        <v>45473</v>
      </c>
      <c r="F337" s="288">
        <v>44.43</v>
      </c>
      <c r="H337" s="287" t="s">
        <v>94</v>
      </c>
      <c r="I337" s="287" t="s">
        <v>469</v>
      </c>
      <c r="J337" s="287" t="s">
        <v>459</v>
      </c>
      <c r="K337" s="287" t="s">
        <v>460</v>
      </c>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row>
    <row r="338" spans="1:47" ht="22.25" customHeight="1">
      <c r="A338" s="286" t="s">
        <v>465</v>
      </c>
      <c r="B338" s="286" t="s">
        <v>466</v>
      </c>
      <c r="C338" s="287" t="s">
        <v>780</v>
      </c>
      <c r="D338" s="286" t="s">
        <v>771</v>
      </c>
      <c r="E338" s="289">
        <v>45473</v>
      </c>
      <c r="F338" s="288">
        <v>4.4400000000000004</v>
      </c>
      <c r="H338" s="287" t="s">
        <v>94</v>
      </c>
      <c r="I338" s="287" t="s">
        <v>469</v>
      </c>
      <c r="J338" s="287" t="s">
        <v>459</v>
      </c>
      <c r="K338" s="287" t="s">
        <v>460</v>
      </c>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row>
    <row r="339" spans="1:47" ht="22.25" customHeight="1">
      <c r="A339" s="286" t="s">
        <v>465</v>
      </c>
      <c r="B339" s="286" t="s">
        <v>466</v>
      </c>
      <c r="C339" s="287" t="s">
        <v>781</v>
      </c>
      <c r="D339" s="286" t="s">
        <v>771</v>
      </c>
      <c r="E339" s="289">
        <v>45473</v>
      </c>
      <c r="F339" s="288">
        <v>29.62</v>
      </c>
      <c r="H339" s="287" t="s">
        <v>94</v>
      </c>
      <c r="I339" s="287" t="s">
        <v>469</v>
      </c>
      <c r="J339" s="287" t="s">
        <v>459</v>
      </c>
      <c r="K339" s="287" t="s">
        <v>460</v>
      </c>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row>
    <row r="340" spans="1:47" ht="22.25" customHeight="1">
      <c r="A340" s="286" t="s">
        <v>530</v>
      </c>
      <c r="B340" s="286" t="s">
        <v>531</v>
      </c>
      <c r="C340" s="287" t="s">
        <v>782</v>
      </c>
      <c r="D340" s="286" t="s">
        <v>771</v>
      </c>
      <c r="E340" s="289">
        <v>45473</v>
      </c>
      <c r="F340" s="288">
        <v>55.53</v>
      </c>
      <c r="H340" s="287" t="s">
        <v>94</v>
      </c>
      <c r="I340" s="287" t="s">
        <v>469</v>
      </c>
      <c r="J340" s="287" t="s">
        <v>459</v>
      </c>
      <c r="K340" s="287" t="s">
        <v>460</v>
      </c>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row>
    <row r="341" spans="1:47" ht="33.200000000000003" customHeight="1">
      <c r="A341" s="286" t="s">
        <v>489</v>
      </c>
      <c r="B341" s="286" t="s">
        <v>490</v>
      </c>
      <c r="C341" s="287" t="s">
        <v>783</v>
      </c>
      <c r="D341" s="286" t="s">
        <v>771</v>
      </c>
      <c r="E341" s="289">
        <v>45473</v>
      </c>
      <c r="F341" s="288">
        <v>114.95</v>
      </c>
      <c r="H341" s="287" t="s">
        <v>94</v>
      </c>
      <c r="I341" s="287" t="s">
        <v>469</v>
      </c>
      <c r="J341" s="287" t="s">
        <v>459</v>
      </c>
      <c r="K341" s="287" t="s">
        <v>460</v>
      </c>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row>
    <row r="342" spans="1:47" ht="33.200000000000003" customHeight="1">
      <c r="A342" s="286" t="s">
        <v>489</v>
      </c>
      <c r="B342" s="286" t="s">
        <v>490</v>
      </c>
      <c r="C342" s="287" t="s">
        <v>784</v>
      </c>
      <c r="D342" s="286" t="s">
        <v>771</v>
      </c>
      <c r="E342" s="289">
        <v>45473</v>
      </c>
      <c r="F342" s="288">
        <v>114.95</v>
      </c>
      <c r="H342" s="287" t="s">
        <v>94</v>
      </c>
      <c r="I342" s="287" t="s">
        <v>469</v>
      </c>
      <c r="J342" s="287" t="s">
        <v>459</v>
      </c>
      <c r="K342" s="287" t="s">
        <v>460</v>
      </c>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row>
    <row r="343" spans="1:47" ht="33.200000000000003" customHeight="1">
      <c r="A343" s="286" t="s">
        <v>530</v>
      </c>
      <c r="B343" s="286" t="s">
        <v>531</v>
      </c>
      <c r="C343" s="287" t="s">
        <v>785</v>
      </c>
      <c r="D343" s="286" t="s">
        <v>771</v>
      </c>
      <c r="E343" s="289">
        <v>45473</v>
      </c>
      <c r="F343" s="288">
        <v>55.53</v>
      </c>
      <c r="H343" s="287" t="s">
        <v>94</v>
      </c>
      <c r="I343" s="287" t="s">
        <v>469</v>
      </c>
      <c r="J343" s="287" t="s">
        <v>459</v>
      </c>
      <c r="K343" s="287" t="s">
        <v>460</v>
      </c>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row>
    <row r="344" spans="1:47" ht="22.25" customHeight="1">
      <c r="A344" s="286" t="s">
        <v>465</v>
      </c>
      <c r="B344" s="286" t="s">
        <v>466</v>
      </c>
      <c r="C344" s="287" t="s">
        <v>786</v>
      </c>
      <c r="D344" s="286" t="s">
        <v>771</v>
      </c>
      <c r="E344" s="289">
        <v>45473</v>
      </c>
      <c r="F344" s="288">
        <v>74.040000000000006</v>
      </c>
      <c r="H344" s="287" t="s">
        <v>99</v>
      </c>
      <c r="I344" s="287" t="s">
        <v>469</v>
      </c>
      <c r="J344" s="287" t="s">
        <v>459</v>
      </c>
      <c r="K344" s="287" t="s">
        <v>460</v>
      </c>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row>
    <row r="345" spans="1:47" ht="22.25" customHeight="1">
      <c r="A345" s="286" t="s">
        <v>489</v>
      </c>
      <c r="B345" s="286" t="s">
        <v>490</v>
      </c>
      <c r="C345" s="287" t="s">
        <v>787</v>
      </c>
      <c r="D345" s="286" t="s">
        <v>771</v>
      </c>
      <c r="E345" s="289">
        <v>45473</v>
      </c>
      <c r="F345" s="288">
        <v>192.51</v>
      </c>
      <c r="H345" s="287" t="s">
        <v>99</v>
      </c>
      <c r="I345" s="287" t="s">
        <v>469</v>
      </c>
      <c r="J345" s="287" t="s">
        <v>459</v>
      </c>
      <c r="K345" s="287" t="s">
        <v>460</v>
      </c>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row>
    <row r="346" spans="1:47" ht="22.25" customHeight="1">
      <c r="A346" s="286" t="s">
        <v>465</v>
      </c>
      <c r="B346" s="286" t="s">
        <v>466</v>
      </c>
      <c r="C346" s="287" t="s">
        <v>604</v>
      </c>
      <c r="D346" s="286" t="s">
        <v>771</v>
      </c>
      <c r="E346" s="289">
        <v>45473</v>
      </c>
      <c r="F346" s="288">
        <v>177.7</v>
      </c>
      <c r="H346" s="287" t="s">
        <v>99</v>
      </c>
      <c r="I346" s="287" t="s">
        <v>469</v>
      </c>
      <c r="J346" s="287" t="s">
        <v>459</v>
      </c>
      <c r="K346" s="287" t="s">
        <v>460</v>
      </c>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row>
    <row r="347" spans="1:47" ht="22.25" customHeight="1">
      <c r="A347" s="286" t="s">
        <v>489</v>
      </c>
      <c r="B347" s="286" t="s">
        <v>490</v>
      </c>
      <c r="C347" s="287" t="s">
        <v>788</v>
      </c>
      <c r="D347" s="286" t="s">
        <v>771</v>
      </c>
      <c r="E347" s="289">
        <v>45473</v>
      </c>
      <c r="F347" s="288">
        <v>8.89</v>
      </c>
      <c r="H347" s="287" t="s">
        <v>99</v>
      </c>
      <c r="I347" s="287" t="s">
        <v>469</v>
      </c>
      <c r="J347" s="287" t="s">
        <v>459</v>
      </c>
      <c r="K347" s="287" t="s">
        <v>460</v>
      </c>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row>
    <row r="348" spans="1:47" ht="22.25" customHeight="1">
      <c r="A348" s="286" t="s">
        <v>478</v>
      </c>
      <c r="B348" s="286" t="s">
        <v>479</v>
      </c>
      <c r="C348" s="287" t="s">
        <v>789</v>
      </c>
      <c r="D348" s="286" t="s">
        <v>771</v>
      </c>
      <c r="E348" s="289">
        <v>45473</v>
      </c>
      <c r="F348" s="288">
        <v>1200.1099999999999</v>
      </c>
      <c r="H348" s="287" t="s">
        <v>727</v>
      </c>
      <c r="I348" s="287" t="s">
        <v>469</v>
      </c>
      <c r="J348" s="287" t="s">
        <v>459</v>
      </c>
      <c r="K348" s="287" t="s">
        <v>460</v>
      </c>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row>
    <row r="349" spans="1:47" ht="22.25" customHeight="1">
      <c r="A349" s="286" t="s">
        <v>478</v>
      </c>
      <c r="B349" s="286" t="s">
        <v>479</v>
      </c>
      <c r="C349" s="287" t="s">
        <v>790</v>
      </c>
      <c r="D349" s="286" t="s">
        <v>771</v>
      </c>
      <c r="E349" s="289">
        <v>45473</v>
      </c>
      <c r="F349" s="288">
        <v>500.05</v>
      </c>
      <c r="H349" s="287" t="s">
        <v>729</v>
      </c>
      <c r="I349" s="287" t="s">
        <v>469</v>
      </c>
      <c r="J349" s="287" t="s">
        <v>459</v>
      </c>
      <c r="K349" s="287" t="s">
        <v>460</v>
      </c>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row>
    <row r="350" spans="1:47" ht="22.25" customHeight="1">
      <c r="A350" s="286" t="s">
        <v>540</v>
      </c>
      <c r="B350" s="286" t="s">
        <v>791</v>
      </c>
      <c r="C350" s="287" t="s">
        <v>792</v>
      </c>
      <c r="D350" s="286" t="s">
        <v>771</v>
      </c>
      <c r="E350" s="289">
        <v>45473</v>
      </c>
      <c r="F350" s="288">
        <v>25.91</v>
      </c>
      <c r="H350" s="287" t="s">
        <v>733</v>
      </c>
      <c r="I350" s="287" t="s">
        <v>469</v>
      </c>
      <c r="J350" s="287" t="s">
        <v>459</v>
      </c>
      <c r="K350" s="287" t="s">
        <v>460</v>
      </c>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row>
    <row r="351" spans="1:47" ht="22.25" customHeight="1">
      <c r="A351" s="286" t="s">
        <v>534</v>
      </c>
      <c r="B351" s="286" t="s">
        <v>601</v>
      </c>
      <c r="C351" s="287" t="s">
        <v>793</v>
      </c>
      <c r="D351" s="286" t="s">
        <v>771</v>
      </c>
      <c r="E351" s="289">
        <v>45473</v>
      </c>
      <c r="F351" s="288">
        <v>2.96</v>
      </c>
      <c r="H351" s="287" t="s">
        <v>733</v>
      </c>
      <c r="I351" s="287" t="s">
        <v>469</v>
      </c>
      <c r="J351" s="287" t="s">
        <v>459</v>
      </c>
      <c r="K351" s="287" t="s">
        <v>460</v>
      </c>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row>
    <row r="352" spans="1:47" ht="22.25" customHeight="1">
      <c r="A352" s="286" t="s">
        <v>534</v>
      </c>
      <c r="B352" s="286" t="s">
        <v>601</v>
      </c>
      <c r="C352" s="287" t="s">
        <v>794</v>
      </c>
      <c r="D352" s="286" t="s">
        <v>771</v>
      </c>
      <c r="E352" s="289">
        <v>45473</v>
      </c>
      <c r="F352" s="288">
        <v>2.96</v>
      </c>
      <c r="H352" s="287" t="s">
        <v>733</v>
      </c>
      <c r="I352" s="287" t="s">
        <v>469</v>
      </c>
      <c r="J352" s="287" t="s">
        <v>459</v>
      </c>
      <c r="K352" s="287" t="s">
        <v>460</v>
      </c>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row>
    <row r="353" spans="1:47" ht="22.25" customHeight="1">
      <c r="A353" s="286" t="s">
        <v>529</v>
      </c>
      <c r="B353" s="286" t="s">
        <v>573</v>
      </c>
      <c r="C353" s="287" t="s">
        <v>623</v>
      </c>
      <c r="D353" s="286" t="s">
        <v>771</v>
      </c>
      <c r="E353" s="289">
        <v>45473</v>
      </c>
      <c r="F353" s="288">
        <v>51</v>
      </c>
      <c r="H353" s="287" t="s">
        <v>733</v>
      </c>
      <c r="I353" s="287" t="s">
        <v>469</v>
      </c>
      <c r="J353" s="287" t="s">
        <v>459</v>
      </c>
      <c r="K353" s="287" t="s">
        <v>460</v>
      </c>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row>
    <row r="354" spans="1:47" ht="22.25" customHeight="1">
      <c r="A354" s="286" t="s">
        <v>529</v>
      </c>
      <c r="B354" s="286" t="s">
        <v>573</v>
      </c>
      <c r="C354" s="287" t="s">
        <v>673</v>
      </c>
      <c r="D354" s="286" t="s">
        <v>771</v>
      </c>
      <c r="E354" s="289">
        <v>45473</v>
      </c>
      <c r="F354" s="288">
        <v>40</v>
      </c>
      <c r="H354" s="287" t="s">
        <v>733</v>
      </c>
      <c r="I354" s="287" t="s">
        <v>469</v>
      </c>
      <c r="J354" s="287" t="s">
        <v>459</v>
      </c>
      <c r="K354" s="287" t="s">
        <v>460</v>
      </c>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row>
    <row r="355" spans="1:47" ht="22.25" customHeight="1">
      <c r="A355" s="286" t="s">
        <v>529</v>
      </c>
      <c r="B355" s="286" t="s">
        <v>573</v>
      </c>
      <c r="C355" s="287" t="s">
        <v>651</v>
      </c>
      <c r="D355" s="286" t="s">
        <v>771</v>
      </c>
      <c r="E355" s="289">
        <v>45473</v>
      </c>
      <c r="F355" s="288">
        <v>41</v>
      </c>
      <c r="H355" s="287" t="s">
        <v>733</v>
      </c>
      <c r="I355" s="287" t="s">
        <v>469</v>
      </c>
      <c r="J355" s="287" t="s">
        <v>459</v>
      </c>
      <c r="K355" s="287" t="s">
        <v>460</v>
      </c>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row>
    <row r="356" spans="1:47" ht="22.25" customHeight="1">
      <c r="A356" s="286" t="s">
        <v>529</v>
      </c>
      <c r="B356" s="286" t="s">
        <v>573</v>
      </c>
      <c r="C356" s="287" t="s">
        <v>652</v>
      </c>
      <c r="D356" s="286" t="s">
        <v>771</v>
      </c>
      <c r="E356" s="289">
        <v>45473</v>
      </c>
      <c r="F356" s="288">
        <v>41</v>
      </c>
      <c r="H356" s="287" t="s">
        <v>733</v>
      </c>
      <c r="I356" s="287" t="s">
        <v>469</v>
      </c>
      <c r="J356" s="287" t="s">
        <v>459</v>
      </c>
      <c r="K356" s="287" t="s">
        <v>460</v>
      </c>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row>
    <row r="357" spans="1:47" ht="22.25" customHeight="1">
      <c r="A357" s="286" t="s">
        <v>529</v>
      </c>
      <c r="B357" s="286" t="s">
        <v>573</v>
      </c>
      <c r="C357" s="287" t="s">
        <v>795</v>
      </c>
      <c r="D357" s="286" t="s">
        <v>771</v>
      </c>
      <c r="E357" s="289">
        <v>45473</v>
      </c>
      <c r="F357" s="288">
        <v>40.799999999999997</v>
      </c>
      <c r="H357" s="287" t="s">
        <v>733</v>
      </c>
      <c r="I357" s="287" t="s">
        <v>469</v>
      </c>
      <c r="J357" s="287" t="s">
        <v>459</v>
      </c>
      <c r="K357" s="287" t="s">
        <v>460</v>
      </c>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row>
    <row r="358" spans="1:47" ht="22.25" customHeight="1">
      <c r="A358" s="286" t="s">
        <v>485</v>
      </c>
      <c r="B358" s="286" t="s">
        <v>486</v>
      </c>
      <c r="C358" s="287" t="s">
        <v>654</v>
      </c>
      <c r="D358" s="286" t="s">
        <v>771</v>
      </c>
      <c r="E358" s="289">
        <v>45473</v>
      </c>
      <c r="F358" s="288">
        <v>12.44</v>
      </c>
      <c r="H358" s="287" t="s">
        <v>733</v>
      </c>
      <c r="I358" s="287" t="s">
        <v>469</v>
      </c>
      <c r="J358" s="287" t="s">
        <v>459</v>
      </c>
      <c r="K358" s="287" t="s">
        <v>460</v>
      </c>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row>
    <row r="359" spans="1:47" ht="22.25" customHeight="1">
      <c r="A359" s="286" t="s">
        <v>465</v>
      </c>
      <c r="B359" s="286" t="s">
        <v>466</v>
      </c>
      <c r="C359" s="287" t="s">
        <v>655</v>
      </c>
      <c r="D359" s="286" t="s">
        <v>771</v>
      </c>
      <c r="E359" s="289">
        <v>45473</v>
      </c>
      <c r="F359" s="288">
        <v>8.89</v>
      </c>
      <c r="H359" s="287" t="s">
        <v>733</v>
      </c>
      <c r="I359" s="287" t="s">
        <v>469</v>
      </c>
      <c r="J359" s="287" t="s">
        <v>459</v>
      </c>
      <c r="K359" s="287" t="s">
        <v>460</v>
      </c>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row>
    <row r="360" spans="1:47" ht="22.25" customHeight="1">
      <c r="A360" s="286" t="s">
        <v>485</v>
      </c>
      <c r="B360" s="286" t="s">
        <v>486</v>
      </c>
      <c r="C360" s="287" t="s">
        <v>796</v>
      </c>
      <c r="D360" s="286" t="s">
        <v>771</v>
      </c>
      <c r="E360" s="289">
        <v>45473</v>
      </c>
      <c r="F360" s="288">
        <v>74.040000000000006</v>
      </c>
      <c r="H360" s="287" t="s">
        <v>733</v>
      </c>
      <c r="I360" s="287" t="s">
        <v>469</v>
      </c>
      <c r="J360" s="287" t="s">
        <v>459</v>
      </c>
      <c r="K360" s="287" t="s">
        <v>460</v>
      </c>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row>
    <row r="361" spans="1:47" ht="22.25" customHeight="1">
      <c r="A361" s="286" t="s">
        <v>485</v>
      </c>
      <c r="B361" s="286" t="s">
        <v>486</v>
      </c>
      <c r="C361" s="287" t="s">
        <v>626</v>
      </c>
      <c r="D361" s="286" t="s">
        <v>771</v>
      </c>
      <c r="E361" s="289">
        <v>45473</v>
      </c>
      <c r="F361" s="288">
        <v>7.0000000000000007E-2</v>
      </c>
      <c r="H361" s="287" t="s">
        <v>733</v>
      </c>
      <c r="I361" s="287" t="s">
        <v>469</v>
      </c>
      <c r="J361" s="287" t="s">
        <v>459</v>
      </c>
      <c r="K361" s="287" t="s">
        <v>460</v>
      </c>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row>
    <row r="362" spans="1:47" ht="22.25" customHeight="1">
      <c r="A362" s="286" t="s">
        <v>485</v>
      </c>
      <c r="B362" s="286" t="s">
        <v>486</v>
      </c>
      <c r="C362" s="287" t="s">
        <v>749</v>
      </c>
      <c r="D362" s="286" t="s">
        <v>771</v>
      </c>
      <c r="E362" s="289">
        <v>45473</v>
      </c>
      <c r="F362" s="288">
        <v>7.11</v>
      </c>
      <c r="H362" s="287" t="s">
        <v>733</v>
      </c>
      <c r="I362" s="287" t="s">
        <v>469</v>
      </c>
      <c r="J362" s="287" t="s">
        <v>459</v>
      </c>
      <c r="K362" s="287" t="s">
        <v>460</v>
      </c>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row>
    <row r="363" spans="1:47" ht="22.25" customHeight="1">
      <c r="A363" s="286" t="s">
        <v>485</v>
      </c>
      <c r="B363" s="286" t="s">
        <v>486</v>
      </c>
      <c r="C363" s="287" t="s">
        <v>797</v>
      </c>
      <c r="D363" s="286" t="s">
        <v>771</v>
      </c>
      <c r="E363" s="289">
        <v>45473</v>
      </c>
      <c r="F363" s="288">
        <v>7.03</v>
      </c>
      <c r="H363" s="287" t="s">
        <v>733</v>
      </c>
      <c r="I363" s="287" t="s">
        <v>469</v>
      </c>
      <c r="J363" s="287" t="s">
        <v>459</v>
      </c>
      <c r="K363" s="287" t="s">
        <v>460</v>
      </c>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row>
    <row r="364" spans="1:47" ht="22.25" customHeight="1">
      <c r="A364" s="286" t="s">
        <v>485</v>
      </c>
      <c r="B364" s="286" t="s">
        <v>486</v>
      </c>
      <c r="C364" s="287" t="s">
        <v>751</v>
      </c>
      <c r="D364" s="286" t="s">
        <v>771</v>
      </c>
      <c r="E364" s="289">
        <v>45473</v>
      </c>
      <c r="F364" s="288">
        <v>10.29</v>
      </c>
      <c r="H364" s="287" t="s">
        <v>733</v>
      </c>
      <c r="I364" s="287" t="s">
        <v>469</v>
      </c>
      <c r="J364" s="287" t="s">
        <v>459</v>
      </c>
      <c r="K364" s="287" t="s">
        <v>460</v>
      </c>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row>
    <row r="365" spans="1:47" ht="22.25" customHeight="1">
      <c r="A365" s="286" t="s">
        <v>485</v>
      </c>
      <c r="B365" s="286" t="s">
        <v>486</v>
      </c>
      <c r="C365" s="287" t="s">
        <v>752</v>
      </c>
      <c r="D365" s="286" t="s">
        <v>771</v>
      </c>
      <c r="E365" s="289">
        <v>45473</v>
      </c>
      <c r="F365" s="288">
        <v>3.33</v>
      </c>
      <c r="H365" s="287" t="s">
        <v>733</v>
      </c>
      <c r="I365" s="287" t="s">
        <v>469</v>
      </c>
      <c r="J365" s="287" t="s">
        <v>459</v>
      </c>
      <c r="K365" s="287" t="s">
        <v>460</v>
      </c>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row>
    <row r="366" spans="1:47" ht="22.25" customHeight="1">
      <c r="A366" s="286" t="s">
        <v>485</v>
      </c>
      <c r="B366" s="286" t="s">
        <v>486</v>
      </c>
      <c r="C366" s="287" t="s">
        <v>798</v>
      </c>
      <c r="D366" s="286" t="s">
        <v>771</v>
      </c>
      <c r="E366" s="289">
        <v>45473</v>
      </c>
      <c r="F366" s="288">
        <v>2.0699999999999998</v>
      </c>
      <c r="H366" s="287" t="s">
        <v>733</v>
      </c>
      <c r="I366" s="287" t="s">
        <v>469</v>
      </c>
      <c r="J366" s="287" t="s">
        <v>459</v>
      </c>
      <c r="K366" s="287" t="s">
        <v>460</v>
      </c>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row>
    <row r="367" spans="1:47" ht="22.25" customHeight="1">
      <c r="A367" s="286" t="s">
        <v>485</v>
      </c>
      <c r="B367" s="286" t="s">
        <v>486</v>
      </c>
      <c r="C367" s="287" t="s">
        <v>799</v>
      </c>
      <c r="D367" s="286" t="s">
        <v>771</v>
      </c>
      <c r="E367" s="289">
        <v>45473</v>
      </c>
      <c r="F367" s="288">
        <v>4</v>
      </c>
      <c r="H367" s="287" t="s">
        <v>733</v>
      </c>
      <c r="I367" s="287" t="s">
        <v>469</v>
      </c>
      <c r="J367" s="287" t="s">
        <v>459</v>
      </c>
      <c r="K367" s="287" t="s">
        <v>460</v>
      </c>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row>
    <row r="368" spans="1:47" ht="22.25" customHeight="1">
      <c r="A368" s="286" t="s">
        <v>485</v>
      </c>
      <c r="B368" s="286" t="s">
        <v>486</v>
      </c>
      <c r="C368" s="287" t="s">
        <v>800</v>
      </c>
      <c r="D368" s="286" t="s">
        <v>771</v>
      </c>
      <c r="E368" s="289">
        <v>45473</v>
      </c>
      <c r="F368" s="288">
        <v>5.92</v>
      </c>
      <c r="H368" s="287" t="s">
        <v>733</v>
      </c>
      <c r="I368" s="287" t="s">
        <v>469</v>
      </c>
      <c r="J368" s="287" t="s">
        <v>459</v>
      </c>
      <c r="K368" s="287" t="s">
        <v>460</v>
      </c>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row>
    <row r="369" spans="1:47" ht="22.25" customHeight="1">
      <c r="A369" s="286" t="s">
        <v>485</v>
      </c>
      <c r="B369" s="286" t="s">
        <v>486</v>
      </c>
      <c r="C369" s="287" t="s">
        <v>801</v>
      </c>
      <c r="D369" s="286" t="s">
        <v>771</v>
      </c>
      <c r="E369" s="289">
        <v>45473</v>
      </c>
      <c r="F369" s="288">
        <v>2.96</v>
      </c>
      <c r="H369" s="287" t="s">
        <v>733</v>
      </c>
      <c r="I369" s="287" t="s">
        <v>469</v>
      </c>
      <c r="J369" s="287" t="s">
        <v>459</v>
      </c>
      <c r="K369" s="287" t="s">
        <v>460</v>
      </c>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row>
    <row r="370" spans="1:47" ht="22.25" customHeight="1">
      <c r="A370" s="286" t="s">
        <v>485</v>
      </c>
      <c r="B370" s="286" t="s">
        <v>486</v>
      </c>
      <c r="C370" s="287" t="s">
        <v>683</v>
      </c>
      <c r="D370" s="286" t="s">
        <v>771</v>
      </c>
      <c r="E370" s="289">
        <v>45473</v>
      </c>
      <c r="F370" s="288">
        <v>2.96</v>
      </c>
      <c r="H370" s="287" t="s">
        <v>733</v>
      </c>
      <c r="I370" s="287" t="s">
        <v>469</v>
      </c>
      <c r="J370" s="287" t="s">
        <v>459</v>
      </c>
      <c r="K370" s="287" t="s">
        <v>460</v>
      </c>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row>
    <row r="371" spans="1:47" ht="22.25" customHeight="1">
      <c r="A371" s="286" t="s">
        <v>534</v>
      </c>
      <c r="B371" s="286" t="s">
        <v>601</v>
      </c>
      <c r="C371" s="287" t="s">
        <v>802</v>
      </c>
      <c r="D371" s="286" t="s">
        <v>771</v>
      </c>
      <c r="E371" s="289">
        <v>45473</v>
      </c>
      <c r="G371" s="288">
        <v>7.0000000000000007E-2</v>
      </c>
      <c r="H371" s="287" t="s">
        <v>733</v>
      </c>
      <c r="I371" s="287" t="s">
        <v>469</v>
      </c>
      <c r="J371" s="287" t="s">
        <v>459</v>
      </c>
      <c r="K371" s="287" t="s">
        <v>460</v>
      </c>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row>
    <row r="372" spans="1:47" ht="22.25" customHeight="1">
      <c r="A372" s="286" t="s">
        <v>534</v>
      </c>
      <c r="B372" s="286" t="s">
        <v>601</v>
      </c>
      <c r="C372" s="287" t="s">
        <v>793</v>
      </c>
      <c r="D372" s="286" t="s">
        <v>771</v>
      </c>
      <c r="E372" s="289">
        <v>45473</v>
      </c>
      <c r="F372" s="288">
        <v>2.96</v>
      </c>
      <c r="H372" s="287" t="s">
        <v>733</v>
      </c>
      <c r="I372" s="287" t="s">
        <v>469</v>
      </c>
      <c r="J372" s="287" t="s">
        <v>459</v>
      </c>
      <c r="K372" s="287" t="s">
        <v>460</v>
      </c>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row>
    <row r="373" spans="1:47" ht="22.25" customHeight="1">
      <c r="A373" s="286" t="s">
        <v>478</v>
      </c>
      <c r="B373" s="286" t="s">
        <v>479</v>
      </c>
      <c r="C373" s="287" t="s">
        <v>803</v>
      </c>
      <c r="D373" s="286" t="s">
        <v>771</v>
      </c>
      <c r="E373" s="289">
        <v>45473</v>
      </c>
      <c r="F373" s="288">
        <v>59.23</v>
      </c>
      <c r="H373" s="287" t="s">
        <v>733</v>
      </c>
      <c r="I373" s="287" t="s">
        <v>469</v>
      </c>
      <c r="J373" s="287" t="s">
        <v>459</v>
      </c>
      <c r="K373" s="287" t="s">
        <v>460</v>
      </c>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row>
    <row r="374" spans="1:47" ht="22.25" customHeight="1">
      <c r="A374" s="286" t="s">
        <v>455</v>
      </c>
      <c r="B374" s="286" t="s">
        <v>456</v>
      </c>
      <c r="C374" s="287" t="s">
        <v>461</v>
      </c>
      <c r="D374" s="286" t="s">
        <v>804</v>
      </c>
      <c r="E374" s="289">
        <v>45473</v>
      </c>
      <c r="F374" s="288">
        <v>563.28</v>
      </c>
      <c r="H374" s="287" t="s">
        <v>458</v>
      </c>
      <c r="I374" s="287" t="s">
        <v>458</v>
      </c>
      <c r="J374" s="287" t="s">
        <v>459</v>
      </c>
      <c r="K374" s="287" t="s">
        <v>460</v>
      </c>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row>
    <row r="375" spans="1:47" ht="22.25" customHeight="1">
      <c r="A375" s="286" t="s">
        <v>455</v>
      </c>
      <c r="B375" s="286" t="s">
        <v>456</v>
      </c>
      <c r="C375" s="287" t="s">
        <v>463</v>
      </c>
      <c r="D375" s="286" t="s">
        <v>804</v>
      </c>
      <c r="E375" s="289">
        <v>45473</v>
      </c>
      <c r="F375" s="288">
        <v>436.8</v>
      </c>
      <c r="H375" s="287" t="s">
        <v>458</v>
      </c>
      <c r="I375" s="287" t="s">
        <v>458</v>
      </c>
      <c r="J375" s="287" t="s">
        <v>459</v>
      </c>
      <c r="K375" s="287" t="s">
        <v>460</v>
      </c>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row>
    <row r="376" spans="1:47" ht="22.25" customHeight="1">
      <c r="A376" s="286" t="s">
        <v>455</v>
      </c>
      <c r="B376" s="286" t="s">
        <v>456</v>
      </c>
      <c r="C376" s="287" t="s">
        <v>464</v>
      </c>
      <c r="D376" s="286" t="s">
        <v>804</v>
      </c>
      <c r="E376" s="289">
        <v>45473</v>
      </c>
      <c r="F376" s="288">
        <v>720</v>
      </c>
      <c r="H376" s="287" t="s">
        <v>458</v>
      </c>
      <c r="I376" s="287" t="s">
        <v>458</v>
      </c>
      <c r="J376" s="287" t="s">
        <v>459</v>
      </c>
      <c r="K376" s="287" t="s">
        <v>460</v>
      </c>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row>
    <row r="377" spans="1:47" ht="22.25" customHeight="1">
      <c r="A377" s="286" t="s">
        <v>522</v>
      </c>
      <c r="B377" s="286" t="s">
        <v>609</v>
      </c>
      <c r="C377" s="287" t="s">
        <v>736</v>
      </c>
      <c r="D377" s="286" t="s">
        <v>805</v>
      </c>
      <c r="E377" s="289">
        <v>45473</v>
      </c>
      <c r="F377" s="288">
        <v>225</v>
      </c>
      <c r="H377" s="287" t="s">
        <v>458</v>
      </c>
      <c r="I377" s="287" t="s">
        <v>458</v>
      </c>
      <c r="J377" s="287" t="s">
        <v>459</v>
      </c>
      <c r="K377" s="287" t="s">
        <v>460</v>
      </c>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row>
    <row r="378" spans="1:47" ht="22.25" customHeight="1">
      <c r="A378" s="286" t="s">
        <v>536</v>
      </c>
      <c r="B378" s="286" t="s">
        <v>647</v>
      </c>
      <c r="C378" s="287" t="s">
        <v>738</v>
      </c>
      <c r="D378" s="286" t="s">
        <v>805</v>
      </c>
      <c r="E378" s="289">
        <v>45473</v>
      </c>
      <c r="F378" s="288">
        <v>164</v>
      </c>
      <c r="H378" s="287" t="s">
        <v>458</v>
      </c>
      <c r="I378" s="287" t="s">
        <v>458</v>
      </c>
      <c r="J378" s="287" t="s">
        <v>459</v>
      </c>
      <c r="K378" s="287" t="s">
        <v>460</v>
      </c>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row>
    <row r="379" spans="1:47" ht="44.1" customHeight="1">
      <c r="A379" s="286" t="s">
        <v>506</v>
      </c>
      <c r="B379" s="286" t="s">
        <v>507</v>
      </c>
      <c r="C379" s="287" t="s">
        <v>806</v>
      </c>
      <c r="D379" s="286" t="s">
        <v>807</v>
      </c>
      <c r="E379" s="289">
        <v>45481</v>
      </c>
      <c r="F379" s="288">
        <v>2000</v>
      </c>
      <c r="H379" s="287" t="s">
        <v>458</v>
      </c>
      <c r="I379" s="287" t="s">
        <v>469</v>
      </c>
      <c r="J379" s="287" t="s">
        <v>459</v>
      </c>
      <c r="K379" s="287" t="s">
        <v>460</v>
      </c>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row>
    <row r="380" spans="1:47" ht="33.200000000000003" customHeight="1">
      <c r="A380" s="286" t="s">
        <v>536</v>
      </c>
      <c r="B380" s="286" t="s">
        <v>647</v>
      </c>
      <c r="C380" s="287" t="s">
        <v>808</v>
      </c>
      <c r="D380" s="286" t="s">
        <v>809</v>
      </c>
      <c r="E380" s="289">
        <v>45504</v>
      </c>
      <c r="F380" s="288">
        <v>44.35</v>
      </c>
      <c r="H380" s="287" t="s">
        <v>94</v>
      </c>
      <c r="I380" s="287" t="s">
        <v>469</v>
      </c>
      <c r="J380" s="287" t="s">
        <v>459</v>
      </c>
      <c r="K380" s="287" t="s">
        <v>460</v>
      </c>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row>
    <row r="381" spans="1:47" ht="33.200000000000003" customHeight="1">
      <c r="A381" s="286" t="s">
        <v>536</v>
      </c>
      <c r="B381" s="286" t="s">
        <v>647</v>
      </c>
      <c r="C381" s="287" t="s">
        <v>810</v>
      </c>
      <c r="D381" s="286" t="s">
        <v>809</v>
      </c>
      <c r="E381" s="289">
        <v>45504</v>
      </c>
      <c r="F381" s="288">
        <v>177.39</v>
      </c>
      <c r="H381" s="287" t="s">
        <v>94</v>
      </c>
      <c r="I381" s="287" t="s">
        <v>469</v>
      </c>
      <c r="J381" s="287" t="s">
        <v>459</v>
      </c>
      <c r="K381" s="287" t="s">
        <v>460</v>
      </c>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row>
    <row r="382" spans="1:47" ht="22.25" customHeight="1">
      <c r="A382" s="286" t="s">
        <v>465</v>
      </c>
      <c r="B382" s="286" t="s">
        <v>466</v>
      </c>
      <c r="C382" s="287" t="s">
        <v>811</v>
      </c>
      <c r="D382" s="286" t="s">
        <v>809</v>
      </c>
      <c r="E382" s="289">
        <v>45504</v>
      </c>
      <c r="F382" s="288">
        <v>248.34</v>
      </c>
      <c r="H382" s="287" t="s">
        <v>99</v>
      </c>
      <c r="I382" s="287" t="s">
        <v>469</v>
      </c>
      <c r="J382" s="287" t="s">
        <v>459</v>
      </c>
      <c r="K382" s="287" t="s">
        <v>460</v>
      </c>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row>
    <row r="383" spans="1:47" ht="22.25" customHeight="1">
      <c r="A383" s="286" t="s">
        <v>560</v>
      </c>
      <c r="B383" s="286" t="s">
        <v>579</v>
      </c>
      <c r="C383" s="287" t="s">
        <v>719</v>
      </c>
      <c r="D383" s="286" t="s">
        <v>809</v>
      </c>
      <c r="E383" s="289">
        <v>45504</v>
      </c>
      <c r="F383" s="288">
        <v>22.17</v>
      </c>
      <c r="H383" s="287" t="s">
        <v>99</v>
      </c>
      <c r="I383" s="287" t="s">
        <v>469</v>
      </c>
      <c r="J383" s="287" t="s">
        <v>459</v>
      </c>
      <c r="K383" s="287" t="s">
        <v>460</v>
      </c>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row>
    <row r="384" spans="1:47" ht="22.25" customHeight="1">
      <c r="A384" s="286" t="s">
        <v>489</v>
      </c>
      <c r="B384" s="286" t="s">
        <v>490</v>
      </c>
      <c r="C384" s="287" t="s">
        <v>812</v>
      </c>
      <c r="D384" s="286" t="s">
        <v>809</v>
      </c>
      <c r="E384" s="289">
        <v>45504</v>
      </c>
      <c r="F384" s="288">
        <v>642.34</v>
      </c>
      <c r="H384" s="287" t="s">
        <v>99</v>
      </c>
      <c r="I384" s="287" t="s">
        <v>469</v>
      </c>
      <c r="J384" s="287" t="s">
        <v>459</v>
      </c>
      <c r="K384" s="287" t="s">
        <v>460</v>
      </c>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row>
    <row r="385" spans="1:47" ht="33.200000000000003" customHeight="1">
      <c r="A385" s="286" t="s">
        <v>536</v>
      </c>
      <c r="B385" s="286" t="s">
        <v>647</v>
      </c>
      <c r="C385" s="287" t="s">
        <v>813</v>
      </c>
      <c r="D385" s="286" t="s">
        <v>809</v>
      </c>
      <c r="E385" s="289">
        <v>45504</v>
      </c>
      <c r="F385" s="288">
        <v>975.63</v>
      </c>
      <c r="H385" s="287" t="s">
        <v>106</v>
      </c>
      <c r="I385" s="287" t="s">
        <v>469</v>
      </c>
      <c r="J385" s="287" t="s">
        <v>459</v>
      </c>
      <c r="K385" s="287" t="s">
        <v>460</v>
      </c>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row>
    <row r="386" spans="1:47" ht="22.25" customHeight="1">
      <c r="A386" s="286" t="s">
        <v>536</v>
      </c>
      <c r="B386" s="286" t="s">
        <v>647</v>
      </c>
      <c r="C386" s="287" t="s">
        <v>814</v>
      </c>
      <c r="D386" s="286" t="s">
        <v>809</v>
      </c>
      <c r="E386" s="289">
        <v>45504</v>
      </c>
      <c r="F386" s="288">
        <v>4251.95</v>
      </c>
      <c r="H386" s="287" t="s">
        <v>106</v>
      </c>
      <c r="I386" s="287" t="s">
        <v>469</v>
      </c>
      <c r="J386" s="287" t="s">
        <v>459</v>
      </c>
      <c r="K386" s="287" t="s">
        <v>460</v>
      </c>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row>
    <row r="387" spans="1:47" ht="22.25" customHeight="1">
      <c r="A387" s="286" t="s">
        <v>465</v>
      </c>
      <c r="B387" s="286" t="s">
        <v>466</v>
      </c>
      <c r="C387" s="287" t="s">
        <v>815</v>
      </c>
      <c r="D387" s="286" t="s">
        <v>809</v>
      </c>
      <c r="E387" s="289">
        <v>45504</v>
      </c>
      <c r="F387" s="288">
        <v>2660.8</v>
      </c>
      <c r="H387" s="287" t="s">
        <v>106</v>
      </c>
      <c r="I387" s="287" t="s">
        <v>469</v>
      </c>
      <c r="J387" s="287" t="s">
        <v>459</v>
      </c>
      <c r="K387" s="287" t="s">
        <v>460</v>
      </c>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row>
    <row r="388" spans="1:47" ht="22.25" customHeight="1">
      <c r="A388" s="286" t="s">
        <v>465</v>
      </c>
      <c r="B388" s="286" t="s">
        <v>466</v>
      </c>
      <c r="C388" s="287" t="s">
        <v>816</v>
      </c>
      <c r="D388" s="286" t="s">
        <v>809</v>
      </c>
      <c r="E388" s="289">
        <v>45504</v>
      </c>
      <c r="F388" s="288">
        <v>724.33</v>
      </c>
      <c r="H388" s="287" t="s">
        <v>106</v>
      </c>
      <c r="I388" s="287" t="s">
        <v>469</v>
      </c>
      <c r="J388" s="287" t="s">
        <v>459</v>
      </c>
      <c r="K388" s="287" t="s">
        <v>460</v>
      </c>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row>
    <row r="389" spans="1:47" ht="22.25" customHeight="1">
      <c r="A389" s="286" t="s">
        <v>545</v>
      </c>
      <c r="B389" s="286" t="s">
        <v>817</v>
      </c>
      <c r="C389" s="287" t="s">
        <v>818</v>
      </c>
      <c r="D389" s="286" t="s">
        <v>809</v>
      </c>
      <c r="E389" s="289">
        <v>45504</v>
      </c>
      <c r="F389" s="288">
        <v>1219.53</v>
      </c>
      <c r="H389" s="287" t="s">
        <v>106</v>
      </c>
      <c r="I389" s="287" t="s">
        <v>469</v>
      </c>
      <c r="J389" s="287" t="s">
        <v>459</v>
      </c>
      <c r="K389" s="287" t="s">
        <v>460</v>
      </c>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row>
    <row r="390" spans="1:47" ht="22.25" customHeight="1">
      <c r="A390" s="286" t="s">
        <v>536</v>
      </c>
      <c r="B390" s="286" t="s">
        <v>647</v>
      </c>
      <c r="C390" s="287" t="s">
        <v>819</v>
      </c>
      <c r="D390" s="286" t="s">
        <v>809</v>
      </c>
      <c r="E390" s="289">
        <v>45504</v>
      </c>
      <c r="F390" s="288">
        <v>2834.64</v>
      </c>
      <c r="H390" s="287" t="s">
        <v>106</v>
      </c>
      <c r="I390" s="287" t="s">
        <v>469</v>
      </c>
      <c r="J390" s="287" t="s">
        <v>459</v>
      </c>
      <c r="K390" s="287" t="s">
        <v>460</v>
      </c>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row>
    <row r="391" spans="1:47" ht="33.200000000000003" customHeight="1">
      <c r="A391" s="286" t="s">
        <v>536</v>
      </c>
      <c r="B391" s="286" t="s">
        <v>647</v>
      </c>
      <c r="C391" s="287" t="s">
        <v>820</v>
      </c>
      <c r="D391" s="286" t="s">
        <v>809</v>
      </c>
      <c r="E391" s="289">
        <v>45504</v>
      </c>
      <c r="F391" s="288">
        <v>975.63</v>
      </c>
      <c r="H391" s="287" t="s">
        <v>106</v>
      </c>
      <c r="I391" s="287" t="s">
        <v>469</v>
      </c>
      <c r="J391" s="287" t="s">
        <v>459</v>
      </c>
      <c r="K391" s="287" t="s">
        <v>460</v>
      </c>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row>
    <row r="392" spans="1:47" ht="22.25" customHeight="1">
      <c r="A392" s="286" t="s">
        <v>545</v>
      </c>
      <c r="B392" s="286" t="s">
        <v>817</v>
      </c>
      <c r="C392" s="287" t="s">
        <v>821</v>
      </c>
      <c r="D392" s="286" t="s">
        <v>809</v>
      </c>
      <c r="E392" s="289">
        <v>45504</v>
      </c>
      <c r="F392" s="288">
        <v>1219.53</v>
      </c>
      <c r="H392" s="287" t="s">
        <v>106</v>
      </c>
      <c r="I392" s="287" t="s">
        <v>469</v>
      </c>
      <c r="J392" s="287" t="s">
        <v>459</v>
      </c>
      <c r="K392" s="287" t="s">
        <v>460</v>
      </c>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row>
    <row r="393" spans="1:47" ht="33.200000000000003" customHeight="1">
      <c r="A393" s="286" t="s">
        <v>536</v>
      </c>
      <c r="B393" s="286" t="s">
        <v>647</v>
      </c>
      <c r="C393" s="287" t="s">
        <v>822</v>
      </c>
      <c r="D393" s="286" t="s">
        <v>809</v>
      </c>
      <c r="E393" s="289">
        <v>45504</v>
      </c>
      <c r="F393" s="288">
        <v>221.73</v>
      </c>
      <c r="H393" s="287" t="s">
        <v>106</v>
      </c>
      <c r="I393" s="287" t="s">
        <v>469</v>
      </c>
      <c r="J393" s="287" t="s">
        <v>459</v>
      </c>
      <c r="K393" s="287" t="s">
        <v>460</v>
      </c>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row>
    <row r="394" spans="1:47" ht="22.25" customHeight="1">
      <c r="A394" s="286" t="s">
        <v>489</v>
      </c>
      <c r="B394" s="286" t="s">
        <v>490</v>
      </c>
      <c r="C394" s="287" t="s">
        <v>716</v>
      </c>
      <c r="D394" s="286" t="s">
        <v>809</v>
      </c>
      <c r="E394" s="289">
        <v>45504</v>
      </c>
      <c r="F394" s="288">
        <v>7243.28</v>
      </c>
      <c r="H394" s="287" t="s">
        <v>106</v>
      </c>
      <c r="I394" s="287" t="s">
        <v>469</v>
      </c>
      <c r="J394" s="287" t="s">
        <v>459</v>
      </c>
      <c r="K394" s="287" t="s">
        <v>460</v>
      </c>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row>
    <row r="395" spans="1:47" ht="22.25" customHeight="1">
      <c r="A395" s="286" t="s">
        <v>465</v>
      </c>
      <c r="B395" s="286" t="s">
        <v>466</v>
      </c>
      <c r="C395" s="287" t="s">
        <v>823</v>
      </c>
      <c r="D395" s="286" t="s">
        <v>809</v>
      </c>
      <c r="E395" s="289">
        <v>45504</v>
      </c>
      <c r="F395" s="288">
        <v>88.69</v>
      </c>
      <c r="H395" s="287" t="s">
        <v>106</v>
      </c>
      <c r="I395" s="287" t="s">
        <v>469</v>
      </c>
      <c r="J395" s="287" t="s">
        <v>459</v>
      </c>
      <c r="K395" s="287" t="s">
        <v>460</v>
      </c>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row>
    <row r="396" spans="1:47" ht="22.25" customHeight="1">
      <c r="A396" s="286" t="s">
        <v>560</v>
      </c>
      <c r="B396" s="286" t="s">
        <v>579</v>
      </c>
      <c r="C396" s="287" t="s">
        <v>824</v>
      </c>
      <c r="D396" s="286" t="s">
        <v>809</v>
      </c>
      <c r="E396" s="289">
        <v>45504</v>
      </c>
      <c r="F396" s="288">
        <v>66.52</v>
      </c>
      <c r="H396" s="287" t="s">
        <v>106</v>
      </c>
      <c r="I396" s="287" t="s">
        <v>469</v>
      </c>
      <c r="J396" s="287" t="s">
        <v>459</v>
      </c>
      <c r="K396" s="287" t="s">
        <v>460</v>
      </c>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row>
    <row r="397" spans="1:47" ht="22.25" customHeight="1">
      <c r="A397" s="286" t="s">
        <v>465</v>
      </c>
      <c r="B397" s="286" t="s">
        <v>466</v>
      </c>
      <c r="C397" s="287" t="s">
        <v>825</v>
      </c>
      <c r="D397" s="286" t="s">
        <v>809</v>
      </c>
      <c r="E397" s="289">
        <v>45504</v>
      </c>
      <c r="F397" s="288">
        <v>88.69</v>
      </c>
      <c r="H397" s="287" t="s">
        <v>106</v>
      </c>
      <c r="I397" s="287" t="s">
        <v>469</v>
      </c>
      <c r="J397" s="287" t="s">
        <v>459</v>
      </c>
      <c r="K397" s="287" t="s">
        <v>460</v>
      </c>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row>
    <row r="398" spans="1:47" ht="22.25" customHeight="1">
      <c r="A398" s="286" t="s">
        <v>506</v>
      </c>
      <c r="B398" s="286" t="s">
        <v>507</v>
      </c>
      <c r="C398" s="287" t="s">
        <v>826</v>
      </c>
      <c r="D398" s="286" t="s">
        <v>809</v>
      </c>
      <c r="E398" s="289">
        <v>45504</v>
      </c>
      <c r="F398" s="288">
        <v>229.12</v>
      </c>
      <c r="H398" s="287" t="s">
        <v>106</v>
      </c>
      <c r="I398" s="287" t="s">
        <v>469</v>
      </c>
      <c r="J398" s="287" t="s">
        <v>459</v>
      </c>
      <c r="K398" s="287" t="s">
        <v>460</v>
      </c>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row>
    <row r="399" spans="1:47" ht="22.25" customHeight="1">
      <c r="A399" s="286" t="s">
        <v>506</v>
      </c>
      <c r="B399" s="286" t="s">
        <v>507</v>
      </c>
      <c r="C399" s="287" t="s">
        <v>827</v>
      </c>
      <c r="D399" s="286" t="s">
        <v>809</v>
      </c>
      <c r="E399" s="289">
        <v>45504</v>
      </c>
      <c r="F399" s="288">
        <v>886.93</v>
      </c>
      <c r="H399" s="287" t="s">
        <v>106</v>
      </c>
      <c r="I399" s="287" t="s">
        <v>469</v>
      </c>
      <c r="J399" s="287" t="s">
        <v>459</v>
      </c>
      <c r="K399" s="287" t="s">
        <v>460</v>
      </c>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row>
    <row r="400" spans="1:47" ht="22.25" customHeight="1">
      <c r="A400" s="286" t="s">
        <v>536</v>
      </c>
      <c r="B400" s="286" t="s">
        <v>647</v>
      </c>
      <c r="C400" s="287" t="s">
        <v>828</v>
      </c>
      <c r="D400" s="286" t="s">
        <v>809</v>
      </c>
      <c r="E400" s="289">
        <v>45504</v>
      </c>
      <c r="F400" s="288">
        <v>581.09</v>
      </c>
      <c r="H400" s="287" t="s">
        <v>106</v>
      </c>
      <c r="I400" s="287" t="s">
        <v>469</v>
      </c>
      <c r="J400" s="287" t="s">
        <v>459</v>
      </c>
      <c r="K400" s="287" t="s">
        <v>460</v>
      </c>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row>
    <row r="401" spans="1:47" ht="22.25" customHeight="1">
      <c r="A401" s="286" t="s">
        <v>465</v>
      </c>
      <c r="B401" s="286" t="s">
        <v>466</v>
      </c>
      <c r="C401" s="287" t="s">
        <v>829</v>
      </c>
      <c r="D401" s="286" t="s">
        <v>809</v>
      </c>
      <c r="E401" s="289">
        <v>45504</v>
      </c>
      <c r="F401" s="288">
        <v>451.67</v>
      </c>
      <c r="H401" s="287" t="s">
        <v>106</v>
      </c>
      <c r="I401" s="287" t="s">
        <v>469</v>
      </c>
      <c r="J401" s="287" t="s">
        <v>459</v>
      </c>
      <c r="K401" s="287" t="s">
        <v>460</v>
      </c>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row>
    <row r="402" spans="1:47" ht="22.25" customHeight="1">
      <c r="A402" s="286" t="s">
        <v>465</v>
      </c>
      <c r="B402" s="286" t="s">
        <v>466</v>
      </c>
      <c r="C402" s="287" t="s">
        <v>830</v>
      </c>
      <c r="D402" s="286" t="s">
        <v>809</v>
      </c>
      <c r="E402" s="289">
        <v>45504</v>
      </c>
      <c r="F402" s="288">
        <v>67.48</v>
      </c>
      <c r="H402" s="287" t="s">
        <v>106</v>
      </c>
      <c r="I402" s="287" t="s">
        <v>469</v>
      </c>
      <c r="J402" s="287" t="s">
        <v>459</v>
      </c>
      <c r="K402" s="287" t="s">
        <v>460</v>
      </c>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row>
    <row r="403" spans="1:47" ht="22.25" customHeight="1">
      <c r="A403" s="286" t="s">
        <v>489</v>
      </c>
      <c r="B403" s="286" t="s">
        <v>490</v>
      </c>
      <c r="C403" s="287" t="s">
        <v>831</v>
      </c>
      <c r="D403" s="286" t="s">
        <v>809</v>
      </c>
      <c r="E403" s="289">
        <v>45504</v>
      </c>
      <c r="F403" s="288">
        <v>214.42</v>
      </c>
      <c r="H403" s="287" t="s">
        <v>106</v>
      </c>
      <c r="I403" s="287" t="s">
        <v>469</v>
      </c>
      <c r="J403" s="287" t="s">
        <v>459</v>
      </c>
      <c r="K403" s="287" t="s">
        <v>460</v>
      </c>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row>
    <row r="404" spans="1:47" ht="22.25" customHeight="1">
      <c r="A404" s="286" t="s">
        <v>498</v>
      </c>
      <c r="B404" s="286" t="s">
        <v>499</v>
      </c>
      <c r="C404" s="287" t="s">
        <v>832</v>
      </c>
      <c r="D404" s="286" t="s">
        <v>809</v>
      </c>
      <c r="E404" s="289">
        <v>45504</v>
      </c>
      <c r="F404" s="288">
        <v>64.3</v>
      </c>
      <c r="H404" s="287" t="s">
        <v>106</v>
      </c>
      <c r="I404" s="287" t="s">
        <v>469</v>
      </c>
      <c r="J404" s="287" t="s">
        <v>459</v>
      </c>
      <c r="K404" s="287" t="s">
        <v>460</v>
      </c>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row>
    <row r="405" spans="1:47" ht="22.25" customHeight="1">
      <c r="A405" s="286" t="s">
        <v>465</v>
      </c>
      <c r="B405" s="286" t="s">
        <v>466</v>
      </c>
      <c r="C405" s="287" t="s">
        <v>778</v>
      </c>
      <c r="D405" s="286" t="s">
        <v>809</v>
      </c>
      <c r="E405" s="289">
        <v>45504</v>
      </c>
      <c r="F405" s="288">
        <v>65.040000000000006</v>
      </c>
      <c r="H405" s="287" t="s">
        <v>106</v>
      </c>
      <c r="I405" s="287" t="s">
        <v>469</v>
      </c>
      <c r="J405" s="287" t="s">
        <v>459</v>
      </c>
      <c r="K405" s="287" t="s">
        <v>460</v>
      </c>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row>
    <row r="406" spans="1:47" ht="22.25" customHeight="1">
      <c r="A406" s="286" t="s">
        <v>489</v>
      </c>
      <c r="B406" s="286" t="s">
        <v>490</v>
      </c>
      <c r="C406" s="287" t="s">
        <v>833</v>
      </c>
      <c r="D406" s="286" t="s">
        <v>809</v>
      </c>
      <c r="E406" s="289">
        <v>45504</v>
      </c>
      <c r="F406" s="288">
        <v>2635.82</v>
      </c>
      <c r="H406" s="287" t="s">
        <v>106</v>
      </c>
      <c r="I406" s="287" t="s">
        <v>469</v>
      </c>
      <c r="J406" s="287" t="s">
        <v>459</v>
      </c>
      <c r="K406" s="287" t="s">
        <v>460</v>
      </c>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row>
    <row r="407" spans="1:47" ht="22.25" customHeight="1">
      <c r="A407" s="286" t="s">
        <v>465</v>
      </c>
      <c r="B407" s="286" t="s">
        <v>466</v>
      </c>
      <c r="C407" s="287" t="s">
        <v>466</v>
      </c>
      <c r="D407" s="286" t="s">
        <v>809</v>
      </c>
      <c r="E407" s="289">
        <v>45504</v>
      </c>
      <c r="F407" s="288">
        <v>266.08</v>
      </c>
      <c r="H407" s="287" t="s">
        <v>137</v>
      </c>
      <c r="I407" s="287" t="s">
        <v>469</v>
      </c>
      <c r="J407" s="287" t="s">
        <v>459</v>
      </c>
      <c r="K407" s="287" t="s">
        <v>460</v>
      </c>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row>
    <row r="408" spans="1:47" ht="22.25" customHeight="1">
      <c r="A408" s="286" t="s">
        <v>489</v>
      </c>
      <c r="B408" s="286" t="s">
        <v>490</v>
      </c>
      <c r="C408" s="287" t="s">
        <v>490</v>
      </c>
      <c r="D408" s="286" t="s">
        <v>809</v>
      </c>
      <c r="E408" s="289">
        <v>45504</v>
      </c>
      <c r="F408" s="288">
        <v>886.93</v>
      </c>
      <c r="H408" s="287" t="s">
        <v>137</v>
      </c>
      <c r="I408" s="287" t="s">
        <v>469</v>
      </c>
      <c r="J408" s="287" t="s">
        <v>459</v>
      </c>
      <c r="K408" s="287" t="s">
        <v>460</v>
      </c>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row>
    <row r="409" spans="1:47" ht="22.25" customHeight="1">
      <c r="A409" s="286" t="s">
        <v>506</v>
      </c>
      <c r="B409" s="286" t="s">
        <v>507</v>
      </c>
      <c r="C409" s="287" t="s">
        <v>507</v>
      </c>
      <c r="D409" s="286" t="s">
        <v>809</v>
      </c>
      <c r="E409" s="289">
        <v>45504</v>
      </c>
      <c r="F409" s="288">
        <v>147.82</v>
      </c>
      <c r="H409" s="287" t="s">
        <v>137</v>
      </c>
      <c r="I409" s="287" t="s">
        <v>469</v>
      </c>
      <c r="J409" s="287" t="s">
        <v>459</v>
      </c>
      <c r="K409" s="287" t="s">
        <v>460</v>
      </c>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row>
    <row r="410" spans="1:47" ht="22.25" customHeight="1">
      <c r="A410" s="286" t="s">
        <v>530</v>
      </c>
      <c r="B410" s="286" t="s">
        <v>531</v>
      </c>
      <c r="C410" s="287" t="s">
        <v>531</v>
      </c>
      <c r="D410" s="286" t="s">
        <v>809</v>
      </c>
      <c r="E410" s="289">
        <v>45504</v>
      </c>
      <c r="F410" s="288">
        <v>177.39</v>
      </c>
      <c r="H410" s="287" t="s">
        <v>137</v>
      </c>
      <c r="I410" s="287" t="s">
        <v>469</v>
      </c>
      <c r="J410" s="287" t="s">
        <v>459</v>
      </c>
      <c r="K410" s="287" t="s">
        <v>460</v>
      </c>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row>
    <row r="411" spans="1:47" ht="22.25" customHeight="1">
      <c r="A411" s="286" t="s">
        <v>498</v>
      </c>
      <c r="B411" s="286" t="s">
        <v>499</v>
      </c>
      <c r="C411" s="287" t="s">
        <v>499</v>
      </c>
      <c r="D411" s="286" t="s">
        <v>809</v>
      </c>
      <c r="E411" s="289">
        <v>45504</v>
      </c>
      <c r="F411" s="288">
        <v>88.69</v>
      </c>
      <c r="H411" s="287" t="s">
        <v>137</v>
      </c>
      <c r="I411" s="287" t="s">
        <v>469</v>
      </c>
      <c r="J411" s="287" t="s">
        <v>459</v>
      </c>
      <c r="K411" s="287" t="s">
        <v>460</v>
      </c>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row>
    <row r="412" spans="1:47" ht="22.25" customHeight="1">
      <c r="A412" s="286" t="s">
        <v>489</v>
      </c>
      <c r="B412" s="286" t="s">
        <v>490</v>
      </c>
      <c r="C412" s="287" t="s">
        <v>490</v>
      </c>
      <c r="D412" s="286" t="s">
        <v>809</v>
      </c>
      <c r="E412" s="289">
        <v>45504</v>
      </c>
      <c r="F412" s="288">
        <v>191.43</v>
      </c>
      <c r="H412" s="287" t="s">
        <v>137</v>
      </c>
      <c r="I412" s="287" t="s">
        <v>469</v>
      </c>
      <c r="J412" s="287" t="s">
        <v>459</v>
      </c>
      <c r="K412" s="287" t="s">
        <v>460</v>
      </c>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row>
    <row r="413" spans="1:47" ht="22.25" customHeight="1">
      <c r="A413" s="286" t="s">
        <v>489</v>
      </c>
      <c r="B413" s="286" t="s">
        <v>490</v>
      </c>
      <c r="C413" s="287" t="s">
        <v>490</v>
      </c>
      <c r="D413" s="286" t="s">
        <v>809</v>
      </c>
      <c r="E413" s="289">
        <v>45504</v>
      </c>
      <c r="F413" s="288">
        <v>321.17</v>
      </c>
      <c r="H413" s="287" t="s">
        <v>137</v>
      </c>
      <c r="I413" s="287" t="s">
        <v>469</v>
      </c>
      <c r="J413" s="287" t="s">
        <v>459</v>
      </c>
      <c r="K413" s="287" t="s">
        <v>460</v>
      </c>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row>
    <row r="414" spans="1:47" ht="22.25" customHeight="1">
      <c r="A414" s="286" t="s">
        <v>478</v>
      </c>
      <c r="B414" s="286" t="s">
        <v>479</v>
      </c>
      <c r="C414" s="287" t="s">
        <v>834</v>
      </c>
      <c r="D414" s="286" t="s">
        <v>809</v>
      </c>
      <c r="E414" s="289">
        <v>45504</v>
      </c>
      <c r="F414" s="288">
        <v>1199.03</v>
      </c>
      <c r="H414" s="287" t="s">
        <v>727</v>
      </c>
      <c r="I414" s="287" t="s">
        <v>469</v>
      </c>
      <c r="J414" s="287" t="s">
        <v>459</v>
      </c>
      <c r="K414" s="287" t="s">
        <v>460</v>
      </c>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row>
    <row r="415" spans="1:47" ht="22.25" customHeight="1">
      <c r="A415" s="286" t="s">
        <v>478</v>
      </c>
      <c r="B415" s="286" t="s">
        <v>479</v>
      </c>
      <c r="C415" s="287" t="s">
        <v>835</v>
      </c>
      <c r="D415" s="286" t="s">
        <v>809</v>
      </c>
      <c r="E415" s="289">
        <v>45504</v>
      </c>
      <c r="F415" s="288">
        <v>499.6</v>
      </c>
      <c r="H415" s="287" t="s">
        <v>729</v>
      </c>
      <c r="I415" s="287" t="s">
        <v>469</v>
      </c>
      <c r="J415" s="287" t="s">
        <v>459</v>
      </c>
      <c r="K415" s="287" t="s">
        <v>460</v>
      </c>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row>
    <row r="416" spans="1:47" ht="22.25" customHeight="1">
      <c r="A416" s="286" t="s">
        <v>534</v>
      </c>
      <c r="B416" s="286" t="s">
        <v>601</v>
      </c>
      <c r="C416" s="287" t="s">
        <v>836</v>
      </c>
      <c r="D416" s="286" t="s">
        <v>809</v>
      </c>
      <c r="E416" s="289">
        <v>45504</v>
      </c>
      <c r="F416" s="288">
        <v>2.96</v>
      </c>
      <c r="H416" s="287" t="s">
        <v>733</v>
      </c>
      <c r="I416" s="287" t="s">
        <v>469</v>
      </c>
      <c r="J416" s="287" t="s">
        <v>459</v>
      </c>
      <c r="K416" s="287" t="s">
        <v>460</v>
      </c>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row>
    <row r="417" spans="1:47" ht="22.25" customHeight="1">
      <c r="A417" s="286" t="s">
        <v>478</v>
      </c>
      <c r="B417" s="286" t="s">
        <v>479</v>
      </c>
      <c r="C417" s="287" t="s">
        <v>837</v>
      </c>
      <c r="D417" s="286" t="s">
        <v>809</v>
      </c>
      <c r="E417" s="289">
        <v>45504</v>
      </c>
      <c r="F417" s="288">
        <v>59.13</v>
      </c>
      <c r="H417" s="287" t="s">
        <v>733</v>
      </c>
      <c r="I417" s="287" t="s">
        <v>469</v>
      </c>
      <c r="J417" s="287" t="s">
        <v>459</v>
      </c>
      <c r="K417" s="287" t="s">
        <v>460</v>
      </c>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row>
    <row r="418" spans="1:47" ht="22.25" customHeight="1">
      <c r="A418" s="286" t="s">
        <v>534</v>
      </c>
      <c r="B418" s="286" t="s">
        <v>601</v>
      </c>
      <c r="C418" s="287" t="s">
        <v>836</v>
      </c>
      <c r="D418" s="286" t="s">
        <v>809</v>
      </c>
      <c r="E418" s="289">
        <v>45504</v>
      </c>
      <c r="F418" s="288">
        <v>2.96</v>
      </c>
      <c r="H418" s="287" t="s">
        <v>733</v>
      </c>
      <c r="I418" s="287" t="s">
        <v>469</v>
      </c>
      <c r="J418" s="287" t="s">
        <v>459</v>
      </c>
      <c r="K418" s="287" t="s">
        <v>460</v>
      </c>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row>
    <row r="419" spans="1:47" ht="22.25" customHeight="1">
      <c r="A419" s="286" t="s">
        <v>529</v>
      </c>
      <c r="B419" s="286" t="s">
        <v>573</v>
      </c>
      <c r="C419" s="287" t="s">
        <v>623</v>
      </c>
      <c r="D419" s="286" t="s">
        <v>809</v>
      </c>
      <c r="E419" s="289">
        <v>45504</v>
      </c>
      <c r="F419" s="288">
        <v>51</v>
      </c>
      <c r="H419" s="287" t="s">
        <v>733</v>
      </c>
      <c r="I419" s="287" t="s">
        <v>469</v>
      </c>
      <c r="J419" s="287" t="s">
        <v>459</v>
      </c>
      <c r="K419" s="287" t="s">
        <v>460</v>
      </c>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row>
    <row r="420" spans="1:47" ht="22.25" customHeight="1">
      <c r="A420" s="286" t="s">
        <v>529</v>
      </c>
      <c r="B420" s="286" t="s">
        <v>573</v>
      </c>
      <c r="C420" s="287" t="s">
        <v>673</v>
      </c>
      <c r="D420" s="286" t="s">
        <v>809</v>
      </c>
      <c r="E420" s="289">
        <v>45504</v>
      </c>
      <c r="F420" s="288">
        <v>40.96</v>
      </c>
      <c r="H420" s="287" t="s">
        <v>733</v>
      </c>
      <c r="I420" s="287" t="s">
        <v>469</v>
      </c>
      <c r="J420" s="287" t="s">
        <v>459</v>
      </c>
      <c r="K420" s="287" t="s">
        <v>460</v>
      </c>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row>
    <row r="421" spans="1:47" ht="22.25" customHeight="1">
      <c r="A421" s="286" t="s">
        <v>529</v>
      </c>
      <c r="B421" s="286" t="s">
        <v>573</v>
      </c>
      <c r="C421" s="287" t="s">
        <v>651</v>
      </c>
      <c r="D421" s="286" t="s">
        <v>809</v>
      </c>
      <c r="E421" s="289">
        <v>45504</v>
      </c>
      <c r="F421" s="288">
        <v>40.96</v>
      </c>
      <c r="H421" s="287" t="s">
        <v>733</v>
      </c>
      <c r="I421" s="287" t="s">
        <v>469</v>
      </c>
      <c r="J421" s="287" t="s">
        <v>459</v>
      </c>
      <c r="K421" s="287" t="s">
        <v>460</v>
      </c>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row>
    <row r="422" spans="1:47" ht="22.25" customHeight="1">
      <c r="A422" s="286" t="s">
        <v>529</v>
      </c>
      <c r="B422" s="286" t="s">
        <v>573</v>
      </c>
      <c r="C422" s="287" t="s">
        <v>652</v>
      </c>
      <c r="D422" s="286" t="s">
        <v>809</v>
      </c>
      <c r="E422" s="289">
        <v>45504</v>
      </c>
      <c r="F422" s="288">
        <v>40.96</v>
      </c>
      <c r="H422" s="287" t="s">
        <v>733</v>
      </c>
      <c r="I422" s="287" t="s">
        <v>469</v>
      </c>
      <c r="J422" s="287" t="s">
        <v>459</v>
      </c>
      <c r="K422" s="287" t="s">
        <v>460</v>
      </c>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row>
    <row r="423" spans="1:47" ht="22.25" customHeight="1">
      <c r="A423" s="286" t="s">
        <v>529</v>
      </c>
      <c r="B423" s="286" t="s">
        <v>573</v>
      </c>
      <c r="C423" s="287" t="s">
        <v>795</v>
      </c>
      <c r="D423" s="286" t="s">
        <v>809</v>
      </c>
      <c r="E423" s="289">
        <v>45504</v>
      </c>
      <c r="F423" s="288">
        <v>40.72</v>
      </c>
      <c r="H423" s="287" t="s">
        <v>733</v>
      </c>
      <c r="I423" s="287" t="s">
        <v>469</v>
      </c>
      <c r="J423" s="287" t="s">
        <v>459</v>
      </c>
      <c r="K423" s="287" t="s">
        <v>460</v>
      </c>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row>
    <row r="424" spans="1:47" ht="22.25" customHeight="1">
      <c r="A424" s="286" t="s">
        <v>485</v>
      </c>
      <c r="B424" s="286" t="s">
        <v>486</v>
      </c>
      <c r="C424" s="287" t="s">
        <v>654</v>
      </c>
      <c r="D424" s="286" t="s">
        <v>809</v>
      </c>
      <c r="E424" s="289">
        <v>45504</v>
      </c>
      <c r="F424" s="288">
        <v>11.23</v>
      </c>
      <c r="H424" s="287" t="s">
        <v>733</v>
      </c>
      <c r="I424" s="287" t="s">
        <v>469</v>
      </c>
      <c r="J424" s="287" t="s">
        <v>459</v>
      </c>
      <c r="K424" s="287" t="s">
        <v>460</v>
      </c>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row>
    <row r="425" spans="1:47" ht="22.25" customHeight="1">
      <c r="A425" s="286" t="s">
        <v>465</v>
      </c>
      <c r="B425" s="286" t="s">
        <v>466</v>
      </c>
      <c r="C425" s="287" t="s">
        <v>655</v>
      </c>
      <c r="D425" s="286" t="s">
        <v>809</v>
      </c>
      <c r="E425" s="289">
        <v>45504</v>
      </c>
      <c r="F425" s="288">
        <v>10.35</v>
      </c>
      <c r="H425" s="287" t="s">
        <v>733</v>
      </c>
      <c r="I425" s="287" t="s">
        <v>469</v>
      </c>
      <c r="J425" s="287" t="s">
        <v>459</v>
      </c>
      <c r="K425" s="287" t="s">
        <v>460</v>
      </c>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row>
    <row r="426" spans="1:47" ht="22.25" customHeight="1">
      <c r="A426" s="286" t="s">
        <v>485</v>
      </c>
      <c r="B426" s="286" t="s">
        <v>486</v>
      </c>
      <c r="C426" s="287" t="s">
        <v>626</v>
      </c>
      <c r="D426" s="286" t="s">
        <v>809</v>
      </c>
      <c r="E426" s="289">
        <v>45504</v>
      </c>
      <c r="F426" s="288">
        <v>7.0000000000000007E-2</v>
      </c>
      <c r="H426" s="287" t="s">
        <v>733</v>
      </c>
      <c r="I426" s="287" t="s">
        <v>469</v>
      </c>
      <c r="J426" s="287" t="s">
        <v>459</v>
      </c>
      <c r="K426" s="287" t="s">
        <v>460</v>
      </c>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row>
    <row r="427" spans="1:47" ht="22.25" customHeight="1">
      <c r="A427" s="286" t="s">
        <v>485</v>
      </c>
      <c r="B427" s="286" t="s">
        <v>486</v>
      </c>
      <c r="C427" s="287" t="s">
        <v>838</v>
      </c>
      <c r="D427" s="286" t="s">
        <v>809</v>
      </c>
      <c r="E427" s="289">
        <v>45504</v>
      </c>
      <c r="F427" s="288">
        <v>73.91</v>
      </c>
      <c r="H427" s="287" t="s">
        <v>733</v>
      </c>
      <c r="I427" s="287" t="s">
        <v>469</v>
      </c>
      <c r="J427" s="287" t="s">
        <v>459</v>
      </c>
      <c r="K427" s="287" t="s">
        <v>460</v>
      </c>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row>
    <row r="428" spans="1:47" ht="22.25" customHeight="1">
      <c r="A428" s="286" t="s">
        <v>485</v>
      </c>
      <c r="B428" s="286" t="s">
        <v>486</v>
      </c>
      <c r="C428" s="287" t="s">
        <v>749</v>
      </c>
      <c r="D428" s="286" t="s">
        <v>809</v>
      </c>
      <c r="E428" s="289">
        <v>45504</v>
      </c>
      <c r="F428" s="288">
        <v>7.1</v>
      </c>
      <c r="H428" s="287" t="s">
        <v>733</v>
      </c>
      <c r="I428" s="287" t="s">
        <v>469</v>
      </c>
      <c r="J428" s="287" t="s">
        <v>459</v>
      </c>
      <c r="K428" s="287" t="s">
        <v>460</v>
      </c>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row>
    <row r="429" spans="1:47" ht="22.25" customHeight="1">
      <c r="A429" s="286" t="s">
        <v>485</v>
      </c>
      <c r="B429" s="286" t="s">
        <v>486</v>
      </c>
      <c r="C429" s="287" t="s">
        <v>797</v>
      </c>
      <c r="D429" s="286" t="s">
        <v>809</v>
      </c>
      <c r="E429" s="289">
        <v>45504</v>
      </c>
      <c r="F429" s="288">
        <v>7.02</v>
      </c>
      <c r="H429" s="287" t="s">
        <v>733</v>
      </c>
      <c r="I429" s="287" t="s">
        <v>469</v>
      </c>
      <c r="J429" s="287" t="s">
        <v>459</v>
      </c>
      <c r="K429" s="287" t="s">
        <v>460</v>
      </c>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row>
    <row r="430" spans="1:47" ht="22.25" customHeight="1">
      <c r="A430" s="286" t="s">
        <v>485</v>
      </c>
      <c r="B430" s="286" t="s">
        <v>486</v>
      </c>
      <c r="C430" s="287" t="s">
        <v>751</v>
      </c>
      <c r="D430" s="286" t="s">
        <v>809</v>
      </c>
      <c r="E430" s="289">
        <v>45504</v>
      </c>
      <c r="F430" s="288">
        <v>10.27</v>
      </c>
      <c r="H430" s="287" t="s">
        <v>733</v>
      </c>
      <c r="I430" s="287" t="s">
        <v>469</v>
      </c>
      <c r="J430" s="287" t="s">
        <v>459</v>
      </c>
      <c r="K430" s="287" t="s">
        <v>460</v>
      </c>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row>
    <row r="431" spans="1:47" ht="22.25" customHeight="1">
      <c r="A431" s="286" t="s">
        <v>485</v>
      </c>
      <c r="B431" s="286" t="s">
        <v>486</v>
      </c>
      <c r="C431" s="287" t="s">
        <v>839</v>
      </c>
      <c r="D431" s="286" t="s">
        <v>809</v>
      </c>
      <c r="E431" s="289">
        <v>45504</v>
      </c>
      <c r="F431" s="288">
        <v>4.43</v>
      </c>
      <c r="H431" s="287" t="s">
        <v>733</v>
      </c>
      <c r="I431" s="287" t="s">
        <v>469</v>
      </c>
      <c r="J431" s="287" t="s">
        <v>459</v>
      </c>
      <c r="K431" s="287" t="s">
        <v>460</v>
      </c>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row>
    <row r="432" spans="1:47" ht="22.25" customHeight="1">
      <c r="A432" s="286" t="s">
        <v>485</v>
      </c>
      <c r="B432" s="286" t="s">
        <v>486</v>
      </c>
      <c r="C432" s="287" t="s">
        <v>799</v>
      </c>
      <c r="D432" s="286" t="s">
        <v>809</v>
      </c>
      <c r="E432" s="289">
        <v>45504</v>
      </c>
      <c r="F432" s="288">
        <v>3.99</v>
      </c>
      <c r="H432" s="287" t="s">
        <v>733</v>
      </c>
      <c r="I432" s="287" t="s">
        <v>469</v>
      </c>
      <c r="J432" s="287" t="s">
        <v>459</v>
      </c>
      <c r="K432" s="287" t="s">
        <v>460</v>
      </c>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row>
    <row r="433" spans="1:47" ht="22.25" customHeight="1">
      <c r="A433" s="286" t="s">
        <v>485</v>
      </c>
      <c r="B433" s="286" t="s">
        <v>486</v>
      </c>
      <c r="C433" s="287" t="s">
        <v>683</v>
      </c>
      <c r="D433" s="286" t="s">
        <v>809</v>
      </c>
      <c r="E433" s="289">
        <v>45504</v>
      </c>
      <c r="F433" s="288">
        <v>3.55</v>
      </c>
      <c r="H433" s="287" t="s">
        <v>733</v>
      </c>
      <c r="I433" s="287" t="s">
        <v>469</v>
      </c>
      <c r="J433" s="287" t="s">
        <v>459</v>
      </c>
      <c r="K433" s="287" t="s">
        <v>460</v>
      </c>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row>
    <row r="434" spans="1:47" ht="22.25" customHeight="1">
      <c r="A434" s="286" t="s">
        <v>485</v>
      </c>
      <c r="B434" s="286" t="s">
        <v>486</v>
      </c>
      <c r="C434" s="287" t="s">
        <v>840</v>
      </c>
      <c r="D434" s="286" t="s">
        <v>809</v>
      </c>
      <c r="E434" s="289">
        <v>45504</v>
      </c>
      <c r="F434" s="288">
        <v>5.91</v>
      </c>
      <c r="H434" s="287" t="s">
        <v>733</v>
      </c>
      <c r="I434" s="287" t="s">
        <v>469</v>
      </c>
      <c r="J434" s="287" t="s">
        <v>459</v>
      </c>
      <c r="K434" s="287" t="s">
        <v>460</v>
      </c>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row>
    <row r="435" spans="1:47" ht="22.25" customHeight="1">
      <c r="A435" s="286" t="s">
        <v>485</v>
      </c>
      <c r="B435" s="286" t="s">
        <v>486</v>
      </c>
      <c r="C435" s="287" t="s">
        <v>801</v>
      </c>
      <c r="D435" s="286" t="s">
        <v>809</v>
      </c>
      <c r="E435" s="289">
        <v>45504</v>
      </c>
      <c r="F435" s="288">
        <v>8.8699999999999992</v>
      </c>
      <c r="H435" s="287" t="s">
        <v>733</v>
      </c>
      <c r="I435" s="287" t="s">
        <v>469</v>
      </c>
      <c r="J435" s="287" t="s">
        <v>459</v>
      </c>
      <c r="K435" s="287" t="s">
        <v>460</v>
      </c>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row>
    <row r="436" spans="1:47" ht="22.25" customHeight="1">
      <c r="A436" s="286" t="s">
        <v>485</v>
      </c>
      <c r="B436" s="286" t="s">
        <v>486</v>
      </c>
      <c r="C436" s="287" t="s">
        <v>841</v>
      </c>
      <c r="D436" s="286" t="s">
        <v>809</v>
      </c>
      <c r="E436" s="289">
        <v>45504</v>
      </c>
      <c r="F436" s="288">
        <v>38.43</v>
      </c>
      <c r="H436" s="287" t="s">
        <v>733</v>
      </c>
      <c r="I436" s="287" t="s">
        <v>469</v>
      </c>
      <c r="J436" s="287" t="s">
        <v>459</v>
      </c>
      <c r="K436" s="287" t="s">
        <v>460</v>
      </c>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row>
    <row r="437" spans="1:47" ht="22.25" customHeight="1">
      <c r="A437" s="286" t="s">
        <v>485</v>
      </c>
      <c r="B437" s="286" t="s">
        <v>486</v>
      </c>
      <c r="C437" s="287" t="s">
        <v>842</v>
      </c>
      <c r="D437" s="286" t="s">
        <v>809</v>
      </c>
      <c r="E437" s="289">
        <v>45504</v>
      </c>
      <c r="F437" s="288">
        <v>17.739999999999998</v>
      </c>
      <c r="H437" s="287" t="s">
        <v>733</v>
      </c>
      <c r="I437" s="287" t="s">
        <v>469</v>
      </c>
      <c r="J437" s="287" t="s">
        <v>459</v>
      </c>
      <c r="K437" s="287" t="s">
        <v>460</v>
      </c>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row>
    <row r="438" spans="1:47" ht="22.25" customHeight="1">
      <c r="A438" s="286" t="s">
        <v>485</v>
      </c>
      <c r="B438" s="286" t="s">
        <v>486</v>
      </c>
      <c r="C438" s="287" t="s">
        <v>843</v>
      </c>
      <c r="D438" s="286" t="s">
        <v>809</v>
      </c>
      <c r="E438" s="289">
        <v>45504</v>
      </c>
      <c r="F438" s="288">
        <v>2.96</v>
      </c>
      <c r="H438" s="287" t="s">
        <v>733</v>
      </c>
      <c r="I438" s="287" t="s">
        <v>469</v>
      </c>
      <c r="J438" s="287" t="s">
        <v>459</v>
      </c>
      <c r="K438" s="287" t="s">
        <v>460</v>
      </c>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row>
    <row r="439" spans="1:47" ht="22.25" customHeight="1">
      <c r="A439" s="286" t="s">
        <v>485</v>
      </c>
      <c r="B439" s="286" t="s">
        <v>486</v>
      </c>
      <c r="C439" s="287" t="s">
        <v>844</v>
      </c>
      <c r="D439" s="286" t="s">
        <v>809</v>
      </c>
      <c r="E439" s="289">
        <v>45504</v>
      </c>
      <c r="F439" s="288">
        <v>5.91</v>
      </c>
      <c r="H439" s="287" t="s">
        <v>733</v>
      </c>
      <c r="I439" s="287" t="s">
        <v>469</v>
      </c>
      <c r="J439" s="287" t="s">
        <v>459</v>
      </c>
      <c r="K439" s="287" t="s">
        <v>460</v>
      </c>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row>
    <row r="440" spans="1:47" ht="22.25" customHeight="1">
      <c r="A440" s="286" t="s">
        <v>485</v>
      </c>
      <c r="B440" s="286" t="s">
        <v>486</v>
      </c>
      <c r="C440" s="287" t="s">
        <v>845</v>
      </c>
      <c r="D440" s="286" t="s">
        <v>809</v>
      </c>
      <c r="E440" s="289">
        <v>45504</v>
      </c>
      <c r="F440" s="288">
        <v>17.739999999999998</v>
      </c>
      <c r="H440" s="287" t="s">
        <v>733</v>
      </c>
      <c r="I440" s="287" t="s">
        <v>469</v>
      </c>
      <c r="J440" s="287" t="s">
        <v>459</v>
      </c>
      <c r="K440" s="287" t="s">
        <v>460</v>
      </c>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row>
    <row r="441" spans="1:47" ht="22.25" customHeight="1">
      <c r="A441" s="286" t="s">
        <v>485</v>
      </c>
      <c r="B441" s="286" t="s">
        <v>486</v>
      </c>
      <c r="C441" s="287" t="s">
        <v>846</v>
      </c>
      <c r="D441" s="286" t="s">
        <v>809</v>
      </c>
      <c r="E441" s="289">
        <v>45504</v>
      </c>
      <c r="F441" s="288">
        <v>29.56</v>
      </c>
      <c r="H441" s="287" t="s">
        <v>733</v>
      </c>
      <c r="I441" s="287" t="s">
        <v>469</v>
      </c>
      <c r="J441" s="287" t="s">
        <v>459</v>
      </c>
      <c r="K441" s="287" t="s">
        <v>460</v>
      </c>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row>
    <row r="442" spans="1:47" ht="22.25" customHeight="1">
      <c r="A442" s="286" t="s">
        <v>485</v>
      </c>
      <c r="B442" s="286" t="s">
        <v>486</v>
      </c>
      <c r="C442" s="287" t="s">
        <v>847</v>
      </c>
      <c r="D442" s="286" t="s">
        <v>809</v>
      </c>
      <c r="E442" s="289">
        <v>45504</v>
      </c>
      <c r="F442" s="288">
        <v>20.7</v>
      </c>
      <c r="H442" s="287" t="s">
        <v>733</v>
      </c>
      <c r="I442" s="287" t="s">
        <v>469</v>
      </c>
      <c r="J442" s="287" t="s">
        <v>459</v>
      </c>
      <c r="K442" s="287" t="s">
        <v>460</v>
      </c>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row>
    <row r="443" spans="1:47" ht="22.25" customHeight="1">
      <c r="A443" s="286" t="s">
        <v>485</v>
      </c>
      <c r="B443" s="286" t="s">
        <v>486</v>
      </c>
      <c r="C443" s="287" t="s">
        <v>848</v>
      </c>
      <c r="D443" s="286" t="s">
        <v>809</v>
      </c>
      <c r="E443" s="289">
        <v>45504</v>
      </c>
      <c r="F443" s="288">
        <v>5.17</v>
      </c>
      <c r="H443" s="287" t="s">
        <v>733</v>
      </c>
      <c r="I443" s="287" t="s">
        <v>469</v>
      </c>
      <c r="J443" s="287" t="s">
        <v>459</v>
      </c>
      <c r="K443" s="287" t="s">
        <v>460</v>
      </c>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row>
    <row r="444" spans="1:47" ht="22.25" customHeight="1">
      <c r="A444" s="286" t="s">
        <v>485</v>
      </c>
      <c r="B444" s="286" t="s">
        <v>486</v>
      </c>
      <c r="C444" s="287" t="s">
        <v>849</v>
      </c>
      <c r="D444" s="286" t="s">
        <v>809</v>
      </c>
      <c r="E444" s="289">
        <v>45504</v>
      </c>
      <c r="F444" s="288">
        <v>3.55</v>
      </c>
      <c r="H444" s="287" t="s">
        <v>733</v>
      </c>
      <c r="I444" s="287" t="s">
        <v>469</v>
      </c>
      <c r="J444" s="287" t="s">
        <v>459</v>
      </c>
      <c r="K444" s="287" t="s">
        <v>460</v>
      </c>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row>
    <row r="445" spans="1:47" ht="22.25" customHeight="1">
      <c r="A445" s="286" t="s">
        <v>465</v>
      </c>
      <c r="B445" s="286" t="s">
        <v>466</v>
      </c>
      <c r="C445" s="287" t="s">
        <v>850</v>
      </c>
      <c r="D445" s="286" t="s">
        <v>809</v>
      </c>
      <c r="E445" s="289">
        <v>45504</v>
      </c>
      <c r="F445" s="288">
        <v>14.78</v>
      </c>
      <c r="H445" s="287" t="s">
        <v>733</v>
      </c>
      <c r="I445" s="287" t="s">
        <v>469</v>
      </c>
      <c r="J445" s="287" t="s">
        <v>459</v>
      </c>
      <c r="K445" s="287" t="s">
        <v>460</v>
      </c>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row>
    <row r="446" spans="1:47" ht="22.25" customHeight="1">
      <c r="A446" s="286" t="s">
        <v>465</v>
      </c>
      <c r="B446" s="286" t="s">
        <v>466</v>
      </c>
      <c r="C446" s="287" t="s">
        <v>850</v>
      </c>
      <c r="D446" s="286" t="s">
        <v>809</v>
      </c>
      <c r="E446" s="289">
        <v>45504</v>
      </c>
      <c r="F446" s="288">
        <v>29.56</v>
      </c>
      <c r="H446" s="287" t="s">
        <v>733</v>
      </c>
      <c r="I446" s="287" t="s">
        <v>469</v>
      </c>
      <c r="J446" s="287" t="s">
        <v>459</v>
      </c>
      <c r="K446" s="287" t="s">
        <v>460</v>
      </c>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row>
    <row r="447" spans="1:47" ht="22.25" customHeight="1">
      <c r="A447" s="286" t="s">
        <v>465</v>
      </c>
      <c r="B447" s="286" t="s">
        <v>466</v>
      </c>
      <c r="C447" s="287" t="s">
        <v>850</v>
      </c>
      <c r="D447" s="286" t="s">
        <v>809</v>
      </c>
      <c r="E447" s="289">
        <v>45504</v>
      </c>
      <c r="F447" s="288">
        <v>29.56</v>
      </c>
      <c r="H447" s="287" t="s">
        <v>733</v>
      </c>
      <c r="I447" s="287" t="s">
        <v>469</v>
      </c>
      <c r="J447" s="287" t="s">
        <v>459</v>
      </c>
      <c r="K447" s="287" t="s">
        <v>460</v>
      </c>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row>
    <row r="448" spans="1:47" ht="22.25" customHeight="1">
      <c r="A448" s="286" t="s">
        <v>465</v>
      </c>
      <c r="B448" s="286" t="s">
        <v>466</v>
      </c>
      <c r="C448" s="287" t="s">
        <v>850</v>
      </c>
      <c r="D448" s="286" t="s">
        <v>809</v>
      </c>
      <c r="E448" s="289">
        <v>45504</v>
      </c>
      <c r="F448" s="288">
        <v>29.56</v>
      </c>
      <c r="H448" s="287" t="s">
        <v>733</v>
      </c>
      <c r="I448" s="287" t="s">
        <v>469</v>
      </c>
      <c r="J448" s="287" t="s">
        <v>459</v>
      </c>
      <c r="K448" s="287" t="s">
        <v>460</v>
      </c>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row>
    <row r="449" spans="1:47" ht="33.200000000000003" customHeight="1">
      <c r="A449" s="286" t="s">
        <v>543</v>
      </c>
      <c r="B449" s="286" t="s">
        <v>724</v>
      </c>
      <c r="C449" s="287" t="s">
        <v>851</v>
      </c>
      <c r="D449" s="286" t="s">
        <v>809</v>
      </c>
      <c r="E449" s="289">
        <v>45504</v>
      </c>
      <c r="F449" s="288">
        <v>407.51</v>
      </c>
      <c r="H449" s="287" t="s">
        <v>733</v>
      </c>
      <c r="I449" s="287" t="s">
        <v>469</v>
      </c>
      <c r="J449" s="287" t="s">
        <v>459</v>
      </c>
      <c r="K449" s="287" t="s">
        <v>460</v>
      </c>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row>
    <row r="450" spans="1:47" ht="22.25" customHeight="1">
      <c r="A450" s="286" t="s">
        <v>522</v>
      </c>
      <c r="B450" s="286" t="s">
        <v>609</v>
      </c>
      <c r="C450" s="287" t="s">
        <v>736</v>
      </c>
      <c r="D450" s="286" t="s">
        <v>852</v>
      </c>
      <c r="E450" s="289">
        <v>45504</v>
      </c>
      <c r="F450" s="288">
        <v>225</v>
      </c>
      <c r="H450" s="287" t="s">
        <v>458</v>
      </c>
      <c r="I450" s="287" t="s">
        <v>458</v>
      </c>
      <c r="J450" s="287" t="s">
        <v>459</v>
      </c>
      <c r="K450" s="287" t="s">
        <v>460</v>
      </c>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row>
    <row r="451" spans="1:47" ht="22.25" customHeight="1">
      <c r="A451" s="286" t="s">
        <v>536</v>
      </c>
      <c r="B451" s="286" t="s">
        <v>647</v>
      </c>
      <c r="C451" s="287" t="s">
        <v>738</v>
      </c>
      <c r="D451" s="286" t="s">
        <v>852</v>
      </c>
      <c r="E451" s="289">
        <v>45504</v>
      </c>
      <c r="F451" s="288">
        <v>164</v>
      </c>
      <c r="H451" s="287" t="s">
        <v>458</v>
      </c>
      <c r="I451" s="287" t="s">
        <v>458</v>
      </c>
      <c r="J451" s="287" t="s">
        <v>459</v>
      </c>
      <c r="K451" s="287" t="s">
        <v>460</v>
      </c>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row>
    <row r="452" spans="1:47" ht="22.25" customHeight="1">
      <c r="A452" s="286" t="s">
        <v>455</v>
      </c>
      <c r="B452" s="286" t="s">
        <v>456</v>
      </c>
      <c r="C452" s="287" t="s">
        <v>461</v>
      </c>
      <c r="D452" s="286" t="s">
        <v>853</v>
      </c>
      <c r="E452" s="289">
        <v>45504</v>
      </c>
      <c r="F452" s="288">
        <v>563.28</v>
      </c>
      <c r="H452" s="287" t="s">
        <v>458</v>
      </c>
      <c r="I452" s="287" t="s">
        <v>458</v>
      </c>
      <c r="J452" s="287" t="s">
        <v>459</v>
      </c>
      <c r="K452" s="287" t="s">
        <v>460</v>
      </c>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row>
    <row r="453" spans="1:47" ht="22.25" customHeight="1">
      <c r="A453" s="286" t="s">
        <v>455</v>
      </c>
      <c r="B453" s="286" t="s">
        <v>456</v>
      </c>
      <c r="C453" s="287" t="s">
        <v>463</v>
      </c>
      <c r="D453" s="286" t="s">
        <v>853</v>
      </c>
      <c r="E453" s="289">
        <v>45504</v>
      </c>
      <c r="F453" s="288">
        <v>436.8</v>
      </c>
      <c r="H453" s="287" t="s">
        <v>458</v>
      </c>
      <c r="I453" s="287" t="s">
        <v>458</v>
      </c>
      <c r="J453" s="287" t="s">
        <v>459</v>
      </c>
      <c r="K453" s="287" t="s">
        <v>460</v>
      </c>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row>
    <row r="454" spans="1:47" ht="22.25" customHeight="1">
      <c r="A454" s="286" t="s">
        <v>455</v>
      </c>
      <c r="B454" s="286" t="s">
        <v>456</v>
      </c>
      <c r="C454" s="287" t="s">
        <v>464</v>
      </c>
      <c r="D454" s="286" t="s">
        <v>853</v>
      </c>
      <c r="E454" s="289">
        <v>45504</v>
      </c>
      <c r="F454" s="288">
        <v>720</v>
      </c>
      <c r="H454" s="287" t="s">
        <v>458</v>
      </c>
      <c r="I454" s="287" t="s">
        <v>458</v>
      </c>
      <c r="J454" s="287" t="s">
        <v>459</v>
      </c>
      <c r="K454" s="287" t="s">
        <v>460</v>
      </c>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row>
    <row r="455" spans="1:47" ht="44.1" customHeight="1">
      <c r="A455" s="286" t="s">
        <v>506</v>
      </c>
      <c r="B455" s="286" t="s">
        <v>507</v>
      </c>
      <c r="C455" s="287" t="s">
        <v>854</v>
      </c>
      <c r="D455" s="286" t="s">
        <v>855</v>
      </c>
      <c r="E455" s="289">
        <v>45511</v>
      </c>
      <c r="F455" s="288">
        <v>2000</v>
      </c>
      <c r="H455" s="287" t="s">
        <v>458</v>
      </c>
      <c r="I455" s="287" t="s">
        <v>469</v>
      </c>
      <c r="J455" s="287" t="s">
        <v>459</v>
      </c>
      <c r="K455" s="287" t="s">
        <v>460</v>
      </c>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row>
    <row r="456" spans="1:47" ht="22.25" customHeight="1">
      <c r="A456" s="286" t="s">
        <v>489</v>
      </c>
      <c r="B456" s="286" t="s">
        <v>490</v>
      </c>
      <c r="C456" s="287" t="s">
        <v>627</v>
      </c>
      <c r="D456" s="286" t="s">
        <v>856</v>
      </c>
      <c r="E456" s="289">
        <v>45535</v>
      </c>
      <c r="F456" s="288">
        <v>47.54</v>
      </c>
      <c r="H456" s="287" t="s">
        <v>94</v>
      </c>
      <c r="I456" s="287" t="s">
        <v>469</v>
      </c>
      <c r="J456" s="287" t="s">
        <v>459</v>
      </c>
      <c r="K456" s="287" t="s">
        <v>460</v>
      </c>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row>
    <row r="457" spans="1:47" ht="22.25" customHeight="1">
      <c r="A457" s="286" t="s">
        <v>465</v>
      </c>
      <c r="B457" s="286" t="s">
        <v>466</v>
      </c>
      <c r="C457" s="287" t="s">
        <v>857</v>
      </c>
      <c r="D457" s="286" t="s">
        <v>856</v>
      </c>
      <c r="E457" s="289">
        <v>45535</v>
      </c>
      <c r="F457" s="288">
        <v>50.42</v>
      </c>
      <c r="H457" s="287" t="s">
        <v>94</v>
      </c>
      <c r="I457" s="287" t="s">
        <v>469</v>
      </c>
      <c r="J457" s="287" t="s">
        <v>459</v>
      </c>
      <c r="K457" s="287" t="s">
        <v>460</v>
      </c>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row>
    <row r="458" spans="1:47" ht="33.200000000000003" customHeight="1">
      <c r="A458" s="286" t="s">
        <v>536</v>
      </c>
      <c r="B458" s="286" t="s">
        <v>647</v>
      </c>
      <c r="C458" s="287" t="s">
        <v>858</v>
      </c>
      <c r="D458" s="286" t="s">
        <v>856</v>
      </c>
      <c r="E458" s="289">
        <v>45535</v>
      </c>
      <c r="F458" s="288">
        <v>43.22</v>
      </c>
      <c r="H458" s="287" t="s">
        <v>106</v>
      </c>
      <c r="I458" s="287" t="s">
        <v>469</v>
      </c>
      <c r="J458" s="287" t="s">
        <v>459</v>
      </c>
      <c r="K458" s="287" t="s">
        <v>460</v>
      </c>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row>
    <row r="459" spans="1:47" ht="33.200000000000003" customHeight="1">
      <c r="A459" s="286" t="s">
        <v>536</v>
      </c>
      <c r="B459" s="286" t="s">
        <v>647</v>
      </c>
      <c r="C459" s="287" t="s">
        <v>859</v>
      </c>
      <c r="D459" s="286" t="s">
        <v>856</v>
      </c>
      <c r="E459" s="289">
        <v>45535</v>
      </c>
      <c r="F459" s="288">
        <v>46.1</v>
      </c>
      <c r="H459" s="287" t="s">
        <v>106</v>
      </c>
      <c r="I459" s="287" t="s">
        <v>469</v>
      </c>
      <c r="J459" s="287" t="s">
        <v>459</v>
      </c>
      <c r="K459" s="287" t="s">
        <v>460</v>
      </c>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row>
    <row r="460" spans="1:47" ht="22.25" customHeight="1">
      <c r="A460" s="286" t="s">
        <v>465</v>
      </c>
      <c r="B460" s="286" t="s">
        <v>466</v>
      </c>
      <c r="C460" s="287" t="s">
        <v>860</v>
      </c>
      <c r="D460" s="286" t="s">
        <v>856</v>
      </c>
      <c r="E460" s="289">
        <v>45535</v>
      </c>
      <c r="F460" s="288">
        <v>97.96</v>
      </c>
      <c r="H460" s="287" t="s">
        <v>106</v>
      </c>
      <c r="I460" s="287" t="s">
        <v>469</v>
      </c>
      <c r="J460" s="287" t="s">
        <v>459</v>
      </c>
      <c r="K460" s="287" t="s">
        <v>460</v>
      </c>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row>
    <row r="461" spans="1:47" ht="22.25" customHeight="1">
      <c r="A461" s="286" t="s">
        <v>478</v>
      </c>
      <c r="B461" s="286" t="s">
        <v>479</v>
      </c>
      <c r="C461" s="287" t="s">
        <v>861</v>
      </c>
      <c r="D461" s="286" t="s">
        <v>856</v>
      </c>
      <c r="E461" s="289">
        <v>45535</v>
      </c>
      <c r="F461" s="288">
        <v>491.25</v>
      </c>
      <c r="H461" s="287" t="s">
        <v>729</v>
      </c>
      <c r="I461" s="287" t="s">
        <v>469</v>
      </c>
      <c r="J461" s="287" t="s">
        <v>459</v>
      </c>
      <c r="K461" s="287" t="s">
        <v>460</v>
      </c>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row>
    <row r="462" spans="1:47" ht="22.25" customHeight="1">
      <c r="A462" s="286" t="s">
        <v>478</v>
      </c>
      <c r="B462" s="286" t="s">
        <v>479</v>
      </c>
      <c r="C462" s="287" t="s">
        <v>862</v>
      </c>
      <c r="D462" s="286" t="s">
        <v>856</v>
      </c>
      <c r="E462" s="289">
        <v>45535</v>
      </c>
      <c r="F462" s="288">
        <v>562.71</v>
      </c>
      <c r="H462" s="287" t="s">
        <v>863</v>
      </c>
      <c r="I462" s="287" t="s">
        <v>469</v>
      </c>
      <c r="J462" s="287" t="s">
        <v>459</v>
      </c>
      <c r="K462" s="287" t="s">
        <v>460</v>
      </c>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row>
    <row r="463" spans="1:47" ht="22.25" customHeight="1">
      <c r="A463" s="286" t="s">
        <v>534</v>
      </c>
      <c r="B463" s="286" t="s">
        <v>601</v>
      </c>
      <c r="C463" s="287" t="s">
        <v>864</v>
      </c>
      <c r="D463" s="286" t="s">
        <v>856</v>
      </c>
      <c r="E463" s="289">
        <v>45535</v>
      </c>
      <c r="F463" s="288">
        <v>2.88</v>
      </c>
      <c r="H463" s="287" t="s">
        <v>733</v>
      </c>
      <c r="I463" s="287" t="s">
        <v>469</v>
      </c>
      <c r="J463" s="287" t="s">
        <v>459</v>
      </c>
      <c r="K463" s="287" t="s">
        <v>460</v>
      </c>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row>
    <row r="464" spans="1:47" ht="22.25" customHeight="1">
      <c r="A464" s="286" t="s">
        <v>465</v>
      </c>
      <c r="B464" s="286" t="s">
        <v>466</v>
      </c>
      <c r="C464" s="287" t="s">
        <v>865</v>
      </c>
      <c r="D464" s="286" t="s">
        <v>856</v>
      </c>
      <c r="E464" s="289">
        <v>45535</v>
      </c>
      <c r="F464" s="288">
        <v>48.98</v>
      </c>
      <c r="H464" s="287" t="s">
        <v>733</v>
      </c>
      <c r="I464" s="287" t="s">
        <v>469</v>
      </c>
      <c r="J464" s="287" t="s">
        <v>459</v>
      </c>
      <c r="K464" s="287" t="s">
        <v>460</v>
      </c>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row>
    <row r="465" spans="1:47" ht="22.25" customHeight="1">
      <c r="A465" s="286" t="s">
        <v>521</v>
      </c>
      <c r="B465" s="286" t="s">
        <v>866</v>
      </c>
      <c r="C465" s="287" t="s">
        <v>867</v>
      </c>
      <c r="D465" s="286" t="s">
        <v>856</v>
      </c>
      <c r="E465" s="289">
        <v>45535</v>
      </c>
      <c r="F465" s="288">
        <v>178.57</v>
      </c>
      <c r="H465" s="287" t="s">
        <v>733</v>
      </c>
      <c r="I465" s="287" t="s">
        <v>469</v>
      </c>
      <c r="J465" s="287" t="s">
        <v>459</v>
      </c>
      <c r="K465" s="287" t="s">
        <v>460</v>
      </c>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row>
    <row r="466" spans="1:47" ht="33.200000000000003" customHeight="1">
      <c r="A466" s="286" t="s">
        <v>465</v>
      </c>
      <c r="B466" s="286" t="s">
        <v>466</v>
      </c>
      <c r="C466" s="287" t="s">
        <v>868</v>
      </c>
      <c r="D466" s="286" t="s">
        <v>856</v>
      </c>
      <c r="E466" s="289">
        <v>45535</v>
      </c>
      <c r="F466" s="288">
        <v>34.58</v>
      </c>
      <c r="H466" s="287" t="s">
        <v>733</v>
      </c>
      <c r="I466" s="287" t="s">
        <v>469</v>
      </c>
      <c r="J466" s="287" t="s">
        <v>459</v>
      </c>
      <c r="K466" s="287" t="s">
        <v>460</v>
      </c>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row>
    <row r="467" spans="1:47" ht="22.25" customHeight="1">
      <c r="A467" s="286" t="s">
        <v>529</v>
      </c>
      <c r="B467" s="286" t="s">
        <v>573</v>
      </c>
      <c r="C467" s="287" t="s">
        <v>623</v>
      </c>
      <c r="D467" s="286" t="s">
        <v>856</v>
      </c>
      <c r="E467" s="289">
        <v>45535</v>
      </c>
      <c r="F467" s="288">
        <v>50.64</v>
      </c>
      <c r="H467" s="287" t="s">
        <v>733</v>
      </c>
      <c r="I467" s="287" t="s">
        <v>469</v>
      </c>
      <c r="J467" s="287" t="s">
        <v>459</v>
      </c>
      <c r="K467" s="287" t="s">
        <v>460</v>
      </c>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row>
    <row r="468" spans="1:47" ht="22.25" customHeight="1">
      <c r="A468" s="286" t="s">
        <v>529</v>
      </c>
      <c r="B468" s="286" t="s">
        <v>573</v>
      </c>
      <c r="C468" s="287" t="s">
        <v>673</v>
      </c>
      <c r="D468" s="286" t="s">
        <v>856</v>
      </c>
      <c r="E468" s="289">
        <v>45535</v>
      </c>
      <c r="F468" s="288">
        <v>40.71</v>
      </c>
      <c r="H468" s="287" t="s">
        <v>733</v>
      </c>
      <c r="I468" s="287" t="s">
        <v>469</v>
      </c>
      <c r="J468" s="287" t="s">
        <v>459</v>
      </c>
      <c r="K468" s="287" t="s">
        <v>460</v>
      </c>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row>
    <row r="469" spans="1:47" ht="22.25" customHeight="1">
      <c r="A469" s="286" t="s">
        <v>529</v>
      </c>
      <c r="B469" s="286" t="s">
        <v>573</v>
      </c>
      <c r="C469" s="287" t="s">
        <v>651</v>
      </c>
      <c r="D469" s="286" t="s">
        <v>856</v>
      </c>
      <c r="E469" s="289">
        <v>45535</v>
      </c>
      <c r="F469" s="288">
        <v>40.71</v>
      </c>
      <c r="H469" s="287" t="s">
        <v>733</v>
      </c>
      <c r="I469" s="287" t="s">
        <v>469</v>
      </c>
      <c r="J469" s="287" t="s">
        <v>459</v>
      </c>
      <c r="K469" s="287" t="s">
        <v>460</v>
      </c>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row>
    <row r="470" spans="1:47" ht="22.25" customHeight="1">
      <c r="A470" s="286" t="s">
        <v>529</v>
      </c>
      <c r="B470" s="286" t="s">
        <v>573</v>
      </c>
      <c r="C470" s="287" t="s">
        <v>652</v>
      </c>
      <c r="D470" s="286" t="s">
        <v>856</v>
      </c>
      <c r="E470" s="289">
        <v>45535</v>
      </c>
      <c r="F470" s="288">
        <v>40.71</v>
      </c>
      <c r="H470" s="287" t="s">
        <v>733</v>
      </c>
      <c r="I470" s="287" t="s">
        <v>469</v>
      </c>
      <c r="J470" s="287" t="s">
        <v>459</v>
      </c>
      <c r="K470" s="287" t="s">
        <v>460</v>
      </c>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row>
    <row r="471" spans="1:47" ht="22.25" customHeight="1">
      <c r="A471" s="286" t="s">
        <v>529</v>
      </c>
      <c r="B471" s="286" t="s">
        <v>573</v>
      </c>
      <c r="C471" s="287" t="s">
        <v>795</v>
      </c>
      <c r="D471" s="286" t="s">
        <v>856</v>
      </c>
      <c r="E471" s="289">
        <v>45535</v>
      </c>
      <c r="F471" s="288">
        <v>39.69</v>
      </c>
      <c r="H471" s="287" t="s">
        <v>733</v>
      </c>
      <c r="I471" s="287" t="s">
        <v>469</v>
      </c>
      <c r="J471" s="287" t="s">
        <v>459</v>
      </c>
      <c r="K471" s="287" t="s">
        <v>460</v>
      </c>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row>
    <row r="472" spans="1:47" ht="22.25" customHeight="1">
      <c r="A472" s="286" t="s">
        <v>485</v>
      </c>
      <c r="B472" s="286" t="s">
        <v>486</v>
      </c>
      <c r="C472" s="287" t="s">
        <v>654</v>
      </c>
      <c r="D472" s="286" t="s">
        <v>856</v>
      </c>
      <c r="E472" s="289">
        <v>45535</v>
      </c>
      <c r="F472" s="288">
        <v>12.68</v>
      </c>
      <c r="H472" s="287" t="s">
        <v>733</v>
      </c>
      <c r="I472" s="287" t="s">
        <v>469</v>
      </c>
      <c r="J472" s="287" t="s">
        <v>459</v>
      </c>
      <c r="K472" s="287" t="s">
        <v>460</v>
      </c>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row>
    <row r="473" spans="1:47" ht="22.25" customHeight="1">
      <c r="A473" s="286" t="s">
        <v>465</v>
      </c>
      <c r="B473" s="286" t="s">
        <v>466</v>
      </c>
      <c r="C473" s="287" t="s">
        <v>655</v>
      </c>
      <c r="D473" s="286" t="s">
        <v>856</v>
      </c>
      <c r="E473" s="289">
        <v>45535</v>
      </c>
      <c r="F473" s="288">
        <v>8.64</v>
      </c>
      <c r="H473" s="287" t="s">
        <v>733</v>
      </c>
      <c r="I473" s="287" t="s">
        <v>469</v>
      </c>
      <c r="J473" s="287" t="s">
        <v>459</v>
      </c>
      <c r="K473" s="287" t="s">
        <v>460</v>
      </c>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row>
    <row r="474" spans="1:47" ht="22.25" customHeight="1">
      <c r="A474" s="286" t="s">
        <v>485</v>
      </c>
      <c r="B474" s="286" t="s">
        <v>486</v>
      </c>
      <c r="C474" s="287" t="s">
        <v>838</v>
      </c>
      <c r="D474" s="286" t="s">
        <v>856</v>
      </c>
      <c r="E474" s="289">
        <v>45535</v>
      </c>
      <c r="F474" s="288">
        <v>72.03</v>
      </c>
      <c r="H474" s="287" t="s">
        <v>733</v>
      </c>
      <c r="I474" s="287" t="s">
        <v>469</v>
      </c>
      <c r="J474" s="287" t="s">
        <v>459</v>
      </c>
      <c r="K474" s="287" t="s">
        <v>460</v>
      </c>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row>
    <row r="475" spans="1:47" ht="22.25" customHeight="1">
      <c r="A475" s="286" t="s">
        <v>485</v>
      </c>
      <c r="B475" s="286" t="s">
        <v>486</v>
      </c>
      <c r="C475" s="287" t="s">
        <v>869</v>
      </c>
      <c r="D475" s="286" t="s">
        <v>856</v>
      </c>
      <c r="E475" s="289">
        <v>45535</v>
      </c>
      <c r="F475" s="288">
        <v>10.08</v>
      </c>
      <c r="H475" s="287" t="s">
        <v>733</v>
      </c>
      <c r="I475" s="287" t="s">
        <v>469</v>
      </c>
      <c r="J475" s="287" t="s">
        <v>459</v>
      </c>
      <c r="K475" s="287" t="s">
        <v>460</v>
      </c>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row>
    <row r="476" spans="1:47" ht="22.25" customHeight="1">
      <c r="A476" s="286" t="s">
        <v>485</v>
      </c>
      <c r="B476" s="286" t="s">
        <v>486</v>
      </c>
      <c r="C476" s="287" t="s">
        <v>839</v>
      </c>
      <c r="D476" s="286" t="s">
        <v>856</v>
      </c>
      <c r="E476" s="289">
        <v>45535</v>
      </c>
      <c r="F476" s="288">
        <v>2.88</v>
      </c>
      <c r="H476" s="287" t="s">
        <v>733</v>
      </c>
      <c r="I476" s="287" t="s">
        <v>469</v>
      </c>
      <c r="J476" s="287" t="s">
        <v>459</v>
      </c>
      <c r="K476" s="287" t="s">
        <v>460</v>
      </c>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row>
    <row r="477" spans="1:47" ht="22.25" customHeight="1">
      <c r="A477" s="286" t="s">
        <v>485</v>
      </c>
      <c r="B477" s="286" t="s">
        <v>486</v>
      </c>
      <c r="C477" s="287" t="s">
        <v>870</v>
      </c>
      <c r="D477" s="286" t="s">
        <v>856</v>
      </c>
      <c r="E477" s="289">
        <v>45535</v>
      </c>
      <c r="F477" s="288">
        <v>5.04</v>
      </c>
      <c r="H477" s="287" t="s">
        <v>733</v>
      </c>
      <c r="I477" s="287" t="s">
        <v>469</v>
      </c>
      <c r="J477" s="287" t="s">
        <v>459</v>
      </c>
      <c r="K477" s="287" t="s">
        <v>460</v>
      </c>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row>
    <row r="478" spans="1:47" ht="22.25" customHeight="1">
      <c r="A478" s="286" t="s">
        <v>465</v>
      </c>
      <c r="B478" s="286" t="s">
        <v>466</v>
      </c>
      <c r="C478" s="287" t="s">
        <v>871</v>
      </c>
      <c r="D478" s="286" t="s">
        <v>856</v>
      </c>
      <c r="E478" s="289">
        <v>45535</v>
      </c>
      <c r="F478" s="288">
        <v>31.69</v>
      </c>
      <c r="H478" s="287" t="s">
        <v>733</v>
      </c>
      <c r="I478" s="287" t="s">
        <v>469</v>
      </c>
      <c r="J478" s="287" t="s">
        <v>459</v>
      </c>
      <c r="K478" s="287" t="s">
        <v>460</v>
      </c>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row>
    <row r="479" spans="1:47" ht="33.200000000000003" customHeight="1">
      <c r="A479" s="286" t="s">
        <v>540</v>
      </c>
      <c r="B479" s="286" t="s">
        <v>791</v>
      </c>
      <c r="C479" s="287" t="s">
        <v>872</v>
      </c>
      <c r="D479" s="286" t="s">
        <v>856</v>
      </c>
      <c r="E479" s="289">
        <v>45535</v>
      </c>
      <c r="F479" s="288">
        <v>15.85</v>
      </c>
      <c r="H479" s="287" t="s">
        <v>733</v>
      </c>
      <c r="I479" s="287" t="s">
        <v>469</v>
      </c>
      <c r="J479" s="287" t="s">
        <v>459</v>
      </c>
      <c r="K479" s="287" t="s">
        <v>460</v>
      </c>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row>
    <row r="480" spans="1:47" ht="22.25" customHeight="1">
      <c r="A480" s="286" t="s">
        <v>534</v>
      </c>
      <c r="B480" s="286" t="s">
        <v>601</v>
      </c>
      <c r="C480" s="287" t="s">
        <v>873</v>
      </c>
      <c r="D480" s="286" t="s">
        <v>856</v>
      </c>
      <c r="E480" s="289">
        <v>45535</v>
      </c>
      <c r="F480" s="288">
        <v>2.16</v>
      </c>
      <c r="H480" s="287" t="s">
        <v>733</v>
      </c>
      <c r="I480" s="287" t="s">
        <v>469</v>
      </c>
      <c r="J480" s="287" t="s">
        <v>459</v>
      </c>
      <c r="K480" s="287" t="s">
        <v>460</v>
      </c>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row>
    <row r="481" spans="1:47" ht="22.25" customHeight="1">
      <c r="A481" s="286" t="s">
        <v>534</v>
      </c>
      <c r="B481" s="286" t="s">
        <v>601</v>
      </c>
      <c r="C481" s="287" t="s">
        <v>874</v>
      </c>
      <c r="D481" s="286" t="s">
        <v>856</v>
      </c>
      <c r="E481" s="289">
        <v>45535</v>
      </c>
      <c r="F481" s="288">
        <v>0.32</v>
      </c>
      <c r="H481" s="287" t="s">
        <v>733</v>
      </c>
      <c r="I481" s="287" t="s">
        <v>469</v>
      </c>
      <c r="J481" s="287" t="s">
        <v>459</v>
      </c>
      <c r="K481" s="287" t="s">
        <v>460</v>
      </c>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row>
    <row r="482" spans="1:47" ht="22.25" customHeight="1">
      <c r="A482" s="286" t="s">
        <v>529</v>
      </c>
      <c r="B482" s="286" t="s">
        <v>573</v>
      </c>
      <c r="C482" s="287" t="s">
        <v>875</v>
      </c>
      <c r="D482" s="286" t="s">
        <v>856</v>
      </c>
      <c r="E482" s="289">
        <v>45535</v>
      </c>
      <c r="F482" s="288">
        <v>345.75</v>
      </c>
      <c r="H482" s="287" t="s">
        <v>733</v>
      </c>
      <c r="I482" s="287" t="s">
        <v>469</v>
      </c>
      <c r="J482" s="287" t="s">
        <v>459</v>
      </c>
      <c r="K482" s="287" t="s">
        <v>460</v>
      </c>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row>
    <row r="483" spans="1:47" ht="22.25" customHeight="1">
      <c r="A483" s="286" t="s">
        <v>542</v>
      </c>
      <c r="B483" s="286" t="s">
        <v>607</v>
      </c>
      <c r="C483" s="287" t="s">
        <v>876</v>
      </c>
      <c r="D483" s="286" t="s">
        <v>856</v>
      </c>
      <c r="E483" s="289">
        <v>45535</v>
      </c>
      <c r="F483" s="288">
        <v>792.35</v>
      </c>
      <c r="H483" s="287" t="s">
        <v>733</v>
      </c>
      <c r="I483" s="287" t="s">
        <v>469</v>
      </c>
      <c r="J483" s="287" t="s">
        <v>459</v>
      </c>
      <c r="K483" s="287" t="s">
        <v>460</v>
      </c>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row>
    <row r="484" spans="1:47" ht="22.25" customHeight="1">
      <c r="A484" s="286" t="s">
        <v>543</v>
      </c>
      <c r="B484" s="286" t="s">
        <v>724</v>
      </c>
      <c r="C484" s="287" t="s">
        <v>877</v>
      </c>
      <c r="D484" s="286" t="s">
        <v>856</v>
      </c>
      <c r="E484" s="289">
        <v>45535</v>
      </c>
      <c r="F484" s="288">
        <v>489.81</v>
      </c>
      <c r="H484" s="287" t="s">
        <v>733</v>
      </c>
      <c r="I484" s="287" t="s">
        <v>469</v>
      </c>
      <c r="J484" s="287" t="s">
        <v>459</v>
      </c>
      <c r="K484" s="287" t="s">
        <v>460</v>
      </c>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row>
    <row r="485" spans="1:47" ht="22.25" customHeight="1">
      <c r="A485" s="286" t="s">
        <v>541</v>
      </c>
      <c r="B485" s="286" t="s">
        <v>878</v>
      </c>
      <c r="C485" s="287" t="s">
        <v>879</v>
      </c>
      <c r="D485" s="286" t="s">
        <v>856</v>
      </c>
      <c r="E485" s="289">
        <v>45535</v>
      </c>
      <c r="F485" s="288">
        <v>122.45</v>
      </c>
      <c r="H485" s="287" t="s">
        <v>733</v>
      </c>
      <c r="I485" s="287" t="s">
        <v>469</v>
      </c>
      <c r="J485" s="287" t="s">
        <v>459</v>
      </c>
      <c r="K485" s="287" t="s">
        <v>460</v>
      </c>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row>
    <row r="486" spans="1:47" ht="22.25" customHeight="1">
      <c r="A486" s="286" t="s">
        <v>542</v>
      </c>
      <c r="B486" s="286" t="s">
        <v>607</v>
      </c>
      <c r="C486" s="287" t="s">
        <v>880</v>
      </c>
      <c r="D486" s="286" t="s">
        <v>856</v>
      </c>
      <c r="E486" s="289">
        <v>45535</v>
      </c>
      <c r="F486" s="288">
        <v>288.13</v>
      </c>
      <c r="H486" s="287" t="s">
        <v>733</v>
      </c>
      <c r="I486" s="287" t="s">
        <v>469</v>
      </c>
      <c r="J486" s="287" t="s">
        <v>459</v>
      </c>
      <c r="K486" s="287" t="s">
        <v>460</v>
      </c>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row>
    <row r="487" spans="1:47" ht="22.25" customHeight="1">
      <c r="A487" s="286" t="s">
        <v>540</v>
      </c>
      <c r="B487" s="286" t="s">
        <v>791</v>
      </c>
      <c r="C487" s="287" t="s">
        <v>881</v>
      </c>
      <c r="D487" s="286" t="s">
        <v>856</v>
      </c>
      <c r="E487" s="289">
        <v>45535</v>
      </c>
      <c r="F487" s="288">
        <v>52.08</v>
      </c>
      <c r="H487" s="287" t="s">
        <v>733</v>
      </c>
      <c r="I487" s="287" t="s">
        <v>469</v>
      </c>
      <c r="J487" s="287" t="s">
        <v>459</v>
      </c>
      <c r="K487" s="287" t="s">
        <v>460</v>
      </c>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row>
    <row r="488" spans="1:47" ht="22.25" customHeight="1">
      <c r="A488" s="286" t="s">
        <v>540</v>
      </c>
      <c r="B488" s="286" t="s">
        <v>791</v>
      </c>
      <c r="C488" s="287" t="s">
        <v>882</v>
      </c>
      <c r="D488" s="286" t="s">
        <v>856</v>
      </c>
      <c r="E488" s="289">
        <v>45535</v>
      </c>
      <c r="F488" s="288">
        <v>24.49</v>
      </c>
      <c r="H488" s="287" t="s">
        <v>733</v>
      </c>
      <c r="I488" s="287" t="s">
        <v>469</v>
      </c>
      <c r="J488" s="287" t="s">
        <v>459</v>
      </c>
      <c r="K488" s="287" t="s">
        <v>460</v>
      </c>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row>
    <row r="489" spans="1:47" ht="22.25" customHeight="1">
      <c r="A489" s="286" t="s">
        <v>465</v>
      </c>
      <c r="B489" s="286" t="s">
        <v>466</v>
      </c>
      <c r="C489" s="287" t="s">
        <v>865</v>
      </c>
      <c r="D489" s="286" t="s">
        <v>856</v>
      </c>
      <c r="E489" s="289">
        <v>45535</v>
      </c>
      <c r="F489" s="288">
        <v>36.020000000000003</v>
      </c>
      <c r="H489" s="287" t="s">
        <v>733</v>
      </c>
      <c r="I489" s="287" t="s">
        <v>469</v>
      </c>
      <c r="J489" s="287" t="s">
        <v>459</v>
      </c>
      <c r="K489" s="287" t="s">
        <v>460</v>
      </c>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row>
    <row r="490" spans="1:47" ht="22.25" customHeight="1">
      <c r="A490" s="286" t="s">
        <v>478</v>
      </c>
      <c r="B490" s="286" t="s">
        <v>479</v>
      </c>
      <c r="C490" s="287" t="s">
        <v>883</v>
      </c>
      <c r="D490" s="286" t="s">
        <v>856</v>
      </c>
      <c r="E490" s="289">
        <v>45535</v>
      </c>
      <c r="F490" s="288">
        <v>57.63</v>
      </c>
      <c r="H490" s="287" t="s">
        <v>733</v>
      </c>
      <c r="I490" s="287" t="s">
        <v>469</v>
      </c>
      <c r="J490" s="287" t="s">
        <v>459</v>
      </c>
      <c r="K490" s="287" t="s">
        <v>460</v>
      </c>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row>
    <row r="491" spans="1:47" ht="22.25" customHeight="1">
      <c r="A491" s="286" t="s">
        <v>485</v>
      </c>
      <c r="B491" s="286" t="s">
        <v>486</v>
      </c>
      <c r="C491" s="287" t="s">
        <v>884</v>
      </c>
      <c r="D491" s="286" t="s">
        <v>856</v>
      </c>
      <c r="E491" s="289">
        <v>45535</v>
      </c>
      <c r="F491" s="288">
        <v>73.180000000000007</v>
      </c>
      <c r="H491" s="287" t="s">
        <v>885</v>
      </c>
      <c r="I491" s="287" t="s">
        <v>469</v>
      </c>
      <c r="J491" s="287" t="s">
        <v>459</v>
      </c>
      <c r="K491" s="287" t="s">
        <v>460</v>
      </c>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row>
    <row r="492" spans="1:47" ht="22.25" customHeight="1">
      <c r="A492" s="286" t="s">
        <v>541</v>
      </c>
      <c r="B492" s="286" t="s">
        <v>878</v>
      </c>
      <c r="C492" s="287" t="s">
        <v>886</v>
      </c>
      <c r="D492" s="286" t="s">
        <v>856</v>
      </c>
      <c r="E492" s="289">
        <v>45535</v>
      </c>
      <c r="F492" s="288">
        <v>187.28</v>
      </c>
      <c r="H492" s="287" t="s">
        <v>885</v>
      </c>
      <c r="I492" s="287" t="s">
        <v>469</v>
      </c>
      <c r="J492" s="287" t="s">
        <v>459</v>
      </c>
      <c r="K492" s="287" t="s">
        <v>460</v>
      </c>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row>
    <row r="493" spans="1:47" ht="22.25" customHeight="1">
      <c r="A493" s="286" t="s">
        <v>455</v>
      </c>
      <c r="B493" s="286" t="s">
        <v>456</v>
      </c>
      <c r="C493" s="287" t="s">
        <v>461</v>
      </c>
      <c r="D493" s="286" t="s">
        <v>887</v>
      </c>
      <c r="E493" s="289">
        <v>45535</v>
      </c>
      <c r="F493" s="288">
        <v>563.28</v>
      </c>
      <c r="H493" s="287" t="s">
        <v>458</v>
      </c>
      <c r="I493" s="287" t="s">
        <v>458</v>
      </c>
      <c r="J493" s="287" t="s">
        <v>459</v>
      </c>
      <c r="K493" s="287" t="s">
        <v>460</v>
      </c>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row>
    <row r="494" spans="1:47" ht="22.25" customHeight="1">
      <c r="A494" s="286" t="s">
        <v>455</v>
      </c>
      <c r="B494" s="286" t="s">
        <v>456</v>
      </c>
      <c r="C494" s="287" t="s">
        <v>463</v>
      </c>
      <c r="D494" s="286" t="s">
        <v>887</v>
      </c>
      <c r="E494" s="289">
        <v>45535</v>
      </c>
      <c r="F494" s="288">
        <v>436.8</v>
      </c>
      <c r="H494" s="287" t="s">
        <v>458</v>
      </c>
      <c r="I494" s="287" t="s">
        <v>458</v>
      </c>
      <c r="J494" s="287" t="s">
        <v>459</v>
      </c>
      <c r="K494" s="287" t="s">
        <v>460</v>
      </c>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row>
    <row r="495" spans="1:47" ht="22.25" customHeight="1">
      <c r="A495" s="286" t="s">
        <v>455</v>
      </c>
      <c r="B495" s="286" t="s">
        <v>456</v>
      </c>
      <c r="C495" s="287" t="s">
        <v>464</v>
      </c>
      <c r="D495" s="286" t="s">
        <v>887</v>
      </c>
      <c r="E495" s="289">
        <v>45535</v>
      </c>
      <c r="F495" s="288">
        <v>720</v>
      </c>
      <c r="H495" s="287" t="s">
        <v>458</v>
      </c>
      <c r="I495" s="287" t="s">
        <v>458</v>
      </c>
      <c r="J495" s="287" t="s">
        <v>459</v>
      </c>
      <c r="K495" s="287" t="s">
        <v>460</v>
      </c>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row>
    <row r="496" spans="1:47" ht="22.25" customHeight="1">
      <c r="A496" s="286" t="s">
        <v>564</v>
      </c>
      <c r="B496" s="286" t="s">
        <v>593</v>
      </c>
      <c r="C496" s="287" t="s">
        <v>888</v>
      </c>
      <c r="D496" s="286" t="s">
        <v>889</v>
      </c>
      <c r="E496" s="289">
        <v>45565</v>
      </c>
      <c r="F496" s="288">
        <v>12245.47</v>
      </c>
      <c r="H496" s="287" t="s">
        <v>596</v>
      </c>
      <c r="I496" s="287" t="s">
        <v>596</v>
      </c>
      <c r="J496" s="287" t="s">
        <v>459</v>
      </c>
      <c r="K496" s="287" t="s">
        <v>460</v>
      </c>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row>
    <row r="497" spans="1:47" ht="22.25" customHeight="1">
      <c r="A497" s="286" t="s">
        <v>564</v>
      </c>
      <c r="B497" s="286" t="s">
        <v>593</v>
      </c>
      <c r="C497" s="287" t="s">
        <v>890</v>
      </c>
      <c r="D497" s="286" t="s">
        <v>889</v>
      </c>
      <c r="E497" s="289">
        <v>45565</v>
      </c>
      <c r="F497" s="288">
        <v>12163.44</v>
      </c>
      <c r="H497" s="287" t="s">
        <v>596</v>
      </c>
      <c r="I497" s="287" t="s">
        <v>596</v>
      </c>
      <c r="J497" s="287" t="s">
        <v>459</v>
      </c>
      <c r="K497" s="287" t="s">
        <v>460</v>
      </c>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row>
    <row r="498" spans="1:47" ht="22.25" customHeight="1">
      <c r="A498" s="286" t="s">
        <v>564</v>
      </c>
      <c r="B498" s="286" t="s">
        <v>593</v>
      </c>
      <c r="C498" s="287" t="s">
        <v>891</v>
      </c>
      <c r="D498" s="286" t="s">
        <v>889</v>
      </c>
      <c r="E498" s="289">
        <v>45565</v>
      </c>
      <c r="F498" s="288">
        <v>12252.93</v>
      </c>
      <c r="H498" s="287" t="s">
        <v>596</v>
      </c>
      <c r="I498" s="287" t="s">
        <v>596</v>
      </c>
      <c r="J498" s="287" t="s">
        <v>459</v>
      </c>
      <c r="K498" s="287" t="s">
        <v>460</v>
      </c>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row>
    <row r="499" spans="1:47" ht="22.25" customHeight="1">
      <c r="A499" s="286" t="s">
        <v>564</v>
      </c>
      <c r="B499" s="286" t="s">
        <v>593</v>
      </c>
      <c r="C499" s="287" t="s">
        <v>892</v>
      </c>
      <c r="D499" s="286" t="s">
        <v>889</v>
      </c>
      <c r="E499" s="289">
        <v>45565</v>
      </c>
      <c r="F499" s="288">
        <v>12226.65</v>
      </c>
      <c r="H499" s="287" t="s">
        <v>596</v>
      </c>
      <c r="I499" s="287" t="s">
        <v>596</v>
      </c>
      <c r="J499" s="287" t="s">
        <v>459</v>
      </c>
      <c r="K499" s="287" t="s">
        <v>460</v>
      </c>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row>
    <row r="500" spans="1:47" ht="22.25" customHeight="1">
      <c r="A500" s="286" t="s">
        <v>530</v>
      </c>
      <c r="B500" s="286" t="s">
        <v>531</v>
      </c>
      <c r="C500" s="287" t="s">
        <v>893</v>
      </c>
      <c r="D500" s="286" t="s">
        <v>889</v>
      </c>
      <c r="E500" s="289">
        <v>45565</v>
      </c>
      <c r="F500" s="288">
        <v>59.66</v>
      </c>
      <c r="H500" s="287" t="s">
        <v>94</v>
      </c>
      <c r="I500" s="287" t="s">
        <v>469</v>
      </c>
      <c r="J500" s="287" t="s">
        <v>459</v>
      </c>
      <c r="K500" s="287" t="s">
        <v>460</v>
      </c>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row>
    <row r="501" spans="1:47" ht="33.200000000000003" customHeight="1">
      <c r="A501" s="286" t="s">
        <v>489</v>
      </c>
      <c r="B501" s="286" t="s">
        <v>490</v>
      </c>
      <c r="C501" s="287" t="s">
        <v>894</v>
      </c>
      <c r="D501" s="286" t="s">
        <v>889</v>
      </c>
      <c r="E501" s="289">
        <v>45565</v>
      </c>
      <c r="F501" s="288">
        <v>100.68</v>
      </c>
      <c r="H501" s="287" t="s">
        <v>94</v>
      </c>
      <c r="I501" s="287" t="s">
        <v>469</v>
      </c>
      <c r="J501" s="287" t="s">
        <v>459</v>
      </c>
      <c r="K501" s="287" t="s">
        <v>460</v>
      </c>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row>
    <row r="502" spans="1:47" ht="33.200000000000003" customHeight="1">
      <c r="A502" s="286" t="s">
        <v>465</v>
      </c>
      <c r="B502" s="286" t="s">
        <v>466</v>
      </c>
      <c r="C502" s="287" t="s">
        <v>895</v>
      </c>
      <c r="D502" s="286" t="s">
        <v>889</v>
      </c>
      <c r="E502" s="289">
        <v>45565</v>
      </c>
      <c r="F502" s="288">
        <v>111.86</v>
      </c>
      <c r="H502" s="287" t="s">
        <v>896</v>
      </c>
      <c r="I502" s="287" t="s">
        <v>469</v>
      </c>
      <c r="J502" s="287" t="s">
        <v>459</v>
      </c>
      <c r="K502" s="287" t="s">
        <v>460</v>
      </c>
      <c r="M502"/>
      <c r="N502"/>
    </row>
    <row r="503" spans="1:47" ht="22.25" customHeight="1">
      <c r="A503" s="286" t="s">
        <v>489</v>
      </c>
      <c r="B503" s="286" t="s">
        <v>490</v>
      </c>
      <c r="C503" s="287" t="s">
        <v>897</v>
      </c>
      <c r="D503" s="286" t="s">
        <v>889</v>
      </c>
      <c r="E503" s="289">
        <v>45565</v>
      </c>
      <c r="F503" s="288">
        <v>290.85000000000002</v>
      </c>
      <c r="H503" s="287" t="s">
        <v>896</v>
      </c>
      <c r="I503" s="287" t="s">
        <v>469</v>
      </c>
      <c r="J503" s="287" t="s">
        <v>459</v>
      </c>
      <c r="K503" s="287" t="s">
        <v>460</v>
      </c>
      <c r="M503"/>
      <c r="N503"/>
    </row>
    <row r="504" spans="1:47" ht="22.25" customHeight="1">
      <c r="A504" s="286" t="s">
        <v>465</v>
      </c>
      <c r="B504" s="286" t="s">
        <v>466</v>
      </c>
      <c r="C504" s="287" t="s">
        <v>898</v>
      </c>
      <c r="D504" s="286" t="s">
        <v>889</v>
      </c>
      <c r="E504" s="289">
        <v>45565</v>
      </c>
      <c r="F504" s="288">
        <v>164.07</v>
      </c>
      <c r="H504" s="287" t="s">
        <v>899</v>
      </c>
      <c r="I504" s="287" t="s">
        <v>469</v>
      </c>
      <c r="J504" s="287" t="s">
        <v>459</v>
      </c>
      <c r="K504" s="287" t="s">
        <v>460</v>
      </c>
      <c r="M504"/>
      <c r="N504"/>
    </row>
    <row r="505" spans="1:47" ht="22.25" customHeight="1">
      <c r="A505" s="286" t="s">
        <v>478</v>
      </c>
      <c r="B505" s="286" t="s">
        <v>479</v>
      </c>
      <c r="C505" s="287" t="s">
        <v>900</v>
      </c>
      <c r="D505" s="286" t="s">
        <v>889</v>
      </c>
      <c r="E505" s="289">
        <v>45565</v>
      </c>
      <c r="F505" s="288">
        <v>507.59</v>
      </c>
      <c r="H505" s="287" t="s">
        <v>729</v>
      </c>
      <c r="I505" s="287" t="s">
        <v>469</v>
      </c>
      <c r="J505" s="287" t="s">
        <v>459</v>
      </c>
      <c r="K505" s="287" t="s">
        <v>460</v>
      </c>
      <c r="M505"/>
      <c r="N505"/>
    </row>
    <row r="506" spans="1:47" ht="22.25" customHeight="1">
      <c r="A506" s="286" t="s">
        <v>478</v>
      </c>
      <c r="B506" s="286" t="s">
        <v>479</v>
      </c>
      <c r="C506" s="287" t="s">
        <v>901</v>
      </c>
      <c r="D506" s="286" t="s">
        <v>889</v>
      </c>
      <c r="E506" s="289">
        <v>45565</v>
      </c>
      <c r="F506" s="288">
        <v>852.76</v>
      </c>
      <c r="H506" s="287" t="s">
        <v>863</v>
      </c>
      <c r="I506" s="287" t="s">
        <v>469</v>
      </c>
      <c r="J506" s="287" t="s">
        <v>459</v>
      </c>
      <c r="K506" s="287" t="s">
        <v>460</v>
      </c>
      <c r="M506"/>
      <c r="N506"/>
    </row>
    <row r="507" spans="1:47" ht="22.25" customHeight="1">
      <c r="A507" s="286" t="s">
        <v>534</v>
      </c>
      <c r="B507" s="286" t="s">
        <v>601</v>
      </c>
      <c r="C507" s="287" t="s">
        <v>864</v>
      </c>
      <c r="D507" s="286" t="s">
        <v>889</v>
      </c>
      <c r="E507" s="289">
        <v>45565</v>
      </c>
      <c r="F507" s="288">
        <v>2.98</v>
      </c>
      <c r="H507" s="287" t="s">
        <v>733</v>
      </c>
      <c r="I507" s="287" t="s">
        <v>469</v>
      </c>
      <c r="J507" s="287" t="s">
        <v>459</v>
      </c>
      <c r="K507" s="287" t="s">
        <v>460</v>
      </c>
      <c r="M507"/>
      <c r="N507"/>
    </row>
    <row r="508" spans="1:47" ht="22.25" customHeight="1">
      <c r="A508" s="286" t="s">
        <v>534</v>
      </c>
      <c r="B508" s="286" t="s">
        <v>601</v>
      </c>
      <c r="C508" s="287" t="s">
        <v>864</v>
      </c>
      <c r="D508" s="286" t="s">
        <v>889</v>
      </c>
      <c r="E508" s="289">
        <v>45565</v>
      </c>
      <c r="F508" s="288">
        <v>2.98</v>
      </c>
      <c r="H508" s="287" t="s">
        <v>733</v>
      </c>
      <c r="I508" s="287" t="s">
        <v>469</v>
      </c>
      <c r="J508" s="287" t="s">
        <v>459</v>
      </c>
      <c r="K508" s="287" t="s">
        <v>460</v>
      </c>
      <c r="M508"/>
      <c r="N508"/>
    </row>
    <row r="509" spans="1:47" ht="22.25" customHeight="1">
      <c r="A509" s="286" t="s">
        <v>529</v>
      </c>
      <c r="B509" s="286" t="s">
        <v>573</v>
      </c>
      <c r="C509" s="287" t="s">
        <v>623</v>
      </c>
      <c r="D509" s="286" t="s">
        <v>889</v>
      </c>
      <c r="E509" s="289">
        <v>45565</v>
      </c>
      <c r="F509" s="288">
        <v>52.58</v>
      </c>
      <c r="H509" s="287" t="s">
        <v>733</v>
      </c>
      <c r="I509" s="287" t="s">
        <v>469</v>
      </c>
      <c r="J509" s="287" t="s">
        <v>459</v>
      </c>
      <c r="K509" s="287" t="s">
        <v>460</v>
      </c>
      <c r="M509"/>
      <c r="N509"/>
    </row>
    <row r="510" spans="1:47" ht="22.25" customHeight="1">
      <c r="A510" s="286" t="s">
        <v>529</v>
      </c>
      <c r="B510" s="286" t="s">
        <v>573</v>
      </c>
      <c r="C510" s="287" t="s">
        <v>673</v>
      </c>
      <c r="D510" s="286" t="s">
        <v>889</v>
      </c>
      <c r="E510" s="289">
        <v>45565</v>
      </c>
      <c r="F510" s="288">
        <v>42.23</v>
      </c>
      <c r="H510" s="287" t="s">
        <v>733</v>
      </c>
      <c r="I510" s="287" t="s">
        <v>469</v>
      </c>
      <c r="J510" s="287" t="s">
        <v>459</v>
      </c>
      <c r="K510" s="287" t="s">
        <v>460</v>
      </c>
      <c r="M510"/>
      <c r="N510"/>
    </row>
    <row r="511" spans="1:47" ht="22.25" customHeight="1">
      <c r="A511" s="286" t="s">
        <v>529</v>
      </c>
      <c r="B511" s="286" t="s">
        <v>573</v>
      </c>
      <c r="C511" s="287" t="s">
        <v>651</v>
      </c>
      <c r="D511" s="286" t="s">
        <v>889</v>
      </c>
      <c r="E511" s="289">
        <v>45565</v>
      </c>
      <c r="F511" s="288">
        <v>42.23</v>
      </c>
      <c r="H511" s="287" t="s">
        <v>733</v>
      </c>
      <c r="I511" s="287" t="s">
        <v>469</v>
      </c>
      <c r="J511" s="287" t="s">
        <v>459</v>
      </c>
      <c r="K511" s="287" t="s">
        <v>460</v>
      </c>
      <c r="M511"/>
      <c r="N511"/>
    </row>
    <row r="512" spans="1:47" ht="22.25" customHeight="1">
      <c r="A512" s="286" t="s">
        <v>529</v>
      </c>
      <c r="B512" s="286" t="s">
        <v>573</v>
      </c>
      <c r="C512" s="287" t="s">
        <v>652</v>
      </c>
      <c r="D512" s="286" t="s">
        <v>889</v>
      </c>
      <c r="E512" s="289">
        <v>45565</v>
      </c>
      <c r="F512" s="288">
        <v>42.23</v>
      </c>
      <c r="H512" s="287" t="s">
        <v>733</v>
      </c>
      <c r="I512" s="287" t="s">
        <v>469</v>
      </c>
      <c r="J512" s="287" t="s">
        <v>459</v>
      </c>
      <c r="K512" s="287" t="s">
        <v>460</v>
      </c>
      <c r="M512"/>
      <c r="N512"/>
    </row>
    <row r="513" spans="1:14" ht="22.25" customHeight="1">
      <c r="A513" s="286" t="s">
        <v>529</v>
      </c>
      <c r="B513" s="286" t="s">
        <v>573</v>
      </c>
      <c r="C513" s="287" t="s">
        <v>902</v>
      </c>
      <c r="D513" s="286" t="s">
        <v>889</v>
      </c>
      <c r="E513" s="289">
        <v>45565</v>
      </c>
      <c r="F513" s="288">
        <v>42.23</v>
      </c>
      <c r="H513" s="287" t="s">
        <v>733</v>
      </c>
      <c r="I513" s="287" t="s">
        <v>469</v>
      </c>
      <c r="J513" s="287" t="s">
        <v>459</v>
      </c>
      <c r="K513" s="287" t="s">
        <v>460</v>
      </c>
      <c r="M513"/>
      <c r="N513"/>
    </row>
    <row r="514" spans="1:14" ht="22.25" customHeight="1">
      <c r="A514" s="286" t="s">
        <v>529</v>
      </c>
      <c r="B514" s="286" t="s">
        <v>573</v>
      </c>
      <c r="C514" s="287" t="s">
        <v>903</v>
      </c>
      <c r="D514" s="286" t="s">
        <v>889</v>
      </c>
      <c r="E514" s="289">
        <v>45565</v>
      </c>
      <c r="F514" s="288">
        <v>42.23</v>
      </c>
      <c r="H514" s="287" t="s">
        <v>733</v>
      </c>
      <c r="I514" s="287" t="s">
        <v>469</v>
      </c>
      <c r="J514" s="287" t="s">
        <v>459</v>
      </c>
      <c r="K514" s="287" t="s">
        <v>460</v>
      </c>
      <c r="M514"/>
      <c r="N514"/>
    </row>
    <row r="515" spans="1:14" ht="22.25" customHeight="1">
      <c r="A515" s="286" t="s">
        <v>529</v>
      </c>
      <c r="B515" s="286" t="s">
        <v>573</v>
      </c>
      <c r="C515" s="287" t="s">
        <v>795</v>
      </c>
      <c r="D515" s="286" t="s">
        <v>889</v>
      </c>
      <c r="E515" s="289">
        <v>45565</v>
      </c>
      <c r="F515" s="288">
        <v>28.34</v>
      </c>
      <c r="H515" s="287" t="s">
        <v>733</v>
      </c>
      <c r="I515" s="287" t="s">
        <v>469</v>
      </c>
      <c r="J515" s="287" t="s">
        <v>459</v>
      </c>
      <c r="K515" s="287" t="s">
        <v>460</v>
      </c>
      <c r="M515"/>
      <c r="N515"/>
    </row>
    <row r="516" spans="1:14" ht="22.25" customHeight="1">
      <c r="A516" s="286" t="s">
        <v>485</v>
      </c>
      <c r="B516" s="286" t="s">
        <v>486</v>
      </c>
      <c r="C516" s="287" t="s">
        <v>654</v>
      </c>
      <c r="D516" s="286" t="s">
        <v>889</v>
      </c>
      <c r="E516" s="289">
        <v>45565</v>
      </c>
      <c r="F516" s="288">
        <v>12.53</v>
      </c>
      <c r="H516" s="287" t="s">
        <v>733</v>
      </c>
      <c r="I516" s="287" t="s">
        <v>469</v>
      </c>
      <c r="J516" s="287" t="s">
        <v>459</v>
      </c>
      <c r="K516" s="287" t="s">
        <v>460</v>
      </c>
      <c r="M516"/>
      <c r="N516"/>
    </row>
    <row r="517" spans="1:14" ht="22.25" customHeight="1">
      <c r="A517" s="286" t="s">
        <v>465</v>
      </c>
      <c r="B517" s="286" t="s">
        <v>466</v>
      </c>
      <c r="C517" s="287" t="s">
        <v>655</v>
      </c>
      <c r="D517" s="286" t="s">
        <v>889</v>
      </c>
      <c r="E517" s="289">
        <v>45565</v>
      </c>
      <c r="F517" s="288">
        <v>11.93</v>
      </c>
      <c r="H517" s="287" t="s">
        <v>733</v>
      </c>
      <c r="I517" s="287" t="s">
        <v>469</v>
      </c>
      <c r="J517" s="287" t="s">
        <v>459</v>
      </c>
      <c r="K517" s="287" t="s">
        <v>460</v>
      </c>
      <c r="M517"/>
      <c r="N517"/>
    </row>
    <row r="518" spans="1:14" ht="22.25" customHeight="1">
      <c r="A518" s="286" t="s">
        <v>485</v>
      </c>
      <c r="B518" s="286" t="s">
        <v>486</v>
      </c>
      <c r="C518" s="287" t="s">
        <v>838</v>
      </c>
      <c r="D518" s="286" t="s">
        <v>889</v>
      </c>
      <c r="E518" s="289">
        <v>45565</v>
      </c>
      <c r="F518" s="288">
        <v>74.58</v>
      </c>
      <c r="H518" s="287" t="s">
        <v>733</v>
      </c>
      <c r="I518" s="287" t="s">
        <v>469</v>
      </c>
      <c r="J518" s="287" t="s">
        <v>459</v>
      </c>
      <c r="K518" s="287" t="s">
        <v>460</v>
      </c>
      <c r="M518"/>
      <c r="N518"/>
    </row>
    <row r="519" spans="1:14" ht="22.25" customHeight="1">
      <c r="A519" s="286" t="s">
        <v>485</v>
      </c>
      <c r="B519" s="286" t="s">
        <v>486</v>
      </c>
      <c r="C519" s="287" t="s">
        <v>904</v>
      </c>
      <c r="D519" s="286" t="s">
        <v>889</v>
      </c>
      <c r="E519" s="289">
        <v>45565</v>
      </c>
      <c r="F519" s="288">
        <v>14.17</v>
      </c>
      <c r="H519" s="287" t="s">
        <v>733</v>
      </c>
      <c r="I519" s="287" t="s">
        <v>469</v>
      </c>
      <c r="J519" s="287" t="s">
        <v>459</v>
      </c>
      <c r="K519" s="287" t="s">
        <v>460</v>
      </c>
      <c r="M519"/>
      <c r="N519"/>
    </row>
    <row r="520" spans="1:14" ht="22.25" customHeight="1">
      <c r="A520" s="286" t="s">
        <v>485</v>
      </c>
      <c r="B520" s="286" t="s">
        <v>486</v>
      </c>
      <c r="C520" s="287" t="s">
        <v>905</v>
      </c>
      <c r="D520" s="286" t="s">
        <v>889</v>
      </c>
      <c r="E520" s="289">
        <v>45565</v>
      </c>
      <c r="F520" s="288">
        <v>20.73</v>
      </c>
      <c r="H520" s="287" t="s">
        <v>733</v>
      </c>
      <c r="I520" s="287" t="s">
        <v>469</v>
      </c>
      <c r="J520" s="287" t="s">
        <v>459</v>
      </c>
      <c r="K520" s="287" t="s">
        <v>460</v>
      </c>
      <c r="M520"/>
      <c r="N520"/>
    </row>
    <row r="521" spans="1:14" ht="22.25" customHeight="1">
      <c r="A521" s="286" t="s">
        <v>485</v>
      </c>
      <c r="B521" s="286" t="s">
        <v>486</v>
      </c>
      <c r="C521" s="287" t="s">
        <v>906</v>
      </c>
      <c r="D521" s="286" t="s">
        <v>889</v>
      </c>
      <c r="E521" s="289">
        <v>45565</v>
      </c>
      <c r="F521" s="288">
        <v>4.03</v>
      </c>
      <c r="H521" s="287" t="s">
        <v>733</v>
      </c>
      <c r="I521" s="287" t="s">
        <v>469</v>
      </c>
      <c r="J521" s="287" t="s">
        <v>459</v>
      </c>
      <c r="K521" s="287" t="s">
        <v>460</v>
      </c>
      <c r="M521"/>
      <c r="N521"/>
    </row>
    <row r="522" spans="1:14" ht="22.25" customHeight="1">
      <c r="A522" s="286" t="s">
        <v>485</v>
      </c>
      <c r="B522" s="286" t="s">
        <v>486</v>
      </c>
      <c r="C522" s="287" t="s">
        <v>626</v>
      </c>
      <c r="D522" s="286" t="s">
        <v>889</v>
      </c>
      <c r="E522" s="289">
        <v>45565</v>
      </c>
      <c r="F522" s="288">
        <v>7.0000000000000007E-2</v>
      </c>
      <c r="H522" s="287" t="s">
        <v>733</v>
      </c>
      <c r="I522" s="287" t="s">
        <v>469</v>
      </c>
      <c r="J522" s="287" t="s">
        <v>459</v>
      </c>
      <c r="K522" s="287" t="s">
        <v>460</v>
      </c>
      <c r="M522"/>
      <c r="N522"/>
    </row>
    <row r="523" spans="1:14" ht="22.25" customHeight="1">
      <c r="A523" s="286" t="s">
        <v>536</v>
      </c>
      <c r="B523" s="286" t="s">
        <v>647</v>
      </c>
      <c r="C523" s="287" t="s">
        <v>907</v>
      </c>
      <c r="D523" s="286" t="s">
        <v>889</v>
      </c>
      <c r="E523" s="289">
        <v>45565</v>
      </c>
      <c r="F523" s="288">
        <v>215.08</v>
      </c>
      <c r="H523" s="287" t="s">
        <v>733</v>
      </c>
      <c r="I523" s="287" t="s">
        <v>469</v>
      </c>
      <c r="J523" s="287" t="s">
        <v>459</v>
      </c>
      <c r="K523" s="287" t="s">
        <v>460</v>
      </c>
      <c r="M523"/>
      <c r="N523"/>
    </row>
    <row r="524" spans="1:14" ht="22.25" customHeight="1">
      <c r="A524" s="286" t="s">
        <v>534</v>
      </c>
      <c r="B524" s="286" t="s">
        <v>601</v>
      </c>
      <c r="C524" s="287" t="s">
        <v>908</v>
      </c>
      <c r="D524" s="286" t="s">
        <v>889</v>
      </c>
      <c r="E524" s="289">
        <v>45565</v>
      </c>
      <c r="F524" s="288">
        <v>2.98</v>
      </c>
      <c r="H524" s="287" t="s">
        <v>733</v>
      </c>
      <c r="I524" s="287" t="s">
        <v>469</v>
      </c>
      <c r="J524" s="287" t="s">
        <v>459</v>
      </c>
      <c r="K524" s="287" t="s">
        <v>460</v>
      </c>
      <c r="M524"/>
      <c r="N524"/>
    </row>
    <row r="525" spans="1:14" ht="22.25" customHeight="1">
      <c r="A525" s="286" t="s">
        <v>522</v>
      </c>
      <c r="B525" s="286" t="s">
        <v>609</v>
      </c>
      <c r="C525" s="287" t="s">
        <v>909</v>
      </c>
      <c r="D525" s="286" t="s">
        <v>889</v>
      </c>
      <c r="E525" s="289">
        <v>45565</v>
      </c>
      <c r="F525" s="288">
        <v>64.14</v>
      </c>
      <c r="H525" s="287" t="s">
        <v>733</v>
      </c>
      <c r="I525" s="287" t="s">
        <v>469</v>
      </c>
      <c r="J525" s="287" t="s">
        <v>459</v>
      </c>
      <c r="K525" s="287" t="s">
        <v>460</v>
      </c>
      <c r="M525"/>
      <c r="N525"/>
    </row>
    <row r="526" spans="1:14" ht="22.25" customHeight="1">
      <c r="A526" s="286" t="s">
        <v>465</v>
      </c>
      <c r="B526" s="286" t="s">
        <v>466</v>
      </c>
      <c r="C526" s="287" t="s">
        <v>910</v>
      </c>
      <c r="D526" s="286" t="s">
        <v>889</v>
      </c>
      <c r="E526" s="289">
        <v>45565</v>
      </c>
      <c r="F526" s="288">
        <v>38.78</v>
      </c>
      <c r="H526" s="287" t="s">
        <v>733</v>
      </c>
      <c r="I526" s="287" t="s">
        <v>469</v>
      </c>
      <c r="J526" s="287" t="s">
        <v>459</v>
      </c>
      <c r="K526" s="287" t="s">
        <v>460</v>
      </c>
      <c r="M526"/>
      <c r="N526"/>
    </row>
    <row r="527" spans="1:14" ht="22.25" customHeight="1">
      <c r="A527" s="286" t="s">
        <v>478</v>
      </c>
      <c r="B527" s="286" t="s">
        <v>479</v>
      </c>
      <c r="C527" s="287" t="s">
        <v>911</v>
      </c>
      <c r="D527" s="286" t="s">
        <v>889</v>
      </c>
      <c r="E527" s="289">
        <v>45565</v>
      </c>
      <c r="F527" s="288">
        <v>74.58</v>
      </c>
      <c r="H527" s="287" t="s">
        <v>733</v>
      </c>
      <c r="I527" s="287" t="s">
        <v>469</v>
      </c>
      <c r="J527" s="287" t="s">
        <v>459</v>
      </c>
      <c r="K527" s="287" t="s">
        <v>460</v>
      </c>
      <c r="M527"/>
      <c r="N527"/>
    </row>
    <row r="528" spans="1:14" ht="22.25" customHeight="1">
      <c r="A528" s="286" t="s">
        <v>534</v>
      </c>
      <c r="B528" s="286" t="s">
        <v>601</v>
      </c>
      <c r="C528" s="287" t="s">
        <v>912</v>
      </c>
      <c r="D528" s="286" t="s">
        <v>889</v>
      </c>
      <c r="E528" s="289">
        <v>45565</v>
      </c>
      <c r="F528" s="288">
        <v>2.98</v>
      </c>
      <c r="H528" s="287" t="s">
        <v>733</v>
      </c>
      <c r="I528" s="287" t="s">
        <v>469</v>
      </c>
      <c r="J528" s="287" t="s">
        <v>459</v>
      </c>
      <c r="K528" s="287" t="s">
        <v>460</v>
      </c>
      <c r="M528"/>
      <c r="N528"/>
    </row>
    <row r="529" spans="1:14" ht="22.25" customHeight="1">
      <c r="A529" s="286" t="s">
        <v>534</v>
      </c>
      <c r="B529" s="286" t="s">
        <v>601</v>
      </c>
      <c r="C529" s="287" t="s">
        <v>913</v>
      </c>
      <c r="D529" s="286" t="s">
        <v>889</v>
      </c>
      <c r="E529" s="289">
        <v>45565</v>
      </c>
      <c r="F529" s="288">
        <v>2.98</v>
      </c>
      <c r="H529" s="287" t="s">
        <v>733</v>
      </c>
      <c r="I529" s="287" t="s">
        <v>469</v>
      </c>
      <c r="J529" s="287" t="s">
        <v>459</v>
      </c>
      <c r="K529" s="287" t="s">
        <v>460</v>
      </c>
      <c r="M529"/>
      <c r="N529"/>
    </row>
    <row r="530" spans="1:14" ht="22.25" customHeight="1">
      <c r="A530" s="286" t="s">
        <v>485</v>
      </c>
      <c r="B530" s="286" t="s">
        <v>486</v>
      </c>
      <c r="C530" s="287" t="s">
        <v>914</v>
      </c>
      <c r="D530" s="286" t="s">
        <v>889</v>
      </c>
      <c r="E530" s="289">
        <v>45565</v>
      </c>
      <c r="F530" s="288">
        <v>59.66</v>
      </c>
      <c r="H530" s="287" t="s">
        <v>885</v>
      </c>
      <c r="I530" s="287" t="s">
        <v>469</v>
      </c>
      <c r="J530" s="287" t="s">
        <v>459</v>
      </c>
      <c r="K530" s="287" t="s">
        <v>460</v>
      </c>
      <c r="M530"/>
      <c r="N530"/>
    </row>
    <row r="531" spans="1:14" ht="33.200000000000003" customHeight="1">
      <c r="A531" s="286" t="s">
        <v>541</v>
      </c>
      <c r="B531" s="286" t="s">
        <v>878</v>
      </c>
      <c r="C531" s="287" t="s">
        <v>915</v>
      </c>
      <c r="D531" s="286" t="s">
        <v>889</v>
      </c>
      <c r="E531" s="289">
        <v>45565</v>
      </c>
      <c r="F531" s="288">
        <v>100.68</v>
      </c>
      <c r="H531" s="287" t="s">
        <v>885</v>
      </c>
      <c r="I531" s="287" t="s">
        <v>469</v>
      </c>
      <c r="J531" s="287" t="s">
        <v>459</v>
      </c>
      <c r="K531" s="287" t="s">
        <v>460</v>
      </c>
      <c r="M531"/>
      <c r="N531"/>
    </row>
    <row r="532" spans="1:14" ht="22.25" customHeight="1">
      <c r="A532" s="286" t="s">
        <v>455</v>
      </c>
      <c r="B532" s="286" t="s">
        <v>456</v>
      </c>
      <c r="C532" s="287" t="s">
        <v>461</v>
      </c>
      <c r="D532" s="286" t="s">
        <v>916</v>
      </c>
      <c r="E532" s="289">
        <v>45565</v>
      </c>
      <c r="F532" s="288">
        <v>563.28</v>
      </c>
      <c r="H532" s="287" t="s">
        <v>458</v>
      </c>
      <c r="I532" s="287" t="s">
        <v>458</v>
      </c>
      <c r="J532" s="287" t="s">
        <v>459</v>
      </c>
      <c r="K532" s="287" t="s">
        <v>460</v>
      </c>
      <c r="M532"/>
      <c r="N532"/>
    </row>
    <row r="533" spans="1:14" ht="22.25" customHeight="1">
      <c r="A533" s="286" t="s">
        <v>455</v>
      </c>
      <c r="B533" s="286" t="s">
        <v>456</v>
      </c>
      <c r="C533" s="287" t="s">
        <v>463</v>
      </c>
      <c r="D533" s="286" t="s">
        <v>916</v>
      </c>
      <c r="E533" s="289">
        <v>45565</v>
      </c>
      <c r="F533" s="288">
        <v>436.8</v>
      </c>
      <c r="H533" s="287" t="s">
        <v>458</v>
      </c>
      <c r="I533" s="287" t="s">
        <v>458</v>
      </c>
      <c r="J533" s="287" t="s">
        <v>459</v>
      </c>
      <c r="K533" s="287" t="s">
        <v>460</v>
      </c>
      <c r="M533"/>
      <c r="N533"/>
    </row>
    <row r="534" spans="1:14" ht="22.25" customHeight="1">
      <c r="A534" s="286" t="s">
        <v>455</v>
      </c>
      <c r="B534" s="286" t="s">
        <v>456</v>
      </c>
      <c r="C534" s="287" t="s">
        <v>464</v>
      </c>
      <c r="D534" s="286" t="s">
        <v>916</v>
      </c>
      <c r="E534" s="289">
        <v>45565</v>
      </c>
      <c r="F534" s="288">
        <v>720</v>
      </c>
      <c r="H534" s="287" t="s">
        <v>458</v>
      </c>
      <c r="I534" s="287" t="s">
        <v>458</v>
      </c>
      <c r="J534" s="287" t="s">
        <v>459</v>
      </c>
      <c r="K534" s="287" t="s">
        <v>460</v>
      </c>
      <c r="M534"/>
      <c r="N534"/>
    </row>
    <row r="535" spans="1:14" ht="44.1" customHeight="1">
      <c r="A535" s="286" t="s">
        <v>506</v>
      </c>
      <c r="B535" s="286" t="s">
        <v>507</v>
      </c>
      <c r="C535" s="287" t="s">
        <v>917</v>
      </c>
      <c r="D535" s="286" t="s">
        <v>918</v>
      </c>
      <c r="E535" s="289">
        <v>45582</v>
      </c>
      <c r="F535" s="288">
        <v>2000</v>
      </c>
      <c r="H535" s="287" t="s">
        <v>458</v>
      </c>
      <c r="I535" s="287" t="s">
        <v>469</v>
      </c>
      <c r="J535" s="287" t="s">
        <v>459</v>
      </c>
      <c r="K535" s="287" t="s">
        <v>460</v>
      </c>
      <c r="M535"/>
      <c r="N535"/>
    </row>
    <row r="536" spans="1:14" ht="44.1" customHeight="1">
      <c r="A536" s="286" t="s">
        <v>506</v>
      </c>
      <c r="B536" s="286" t="s">
        <v>507</v>
      </c>
      <c r="C536" s="287" t="s">
        <v>919</v>
      </c>
      <c r="D536" s="286" t="s">
        <v>918</v>
      </c>
      <c r="E536" s="289">
        <v>45582</v>
      </c>
      <c r="F536" s="288">
        <v>2000</v>
      </c>
      <c r="H536" s="287" t="s">
        <v>458</v>
      </c>
      <c r="I536" s="287" t="s">
        <v>469</v>
      </c>
      <c r="J536" s="287" t="s">
        <v>459</v>
      </c>
      <c r="K536" s="287" t="s">
        <v>460</v>
      </c>
      <c r="M536"/>
      <c r="N536"/>
    </row>
    <row r="537" spans="1:14" ht="33.200000000000003" customHeight="1">
      <c r="A537" s="286" t="s">
        <v>465</v>
      </c>
      <c r="B537" s="286" t="s">
        <v>466</v>
      </c>
      <c r="C537" s="287" t="s">
        <v>920</v>
      </c>
      <c r="D537" s="286" t="s">
        <v>921</v>
      </c>
      <c r="E537" s="289">
        <v>45596</v>
      </c>
      <c r="F537" s="288">
        <v>1170.74</v>
      </c>
      <c r="H537" s="287" t="s">
        <v>896</v>
      </c>
      <c r="I537" s="287" t="s">
        <v>469</v>
      </c>
      <c r="J537" s="287" t="s">
        <v>459</v>
      </c>
      <c r="K537" s="287" t="s">
        <v>460</v>
      </c>
      <c r="M537"/>
      <c r="N537"/>
    </row>
    <row r="538" spans="1:14" ht="22.25" customHeight="1">
      <c r="A538" s="286" t="s">
        <v>489</v>
      </c>
      <c r="B538" s="286" t="s">
        <v>490</v>
      </c>
      <c r="C538" s="287" t="s">
        <v>922</v>
      </c>
      <c r="D538" s="286" t="s">
        <v>921</v>
      </c>
      <c r="E538" s="289">
        <v>45596</v>
      </c>
      <c r="F538" s="288">
        <v>1236.5999999999999</v>
      </c>
      <c r="H538" s="287" t="s">
        <v>896</v>
      </c>
      <c r="I538" s="287" t="s">
        <v>469</v>
      </c>
      <c r="J538" s="287" t="s">
        <v>459</v>
      </c>
      <c r="K538" s="287" t="s">
        <v>460</v>
      </c>
      <c r="M538"/>
      <c r="N538"/>
    </row>
    <row r="539" spans="1:14" ht="22.25" customHeight="1">
      <c r="A539" s="286" t="s">
        <v>465</v>
      </c>
      <c r="B539" s="286" t="s">
        <v>466</v>
      </c>
      <c r="C539" s="287" t="s">
        <v>829</v>
      </c>
      <c r="D539" s="286" t="s">
        <v>921</v>
      </c>
      <c r="E539" s="289">
        <v>45596</v>
      </c>
      <c r="F539" s="288">
        <v>27.81</v>
      </c>
      <c r="H539" s="287" t="s">
        <v>896</v>
      </c>
      <c r="I539" s="287" t="s">
        <v>469</v>
      </c>
      <c r="J539" s="287" t="s">
        <v>459</v>
      </c>
      <c r="K539" s="287" t="s">
        <v>460</v>
      </c>
      <c r="M539"/>
      <c r="N539"/>
    </row>
    <row r="540" spans="1:14" ht="22.25" customHeight="1">
      <c r="A540" s="286" t="s">
        <v>530</v>
      </c>
      <c r="B540" s="286" t="s">
        <v>531</v>
      </c>
      <c r="C540" s="287" t="s">
        <v>923</v>
      </c>
      <c r="D540" s="286" t="s">
        <v>921</v>
      </c>
      <c r="E540" s="289">
        <v>45596</v>
      </c>
      <c r="F540" s="288">
        <v>87.81</v>
      </c>
      <c r="H540" s="287" t="s">
        <v>896</v>
      </c>
      <c r="I540" s="287" t="s">
        <v>469</v>
      </c>
      <c r="J540" s="287" t="s">
        <v>459</v>
      </c>
      <c r="K540" s="287" t="s">
        <v>460</v>
      </c>
      <c r="M540"/>
      <c r="N540"/>
    </row>
    <row r="541" spans="1:14" ht="22.25" customHeight="1">
      <c r="A541" s="286" t="s">
        <v>506</v>
      </c>
      <c r="B541" s="286" t="s">
        <v>507</v>
      </c>
      <c r="C541" s="287" t="s">
        <v>924</v>
      </c>
      <c r="D541" s="286" t="s">
        <v>921</v>
      </c>
      <c r="E541" s="289">
        <v>45596</v>
      </c>
      <c r="F541" s="288">
        <v>73.17</v>
      </c>
      <c r="H541" s="287" t="s">
        <v>896</v>
      </c>
      <c r="I541" s="287" t="s">
        <v>469</v>
      </c>
      <c r="J541" s="287" t="s">
        <v>459</v>
      </c>
      <c r="K541" s="287" t="s">
        <v>460</v>
      </c>
      <c r="M541"/>
      <c r="N541"/>
    </row>
    <row r="542" spans="1:14" ht="22.25" customHeight="1">
      <c r="A542" s="286" t="s">
        <v>465</v>
      </c>
      <c r="B542" s="286" t="s">
        <v>466</v>
      </c>
      <c r="C542" s="287" t="s">
        <v>857</v>
      </c>
      <c r="D542" s="286" t="s">
        <v>921</v>
      </c>
      <c r="E542" s="289">
        <v>45596</v>
      </c>
      <c r="F542" s="288">
        <v>834.15</v>
      </c>
      <c r="H542" s="287" t="s">
        <v>896</v>
      </c>
      <c r="I542" s="287" t="s">
        <v>469</v>
      </c>
      <c r="J542" s="287" t="s">
        <v>459</v>
      </c>
      <c r="K542" s="287" t="s">
        <v>460</v>
      </c>
      <c r="M542"/>
      <c r="N542"/>
    </row>
    <row r="543" spans="1:14" ht="22.25" customHeight="1">
      <c r="A543" s="286" t="s">
        <v>506</v>
      </c>
      <c r="B543" s="286" t="s">
        <v>507</v>
      </c>
      <c r="C543" s="287" t="s">
        <v>925</v>
      </c>
      <c r="D543" s="286" t="s">
        <v>921</v>
      </c>
      <c r="E543" s="289">
        <v>45596</v>
      </c>
      <c r="F543" s="288">
        <v>87.81</v>
      </c>
      <c r="H543" s="287" t="s">
        <v>896</v>
      </c>
      <c r="I543" s="287" t="s">
        <v>469</v>
      </c>
      <c r="J543" s="287" t="s">
        <v>459</v>
      </c>
      <c r="K543" s="287" t="s">
        <v>460</v>
      </c>
      <c r="M543"/>
      <c r="N543"/>
    </row>
    <row r="544" spans="1:14" ht="22.25" customHeight="1">
      <c r="A544" s="286" t="s">
        <v>560</v>
      </c>
      <c r="B544" s="286" t="s">
        <v>579</v>
      </c>
      <c r="C544" s="287" t="s">
        <v>926</v>
      </c>
      <c r="D544" s="286" t="s">
        <v>921</v>
      </c>
      <c r="E544" s="289">
        <v>45596</v>
      </c>
      <c r="F544" s="288">
        <v>21.95</v>
      </c>
      <c r="H544" s="287" t="s">
        <v>896</v>
      </c>
      <c r="I544" s="287" t="s">
        <v>469</v>
      </c>
      <c r="J544" s="287" t="s">
        <v>459</v>
      </c>
      <c r="K544" s="287" t="s">
        <v>460</v>
      </c>
      <c r="M544"/>
      <c r="N544"/>
    </row>
    <row r="545" spans="1:14" ht="22.25" customHeight="1">
      <c r="A545" s="286" t="s">
        <v>485</v>
      </c>
      <c r="B545" s="286" t="s">
        <v>486</v>
      </c>
      <c r="C545" s="287" t="s">
        <v>927</v>
      </c>
      <c r="D545" s="286" t="s">
        <v>921</v>
      </c>
      <c r="E545" s="289">
        <v>45596</v>
      </c>
      <c r="F545" s="288">
        <v>2.63</v>
      </c>
      <c r="H545" s="287" t="s">
        <v>896</v>
      </c>
      <c r="I545" s="287" t="s">
        <v>469</v>
      </c>
      <c r="J545" s="287" t="s">
        <v>459</v>
      </c>
      <c r="K545" s="287" t="s">
        <v>460</v>
      </c>
      <c r="M545"/>
      <c r="N545"/>
    </row>
    <row r="546" spans="1:14" ht="22.25" customHeight="1">
      <c r="A546" s="286" t="s">
        <v>489</v>
      </c>
      <c r="B546" s="286" t="s">
        <v>490</v>
      </c>
      <c r="C546" s="287" t="s">
        <v>928</v>
      </c>
      <c r="D546" s="286" t="s">
        <v>921</v>
      </c>
      <c r="E546" s="289">
        <v>45596</v>
      </c>
      <c r="F546" s="288">
        <v>585.37</v>
      </c>
      <c r="H546" s="287" t="s">
        <v>896</v>
      </c>
      <c r="I546" s="287" t="s">
        <v>469</v>
      </c>
      <c r="J546" s="287" t="s">
        <v>459</v>
      </c>
      <c r="K546" s="287" t="s">
        <v>460</v>
      </c>
      <c r="M546"/>
      <c r="N546"/>
    </row>
    <row r="547" spans="1:14" ht="22.25" customHeight="1">
      <c r="A547" s="286" t="s">
        <v>478</v>
      </c>
      <c r="B547" s="286" t="s">
        <v>479</v>
      </c>
      <c r="C547" s="287" t="s">
        <v>929</v>
      </c>
      <c r="D547" s="286" t="s">
        <v>921</v>
      </c>
      <c r="E547" s="289">
        <v>45596</v>
      </c>
      <c r="F547" s="288">
        <v>499.64</v>
      </c>
      <c r="H547" s="287" t="s">
        <v>729</v>
      </c>
      <c r="I547" s="287" t="s">
        <v>469</v>
      </c>
      <c r="J547" s="287" t="s">
        <v>459</v>
      </c>
      <c r="K547" s="287" t="s">
        <v>460</v>
      </c>
      <c r="M547"/>
      <c r="N547"/>
    </row>
    <row r="548" spans="1:14" ht="22.25" customHeight="1">
      <c r="A548" s="286" t="s">
        <v>478</v>
      </c>
      <c r="B548" s="286" t="s">
        <v>479</v>
      </c>
      <c r="C548" s="287" t="s">
        <v>930</v>
      </c>
      <c r="D548" s="286" t="s">
        <v>921</v>
      </c>
      <c r="E548" s="289">
        <v>45596</v>
      </c>
      <c r="F548" s="288">
        <v>1414.02</v>
      </c>
      <c r="H548" s="287" t="s">
        <v>931</v>
      </c>
      <c r="I548" s="287" t="s">
        <v>469</v>
      </c>
      <c r="J548" s="287" t="s">
        <v>459</v>
      </c>
      <c r="K548" s="287" t="s">
        <v>460</v>
      </c>
      <c r="M548"/>
      <c r="N548"/>
    </row>
    <row r="549" spans="1:14" ht="22.25" customHeight="1">
      <c r="A549" s="286" t="s">
        <v>534</v>
      </c>
      <c r="B549" s="286" t="s">
        <v>601</v>
      </c>
      <c r="C549" s="287" t="s">
        <v>864</v>
      </c>
      <c r="D549" s="286" t="s">
        <v>921</v>
      </c>
      <c r="E549" s="289">
        <v>45596</v>
      </c>
      <c r="F549" s="288">
        <v>2.93</v>
      </c>
      <c r="H549" s="287" t="s">
        <v>733</v>
      </c>
      <c r="I549" s="287" t="s">
        <v>469</v>
      </c>
      <c r="J549" s="287" t="s">
        <v>459</v>
      </c>
      <c r="K549" s="287" t="s">
        <v>460</v>
      </c>
      <c r="M549"/>
      <c r="N549"/>
    </row>
    <row r="550" spans="1:14" ht="22.25" customHeight="1">
      <c r="A550" s="286" t="s">
        <v>522</v>
      </c>
      <c r="B550" s="286" t="s">
        <v>609</v>
      </c>
      <c r="C550" s="287" t="s">
        <v>932</v>
      </c>
      <c r="D550" s="286" t="s">
        <v>921</v>
      </c>
      <c r="E550" s="289">
        <v>45596</v>
      </c>
      <c r="F550" s="288">
        <v>29.27</v>
      </c>
      <c r="H550" s="287" t="s">
        <v>733</v>
      </c>
      <c r="I550" s="287" t="s">
        <v>469</v>
      </c>
      <c r="J550" s="287" t="s">
        <v>459</v>
      </c>
      <c r="K550" s="287" t="s">
        <v>460</v>
      </c>
      <c r="M550"/>
      <c r="N550"/>
    </row>
    <row r="551" spans="1:14" ht="22.25" customHeight="1">
      <c r="A551" s="286" t="s">
        <v>534</v>
      </c>
      <c r="B551" s="286" t="s">
        <v>601</v>
      </c>
      <c r="C551" s="287" t="s">
        <v>864</v>
      </c>
      <c r="D551" s="286" t="s">
        <v>921</v>
      </c>
      <c r="E551" s="289">
        <v>45596</v>
      </c>
      <c r="F551" s="288">
        <v>2.93</v>
      </c>
      <c r="H551" s="287" t="s">
        <v>733</v>
      </c>
      <c r="I551" s="287" t="s">
        <v>469</v>
      </c>
      <c r="J551" s="287" t="s">
        <v>459</v>
      </c>
      <c r="K551" s="287" t="s">
        <v>460</v>
      </c>
      <c r="M551"/>
      <c r="N551"/>
    </row>
    <row r="552" spans="1:14" ht="22.25" customHeight="1">
      <c r="A552" s="286" t="s">
        <v>534</v>
      </c>
      <c r="B552" s="286" t="s">
        <v>601</v>
      </c>
      <c r="C552" s="287" t="s">
        <v>933</v>
      </c>
      <c r="D552" s="286" t="s">
        <v>921</v>
      </c>
      <c r="E552" s="289">
        <v>45596</v>
      </c>
      <c r="F552" s="288">
        <v>10.14</v>
      </c>
      <c r="H552" s="287" t="s">
        <v>733</v>
      </c>
      <c r="I552" s="287" t="s">
        <v>469</v>
      </c>
      <c r="J552" s="287" t="s">
        <v>459</v>
      </c>
      <c r="K552" s="287" t="s">
        <v>460</v>
      </c>
      <c r="M552"/>
      <c r="N552"/>
    </row>
    <row r="553" spans="1:14" ht="22.25" customHeight="1">
      <c r="A553" s="286" t="s">
        <v>534</v>
      </c>
      <c r="B553" s="286" t="s">
        <v>601</v>
      </c>
      <c r="C553" s="287" t="s">
        <v>934</v>
      </c>
      <c r="D553" s="286" t="s">
        <v>921</v>
      </c>
      <c r="E553" s="289">
        <v>45596</v>
      </c>
      <c r="F553" s="288">
        <v>0.34</v>
      </c>
      <c r="H553" s="287" t="s">
        <v>733</v>
      </c>
      <c r="I553" s="287" t="s">
        <v>469</v>
      </c>
      <c r="J553" s="287" t="s">
        <v>459</v>
      </c>
      <c r="K553" s="287" t="s">
        <v>460</v>
      </c>
      <c r="M553"/>
      <c r="N553"/>
    </row>
    <row r="554" spans="1:14" ht="22.25" customHeight="1">
      <c r="A554" s="286" t="s">
        <v>534</v>
      </c>
      <c r="B554" s="286" t="s">
        <v>601</v>
      </c>
      <c r="C554" s="287" t="s">
        <v>935</v>
      </c>
      <c r="D554" s="286" t="s">
        <v>921</v>
      </c>
      <c r="E554" s="289">
        <v>45596</v>
      </c>
      <c r="F554" s="288">
        <v>7.0000000000000007E-2</v>
      </c>
      <c r="H554" s="287" t="s">
        <v>733</v>
      </c>
      <c r="I554" s="287" t="s">
        <v>469</v>
      </c>
      <c r="J554" s="287" t="s">
        <v>459</v>
      </c>
      <c r="K554" s="287" t="s">
        <v>460</v>
      </c>
      <c r="M554"/>
      <c r="N554"/>
    </row>
    <row r="555" spans="1:14" ht="22.25" customHeight="1">
      <c r="A555" s="286" t="s">
        <v>529</v>
      </c>
      <c r="B555" s="286" t="s">
        <v>573</v>
      </c>
      <c r="C555" s="287" t="s">
        <v>623</v>
      </c>
      <c r="D555" s="286" t="s">
        <v>921</v>
      </c>
      <c r="E555" s="289">
        <v>45596</v>
      </c>
      <c r="F555" s="288">
        <v>52.98</v>
      </c>
      <c r="H555" s="287" t="s">
        <v>733</v>
      </c>
      <c r="I555" s="287" t="s">
        <v>469</v>
      </c>
      <c r="J555" s="287" t="s">
        <v>459</v>
      </c>
      <c r="K555" s="287" t="s">
        <v>460</v>
      </c>
      <c r="M555"/>
      <c r="N555"/>
    </row>
    <row r="556" spans="1:14" ht="22.25" customHeight="1">
      <c r="A556" s="286" t="s">
        <v>529</v>
      </c>
      <c r="B556" s="286" t="s">
        <v>573</v>
      </c>
      <c r="C556" s="287" t="s">
        <v>673</v>
      </c>
      <c r="D556" s="286" t="s">
        <v>921</v>
      </c>
      <c r="E556" s="289">
        <v>45596</v>
      </c>
      <c r="F556" s="288">
        <v>40.74</v>
      </c>
      <c r="H556" s="287" t="s">
        <v>733</v>
      </c>
      <c r="I556" s="287" t="s">
        <v>469</v>
      </c>
      <c r="J556" s="287" t="s">
        <v>459</v>
      </c>
      <c r="K556" s="287" t="s">
        <v>460</v>
      </c>
      <c r="M556"/>
      <c r="N556"/>
    </row>
    <row r="557" spans="1:14" ht="22.25" customHeight="1">
      <c r="A557" s="286" t="s">
        <v>529</v>
      </c>
      <c r="B557" s="286" t="s">
        <v>573</v>
      </c>
      <c r="C557" s="287" t="s">
        <v>902</v>
      </c>
      <c r="D557" s="286" t="s">
        <v>921</v>
      </c>
      <c r="E557" s="289">
        <v>45596</v>
      </c>
      <c r="F557" s="288">
        <v>40.74</v>
      </c>
      <c r="H557" s="287" t="s">
        <v>733</v>
      </c>
      <c r="I557" s="287" t="s">
        <v>469</v>
      </c>
      <c r="J557" s="287" t="s">
        <v>459</v>
      </c>
      <c r="K557" s="287" t="s">
        <v>460</v>
      </c>
      <c r="M557"/>
      <c r="N557"/>
    </row>
    <row r="558" spans="1:14" ht="22.25" customHeight="1">
      <c r="A558" s="286" t="s">
        <v>529</v>
      </c>
      <c r="B558" s="286" t="s">
        <v>573</v>
      </c>
      <c r="C558" s="287" t="s">
        <v>903</v>
      </c>
      <c r="D558" s="286" t="s">
        <v>921</v>
      </c>
      <c r="E558" s="289">
        <v>45596</v>
      </c>
      <c r="F558" s="288">
        <v>40.74</v>
      </c>
      <c r="H558" s="287" t="s">
        <v>733</v>
      </c>
      <c r="I558" s="287" t="s">
        <v>469</v>
      </c>
      <c r="J558" s="287" t="s">
        <v>459</v>
      </c>
      <c r="K558" s="287" t="s">
        <v>460</v>
      </c>
      <c r="M558"/>
      <c r="N558"/>
    </row>
    <row r="559" spans="1:14" ht="22.25" customHeight="1">
      <c r="A559" s="286" t="s">
        <v>529</v>
      </c>
      <c r="B559" s="286" t="s">
        <v>573</v>
      </c>
      <c r="C559" s="287" t="s">
        <v>651</v>
      </c>
      <c r="D559" s="286" t="s">
        <v>921</v>
      </c>
      <c r="E559" s="289">
        <v>45596</v>
      </c>
      <c r="F559" s="288">
        <v>40.74</v>
      </c>
      <c r="H559" s="287" t="s">
        <v>733</v>
      </c>
      <c r="I559" s="287" t="s">
        <v>469</v>
      </c>
      <c r="J559" s="287" t="s">
        <v>459</v>
      </c>
      <c r="K559" s="287" t="s">
        <v>460</v>
      </c>
      <c r="M559"/>
      <c r="N559"/>
    </row>
    <row r="560" spans="1:14" ht="22.25" customHeight="1">
      <c r="A560" s="286" t="s">
        <v>529</v>
      </c>
      <c r="B560" s="286" t="s">
        <v>573</v>
      </c>
      <c r="C560" s="287" t="s">
        <v>652</v>
      </c>
      <c r="D560" s="286" t="s">
        <v>921</v>
      </c>
      <c r="E560" s="289">
        <v>45596</v>
      </c>
      <c r="F560" s="288">
        <v>40.74</v>
      </c>
      <c r="H560" s="287" t="s">
        <v>733</v>
      </c>
      <c r="I560" s="287" t="s">
        <v>469</v>
      </c>
      <c r="J560" s="287" t="s">
        <v>459</v>
      </c>
      <c r="K560" s="287" t="s">
        <v>460</v>
      </c>
      <c r="M560"/>
      <c r="N560"/>
    </row>
    <row r="561" spans="1:14" ht="22.25" customHeight="1">
      <c r="A561" s="286" t="s">
        <v>529</v>
      </c>
      <c r="B561" s="286" t="s">
        <v>573</v>
      </c>
      <c r="C561" s="287" t="s">
        <v>795</v>
      </c>
      <c r="D561" s="286" t="s">
        <v>921</v>
      </c>
      <c r="E561" s="289">
        <v>45596</v>
      </c>
      <c r="F561" s="288">
        <v>27.81</v>
      </c>
      <c r="H561" s="287" t="s">
        <v>733</v>
      </c>
      <c r="I561" s="287" t="s">
        <v>469</v>
      </c>
      <c r="J561" s="287" t="s">
        <v>459</v>
      </c>
      <c r="K561" s="287" t="s">
        <v>460</v>
      </c>
      <c r="M561"/>
      <c r="N561"/>
    </row>
    <row r="562" spans="1:14" ht="22.25" customHeight="1">
      <c r="A562" s="286" t="s">
        <v>485</v>
      </c>
      <c r="B562" s="286" t="s">
        <v>486</v>
      </c>
      <c r="C562" s="287" t="s">
        <v>654</v>
      </c>
      <c r="D562" s="286" t="s">
        <v>921</v>
      </c>
      <c r="E562" s="289">
        <v>45596</v>
      </c>
      <c r="F562" s="288">
        <v>11.71</v>
      </c>
      <c r="H562" s="287" t="s">
        <v>733</v>
      </c>
      <c r="I562" s="287" t="s">
        <v>469</v>
      </c>
      <c r="J562" s="287" t="s">
        <v>459</v>
      </c>
      <c r="K562" s="287" t="s">
        <v>460</v>
      </c>
      <c r="M562"/>
      <c r="N562"/>
    </row>
    <row r="563" spans="1:14" ht="22.25" customHeight="1">
      <c r="A563" s="286" t="s">
        <v>465</v>
      </c>
      <c r="B563" s="286" t="s">
        <v>466</v>
      </c>
      <c r="C563" s="287" t="s">
        <v>655</v>
      </c>
      <c r="D563" s="286" t="s">
        <v>921</v>
      </c>
      <c r="E563" s="289">
        <v>45596</v>
      </c>
      <c r="F563" s="288">
        <v>8.7799999999999994</v>
      </c>
      <c r="H563" s="287" t="s">
        <v>733</v>
      </c>
      <c r="I563" s="287" t="s">
        <v>469</v>
      </c>
      <c r="J563" s="287" t="s">
        <v>459</v>
      </c>
      <c r="K563" s="287" t="s">
        <v>460</v>
      </c>
      <c r="M563"/>
      <c r="N563"/>
    </row>
    <row r="564" spans="1:14" ht="22.25" customHeight="1">
      <c r="A564" s="286" t="s">
        <v>485</v>
      </c>
      <c r="B564" s="286" t="s">
        <v>486</v>
      </c>
      <c r="C564" s="287" t="s">
        <v>838</v>
      </c>
      <c r="D564" s="286" t="s">
        <v>921</v>
      </c>
      <c r="E564" s="289">
        <v>45596</v>
      </c>
      <c r="F564" s="288">
        <v>73.17</v>
      </c>
      <c r="H564" s="287" t="s">
        <v>733</v>
      </c>
      <c r="I564" s="287" t="s">
        <v>469</v>
      </c>
      <c r="J564" s="287" t="s">
        <v>459</v>
      </c>
      <c r="K564" s="287" t="s">
        <v>460</v>
      </c>
      <c r="M564"/>
      <c r="N564"/>
    </row>
    <row r="565" spans="1:14" ht="22.25" customHeight="1">
      <c r="A565" s="286" t="s">
        <v>485</v>
      </c>
      <c r="B565" s="286" t="s">
        <v>486</v>
      </c>
      <c r="C565" s="287" t="s">
        <v>750</v>
      </c>
      <c r="D565" s="286" t="s">
        <v>921</v>
      </c>
      <c r="E565" s="289">
        <v>45596</v>
      </c>
      <c r="F565" s="288">
        <v>15.37</v>
      </c>
      <c r="H565" s="287" t="s">
        <v>733</v>
      </c>
      <c r="I565" s="287" t="s">
        <v>469</v>
      </c>
      <c r="J565" s="287" t="s">
        <v>459</v>
      </c>
      <c r="K565" s="287" t="s">
        <v>460</v>
      </c>
      <c r="M565"/>
      <c r="N565"/>
    </row>
    <row r="566" spans="1:14" ht="22.25" customHeight="1">
      <c r="A566" s="286" t="s">
        <v>485</v>
      </c>
      <c r="B566" s="286" t="s">
        <v>486</v>
      </c>
      <c r="C566" s="287" t="s">
        <v>703</v>
      </c>
      <c r="D566" s="286" t="s">
        <v>921</v>
      </c>
      <c r="E566" s="289">
        <v>45596</v>
      </c>
      <c r="F566" s="288">
        <v>3.95</v>
      </c>
      <c r="H566" s="287" t="s">
        <v>733</v>
      </c>
      <c r="I566" s="287" t="s">
        <v>469</v>
      </c>
      <c r="J566" s="287" t="s">
        <v>459</v>
      </c>
      <c r="K566" s="287" t="s">
        <v>460</v>
      </c>
      <c r="M566"/>
      <c r="N566"/>
    </row>
    <row r="567" spans="1:14" ht="22.25" customHeight="1">
      <c r="A567" s="286" t="s">
        <v>485</v>
      </c>
      <c r="B567" s="286" t="s">
        <v>486</v>
      </c>
      <c r="C567" s="287" t="s">
        <v>936</v>
      </c>
      <c r="D567" s="286" t="s">
        <v>921</v>
      </c>
      <c r="E567" s="289">
        <v>45596</v>
      </c>
      <c r="F567" s="288">
        <v>20.34</v>
      </c>
      <c r="H567" s="287" t="s">
        <v>733</v>
      </c>
      <c r="I567" s="287" t="s">
        <v>469</v>
      </c>
      <c r="J567" s="287" t="s">
        <v>459</v>
      </c>
      <c r="K567" s="287" t="s">
        <v>460</v>
      </c>
      <c r="M567"/>
      <c r="N567"/>
    </row>
    <row r="568" spans="1:14" ht="22.25" customHeight="1">
      <c r="A568" s="286" t="s">
        <v>527</v>
      </c>
      <c r="B568" s="286" t="s">
        <v>937</v>
      </c>
      <c r="C568" s="287" t="s">
        <v>839</v>
      </c>
      <c r="D568" s="286" t="s">
        <v>921</v>
      </c>
      <c r="E568" s="289">
        <v>45596</v>
      </c>
      <c r="F568" s="288">
        <v>8.7799999999999994</v>
      </c>
      <c r="H568" s="287" t="s">
        <v>733</v>
      </c>
      <c r="I568" s="287" t="s">
        <v>469</v>
      </c>
      <c r="J568" s="287" t="s">
        <v>459</v>
      </c>
      <c r="K568" s="287" t="s">
        <v>460</v>
      </c>
      <c r="M568"/>
      <c r="N568"/>
    </row>
    <row r="569" spans="1:14" ht="22.25" customHeight="1">
      <c r="A569" s="286" t="s">
        <v>485</v>
      </c>
      <c r="B569" s="286" t="s">
        <v>486</v>
      </c>
      <c r="C569" s="287" t="s">
        <v>938</v>
      </c>
      <c r="D569" s="286" t="s">
        <v>921</v>
      </c>
      <c r="E569" s="289">
        <v>45596</v>
      </c>
      <c r="F569" s="288">
        <v>11.71</v>
      </c>
      <c r="H569" s="287" t="s">
        <v>733</v>
      </c>
      <c r="I569" s="287" t="s">
        <v>469</v>
      </c>
      <c r="J569" s="287" t="s">
        <v>459</v>
      </c>
      <c r="K569" s="287" t="s">
        <v>460</v>
      </c>
      <c r="M569"/>
      <c r="N569"/>
    </row>
    <row r="570" spans="1:14" ht="33.200000000000003" customHeight="1">
      <c r="A570" s="286" t="s">
        <v>465</v>
      </c>
      <c r="B570" s="286" t="s">
        <v>466</v>
      </c>
      <c r="C570" s="287" t="s">
        <v>939</v>
      </c>
      <c r="D570" s="286" t="s">
        <v>921</v>
      </c>
      <c r="E570" s="289">
        <v>45596</v>
      </c>
      <c r="F570" s="288">
        <v>292.69</v>
      </c>
      <c r="H570" s="287" t="s">
        <v>733</v>
      </c>
      <c r="I570" s="287" t="s">
        <v>469</v>
      </c>
      <c r="J570" s="287" t="s">
        <v>459</v>
      </c>
      <c r="K570" s="287" t="s">
        <v>460</v>
      </c>
      <c r="M570"/>
      <c r="N570"/>
    </row>
    <row r="571" spans="1:14" ht="22.25" customHeight="1">
      <c r="A571" s="286" t="s">
        <v>542</v>
      </c>
      <c r="B571" s="286" t="s">
        <v>607</v>
      </c>
      <c r="C571" s="287" t="s">
        <v>940</v>
      </c>
      <c r="D571" s="286" t="s">
        <v>921</v>
      </c>
      <c r="E571" s="289">
        <v>45596</v>
      </c>
      <c r="F571" s="288">
        <v>658.54</v>
      </c>
      <c r="H571" s="287" t="s">
        <v>733</v>
      </c>
      <c r="I571" s="287" t="s">
        <v>469</v>
      </c>
      <c r="J571" s="287" t="s">
        <v>459</v>
      </c>
      <c r="K571" s="287" t="s">
        <v>460</v>
      </c>
      <c r="M571"/>
      <c r="N571"/>
    </row>
    <row r="572" spans="1:14" ht="33.200000000000003" customHeight="1">
      <c r="A572" s="286" t="s">
        <v>551</v>
      </c>
      <c r="B572" s="286" t="s">
        <v>941</v>
      </c>
      <c r="C572" s="287" t="s">
        <v>942</v>
      </c>
      <c r="D572" s="286" t="s">
        <v>921</v>
      </c>
      <c r="E572" s="289">
        <v>45596</v>
      </c>
      <c r="F572" s="288">
        <v>49.61</v>
      </c>
      <c r="H572" s="287" t="s">
        <v>733</v>
      </c>
      <c r="I572" s="287" t="s">
        <v>469</v>
      </c>
      <c r="J572" s="287" t="s">
        <v>459</v>
      </c>
      <c r="K572" s="287" t="s">
        <v>460</v>
      </c>
      <c r="M572"/>
      <c r="N572"/>
    </row>
    <row r="573" spans="1:14" ht="33.200000000000003" customHeight="1">
      <c r="A573" s="286" t="s">
        <v>542</v>
      </c>
      <c r="B573" s="286" t="s">
        <v>607</v>
      </c>
      <c r="C573" s="287" t="s">
        <v>943</v>
      </c>
      <c r="D573" s="286" t="s">
        <v>921</v>
      </c>
      <c r="E573" s="289">
        <v>45596</v>
      </c>
      <c r="F573" s="288">
        <v>159.5</v>
      </c>
      <c r="H573" s="287" t="s">
        <v>733</v>
      </c>
      <c r="I573" s="287" t="s">
        <v>469</v>
      </c>
      <c r="J573" s="287" t="s">
        <v>459</v>
      </c>
      <c r="K573" s="287" t="s">
        <v>460</v>
      </c>
      <c r="M573"/>
      <c r="N573"/>
    </row>
    <row r="574" spans="1:14" ht="22.25" customHeight="1">
      <c r="A574" s="286" t="s">
        <v>465</v>
      </c>
      <c r="B574" s="286" t="s">
        <v>466</v>
      </c>
      <c r="C574" s="287" t="s">
        <v>944</v>
      </c>
      <c r="D574" s="286" t="s">
        <v>921</v>
      </c>
      <c r="E574" s="289">
        <v>45596</v>
      </c>
      <c r="F574" s="288">
        <v>38.049999999999997</v>
      </c>
      <c r="H574" s="287" t="s">
        <v>733</v>
      </c>
      <c r="I574" s="287" t="s">
        <v>469</v>
      </c>
      <c r="J574" s="287" t="s">
        <v>459</v>
      </c>
      <c r="K574" s="287" t="s">
        <v>460</v>
      </c>
      <c r="M574"/>
      <c r="N574"/>
    </row>
    <row r="575" spans="1:14" ht="22.25" customHeight="1">
      <c r="A575" s="286" t="s">
        <v>478</v>
      </c>
      <c r="B575" s="286" t="s">
        <v>479</v>
      </c>
      <c r="C575" s="287" t="s">
        <v>945</v>
      </c>
      <c r="D575" s="286" t="s">
        <v>921</v>
      </c>
      <c r="E575" s="289">
        <v>45596</v>
      </c>
      <c r="F575" s="288">
        <v>73.17</v>
      </c>
      <c r="H575" s="287" t="s">
        <v>733</v>
      </c>
      <c r="I575" s="287" t="s">
        <v>469</v>
      </c>
      <c r="J575" s="287" t="s">
        <v>459</v>
      </c>
      <c r="K575" s="287" t="s">
        <v>460</v>
      </c>
      <c r="M575"/>
      <c r="N575"/>
    </row>
    <row r="576" spans="1:14" ht="22.25" customHeight="1">
      <c r="A576" s="286" t="s">
        <v>455</v>
      </c>
      <c r="B576" s="286" t="s">
        <v>456</v>
      </c>
      <c r="C576" s="287" t="s">
        <v>461</v>
      </c>
      <c r="D576" s="286" t="s">
        <v>946</v>
      </c>
      <c r="E576" s="289">
        <v>45596</v>
      </c>
      <c r="F576" s="288">
        <v>563</v>
      </c>
      <c r="H576" s="287" t="s">
        <v>458</v>
      </c>
      <c r="I576" s="287" t="s">
        <v>458</v>
      </c>
      <c r="J576" s="287" t="s">
        <v>459</v>
      </c>
      <c r="K576" s="287" t="s">
        <v>460</v>
      </c>
      <c r="M576"/>
      <c r="N576"/>
    </row>
    <row r="577" spans="1:14" ht="22.25" customHeight="1">
      <c r="A577" s="286" t="s">
        <v>455</v>
      </c>
      <c r="B577" s="286" t="s">
        <v>456</v>
      </c>
      <c r="C577" s="287" t="s">
        <v>463</v>
      </c>
      <c r="D577" s="286" t="s">
        <v>946</v>
      </c>
      <c r="E577" s="289">
        <v>45596</v>
      </c>
      <c r="F577" s="288">
        <v>437</v>
      </c>
      <c r="H577" s="287" t="s">
        <v>458</v>
      </c>
      <c r="I577" s="287" t="s">
        <v>458</v>
      </c>
      <c r="J577" s="287" t="s">
        <v>459</v>
      </c>
      <c r="K577" s="287" t="s">
        <v>460</v>
      </c>
      <c r="M577"/>
      <c r="N577"/>
    </row>
    <row r="578" spans="1:14" ht="22.25" customHeight="1">
      <c r="A578" s="286" t="s">
        <v>455</v>
      </c>
      <c r="B578" s="286" t="s">
        <v>456</v>
      </c>
      <c r="C578" s="287" t="s">
        <v>464</v>
      </c>
      <c r="D578" s="286" t="s">
        <v>946</v>
      </c>
      <c r="E578" s="289">
        <v>45596</v>
      </c>
      <c r="F578" s="288">
        <v>720</v>
      </c>
      <c r="H578" s="287" t="s">
        <v>458</v>
      </c>
      <c r="I578" s="287" t="s">
        <v>458</v>
      </c>
      <c r="J578" s="287" t="s">
        <v>459</v>
      </c>
      <c r="K578" s="287" t="s">
        <v>460</v>
      </c>
      <c r="M578"/>
      <c r="N578"/>
    </row>
    <row r="579" spans="1:14" ht="44.1" customHeight="1">
      <c r="A579" s="286" t="s">
        <v>506</v>
      </c>
      <c r="B579" s="286" t="s">
        <v>507</v>
      </c>
      <c r="C579" s="287" t="s">
        <v>947</v>
      </c>
      <c r="D579" s="286" t="s">
        <v>948</v>
      </c>
      <c r="E579" s="289">
        <v>45610</v>
      </c>
      <c r="F579" s="288">
        <v>3319</v>
      </c>
      <c r="H579" s="287" t="s">
        <v>458</v>
      </c>
      <c r="I579" s="287" t="s">
        <v>469</v>
      </c>
      <c r="J579" s="287" t="s">
        <v>459</v>
      </c>
      <c r="K579" s="287" t="s">
        <v>460</v>
      </c>
      <c r="M579"/>
      <c r="N579"/>
    </row>
    <row r="580" spans="1:14" ht="55.25" customHeight="1">
      <c r="A580" s="286" t="s">
        <v>553</v>
      </c>
      <c r="B580" s="286" t="s">
        <v>616</v>
      </c>
      <c r="C580" s="287" t="s">
        <v>949</v>
      </c>
      <c r="D580" s="286" t="s">
        <v>948</v>
      </c>
      <c r="E580" s="289">
        <v>45610</v>
      </c>
      <c r="F580" s="288">
        <v>662.22</v>
      </c>
      <c r="H580" s="287" t="s">
        <v>458</v>
      </c>
      <c r="I580" s="287" t="s">
        <v>469</v>
      </c>
      <c r="J580" s="287" t="s">
        <v>459</v>
      </c>
      <c r="K580" s="287" t="s">
        <v>460</v>
      </c>
      <c r="M580"/>
      <c r="N580"/>
    </row>
    <row r="581" spans="1:14" ht="22.25" customHeight="1">
      <c r="A581" s="286" t="s">
        <v>465</v>
      </c>
      <c r="B581" s="286" t="s">
        <v>466</v>
      </c>
      <c r="C581" s="287" t="s">
        <v>604</v>
      </c>
      <c r="D581" s="286" t="s">
        <v>950</v>
      </c>
      <c r="E581" s="289">
        <v>45626</v>
      </c>
      <c r="F581" s="288">
        <v>57.16</v>
      </c>
      <c r="H581" s="287" t="s">
        <v>94</v>
      </c>
      <c r="I581" s="287" t="s">
        <v>469</v>
      </c>
      <c r="J581" s="287" t="s">
        <v>459</v>
      </c>
      <c r="K581" s="287" t="s">
        <v>460</v>
      </c>
      <c r="M581"/>
      <c r="N581"/>
    </row>
    <row r="582" spans="1:14" ht="22.25" customHeight="1">
      <c r="A582" s="286" t="s">
        <v>465</v>
      </c>
      <c r="B582" s="286" t="s">
        <v>466</v>
      </c>
      <c r="C582" s="287" t="s">
        <v>951</v>
      </c>
      <c r="D582" s="286" t="s">
        <v>950</v>
      </c>
      <c r="E582" s="289">
        <v>45626</v>
      </c>
      <c r="F582" s="288">
        <v>4.29</v>
      </c>
      <c r="H582" s="287" t="s">
        <v>94</v>
      </c>
      <c r="I582" s="287" t="s">
        <v>469</v>
      </c>
      <c r="J582" s="287" t="s">
        <v>459</v>
      </c>
      <c r="K582" s="287" t="s">
        <v>460</v>
      </c>
      <c r="M582"/>
      <c r="N582"/>
    </row>
    <row r="583" spans="1:14" ht="22.25" customHeight="1">
      <c r="A583" s="286" t="s">
        <v>489</v>
      </c>
      <c r="B583" s="286" t="s">
        <v>490</v>
      </c>
      <c r="C583" s="287" t="s">
        <v>627</v>
      </c>
      <c r="D583" s="286" t="s">
        <v>950</v>
      </c>
      <c r="E583" s="289">
        <v>45626</v>
      </c>
      <c r="F583" s="288">
        <v>50.01</v>
      </c>
      <c r="H583" s="287" t="s">
        <v>94</v>
      </c>
      <c r="I583" s="287" t="s">
        <v>469</v>
      </c>
      <c r="J583" s="287" t="s">
        <v>459</v>
      </c>
      <c r="K583" s="287" t="s">
        <v>460</v>
      </c>
      <c r="M583"/>
      <c r="N583"/>
    </row>
    <row r="584" spans="1:14" ht="22.25" customHeight="1">
      <c r="A584" s="286" t="s">
        <v>536</v>
      </c>
      <c r="B584" s="286" t="s">
        <v>647</v>
      </c>
      <c r="C584" s="287" t="s">
        <v>952</v>
      </c>
      <c r="D584" s="286" t="s">
        <v>950</v>
      </c>
      <c r="E584" s="289">
        <v>45626</v>
      </c>
      <c r="F584" s="288">
        <v>507.28</v>
      </c>
      <c r="H584" s="287" t="s">
        <v>106</v>
      </c>
      <c r="I584" s="287" t="s">
        <v>469</v>
      </c>
      <c r="J584" s="287" t="s">
        <v>459</v>
      </c>
      <c r="K584" s="287" t="s">
        <v>460</v>
      </c>
      <c r="M584"/>
      <c r="N584"/>
    </row>
    <row r="585" spans="1:14" ht="22.25" customHeight="1">
      <c r="A585" s="286" t="s">
        <v>489</v>
      </c>
      <c r="B585" s="286" t="s">
        <v>490</v>
      </c>
      <c r="C585" s="287" t="s">
        <v>953</v>
      </c>
      <c r="D585" s="286" t="s">
        <v>950</v>
      </c>
      <c r="E585" s="289">
        <v>45626</v>
      </c>
      <c r="F585" s="288">
        <v>600.16999999999996</v>
      </c>
      <c r="H585" s="287" t="s">
        <v>106</v>
      </c>
      <c r="I585" s="287" t="s">
        <v>469</v>
      </c>
      <c r="J585" s="287" t="s">
        <v>459</v>
      </c>
      <c r="K585" s="287" t="s">
        <v>460</v>
      </c>
      <c r="M585"/>
      <c r="N585"/>
    </row>
    <row r="586" spans="1:14" ht="22.25" customHeight="1">
      <c r="A586" s="286" t="s">
        <v>465</v>
      </c>
      <c r="B586" s="286" t="s">
        <v>466</v>
      </c>
      <c r="C586" s="287" t="s">
        <v>954</v>
      </c>
      <c r="D586" s="286" t="s">
        <v>950</v>
      </c>
      <c r="E586" s="289">
        <v>45626</v>
      </c>
      <c r="F586" s="288">
        <v>157.19</v>
      </c>
      <c r="H586" s="287" t="s">
        <v>106</v>
      </c>
      <c r="I586" s="287" t="s">
        <v>469</v>
      </c>
      <c r="J586" s="287" t="s">
        <v>459</v>
      </c>
      <c r="K586" s="287" t="s">
        <v>460</v>
      </c>
      <c r="M586"/>
      <c r="N586"/>
    </row>
    <row r="587" spans="1:14" ht="22.25" customHeight="1">
      <c r="A587" s="286" t="s">
        <v>465</v>
      </c>
      <c r="B587" s="286" t="s">
        <v>466</v>
      </c>
      <c r="C587" s="287" t="s">
        <v>955</v>
      </c>
      <c r="D587" s="286" t="s">
        <v>950</v>
      </c>
      <c r="E587" s="289">
        <v>45626</v>
      </c>
      <c r="F587" s="288">
        <v>171.48</v>
      </c>
      <c r="H587" s="287" t="s">
        <v>106</v>
      </c>
      <c r="I587" s="287" t="s">
        <v>469</v>
      </c>
      <c r="J587" s="287" t="s">
        <v>459</v>
      </c>
      <c r="K587" s="287" t="s">
        <v>460</v>
      </c>
      <c r="M587"/>
      <c r="N587"/>
    </row>
    <row r="588" spans="1:14" ht="22.25" customHeight="1">
      <c r="A588" s="286" t="s">
        <v>545</v>
      </c>
      <c r="B588" s="286" t="s">
        <v>817</v>
      </c>
      <c r="C588" s="287" t="s">
        <v>956</v>
      </c>
      <c r="D588" s="286" t="s">
        <v>950</v>
      </c>
      <c r="E588" s="289">
        <v>45626</v>
      </c>
      <c r="F588" s="288">
        <v>100.03</v>
      </c>
      <c r="H588" s="287" t="s">
        <v>106</v>
      </c>
      <c r="I588" s="287" t="s">
        <v>469</v>
      </c>
      <c r="J588" s="287" t="s">
        <v>459</v>
      </c>
      <c r="K588" s="287" t="s">
        <v>460</v>
      </c>
      <c r="M588"/>
      <c r="N588"/>
    </row>
    <row r="589" spans="1:14" ht="22.25" customHeight="1">
      <c r="A589" s="286" t="s">
        <v>560</v>
      </c>
      <c r="B589" s="286" t="s">
        <v>579</v>
      </c>
      <c r="C589" s="287" t="s">
        <v>957</v>
      </c>
      <c r="D589" s="286" t="s">
        <v>950</v>
      </c>
      <c r="E589" s="289">
        <v>45626</v>
      </c>
      <c r="F589" s="288">
        <v>78.59</v>
      </c>
      <c r="H589" s="287" t="s">
        <v>106</v>
      </c>
      <c r="I589" s="287" t="s">
        <v>469</v>
      </c>
      <c r="J589" s="287" t="s">
        <v>459</v>
      </c>
      <c r="K589" s="287" t="s">
        <v>460</v>
      </c>
      <c r="M589"/>
      <c r="N589"/>
    </row>
    <row r="590" spans="1:14" ht="22.25" customHeight="1">
      <c r="A590" s="286" t="s">
        <v>536</v>
      </c>
      <c r="B590" s="286" t="s">
        <v>647</v>
      </c>
      <c r="C590" s="287" t="s">
        <v>958</v>
      </c>
      <c r="D590" s="286" t="s">
        <v>950</v>
      </c>
      <c r="E590" s="289">
        <v>45626</v>
      </c>
      <c r="F590" s="288">
        <v>86.31</v>
      </c>
      <c r="H590" s="287" t="s">
        <v>106</v>
      </c>
      <c r="I590" s="287" t="s">
        <v>469</v>
      </c>
      <c r="J590" s="287" t="s">
        <v>459</v>
      </c>
      <c r="K590" s="287" t="s">
        <v>460</v>
      </c>
      <c r="M590"/>
      <c r="N590"/>
    </row>
    <row r="591" spans="1:14" ht="22.25" customHeight="1">
      <c r="A591" s="286" t="s">
        <v>489</v>
      </c>
      <c r="B591" s="286" t="s">
        <v>490</v>
      </c>
      <c r="C591" s="287" t="s">
        <v>959</v>
      </c>
      <c r="D591" s="286" t="s">
        <v>950</v>
      </c>
      <c r="E591" s="289">
        <v>45626</v>
      </c>
      <c r="F591" s="288">
        <v>3500.97</v>
      </c>
      <c r="H591" s="287" t="s">
        <v>960</v>
      </c>
      <c r="I591" s="287" t="s">
        <v>469</v>
      </c>
      <c r="J591" s="287" t="s">
        <v>459</v>
      </c>
      <c r="K591" s="287" t="s">
        <v>460</v>
      </c>
      <c r="M591"/>
      <c r="N591"/>
    </row>
    <row r="592" spans="1:14" ht="22.25" customHeight="1">
      <c r="A592" s="286" t="s">
        <v>489</v>
      </c>
      <c r="B592" s="286" t="s">
        <v>490</v>
      </c>
      <c r="C592" s="287" t="s">
        <v>961</v>
      </c>
      <c r="D592" s="286" t="s">
        <v>950</v>
      </c>
      <c r="E592" s="289">
        <v>45626</v>
      </c>
      <c r="F592" s="288">
        <v>1378.32</v>
      </c>
      <c r="H592" s="287" t="s">
        <v>960</v>
      </c>
      <c r="I592" s="287" t="s">
        <v>469</v>
      </c>
      <c r="J592" s="287" t="s">
        <v>459</v>
      </c>
      <c r="K592" s="287" t="s">
        <v>460</v>
      </c>
      <c r="M592"/>
      <c r="N592"/>
    </row>
    <row r="593" spans="1:14" ht="22.25" customHeight="1">
      <c r="A593" s="286" t="s">
        <v>465</v>
      </c>
      <c r="B593" s="286" t="s">
        <v>466</v>
      </c>
      <c r="C593" s="287" t="s">
        <v>962</v>
      </c>
      <c r="D593" s="286" t="s">
        <v>950</v>
      </c>
      <c r="E593" s="289">
        <v>45626</v>
      </c>
      <c r="F593" s="288">
        <v>128.75</v>
      </c>
      <c r="H593" s="287" t="s">
        <v>960</v>
      </c>
      <c r="I593" s="287" t="s">
        <v>469</v>
      </c>
      <c r="J593" s="287" t="s">
        <v>459</v>
      </c>
      <c r="K593" s="287" t="s">
        <v>460</v>
      </c>
      <c r="M593"/>
      <c r="N593"/>
    </row>
    <row r="594" spans="1:14" ht="33.200000000000003" customHeight="1">
      <c r="A594" s="286" t="s">
        <v>465</v>
      </c>
      <c r="B594" s="286" t="s">
        <v>466</v>
      </c>
      <c r="C594" s="287" t="s">
        <v>963</v>
      </c>
      <c r="D594" s="286" t="s">
        <v>950</v>
      </c>
      <c r="E594" s="289">
        <v>45626</v>
      </c>
      <c r="F594" s="288">
        <v>158.62</v>
      </c>
      <c r="H594" s="287" t="s">
        <v>960</v>
      </c>
      <c r="I594" s="287" t="s">
        <v>469</v>
      </c>
      <c r="J594" s="287" t="s">
        <v>459</v>
      </c>
      <c r="K594" s="287" t="s">
        <v>460</v>
      </c>
      <c r="M594"/>
      <c r="N594"/>
    </row>
    <row r="595" spans="1:14" ht="22.25" customHeight="1">
      <c r="A595" s="286" t="s">
        <v>530</v>
      </c>
      <c r="B595" s="286" t="s">
        <v>531</v>
      </c>
      <c r="C595" s="287" t="s">
        <v>964</v>
      </c>
      <c r="D595" s="286" t="s">
        <v>950</v>
      </c>
      <c r="E595" s="289">
        <v>45626</v>
      </c>
      <c r="F595" s="288">
        <v>205.77</v>
      </c>
      <c r="H595" s="287" t="s">
        <v>960</v>
      </c>
      <c r="I595" s="287" t="s">
        <v>469</v>
      </c>
      <c r="J595" s="287" t="s">
        <v>459</v>
      </c>
      <c r="K595" s="287" t="s">
        <v>460</v>
      </c>
      <c r="M595"/>
      <c r="N595"/>
    </row>
    <row r="596" spans="1:14" ht="22.25" customHeight="1">
      <c r="A596" s="286" t="s">
        <v>465</v>
      </c>
      <c r="B596" s="286" t="s">
        <v>466</v>
      </c>
      <c r="C596" s="287" t="s">
        <v>965</v>
      </c>
      <c r="D596" s="286" t="s">
        <v>950</v>
      </c>
      <c r="E596" s="289">
        <v>45626</v>
      </c>
      <c r="F596" s="288">
        <v>357.24</v>
      </c>
      <c r="H596" s="287" t="s">
        <v>960</v>
      </c>
      <c r="I596" s="287" t="s">
        <v>469</v>
      </c>
      <c r="J596" s="287" t="s">
        <v>459</v>
      </c>
      <c r="K596" s="287" t="s">
        <v>460</v>
      </c>
      <c r="M596"/>
      <c r="N596"/>
    </row>
    <row r="597" spans="1:14" ht="22.25" customHeight="1">
      <c r="A597" s="286" t="s">
        <v>465</v>
      </c>
      <c r="B597" s="286" t="s">
        <v>466</v>
      </c>
      <c r="C597" s="287" t="s">
        <v>966</v>
      </c>
      <c r="D597" s="286" t="s">
        <v>950</v>
      </c>
      <c r="E597" s="289">
        <v>45626</v>
      </c>
      <c r="F597" s="288">
        <v>538.01</v>
      </c>
      <c r="H597" s="287" t="s">
        <v>960</v>
      </c>
      <c r="I597" s="287" t="s">
        <v>469</v>
      </c>
      <c r="J597" s="287" t="s">
        <v>459</v>
      </c>
      <c r="K597" s="287" t="s">
        <v>460</v>
      </c>
      <c r="M597"/>
      <c r="N597"/>
    </row>
    <row r="598" spans="1:14" ht="22.25" customHeight="1">
      <c r="A598" s="286" t="s">
        <v>506</v>
      </c>
      <c r="B598" s="286" t="s">
        <v>507</v>
      </c>
      <c r="C598" s="287" t="s">
        <v>967</v>
      </c>
      <c r="D598" s="286" t="s">
        <v>950</v>
      </c>
      <c r="E598" s="289">
        <v>45626</v>
      </c>
      <c r="F598" s="288">
        <v>814.51</v>
      </c>
      <c r="H598" s="287" t="s">
        <v>960</v>
      </c>
      <c r="I598" s="287" t="s">
        <v>469</v>
      </c>
      <c r="J598" s="287" t="s">
        <v>459</v>
      </c>
      <c r="K598" s="287" t="s">
        <v>460</v>
      </c>
      <c r="M598"/>
      <c r="N598"/>
    </row>
    <row r="599" spans="1:14" ht="22.25" customHeight="1">
      <c r="A599" s="286" t="s">
        <v>506</v>
      </c>
      <c r="B599" s="286" t="s">
        <v>507</v>
      </c>
      <c r="C599" s="287" t="s">
        <v>968</v>
      </c>
      <c r="D599" s="286" t="s">
        <v>950</v>
      </c>
      <c r="E599" s="289">
        <v>45626</v>
      </c>
      <c r="F599" s="288">
        <v>85.74</v>
      </c>
      <c r="H599" s="287" t="s">
        <v>960</v>
      </c>
      <c r="I599" s="287" t="s">
        <v>469</v>
      </c>
      <c r="J599" s="287" t="s">
        <v>459</v>
      </c>
      <c r="K599" s="287" t="s">
        <v>460</v>
      </c>
      <c r="M599"/>
      <c r="N599"/>
    </row>
    <row r="600" spans="1:14" ht="22.25" customHeight="1">
      <c r="A600" s="286" t="s">
        <v>465</v>
      </c>
      <c r="B600" s="286" t="s">
        <v>466</v>
      </c>
      <c r="C600" s="287" t="s">
        <v>778</v>
      </c>
      <c r="D600" s="286" t="s">
        <v>950</v>
      </c>
      <c r="E600" s="289">
        <v>45626</v>
      </c>
      <c r="F600" s="288">
        <v>57.16</v>
      </c>
      <c r="H600" s="287" t="s">
        <v>960</v>
      </c>
      <c r="I600" s="287" t="s">
        <v>469</v>
      </c>
      <c r="J600" s="287" t="s">
        <v>459</v>
      </c>
      <c r="K600" s="287" t="s">
        <v>460</v>
      </c>
      <c r="M600"/>
      <c r="N600"/>
    </row>
    <row r="601" spans="1:14" ht="22.25" customHeight="1">
      <c r="A601" s="286" t="s">
        <v>465</v>
      </c>
      <c r="B601" s="286" t="s">
        <v>466</v>
      </c>
      <c r="C601" s="287" t="s">
        <v>969</v>
      </c>
      <c r="D601" s="286" t="s">
        <v>950</v>
      </c>
      <c r="E601" s="289">
        <v>45626</v>
      </c>
      <c r="F601" s="288">
        <v>57.16</v>
      </c>
      <c r="H601" s="287" t="s">
        <v>960</v>
      </c>
      <c r="I601" s="287" t="s">
        <v>469</v>
      </c>
      <c r="J601" s="287" t="s">
        <v>459</v>
      </c>
      <c r="K601" s="287" t="s">
        <v>460</v>
      </c>
      <c r="M601"/>
      <c r="N601"/>
    </row>
    <row r="602" spans="1:14" ht="22.25" customHeight="1">
      <c r="A602" s="286" t="s">
        <v>506</v>
      </c>
      <c r="B602" s="286" t="s">
        <v>507</v>
      </c>
      <c r="C602" s="287" t="s">
        <v>970</v>
      </c>
      <c r="D602" s="286" t="s">
        <v>950</v>
      </c>
      <c r="E602" s="289">
        <v>45626</v>
      </c>
      <c r="F602" s="288">
        <v>1014.57</v>
      </c>
      <c r="H602" s="287" t="s">
        <v>971</v>
      </c>
      <c r="I602" s="287" t="s">
        <v>469</v>
      </c>
      <c r="J602" s="287" t="s">
        <v>459</v>
      </c>
      <c r="K602" s="287" t="s">
        <v>460</v>
      </c>
      <c r="M602"/>
      <c r="N602"/>
    </row>
    <row r="603" spans="1:14" ht="33.200000000000003" customHeight="1">
      <c r="A603" s="286" t="s">
        <v>549</v>
      </c>
      <c r="B603" s="286" t="s">
        <v>972</v>
      </c>
      <c r="C603" s="287" t="s">
        <v>973</v>
      </c>
      <c r="D603" s="286" t="s">
        <v>950</v>
      </c>
      <c r="E603" s="289">
        <v>45626</v>
      </c>
      <c r="F603" s="288">
        <v>720.2</v>
      </c>
      <c r="H603" s="287" t="s">
        <v>971</v>
      </c>
      <c r="I603" s="287" t="s">
        <v>469</v>
      </c>
      <c r="J603" s="287" t="s">
        <v>459</v>
      </c>
      <c r="K603" s="287" t="s">
        <v>460</v>
      </c>
      <c r="M603"/>
      <c r="N603"/>
    </row>
    <row r="604" spans="1:14" ht="33.200000000000003" customHeight="1">
      <c r="A604" s="286" t="s">
        <v>549</v>
      </c>
      <c r="B604" s="286" t="s">
        <v>972</v>
      </c>
      <c r="C604" s="287" t="s">
        <v>974</v>
      </c>
      <c r="D604" s="286" t="s">
        <v>950</v>
      </c>
      <c r="E604" s="289">
        <v>45626</v>
      </c>
      <c r="F604" s="288">
        <v>160.76</v>
      </c>
      <c r="H604" s="287" t="s">
        <v>971</v>
      </c>
      <c r="I604" s="287" t="s">
        <v>469</v>
      </c>
      <c r="J604" s="287" t="s">
        <v>459</v>
      </c>
      <c r="K604" s="287" t="s">
        <v>460</v>
      </c>
      <c r="M604"/>
      <c r="N604"/>
    </row>
    <row r="605" spans="1:14" ht="22.25" customHeight="1">
      <c r="A605" s="286" t="s">
        <v>478</v>
      </c>
      <c r="B605" s="286" t="s">
        <v>479</v>
      </c>
      <c r="C605" s="287" t="s">
        <v>975</v>
      </c>
      <c r="D605" s="286" t="s">
        <v>950</v>
      </c>
      <c r="E605" s="289">
        <v>45626</v>
      </c>
      <c r="F605" s="288">
        <v>499.47</v>
      </c>
      <c r="H605" s="287" t="s">
        <v>729</v>
      </c>
      <c r="I605" s="287" t="s">
        <v>469</v>
      </c>
      <c r="J605" s="287" t="s">
        <v>459</v>
      </c>
      <c r="K605" s="287" t="s">
        <v>460</v>
      </c>
      <c r="M605"/>
      <c r="N605"/>
    </row>
    <row r="606" spans="1:14" ht="22.25" customHeight="1">
      <c r="A606" s="286" t="s">
        <v>478</v>
      </c>
      <c r="B606" s="286" t="s">
        <v>479</v>
      </c>
      <c r="C606" s="287" t="s">
        <v>976</v>
      </c>
      <c r="D606" s="286" t="s">
        <v>950</v>
      </c>
      <c r="E606" s="289">
        <v>45626</v>
      </c>
      <c r="F606" s="288">
        <v>1413.18</v>
      </c>
      <c r="H606" s="287" t="s">
        <v>977</v>
      </c>
      <c r="I606" s="287" t="s">
        <v>469</v>
      </c>
      <c r="J606" s="287" t="s">
        <v>459</v>
      </c>
      <c r="K606" s="287" t="s">
        <v>460</v>
      </c>
      <c r="M606"/>
      <c r="N606"/>
    </row>
    <row r="607" spans="1:14" ht="22.25" customHeight="1">
      <c r="A607" s="286" t="s">
        <v>529</v>
      </c>
      <c r="B607" s="286" t="s">
        <v>573</v>
      </c>
      <c r="C607" s="287" t="s">
        <v>623</v>
      </c>
      <c r="D607" s="286" t="s">
        <v>950</v>
      </c>
      <c r="E607" s="289">
        <v>45626</v>
      </c>
      <c r="F607" s="288">
        <v>49.87</v>
      </c>
      <c r="H607" s="287" t="s">
        <v>733</v>
      </c>
      <c r="I607" s="287" t="s">
        <v>469</v>
      </c>
      <c r="J607" s="287" t="s">
        <v>459</v>
      </c>
      <c r="K607" s="287" t="s">
        <v>460</v>
      </c>
      <c r="M607"/>
      <c r="N607"/>
    </row>
    <row r="608" spans="1:14" ht="22.25" customHeight="1">
      <c r="A608" s="286" t="s">
        <v>529</v>
      </c>
      <c r="B608" s="286" t="s">
        <v>573</v>
      </c>
      <c r="C608" s="287" t="s">
        <v>673</v>
      </c>
      <c r="D608" s="286" t="s">
        <v>950</v>
      </c>
      <c r="E608" s="289">
        <v>45626</v>
      </c>
      <c r="F608" s="288">
        <v>40.04</v>
      </c>
      <c r="H608" s="287" t="s">
        <v>733</v>
      </c>
      <c r="I608" s="287" t="s">
        <v>469</v>
      </c>
      <c r="J608" s="287" t="s">
        <v>459</v>
      </c>
      <c r="K608" s="287" t="s">
        <v>460</v>
      </c>
      <c r="M608"/>
      <c r="N608"/>
    </row>
    <row r="609" spans="1:14" ht="22.25" customHeight="1">
      <c r="A609" s="286" t="s">
        <v>529</v>
      </c>
      <c r="B609" s="286" t="s">
        <v>573</v>
      </c>
      <c r="C609" s="287" t="s">
        <v>902</v>
      </c>
      <c r="D609" s="286" t="s">
        <v>950</v>
      </c>
      <c r="E609" s="289">
        <v>45626</v>
      </c>
      <c r="F609" s="288">
        <v>40.04</v>
      </c>
      <c r="H609" s="287" t="s">
        <v>733</v>
      </c>
      <c r="I609" s="287" t="s">
        <v>469</v>
      </c>
      <c r="J609" s="287" t="s">
        <v>459</v>
      </c>
      <c r="K609" s="287" t="s">
        <v>460</v>
      </c>
      <c r="M609"/>
      <c r="N609"/>
    </row>
    <row r="610" spans="1:14" ht="22.25" customHeight="1">
      <c r="A610" s="286" t="s">
        <v>529</v>
      </c>
      <c r="B610" s="286" t="s">
        <v>573</v>
      </c>
      <c r="C610" s="287" t="s">
        <v>903</v>
      </c>
      <c r="D610" s="286" t="s">
        <v>950</v>
      </c>
      <c r="E610" s="289">
        <v>45626</v>
      </c>
      <c r="F610" s="288">
        <v>40.04</v>
      </c>
      <c r="H610" s="287" t="s">
        <v>733</v>
      </c>
      <c r="I610" s="287" t="s">
        <v>469</v>
      </c>
      <c r="J610" s="287" t="s">
        <v>459</v>
      </c>
      <c r="K610" s="287" t="s">
        <v>460</v>
      </c>
      <c r="M610"/>
      <c r="N610"/>
    </row>
    <row r="611" spans="1:14" ht="22.25" customHeight="1">
      <c r="A611" s="286" t="s">
        <v>529</v>
      </c>
      <c r="B611" s="286" t="s">
        <v>573</v>
      </c>
      <c r="C611" s="287" t="s">
        <v>651</v>
      </c>
      <c r="D611" s="286" t="s">
        <v>950</v>
      </c>
      <c r="E611" s="289">
        <v>45626</v>
      </c>
      <c r="F611" s="288">
        <v>40.04</v>
      </c>
      <c r="H611" s="287" t="s">
        <v>733</v>
      </c>
      <c r="I611" s="287" t="s">
        <v>469</v>
      </c>
      <c r="J611" s="287" t="s">
        <v>459</v>
      </c>
      <c r="K611" s="287" t="s">
        <v>460</v>
      </c>
      <c r="M611"/>
      <c r="N611"/>
    </row>
    <row r="612" spans="1:14" ht="22.25" customHeight="1">
      <c r="A612" s="286" t="s">
        <v>529</v>
      </c>
      <c r="B612" s="286" t="s">
        <v>573</v>
      </c>
      <c r="C612" s="287" t="s">
        <v>652</v>
      </c>
      <c r="D612" s="286" t="s">
        <v>950</v>
      </c>
      <c r="E612" s="289">
        <v>45626</v>
      </c>
      <c r="F612" s="288">
        <v>40.04</v>
      </c>
      <c r="H612" s="287" t="s">
        <v>733</v>
      </c>
      <c r="I612" s="287" t="s">
        <v>469</v>
      </c>
      <c r="J612" s="287" t="s">
        <v>459</v>
      </c>
      <c r="K612" s="287" t="s">
        <v>460</v>
      </c>
      <c r="M612"/>
      <c r="N612"/>
    </row>
    <row r="613" spans="1:14" ht="22.25" customHeight="1">
      <c r="A613" s="286" t="s">
        <v>529</v>
      </c>
      <c r="B613" s="286" t="s">
        <v>573</v>
      </c>
      <c r="C613" s="287" t="s">
        <v>795</v>
      </c>
      <c r="D613" s="286" t="s">
        <v>950</v>
      </c>
      <c r="E613" s="289">
        <v>45626</v>
      </c>
      <c r="F613" s="288">
        <v>39.369999999999997</v>
      </c>
      <c r="H613" s="287" t="s">
        <v>733</v>
      </c>
      <c r="I613" s="287" t="s">
        <v>469</v>
      </c>
      <c r="J613" s="287" t="s">
        <v>459</v>
      </c>
      <c r="K613" s="287" t="s">
        <v>460</v>
      </c>
      <c r="M613"/>
      <c r="N613"/>
    </row>
    <row r="614" spans="1:14" ht="22.25" customHeight="1">
      <c r="A614" s="286" t="s">
        <v>485</v>
      </c>
      <c r="B614" s="286" t="s">
        <v>486</v>
      </c>
      <c r="C614" s="287" t="s">
        <v>654</v>
      </c>
      <c r="D614" s="286" t="s">
        <v>950</v>
      </c>
      <c r="E614" s="289">
        <v>45626</v>
      </c>
      <c r="F614" s="288">
        <v>13.15</v>
      </c>
      <c r="H614" s="287" t="s">
        <v>733</v>
      </c>
      <c r="I614" s="287" t="s">
        <v>469</v>
      </c>
      <c r="J614" s="287" t="s">
        <v>459</v>
      </c>
      <c r="K614" s="287" t="s">
        <v>460</v>
      </c>
      <c r="M614"/>
      <c r="N614"/>
    </row>
    <row r="615" spans="1:14" ht="22.25" customHeight="1">
      <c r="A615" s="286" t="s">
        <v>465</v>
      </c>
      <c r="B615" s="286" t="s">
        <v>466</v>
      </c>
      <c r="C615" s="287" t="s">
        <v>655</v>
      </c>
      <c r="D615" s="286" t="s">
        <v>950</v>
      </c>
      <c r="E615" s="289">
        <v>45626</v>
      </c>
      <c r="F615" s="288">
        <v>11.43</v>
      </c>
      <c r="H615" s="287" t="s">
        <v>733</v>
      </c>
      <c r="I615" s="287" t="s">
        <v>469</v>
      </c>
      <c r="J615" s="287" t="s">
        <v>459</v>
      </c>
      <c r="K615" s="287" t="s">
        <v>460</v>
      </c>
      <c r="M615"/>
      <c r="N615"/>
    </row>
    <row r="616" spans="1:14" ht="22.25" customHeight="1">
      <c r="A616" s="286" t="s">
        <v>485</v>
      </c>
      <c r="B616" s="286" t="s">
        <v>486</v>
      </c>
      <c r="C616" s="287" t="s">
        <v>750</v>
      </c>
      <c r="D616" s="286" t="s">
        <v>950</v>
      </c>
      <c r="E616" s="289">
        <v>45626</v>
      </c>
      <c r="F616" s="288">
        <v>15</v>
      </c>
      <c r="H616" s="287" t="s">
        <v>733</v>
      </c>
      <c r="I616" s="287" t="s">
        <v>469</v>
      </c>
      <c r="J616" s="287" t="s">
        <v>459</v>
      </c>
      <c r="K616" s="287" t="s">
        <v>460</v>
      </c>
      <c r="M616"/>
      <c r="N616"/>
    </row>
    <row r="617" spans="1:14" ht="22.25" customHeight="1">
      <c r="A617" s="286" t="s">
        <v>485</v>
      </c>
      <c r="B617" s="286" t="s">
        <v>486</v>
      </c>
      <c r="C617" s="287" t="s">
        <v>936</v>
      </c>
      <c r="D617" s="286" t="s">
        <v>950</v>
      </c>
      <c r="E617" s="289">
        <v>45626</v>
      </c>
      <c r="F617" s="288">
        <v>19.86</v>
      </c>
      <c r="H617" s="287" t="s">
        <v>733</v>
      </c>
      <c r="I617" s="287" t="s">
        <v>469</v>
      </c>
      <c r="J617" s="287" t="s">
        <v>459</v>
      </c>
      <c r="K617" s="287" t="s">
        <v>460</v>
      </c>
      <c r="M617"/>
      <c r="N617"/>
    </row>
    <row r="618" spans="1:14" ht="22.25" customHeight="1">
      <c r="A618" s="286" t="s">
        <v>485</v>
      </c>
      <c r="B618" s="286" t="s">
        <v>486</v>
      </c>
      <c r="C618" s="287" t="s">
        <v>978</v>
      </c>
      <c r="D618" s="286" t="s">
        <v>950</v>
      </c>
      <c r="E618" s="289">
        <v>45626</v>
      </c>
      <c r="F618" s="288">
        <v>5.64</v>
      </c>
      <c r="H618" s="287" t="s">
        <v>733</v>
      </c>
      <c r="I618" s="287" t="s">
        <v>469</v>
      </c>
      <c r="J618" s="287" t="s">
        <v>459</v>
      </c>
      <c r="K618" s="287" t="s">
        <v>460</v>
      </c>
      <c r="M618"/>
      <c r="N618"/>
    </row>
    <row r="619" spans="1:14" ht="22.25" customHeight="1">
      <c r="A619" s="286" t="s">
        <v>485</v>
      </c>
      <c r="B619" s="286" t="s">
        <v>486</v>
      </c>
      <c r="C619" s="287" t="s">
        <v>979</v>
      </c>
      <c r="D619" s="286" t="s">
        <v>950</v>
      </c>
      <c r="E619" s="289">
        <v>45626</v>
      </c>
      <c r="F619" s="288">
        <v>4.29</v>
      </c>
      <c r="H619" s="287" t="s">
        <v>733</v>
      </c>
      <c r="I619" s="287" t="s">
        <v>469</v>
      </c>
      <c r="J619" s="287" t="s">
        <v>459</v>
      </c>
      <c r="K619" s="287" t="s">
        <v>460</v>
      </c>
      <c r="M619"/>
      <c r="N619"/>
    </row>
    <row r="620" spans="1:14" ht="22.25" customHeight="1">
      <c r="A620" s="286" t="s">
        <v>485</v>
      </c>
      <c r="B620" s="286" t="s">
        <v>486</v>
      </c>
      <c r="C620" s="287" t="s">
        <v>980</v>
      </c>
      <c r="D620" s="286" t="s">
        <v>950</v>
      </c>
      <c r="E620" s="289">
        <v>45626</v>
      </c>
      <c r="F620" s="288">
        <v>3.86</v>
      </c>
      <c r="H620" s="287" t="s">
        <v>733</v>
      </c>
      <c r="I620" s="287" t="s">
        <v>469</v>
      </c>
      <c r="J620" s="287" t="s">
        <v>459</v>
      </c>
      <c r="K620" s="287" t="s">
        <v>460</v>
      </c>
      <c r="M620"/>
      <c r="N620"/>
    </row>
    <row r="621" spans="1:14" ht="22.25" customHeight="1">
      <c r="A621" s="286" t="s">
        <v>485</v>
      </c>
      <c r="B621" s="286" t="s">
        <v>486</v>
      </c>
      <c r="C621" s="287" t="s">
        <v>981</v>
      </c>
      <c r="D621" s="286" t="s">
        <v>950</v>
      </c>
      <c r="E621" s="289">
        <v>45626</v>
      </c>
      <c r="F621" s="288">
        <v>28.58</v>
      </c>
      <c r="H621" s="287" t="s">
        <v>733</v>
      </c>
      <c r="I621" s="287" t="s">
        <v>469</v>
      </c>
      <c r="J621" s="287" t="s">
        <v>459</v>
      </c>
      <c r="K621" s="287" t="s">
        <v>460</v>
      </c>
      <c r="M621"/>
      <c r="N621"/>
    </row>
    <row r="622" spans="1:14" ht="22.25" customHeight="1">
      <c r="A622" s="286" t="s">
        <v>485</v>
      </c>
      <c r="B622" s="286" t="s">
        <v>486</v>
      </c>
      <c r="C622" s="287" t="s">
        <v>982</v>
      </c>
      <c r="D622" s="286" t="s">
        <v>950</v>
      </c>
      <c r="E622" s="289">
        <v>45626</v>
      </c>
      <c r="F622" s="288">
        <v>22.01</v>
      </c>
      <c r="H622" s="287" t="s">
        <v>733</v>
      </c>
      <c r="I622" s="287" t="s">
        <v>469</v>
      </c>
      <c r="J622" s="287" t="s">
        <v>459</v>
      </c>
      <c r="K622" s="287" t="s">
        <v>460</v>
      </c>
      <c r="M622"/>
      <c r="N622"/>
    </row>
    <row r="623" spans="1:14" ht="22.25" customHeight="1">
      <c r="A623" s="286" t="s">
        <v>485</v>
      </c>
      <c r="B623" s="286" t="s">
        <v>486</v>
      </c>
      <c r="C623" s="287" t="s">
        <v>983</v>
      </c>
      <c r="D623" s="286" t="s">
        <v>950</v>
      </c>
      <c r="E623" s="289">
        <v>45626</v>
      </c>
      <c r="F623" s="288">
        <v>25.72</v>
      </c>
      <c r="H623" s="287" t="s">
        <v>733</v>
      </c>
      <c r="I623" s="287" t="s">
        <v>469</v>
      </c>
      <c r="J623" s="287" t="s">
        <v>459</v>
      </c>
      <c r="K623" s="287" t="s">
        <v>460</v>
      </c>
      <c r="M623"/>
      <c r="N623"/>
    </row>
    <row r="624" spans="1:14" ht="22.25" customHeight="1">
      <c r="A624" s="286" t="s">
        <v>485</v>
      </c>
      <c r="B624" s="286" t="s">
        <v>486</v>
      </c>
      <c r="C624" s="287" t="s">
        <v>839</v>
      </c>
      <c r="D624" s="286" t="s">
        <v>950</v>
      </c>
      <c r="E624" s="289">
        <v>45626</v>
      </c>
      <c r="F624" s="288">
        <v>12.86</v>
      </c>
      <c r="H624" s="287" t="s">
        <v>733</v>
      </c>
      <c r="I624" s="287" t="s">
        <v>469</v>
      </c>
      <c r="J624" s="287" t="s">
        <v>459</v>
      </c>
      <c r="K624" s="287" t="s">
        <v>460</v>
      </c>
      <c r="M624"/>
      <c r="N624"/>
    </row>
    <row r="625" spans="1:14" ht="22.25" customHeight="1">
      <c r="A625" s="286" t="s">
        <v>485</v>
      </c>
      <c r="B625" s="286" t="s">
        <v>486</v>
      </c>
      <c r="C625" s="287" t="s">
        <v>984</v>
      </c>
      <c r="D625" s="286" t="s">
        <v>950</v>
      </c>
      <c r="E625" s="289">
        <v>45626</v>
      </c>
      <c r="F625" s="288">
        <v>5</v>
      </c>
      <c r="H625" s="287" t="s">
        <v>733</v>
      </c>
      <c r="I625" s="287" t="s">
        <v>469</v>
      </c>
      <c r="J625" s="287" t="s">
        <v>459</v>
      </c>
      <c r="K625" s="287" t="s">
        <v>460</v>
      </c>
      <c r="M625"/>
      <c r="N625"/>
    </row>
    <row r="626" spans="1:14" ht="22.25" customHeight="1">
      <c r="A626" s="286" t="s">
        <v>485</v>
      </c>
      <c r="B626" s="286" t="s">
        <v>486</v>
      </c>
      <c r="C626" s="287" t="s">
        <v>625</v>
      </c>
      <c r="D626" s="286" t="s">
        <v>950</v>
      </c>
      <c r="E626" s="289">
        <v>45626</v>
      </c>
      <c r="F626" s="288">
        <v>7.14</v>
      </c>
      <c r="H626" s="287" t="s">
        <v>733</v>
      </c>
      <c r="I626" s="287" t="s">
        <v>469</v>
      </c>
      <c r="J626" s="287" t="s">
        <v>459</v>
      </c>
      <c r="K626" s="287" t="s">
        <v>460</v>
      </c>
      <c r="M626"/>
      <c r="N626"/>
    </row>
    <row r="627" spans="1:14" ht="22.25" customHeight="1">
      <c r="A627" s="286" t="s">
        <v>485</v>
      </c>
      <c r="B627" s="286" t="s">
        <v>486</v>
      </c>
      <c r="C627" s="287" t="s">
        <v>985</v>
      </c>
      <c r="D627" s="286" t="s">
        <v>950</v>
      </c>
      <c r="E627" s="289">
        <v>45626</v>
      </c>
      <c r="F627" s="288">
        <v>2.86</v>
      </c>
      <c r="H627" s="287" t="s">
        <v>733</v>
      </c>
      <c r="I627" s="287" t="s">
        <v>469</v>
      </c>
      <c r="J627" s="287" t="s">
        <v>459</v>
      </c>
      <c r="K627" s="287" t="s">
        <v>460</v>
      </c>
      <c r="M627"/>
      <c r="N627"/>
    </row>
    <row r="628" spans="1:14" ht="22.25" customHeight="1">
      <c r="A628" s="286" t="s">
        <v>485</v>
      </c>
      <c r="B628" s="286" t="s">
        <v>486</v>
      </c>
      <c r="C628" s="287" t="s">
        <v>986</v>
      </c>
      <c r="D628" s="286" t="s">
        <v>950</v>
      </c>
      <c r="E628" s="289">
        <v>45626</v>
      </c>
      <c r="F628" s="288">
        <v>5.14</v>
      </c>
      <c r="H628" s="287" t="s">
        <v>733</v>
      </c>
      <c r="I628" s="287" t="s">
        <v>469</v>
      </c>
      <c r="J628" s="287" t="s">
        <v>459</v>
      </c>
      <c r="K628" s="287" t="s">
        <v>460</v>
      </c>
      <c r="M628"/>
      <c r="N628"/>
    </row>
    <row r="629" spans="1:14" ht="22.25" customHeight="1">
      <c r="A629" s="286" t="s">
        <v>485</v>
      </c>
      <c r="B629" s="286" t="s">
        <v>486</v>
      </c>
      <c r="C629" s="287" t="s">
        <v>987</v>
      </c>
      <c r="D629" s="286" t="s">
        <v>950</v>
      </c>
      <c r="E629" s="289">
        <v>45626</v>
      </c>
      <c r="F629" s="288">
        <v>12.86</v>
      </c>
      <c r="H629" s="287" t="s">
        <v>733</v>
      </c>
      <c r="I629" s="287" t="s">
        <v>469</v>
      </c>
      <c r="J629" s="287" t="s">
        <v>459</v>
      </c>
      <c r="K629" s="287" t="s">
        <v>460</v>
      </c>
      <c r="M629"/>
      <c r="N629"/>
    </row>
    <row r="630" spans="1:14" ht="22.25" customHeight="1">
      <c r="A630" s="286" t="s">
        <v>534</v>
      </c>
      <c r="B630" s="286" t="s">
        <v>601</v>
      </c>
      <c r="C630" s="287" t="s">
        <v>988</v>
      </c>
      <c r="D630" s="286" t="s">
        <v>950</v>
      </c>
      <c r="E630" s="289">
        <v>45626</v>
      </c>
      <c r="F630" s="288">
        <v>7.0000000000000007E-2</v>
      </c>
      <c r="H630" s="287" t="s">
        <v>733</v>
      </c>
      <c r="I630" s="287" t="s">
        <v>469</v>
      </c>
      <c r="J630" s="287" t="s">
        <v>459</v>
      </c>
      <c r="K630" s="287" t="s">
        <v>460</v>
      </c>
      <c r="M630"/>
      <c r="N630"/>
    </row>
    <row r="631" spans="1:14" ht="22.25" customHeight="1">
      <c r="A631" s="286" t="s">
        <v>534</v>
      </c>
      <c r="B631" s="286" t="s">
        <v>601</v>
      </c>
      <c r="C631" s="287" t="s">
        <v>989</v>
      </c>
      <c r="D631" s="286" t="s">
        <v>950</v>
      </c>
      <c r="E631" s="289">
        <v>45626</v>
      </c>
      <c r="F631" s="288">
        <v>2.64</v>
      </c>
      <c r="H631" s="287" t="s">
        <v>733</v>
      </c>
      <c r="I631" s="287" t="s">
        <v>469</v>
      </c>
      <c r="J631" s="287" t="s">
        <v>459</v>
      </c>
      <c r="K631" s="287" t="s">
        <v>460</v>
      </c>
      <c r="M631"/>
      <c r="N631"/>
    </row>
    <row r="632" spans="1:14" ht="22.25" customHeight="1">
      <c r="A632" s="286" t="s">
        <v>534</v>
      </c>
      <c r="B632" s="286" t="s">
        <v>601</v>
      </c>
      <c r="C632" s="287" t="s">
        <v>934</v>
      </c>
      <c r="D632" s="286" t="s">
        <v>950</v>
      </c>
      <c r="E632" s="289">
        <v>45626</v>
      </c>
      <c r="F632" s="288">
        <v>0.4</v>
      </c>
      <c r="H632" s="287" t="s">
        <v>733</v>
      </c>
      <c r="I632" s="287" t="s">
        <v>469</v>
      </c>
      <c r="J632" s="287" t="s">
        <v>459</v>
      </c>
      <c r="K632" s="287" t="s">
        <v>460</v>
      </c>
      <c r="M632"/>
      <c r="N632"/>
    </row>
    <row r="633" spans="1:14" ht="22.25" customHeight="1">
      <c r="A633" s="286" t="s">
        <v>534</v>
      </c>
      <c r="B633" s="286" t="s">
        <v>601</v>
      </c>
      <c r="C633" s="287" t="s">
        <v>990</v>
      </c>
      <c r="D633" s="286" t="s">
        <v>950</v>
      </c>
      <c r="E633" s="289">
        <v>45626</v>
      </c>
      <c r="F633" s="288">
        <v>7.0000000000000007E-2</v>
      </c>
      <c r="H633" s="287" t="s">
        <v>733</v>
      </c>
      <c r="I633" s="287" t="s">
        <v>469</v>
      </c>
      <c r="J633" s="287" t="s">
        <v>459</v>
      </c>
      <c r="K633" s="287" t="s">
        <v>460</v>
      </c>
      <c r="M633"/>
      <c r="N633"/>
    </row>
    <row r="634" spans="1:14" ht="33.200000000000003" customHeight="1">
      <c r="A634" s="286" t="s">
        <v>529</v>
      </c>
      <c r="B634" s="286" t="s">
        <v>573</v>
      </c>
      <c r="C634" s="287" t="s">
        <v>991</v>
      </c>
      <c r="D634" s="286" t="s">
        <v>950</v>
      </c>
      <c r="E634" s="289">
        <v>45626</v>
      </c>
      <c r="F634" s="288">
        <v>342.95</v>
      </c>
      <c r="H634" s="287" t="s">
        <v>733</v>
      </c>
      <c r="I634" s="287" t="s">
        <v>469</v>
      </c>
      <c r="J634" s="287" t="s">
        <v>459</v>
      </c>
      <c r="K634" s="287" t="s">
        <v>460</v>
      </c>
      <c r="M634"/>
      <c r="N634"/>
    </row>
    <row r="635" spans="1:14" ht="22.25" customHeight="1">
      <c r="A635" s="286" t="s">
        <v>534</v>
      </c>
      <c r="B635" s="286" t="s">
        <v>601</v>
      </c>
      <c r="C635" s="287" t="s">
        <v>992</v>
      </c>
      <c r="D635" s="286" t="s">
        <v>950</v>
      </c>
      <c r="E635" s="289">
        <v>45626</v>
      </c>
      <c r="F635" s="288">
        <v>2.86</v>
      </c>
      <c r="H635" s="287" t="s">
        <v>733</v>
      </c>
      <c r="I635" s="287" t="s">
        <v>469</v>
      </c>
      <c r="J635" s="287" t="s">
        <v>459</v>
      </c>
      <c r="K635" s="287" t="s">
        <v>460</v>
      </c>
      <c r="M635"/>
      <c r="N635"/>
    </row>
    <row r="636" spans="1:14" ht="22.25" customHeight="1">
      <c r="A636" s="286" t="s">
        <v>465</v>
      </c>
      <c r="B636" s="286" t="s">
        <v>466</v>
      </c>
      <c r="C636" s="287" t="s">
        <v>944</v>
      </c>
      <c r="D636" s="286" t="s">
        <v>950</v>
      </c>
      <c r="E636" s="289">
        <v>45626</v>
      </c>
      <c r="F636" s="288">
        <v>51.44</v>
      </c>
      <c r="H636" s="287" t="s">
        <v>733</v>
      </c>
      <c r="I636" s="287" t="s">
        <v>469</v>
      </c>
      <c r="J636" s="287" t="s">
        <v>459</v>
      </c>
      <c r="K636" s="287" t="s">
        <v>460</v>
      </c>
      <c r="M636"/>
      <c r="N636"/>
    </row>
    <row r="637" spans="1:14" ht="33.200000000000003" customHeight="1">
      <c r="A637" s="286" t="s">
        <v>465</v>
      </c>
      <c r="B637" s="286" t="s">
        <v>466</v>
      </c>
      <c r="C637" s="287" t="s">
        <v>993</v>
      </c>
      <c r="D637" s="286" t="s">
        <v>950</v>
      </c>
      <c r="E637" s="289">
        <v>45626</v>
      </c>
      <c r="F637" s="288">
        <v>42.87</v>
      </c>
      <c r="H637" s="287" t="s">
        <v>733</v>
      </c>
      <c r="I637" s="287" t="s">
        <v>469</v>
      </c>
      <c r="J637" s="287" t="s">
        <v>459</v>
      </c>
      <c r="K637" s="287" t="s">
        <v>460</v>
      </c>
      <c r="M637"/>
      <c r="N637"/>
    </row>
    <row r="638" spans="1:14" ht="22.25" customHeight="1">
      <c r="A638" s="286" t="s">
        <v>478</v>
      </c>
      <c r="B638" s="286" t="s">
        <v>479</v>
      </c>
      <c r="C638" s="287" t="s">
        <v>994</v>
      </c>
      <c r="D638" s="286" t="s">
        <v>950</v>
      </c>
      <c r="E638" s="289">
        <v>45626</v>
      </c>
      <c r="F638" s="288">
        <v>71.45</v>
      </c>
      <c r="H638" s="287" t="s">
        <v>733</v>
      </c>
      <c r="I638" s="287" t="s">
        <v>469</v>
      </c>
      <c r="J638" s="287" t="s">
        <v>459</v>
      </c>
      <c r="K638" s="287" t="s">
        <v>460</v>
      </c>
      <c r="M638"/>
      <c r="N638"/>
    </row>
    <row r="639" spans="1:14" ht="33.200000000000003" customHeight="1">
      <c r="A639" s="286" t="s">
        <v>465</v>
      </c>
      <c r="B639" s="286" t="s">
        <v>466</v>
      </c>
      <c r="C639" s="287" t="s">
        <v>995</v>
      </c>
      <c r="D639" s="286" t="s">
        <v>950</v>
      </c>
      <c r="E639" s="289">
        <v>45626</v>
      </c>
      <c r="F639" s="288">
        <v>28.58</v>
      </c>
      <c r="H639" s="287" t="s">
        <v>733</v>
      </c>
      <c r="I639" s="287" t="s">
        <v>469</v>
      </c>
      <c r="J639" s="287" t="s">
        <v>459</v>
      </c>
      <c r="K639" s="287" t="s">
        <v>460</v>
      </c>
      <c r="M639"/>
      <c r="N639"/>
    </row>
    <row r="640" spans="1:14" ht="22.25" customHeight="1">
      <c r="A640" s="286" t="s">
        <v>465</v>
      </c>
      <c r="B640" s="286" t="s">
        <v>466</v>
      </c>
      <c r="C640" s="287" t="s">
        <v>996</v>
      </c>
      <c r="D640" s="286" t="s">
        <v>950</v>
      </c>
      <c r="E640" s="289">
        <v>45626</v>
      </c>
      <c r="F640" s="288">
        <v>18.579999999999998</v>
      </c>
      <c r="H640" s="287" t="s">
        <v>733</v>
      </c>
      <c r="I640" s="287" t="s">
        <v>469</v>
      </c>
      <c r="J640" s="287" t="s">
        <v>459</v>
      </c>
      <c r="K640" s="287" t="s">
        <v>460</v>
      </c>
      <c r="M640"/>
      <c r="N640"/>
    </row>
    <row r="641" spans="1:14" ht="22.25" customHeight="1">
      <c r="A641" s="286" t="s">
        <v>455</v>
      </c>
      <c r="B641" s="286" t="s">
        <v>456</v>
      </c>
      <c r="C641" s="287" t="s">
        <v>461</v>
      </c>
      <c r="D641" s="286" t="s">
        <v>997</v>
      </c>
      <c r="E641" s="289">
        <v>45626</v>
      </c>
      <c r="F641" s="288">
        <v>563</v>
      </c>
      <c r="H641" s="287" t="s">
        <v>458</v>
      </c>
      <c r="I641" s="287" t="s">
        <v>458</v>
      </c>
      <c r="J641" s="287" t="s">
        <v>459</v>
      </c>
      <c r="K641" s="287" t="s">
        <v>460</v>
      </c>
      <c r="M641"/>
      <c r="N641"/>
    </row>
    <row r="642" spans="1:14" ht="22.25" customHeight="1">
      <c r="A642" s="286" t="s">
        <v>455</v>
      </c>
      <c r="B642" s="286" t="s">
        <v>456</v>
      </c>
      <c r="C642" s="287" t="s">
        <v>463</v>
      </c>
      <c r="D642" s="286" t="s">
        <v>997</v>
      </c>
      <c r="E642" s="289">
        <v>45626</v>
      </c>
      <c r="F642" s="288">
        <v>437</v>
      </c>
      <c r="H642" s="287" t="s">
        <v>458</v>
      </c>
      <c r="I642" s="287" t="s">
        <v>458</v>
      </c>
      <c r="J642" s="287" t="s">
        <v>459</v>
      </c>
      <c r="K642" s="287" t="s">
        <v>460</v>
      </c>
      <c r="M642"/>
      <c r="N642"/>
    </row>
    <row r="643" spans="1:14" ht="22.25" customHeight="1">
      <c r="A643" s="286" t="s">
        <v>455</v>
      </c>
      <c r="B643" s="286" t="s">
        <v>456</v>
      </c>
      <c r="C643" s="287" t="s">
        <v>464</v>
      </c>
      <c r="D643" s="286" t="s">
        <v>997</v>
      </c>
      <c r="E643" s="289">
        <v>45626</v>
      </c>
      <c r="F643" s="288">
        <v>720</v>
      </c>
      <c r="H643" s="287" t="s">
        <v>458</v>
      </c>
      <c r="I643" s="287" t="s">
        <v>458</v>
      </c>
      <c r="J643" s="287" t="s">
        <v>459</v>
      </c>
      <c r="K643" s="287" t="s">
        <v>460</v>
      </c>
      <c r="M643"/>
      <c r="N643"/>
    </row>
    <row r="644" spans="1:14" ht="22.25" customHeight="1">
      <c r="A644" s="286" t="s">
        <v>553</v>
      </c>
      <c r="B644" s="286" t="s">
        <v>616</v>
      </c>
      <c r="C644" s="287" t="s">
        <v>998</v>
      </c>
      <c r="D644" s="286" t="s">
        <v>999</v>
      </c>
      <c r="E644" s="289">
        <v>45626</v>
      </c>
      <c r="F644" s="288">
        <v>1430.8</v>
      </c>
      <c r="H644" s="287" t="s">
        <v>458</v>
      </c>
      <c r="I644" s="287" t="s">
        <v>458</v>
      </c>
      <c r="J644" s="287" t="s">
        <v>459</v>
      </c>
      <c r="K644" s="287" t="s">
        <v>460</v>
      </c>
      <c r="M644"/>
      <c r="N644"/>
    </row>
    <row r="645" spans="1:14" ht="22.25" customHeight="1">
      <c r="A645" s="286" t="s">
        <v>553</v>
      </c>
      <c r="B645" s="286" t="s">
        <v>616</v>
      </c>
      <c r="C645" s="287" t="s">
        <v>1000</v>
      </c>
      <c r="D645" s="286" t="s">
        <v>999</v>
      </c>
      <c r="E645" s="289">
        <v>45626</v>
      </c>
      <c r="F645" s="288">
        <v>35</v>
      </c>
      <c r="H645" s="287" t="s">
        <v>458</v>
      </c>
      <c r="I645" s="287" t="s">
        <v>458</v>
      </c>
      <c r="J645" s="287" t="s">
        <v>459</v>
      </c>
      <c r="K645" s="287" t="s">
        <v>460</v>
      </c>
      <c r="M645"/>
      <c r="N645"/>
    </row>
    <row r="646" spans="1:14" ht="22.25" customHeight="1">
      <c r="A646" s="286" t="s">
        <v>553</v>
      </c>
      <c r="B646" s="286" t="s">
        <v>616</v>
      </c>
      <c r="C646" s="287" t="s">
        <v>619</v>
      </c>
      <c r="D646" s="286" t="s">
        <v>999</v>
      </c>
      <c r="E646" s="289">
        <v>45626</v>
      </c>
      <c r="F646" s="288">
        <v>1575.7</v>
      </c>
      <c r="H646" s="287" t="s">
        <v>458</v>
      </c>
      <c r="I646" s="287" t="s">
        <v>458</v>
      </c>
      <c r="J646" s="287" t="s">
        <v>459</v>
      </c>
      <c r="K646" s="287" t="s">
        <v>460</v>
      </c>
      <c r="M646"/>
      <c r="N646"/>
    </row>
    <row r="647" spans="1:14" ht="22.25" customHeight="1">
      <c r="A647" s="286" t="s">
        <v>553</v>
      </c>
      <c r="B647" s="286" t="s">
        <v>616</v>
      </c>
      <c r="C647" s="287" t="s">
        <v>1001</v>
      </c>
      <c r="D647" s="286" t="s">
        <v>999</v>
      </c>
      <c r="E647" s="289">
        <v>45626</v>
      </c>
      <c r="F647" s="288">
        <v>1619.5</v>
      </c>
      <c r="H647" s="287" t="s">
        <v>458</v>
      </c>
      <c r="I647" s="287" t="s">
        <v>458</v>
      </c>
      <c r="J647" s="287" t="s">
        <v>459</v>
      </c>
      <c r="K647" s="287" t="s">
        <v>460</v>
      </c>
      <c r="M647"/>
      <c r="N647"/>
    </row>
    <row r="648" spans="1:14" ht="22.25" customHeight="1">
      <c r="A648" s="286" t="s">
        <v>553</v>
      </c>
      <c r="B648" s="286" t="s">
        <v>616</v>
      </c>
      <c r="C648" s="287" t="s">
        <v>1002</v>
      </c>
      <c r="D648" s="286" t="s">
        <v>999</v>
      </c>
      <c r="E648" s="289">
        <v>45626</v>
      </c>
      <c r="F648" s="288">
        <v>35</v>
      </c>
      <c r="H648" s="287" t="s">
        <v>458</v>
      </c>
      <c r="I648" s="287" t="s">
        <v>458</v>
      </c>
      <c r="J648" s="287" t="s">
        <v>459</v>
      </c>
      <c r="K648" s="287" t="s">
        <v>460</v>
      </c>
      <c r="M648"/>
      <c r="N648"/>
    </row>
    <row r="649" spans="1:14" ht="22.25" customHeight="1">
      <c r="A649" s="286" t="s">
        <v>553</v>
      </c>
      <c r="B649" s="286" t="s">
        <v>616</v>
      </c>
      <c r="C649" s="287" t="s">
        <v>1003</v>
      </c>
      <c r="D649" s="286" t="s">
        <v>999</v>
      </c>
      <c r="E649" s="289">
        <v>45626</v>
      </c>
      <c r="F649" s="288">
        <v>2267.1</v>
      </c>
      <c r="H649" s="287" t="s">
        <v>458</v>
      </c>
      <c r="I649" s="287" t="s">
        <v>458</v>
      </c>
      <c r="J649" s="287" t="s">
        <v>459</v>
      </c>
      <c r="K649" s="287" t="s">
        <v>460</v>
      </c>
      <c r="M649"/>
      <c r="N649"/>
    </row>
    <row r="650" spans="1:14" ht="22.25" customHeight="1">
      <c r="A650" s="286" t="s">
        <v>553</v>
      </c>
      <c r="B650" s="286" t="s">
        <v>616</v>
      </c>
      <c r="C650" s="287" t="s">
        <v>1004</v>
      </c>
      <c r="D650" s="286" t="s">
        <v>999</v>
      </c>
      <c r="E650" s="289">
        <v>45626</v>
      </c>
      <c r="F650" s="288">
        <v>2006.7</v>
      </c>
      <c r="H650" s="287" t="s">
        <v>458</v>
      </c>
      <c r="I650" s="287" t="s">
        <v>458</v>
      </c>
      <c r="J650" s="287" t="s">
        <v>459</v>
      </c>
      <c r="K650" s="287" t="s">
        <v>460</v>
      </c>
      <c r="M650"/>
      <c r="N650"/>
    </row>
    <row r="651" spans="1:14" ht="22.25" customHeight="1">
      <c r="A651" s="286" t="s">
        <v>553</v>
      </c>
      <c r="B651" s="286" t="s">
        <v>616</v>
      </c>
      <c r="C651" s="287" t="s">
        <v>1005</v>
      </c>
      <c r="D651" s="286" t="s">
        <v>999</v>
      </c>
      <c r="E651" s="289">
        <v>45626</v>
      </c>
      <c r="F651" s="288">
        <v>35</v>
      </c>
      <c r="H651" s="287" t="s">
        <v>458</v>
      </c>
      <c r="I651" s="287" t="s">
        <v>458</v>
      </c>
      <c r="J651" s="287" t="s">
        <v>459</v>
      </c>
      <c r="K651" s="287" t="s">
        <v>460</v>
      </c>
      <c r="M651"/>
      <c r="N651"/>
    </row>
    <row r="652" spans="1:14" ht="22.25" customHeight="1">
      <c r="A652" s="286" t="s">
        <v>553</v>
      </c>
      <c r="B652" s="286" t="s">
        <v>616</v>
      </c>
      <c r="C652" s="287" t="s">
        <v>1006</v>
      </c>
      <c r="D652" s="286" t="s">
        <v>999</v>
      </c>
      <c r="E652" s="289">
        <v>45626</v>
      </c>
      <c r="F652" s="288">
        <v>35</v>
      </c>
      <c r="H652" s="287" t="s">
        <v>458</v>
      </c>
      <c r="I652" s="287" t="s">
        <v>458</v>
      </c>
      <c r="J652" s="287" t="s">
        <v>459</v>
      </c>
      <c r="K652" s="287" t="s">
        <v>460</v>
      </c>
      <c r="M652"/>
      <c r="N652"/>
    </row>
    <row r="653" spans="1:14" ht="22.25" customHeight="1">
      <c r="A653" s="286" t="s">
        <v>553</v>
      </c>
      <c r="B653" s="286" t="s">
        <v>616</v>
      </c>
      <c r="C653" s="287" t="s">
        <v>1007</v>
      </c>
      <c r="D653" s="286" t="s">
        <v>999</v>
      </c>
      <c r="E653" s="289">
        <v>45626</v>
      </c>
      <c r="F653" s="288">
        <v>1509.5</v>
      </c>
      <c r="H653" s="287" t="s">
        <v>458</v>
      </c>
      <c r="I653" s="287" t="s">
        <v>458</v>
      </c>
      <c r="J653" s="287" t="s">
        <v>459</v>
      </c>
      <c r="K653" s="287" t="s">
        <v>460</v>
      </c>
      <c r="M653"/>
      <c r="N653"/>
    </row>
    <row r="654" spans="1:14" ht="22.25" customHeight="1">
      <c r="A654" s="286" t="s">
        <v>553</v>
      </c>
      <c r="B654" s="286" t="s">
        <v>616</v>
      </c>
      <c r="C654" s="287" t="s">
        <v>1008</v>
      </c>
      <c r="D654" s="286" t="s">
        <v>999</v>
      </c>
      <c r="E654" s="289">
        <v>45626</v>
      </c>
      <c r="F654" s="288">
        <v>35</v>
      </c>
      <c r="H654" s="287" t="s">
        <v>458</v>
      </c>
      <c r="I654" s="287" t="s">
        <v>458</v>
      </c>
      <c r="J654" s="287" t="s">
        <v>459</v>
      </c>
      <c r="K654" s="287" t="s">
        <v>460</v>
      </c>
      <c r="M654"/>
      <c r="N654"/>
    </row>
    <row r="655" spans="1:14" ht="55.25" customHeight="1">
      <c r="A655" s="286" t="s">
        <v>553</v>
      </c>
      <c r="B655" s="286" t="s">
        <v>616</v>
      </c>
      <c r="C655" s="287" t="s">
        <v>1009</v>
      </c>
      <c r="D655" s="286" t="s">
        <v>1010</v>
      </c>
      <c r="E655" s="289">
        <v>45643</v>
      </c>
      <c r="F655" s="288">
        <v>3162</v>
      </c>
      <c r="H655" s="287" t="s">
        <v>458</v>
      </c>
      <c r="I655" s="287" t="s">
        <v>458</v>
      </c>
      <c r="J655" s="287" t="s">
        <v>459</v>
      </c>
      <c r="K655" s="287" t="s">
        <v>460</v>
      </c>
      <c r="M655"/>
      <c r="N655"/>
    </row>
    <row r="656" spans="1:14" ht="44.1" customHeight="1">
      <c r="A656" s="286" t="s">
        <v>506</v>
      </c>
      <c r="B656" s="286" t="s">
        <v>507</v>
      </c>
      <c r="C656" s="287" t="s">
        <v>1011</v>
      </c>
      <c r="D656" s="286" t="s">
        <v>1010</v>
      </c>
      <c r="E656" s="289">
        <v>45643</v>
      </c>
      <c r="F656" s="288">
        <v>3319</v>
      </c>
      <c r="H656" s="287" t="s">
        <v>458</v>
      </c>
      <c r="I656" s="287" t="s">
        <v>469</v>
      </c>
      <c r="J656" s="287" t="s">
        <v>459</v>
      </c>
      <c r="K656" s="287" t="s">
        <v>460</v>
      </c>
      <c r="M656"/>
      <c r="N656"/>
    </row>
    <row r="657" spans="1:14" ht="22.25" customHeight="1">
      <c r="A657" s="286" t="s">
        <v>465</v>
      </c>
      <c r="B657" s="286" t="s">
        <v>466</v>
      </c>
      <c r="C657" s="287" t="s">
        <v>1012</v>
      </c>
      <c r="D657" s="286" t="s">
        <v>1013</v>
      </c>
      <c r="E657" s="289">
        <v>45657</v>
      </c>
      <c r="F657" s="288">
        <v>448.52</v>
      </c>
      <c r="H657" s="287" t="s">
        <v>94</v>
      </c>
      <c r="I657" s="287" t="s">
        <v>469</v>
      </c>
      <c r="J657" s="287" t="s">
        <v>459</v>
      </c>
      <c r="K657" s="287" t="s">
        <v>460</v>
      </c>
      <c r="M657"/>
      <c r="N657"/>
    </row>
    <row r="658" spans="1:14" ht="22.25" customHeight="1">
      <c r="A658" s="286" t="s">
        <v>489</v>
      </c>
      <c r="B658" s="286" t="s">
        <v>490</v>
      </c>
      <c r="C658" s="287" t="s">
        <v>1014</v>
      </c>
      <c r="D658" s="286" t="s">
        <v>1013</v>
      </c>
      <c r="E658" s="289">
        <v>45657</v>
      </c>
      <c r="F658" s="288">
        <v>105.78</v>
      </c>
      <c r="H658" s="287" t="s">
        <v>94</v>
      </c>
      <c r="I658" s="287" t="s">
        <v>469</v>
      </c>
      <c r="J658" s="287" t="s">
        <v>459</v>
      </c>
      <c r="K658" s="287" t="s">
        <v>460</v>
      </c>
      <c r="M658"/>
      <c r="N658"/>
    </row>
    <row r="659" spans="1:14" ht="22.25" customHeight="1">
      <c r="A659" s="286" t="s">
        <v>465</v>
      </c>
      <c r="B659" s="286" t="s">
        <v>466</v>
      </c>
      <c r="C659" s="287" t="s">
        <v>604</v>
      </c>
      <c r="D659" s="286" t="s">
        <v>1013</v>
      </c>
      <c r="E659" s="289">
        <v>45657</v>
      </c>
      <c r="F659" s="288">
        <v>35.26</v>
      </c>
      <c r="H659" s="287" t="s">
        <v>94</v>
      </c>
      <c r="I659" s="287" t="s">
        <v>469</v>
      </c>
      <c r="J659" s="287" t="s">
        <v>459</v>
      </c>
      <c r="K659" s="287" t="s">
        <v>460</v>
      </c>
      <c r="M659"/>
      <c r="N659"/>
    </row>
    <row r="660" spans="1:14" ht="22.25" customHeight="1">
      <c r="A660" s="286" t="s">
        <v>465</v>
      </c>
      <c r="B660" s="286" t="s">
        <v>466</v>
      </c>
      <c r="C660" s="287" t="s">
        <v>951</v>
      </c>
      <c r="D660" s="286" t="s">
        <v>1013</v>
      </c>
      <c r="E660" s="289">
        <v>45657</v>
      </c>
      <c r="F660" s="288">
        <v>4.2300000000000004</v>
      </c>
      <c r="H660" s="287" t="s">
        <v>94</v>
      </c>
      <c r="I660" s="287" t="s">
        <v>469</v>
      </c>
      <c r="J660" s="287" t="s">
        <v>459</v>
      </c>
      <c r="K660" s="287" t="s">
        <v>460</v>
      </c>
      <c r="M660"/>
      <c r="N660"/>
    </row>
    <row r="661" spans="1:14" ht="22.25" customHeight="1">
      <c r="A661" s="286" t="s">
        <v>489</v>
      </c>
      <c r="B661" s="286" t="s">
        <v>490</v>
      </c>
      <c r="C661" s="287" t="s">
        <v>627</v>
      </c>
      <c r="D661" s="286" t="s">
        <v>1013</v>
      </c>
      <c r="E661" s="289">
        <v>45657</v>
      </c>
      <c r="F661" s="288">
        <v>45.84</v>
      </c>
      <c r="H661" s="287" t="s">
        <v>94</v>
      </c>
      <c r="I661" s="287" t="s">
        <v>469</v>
      </c>
      <c r="J661" s="287" t="s">
        <v>459</v>
      </c>
      <c r="K661" s="287" t="s">
        <v>460</v>
      </c>
      <c r="M661"/>
      <c r="N661"/>
    </row>
    <row r="662" spans="1:14" ht="33.200000000000003" customHeight="1">
      <c r="A662" s="286" t="s">
        <v>536</v>
      </c>
      <c r="B662" s="286" t="s">
        <v>647</v>
      </c>
      <c r="C662" s="287" t="s">
        <v>1015</v>
      </c>
      <c r="D662" s="286" t="s">
        <v>1013</v>
      </c>
      <c r="E662" s="289">
        <v>45657</v>
      </c>
      <c r="F662" s="288">
        <v>45.13</v>
      </c>
      <c r="H662" s="287" t="s">
        <v>971</v>
      </c>
      <c r="I662" s="287" t="s">
        <v>469</v>
      </c>
      <c r="J662" s="287" t="s">
        <v>459</v>
      </c>
      <c r="K662" s="287" t="s">
        <v>460</v>
      </c>
      <c r="M662"/>
      <c r="N662"/>
    </row>
    <row r="663" spans="1:14" ht="22.25" customHeight="1">
      <c r="A663" s="286" t="s">
        <v>489</v>
      </c>
      <c r="B663" s="286" t="s">
        <v>490</v>
      </c>
      <c r="C663" s="287" t="s">
        <v>1016</v>
      </c>
      <c r="D663" s="286" t="s">
        <v>1013</v>
      </c>
      <c r="E663" s="289">
        <v>45657</v>
      </c>
      <c r="F663" s="288">
        <v>263.33</v>
      </c>
      <c r="H663" s="287" t="s">
        <v>971</v>
      </c>
      <c r="I663" s="287" t="s">
        <v>469</v>
      </c>
      <c r="J663" s="287" t="s">
        <v>459</v>
      </c>
      <c r="K663" s="287" t="s">
        <v>460</v>
      </c>
      <c r="M663"/>
      <c r="N663"/>
    </row>
    <row r="664" spans="1:14" ht="22.25" customHeight="1">
      <c r="A664" s="286" t="s">
        <v>530</v>
      </c>
      <c r="B664" s="286" t="s">
        <v>531</v>
      </c>
      <c r="C664" s="287" t="s">
        <v>1017</v>
      </c>
      <c r="D664" s="286" t="s">
        <v>1013</v>
      </c>
      <c r="E664" s="289">
        <v>45657</v>
      </c>
      <c r="F664" s="288">
        <v>1269.3900000000001</v>
      </c>
      <c r="H664" s="287" t="s">
        <v>971</v>
      </c>
      <c r="I664" s="287" t="s">
        <v>469</v>
      </c>
      <c r="J664" s="287" t="s">
        <v>459</v>
      </c>
      <c r="K664" s="287" t="s">
        <v>460</v>
      </c>
      <c r="M664"/>
      <c r="N664"/>
    </row>
    <row r="665" spans="1:14" ht="22.25" customHeight="1">
      <c r="A665" s="286" t="s">
        <v>489</v>
      </c>
      <c r="B665" s="286" t="s">
        <v>490</v>
      </c>
      <c r="C665" s="287" t="s">
        <v>1018</v>
      </c>
      <c r="D665" s="286" t="s">
        <v>1013</v>
      </c>
      <c r="E665" s="289">
        <v>45657</v>
      </c>
      <c r="F665" s="288">
        <v>5898.45</v>
      </c>
      <c r="H665" s="287" t="s">
        <v>971</v>
      </c>
      <c r="I665" s="287" t="s">
        <v>469</v>
      </c>
      <c r="J665" s="287" t="s">
        <v>459</v>
      </c>
      <c r="K665" s="287" t="s">
        <v>460</v>
      </c>
      <c r="M665"/>
      <c r="N665"/>
    </row>
    <row r="666" spans="1:14" ht="22.25" customHeight="1">
      <c r="A666" s="286" t="s">
        <v>549</v>
      </c>
      <c r="B666" s="286" t="s">
        <v>972</v>
      </c>
      <c r="C666" s="287" t="s">
        <v>1019</v>
      </c>
      <c r="D666" s="286" t="s">
        <v>1013</v>
      </c>
      <c r="E666" s="289">
        <v>45657</v>
      </c>
      <c r="F666" s="288">
        <v>846.26</v>
      </c>
      <c r="H666" s="287" t="s">
        <v>971</v>
      </c>
      <c r="I666" s="287" t="s">
        <v>469</v>
      </c>
      <c r="J666" s="287" t="s">
        <v>459</v>
      </c>
      <c r="K666" s="287" t="s">
        <v>460</v>
      </c>
      <c r="M666"/>
      <c r="N666"/>
    </row>
    <row r="667" spans="1:14" ht="22.25" customHeight="1">
      <c r="A667" s="286" t="s">
        <v>536</v>
      </c>
      <c r="B667" s="286" t="s">
        <v>647</v>
      </c>
      <c r="C667" s="287" t="s">
        <v>1020</v>
      </c>
      <c r="D667" s="286" t="s">
        <v>1013</v>
      </c>
      <c r="E667" s="289">
        <v>45657</v>
      </c>
      <c r="F667" s="288">
        <v>158.66999999999999</v>
      </c>
      <c r="H667" s="287" t="s">
        <v>971</v>
      </c>
      <c r="I667" s="287" t="s">
        <v>469</v>
      </c>
      <c r="J667" s="287" t="s">
        <v>459</v>
      </c>
      <c r="K667" s="287" t="s">
        <v>460</v>
      </c>
      <c r="M667"/>
      <c r="N667"/>
    </row>
    <row r="668" spans="1:14" ht="22.25" customHeight="1">
      <c r="A668" s="286" t="s">
        <v>465</v>
      </c>
      <c r="B668" s="286" t="s">
        <v>466</v>
      </c>
      <c r="C668" s="287" t="s">
        <v>1021</v>
      </c>
      <c r="D668" s="286" t="s">
        <v>1013</v>
      </c>
      <c r="E668" s="289">
        <v>45657</v>
      </c>
      <c r="F668" s="288">
        <v>282.08999999999997</v>
      </c>
      <c r="H668" s="287" t="s">
        <v>971</v>
      </c>
      <c r="I668" s="287" t="s">
        <v>469</v>
      </c>
      <c r="J668" s="287" t="s">
        <v>459</v>
      </c>
      <c r="K668" s="287" t="s">
        <v>460</v>
      </c>
      <c r="M668"/>
      <c r="N668"/>
    </row>
    <row r="669" spans="1:14" ht="22.25" customHeight="1">
      <c r="A669" s="286" t="s">
        <v>549</v>
      </c>
      <c r="B669" s="286" t="s">
        <v>972</v>
      </c>
      <c r="C669" s="287" t="s">
        <v>1022</v>
      </c>
      <c r="D669" s="286" t="s">
        <v>1013</v>
      </c>
      <c r="E669" s="289">
        <v>45657</v>
      </c>
      <c r="F669" s="288">
        <v>710.86</v>
      </c>
      <c r="H669" s="287" t="s">
        <v>971</v>
      </c>
      <c r="I669" s="287" t="s">
        <v>469</v>
      </c>
      <c r="J669" s="287" t="s">
        <v>459</v>
      </c>
      <c r="K669" s="287" t="s">
        <v>460</v>
      </c>
      <c r="M669"/>
      <c r="N669"/>
    </row>
    <row r="670" spans="1:14" ht="22.25" customHeight="1">
      <c r="A670" s="286" t="s">
        <v>478</v>
      </c>
      <c r="B670" s="286" t="s">
        <v>479</v>
      </c>
      <c r="C670" s="287" t="s">
        <v>1023</v>
      </c>
      <c r="D670" s="286" t="s">
        <v>1013</v>
      </c>
      <c r="E670" s="289">
        <v>45657</v>
      </c>
      <c r="F670" s="288">
        <v>1415.22</v>
      </c>
      <c r="H670" s="287" t="s">
        <v>977</v>
      </c>
      <c r="I670" s="287" t="s">
        <v>469</v>
      </c>
      <c r="J670" s="287" t="s">
        <v>459</v>
      </c>
      <c r="K670" s="287" t="s">
        <v>460</v>
      </c>
      <c r="M670"/>
      <c r="N670"/>
    </row>
    <row r="671" spans="1:14" ht="22.25" customHeight="1">
      <c r="A671" s="286" t="s">
        <v>478</v>
      </c>
      <c r="B671" s="286" t="s">
        <v>479</v>
      </c>
      <c r="C671" s="287" t="s">
        <v>1024</v>
      </c>
      <c r="D671" s="286" t="s">
        <v>1013</v>
      </c>
      <c r="E671" s="289">
        <v>45657</v>
      </c>
      <c r="F671" s="288">
        <v>840.44</v>
      </c>
      <c r="H671" s="287" t="s">
        <v>863</v>
      </c>
      <c r="I671" s="287" t="s">
        <v>469</v>
      </c>
      <c r="J671" s="287" t="s">
        <v>459</v>
      </c>
      <c r="K671" s="287" t="s">
        <v>460</v>
      </c>
      <c r="M671"/>
      <c r="N671"/>
    </row>
    <row r="672" spans="1:14" ht="22.25" customHeight="1">
      <c r="A672" s="286" t="s">
        <v>540</v>
      </c>
      <c r="B672" s="286" t="s">
        <v>791</v>
      </c>
      <c r="C672" s="287" t="s">
        <v>1025</v>
      </c>
      <c r="D672" s="286" t="s">
        <v>1013</v>
      </c>
      <c r="E672" s="289">
        <v>45657</v>
      </c>
      <c r="F672" s="288">
        <v>1396.33</v>
      </c>
      <c r="H672" s="287" t="s">
        <v>733</v>
      </c>
      <c r="I672" s="287" t="s">
        <v>469</v>
      </c>
      <c r="J672" s="287" t="s">
        <v>459</v>
      </c>
      <c r="K672" s="287" t="s">
        <v>460</v>
      </c>
      <c r="M672"/>
      <c r="N672"/>
    </row>
    <row r="673" spans="1:14" ht="33.200000000000003" customHeight="1">
      <c r="A673" s="286" t="s">
        <v>465</v>
      </c>
      <c r="B673" s="286" t="s">
        <v>466</v>
      </c>
      <c r="C673" s="287" t="s">
        <v>1026</v>
      </c>
      <c r="D673" s="286" t="s">
        <v>1013</v>
      </c>
      <c r="E673" s="289">
        <v>45657</v>
      </c>
      <c r="F673" s="288">
        <v>42.31</v>
      </c>
      <c r="H673" s="287" t="s">
        <v>733</v>
      </c>
      <c r="I673" s="287" t="s">
        <v>469</v>
      </c>
      <c r="J673" s="287" t="s">
        <v>459</v>
      </c>
      <c r="K673" s="287" t="s">
        <v>460</v>
      </c>
      <c r="M673"/>
      <c r="N673"/>
    </row>
    <row r="674" spans="1:14" ht="22.25" customHeight="1">
      <c r="A674" s="286" t="s">
        <v>465</v>
      </c>
      <c r="B674" s="286" t="s">
        <v>466</v>
      </c>
      <c r="C674" s="287" t="s">
        <v>1027</v>
      </c>
      <c r="D674" s="286" t="s">
        <v>1013</v>
      </c>
      <c r="E674" s="289">
        <v>45657</v>
      </c>
      <c r="F674" s="288">
        <v>44.43</v>
      </c>
      <c r="H674" s="287" t="s">
        <v>733</v>
      </c>
      <c r="I674" s="287" t="s">
        <v>469</v>
      </c>
      <c r="J674" s="287" t="s">
        <v>459</v>
      </c>
      <c r="K674" s="287" t="s">
        <v>460</v>
      </c>
      <c r="M674"/>
      <c r="N674"/>
    </row>
    <row r="675" spans="1:14" ht="22.25" customHeight="1">
      <c r="A675" s="286" t="s">
        <v>538</v>
      </c>
      <c r="B675" s="286" t="s">
        <v>1028</v>
      </c>
      <c r="C675" s="287" t="s">
        <v>1029</v>
      </c>
      <c r="D675" s="286" t="s">
        <v>1013</v>
      </c>
      <c r="E675" s="289">
        <v>45657</v>
      </c>
      <c r="F675" s="288">
        <v>14.1</v>
      </c>
      <c r="H675" s="287" t="s">
        <v>733</v>
      </c>
      <c r="I675" s="287" t="s">
        <v>469</v>
      </c>
      <c r="J675" s="287" t="s">
        <v>459</v>
      </c>
      <c r="K675" s="287" t="s">
        <v>460</v>
      </c>
      <c r="M675"/>
      <c r="N675"/>
    </row>
    <row r="676" spans="1:14" ht="22.25" customHeight="1">
      <c r="A676" s="286" t="s">
        <v>529</v>
      </c>
      <c r="B676" s="286" t="s">
        <v>573</v>
      </c>
      <c r="C676" s="287" t="s">
        <v>1030</v>
      </c>
      <c r="D676" s="286" t="s">
        <v>1013</v>
      </c>
      <c r="E676" s="289">
        <v>45657</v>
      </c>
      <c r="F676" s="288">
        <v>39.630000000000003</v>
      </c>
      <c r="H676" s="287" t="s">
        <v>733</v>
      </c>
      <c r="I676" s="287" t="s">
        <v>469</v>
      </c>
      <c r="J676" s="287" t="s">
        <v>459</v>
      </c>
      <c r="K676" s="287" t="s">
        <v>460</v>
      </c>
      <c r="M676"/>
      <c r="N676"/>
    </row>
    <row r="677" spans="1:14" ht="22.25" customHeight="1">
      <c r="A677" s="286" t="s">
        <v>534</v>
      </c>
      <c r="B677" s="286" t="s">
        <v>601</v>
      </c>
      <c r="C677" s="287" t="s">
        <v>1031</v>
      </c>
      <c r="D677" s="286" t="s">
        <v>1013</v>
      </c>
      <c r="E677" s="289">
        <v>45657</v>
      </c>
      <c r="F677" s="288">
        <v>18.04</v>
      </c>
      <c r="H677" s="287" t="s">
        <v>733</v>
      </c>
      <c r="I677" s="287" t="s">
        <v>469</v>
      </c>
      <c r="J677" s="287" t="s">
        <v>459</v>
      </c>
      <c r="K677" s="287" t="s">
        <v>460</v>
      </c>
      <c r="M677"/>
      <c r="N677"/>
    </row>
    <row r="678" spans="1:14" ht="22.25" customHeight="1">
      <c r="A678" s="286" t="s">
        <v>534</v>
      </c>
      <c r="B678" s="286" t="s">
        <v>601</v>
      </c>
      <c r="C678" s="287" t="s">
        <v>934</v>
      </c>
      <c r="D678" s="286" t="s">
        <v>1013</v>
      </c>
      <c r="E678" s="289">
        <v>45657</v>
      </c>
      <c r="F678" s="288">
        <v>2.71</v>
      </c>
      <c r="H678" s="287" t="s">
        <v>733</v>
      </c>
      <c r="I678" s="287" t="s">
        <v>469</v>
      </c>
      <c r="J678" s="287" t="s">
        <v>459</v>
      </c>
      <c r="K678" s="287" t="s">
        <v>460</v>
      </c>
      <c r="M678"/>
      <c r="N678"/>
    </row>
    <row r="679" spans="1:14" ht="22.25" customHeight="1">
      <c r="A679" s="286" t="s">
        <v>534</v>
      </c>
      <c r="B679" s="286" t="s">
        <v>601</v>
      </c>
      <c r="C679" s="287" t="s">
        <v>1031</v>
      </c>
      <c r="D679" s="286" t="s">
        <v>1013</v>
      </c>
      <c r="E679" s="289">
        <v>45657</v>
      </c>
      <c r="F679" s="288">
        <v>7.23</v>
      </c>
      <c r="H679" s="287" t="s">
        <v>733</v>
      </c>
      <c r="I679" s="287" t="s">
        <v>469</v>
      </c>
      <c r="J679" s="287" t="s">
        <v>459</v>
      </c>
      <c r="K679" s="287" t="s">
        <v>460</v>
      </c>
      <c r="M679"/>
      <c r="N679"/>
    </row>
    <row r="680" spans="1:14" ht="22.25" customHeight="1">
      <c r="A680" s="286" t="s">
        <v>534</v>
      </c>
      <c r="B680" s="286" t="s">
        <v>601</v>
      </c>
      <c r="C680" s="287" t="s">
        <v>934</v>
      </c>
      <c r="D680" s="286" t="s">
        <v>1013</v>
      </c>
      <c r="E680" s="289">
        <v>45657</v>
      </c>
      <c r="F680" s="288">
        <v>1.08</v>
      </c>
      <c r="H680" s="287" t="s">
        <v>733</v>
      </c>
      <c r="I680" s="287" t="s">
        <v>469</v>
      </c>
      <c r="J680" s="287" t="s">
        <v>459</v>
      </c>
      <c r="K680" s="287" t="s">
        <v>460</v>
      </c>
      <c r="M680"/>
      <c r="N680"/>
    </row>
    <row r="681" spans="1:14" ht="22.25" customHeight="1">
      <c r="A681" s="286" t="s">
        <v>529</v>
      </c>
      <c r="B681" s="286" t="s">
        <v>573</v>
      </c>
      <c r="C681" s="287" t="s">
        <v>623</v>
      </c>
      <c r="D681" s="286" t="s">
        <v>1013</v>
      </c>
      <c r="E681" s="289">
        <v>45657</v>
      </c>
      <c r="F681" s="288">
        <v>50.35</v>
      </c>
      <c r="H681" s="287" t="s">
        <v>733</v>
      </c>
      <c r="I681" s="287" t="s">
        <v>469</v>
      </c>
      <c r="J681" s="287" t="s">
        <v>459</v>
      </c>
      <c r="K681" s="287" t="s">
        <v>460</v>
      </c>
      <c r="M681"/>
      <c r="N681"/>
    </row>
    <row r="682" spans="1:14" ht="22.25" customHeight="1">
      <c r="A682" s="286" t="s">
        <v>529</v>
      </c>
      <c r="B682" s="286" t="s">
        <v>573</v>
      </c>
      <c r="C682" s="287" t="s">
        <v>673</v>
      </c>
      <c r="D682" s="286" t="s">
        <v>1013</v>
      </c>
      <c r="E682" s="289">
        <v>45657</v>
      </c>
      <c r="F682" s="288">
        <v>40.479999999999997</v>
      </c>
      <c r="H682" s="287" t="s">
        <v>733</v>
      </c>
      <c r="I682" s="287" t="s">
        <v>469</v>
      </c>
      <c r="J682" s="287" t="s">
        <v>459</v>
      </c>
      <c r="K682" s="287" t="s">
        <v>460</v>
      </c>
      <c r="M682"/>
      <c r="N682"/>
    </row>
    <row r="683" spans="1:14" ht="22.25" customHeight="1">
      <c r="A683" s="286" t="s">
        <v>529</v>
      </c>
      <c r="B683" s="286" t="s">
        <v>573</v>
      </c>
      <c r="C683" s="287" t="s">
        <v>902</v>
      </c>
      <c r="D683" s="286" t="s">
        <v>1013</v>
      </c>
      <c r="E683" s="289">
        <v>45657</v>
      </c>
      <c r="F683" s="288">
        <v>40.479999999999997</v>
      </c>
      <c r="H683" s="287" t="s">
        <v>733</v>
      </c>
      <c r="I683" s="287" t="s">
        <v>469</v>
      </c>
      <c r="J683" s="287" t="s">
        <v>459</v>
      </c>
      <c r="K683" s="287" t="s">
        <v>460</v>
      </c>
      <c r="M683"/>
      <c r="N683"/>
    </row>
    <row r="684" spans="1:14" ht="22.25" customHeight="1">
      <c r="A684" s="286" t="s">
        <v>529</v>
      </c>
      <c r="B684" s="286" t="s">
        <v>573</v>
      </c>
      <c r="C684" s="287" t="s">
        <v>903</v>
      </c>
      <c r="D684" s="286" t="s">
        <v>1013</v>
      </c>
      <c r="E684" s="289">
        <v>45657</v>
      </c>
      <c r="F684" s="288">
        <v>40.479999999999997</v>
      </c>
      <c r="H684" s="287" t="s">
        <v>733</v>
      </c>
      <c r="I684" s="287" t="s">
        <v>469</v>
      </c>
      <c r="J684" s="287" t="s">
        <v>459</v>
      </c>
      <c r="K684" s="287" t="s">
        <v>460</v>
      </c>
      <c r="M684"/>
      <c r="N684"/>
    </row>
    <row r="685" spans="1:14" ht="22.25" customHeight="1">
      <c r="A685" s="286" t="s">
        <v>529</v>
      </c>
      <c r="B685" s="286" t="s">
        <v>573</v>
      </c>
      <c r="C685" s="287" t="s">
        <v>652</v>
      </c>
      <c r="D685" s="286" t="s">
        <v>1013</v>
      </c>
      <c r="E685" s="289">
        <v>45657</v>
      </c>
      <c r="F685" s="288">
        <v>40.479999999999997</v>
      </c>
      <c r="H685" s="287" t="s">
        <v>733</v>
      </c>
      <c r="I685" s="287" t="s">
        <v>469</v>
      </c>
      <c r="J685" s="287" t="s">
        <v>459</v>
      </c>
      <c r="K685" s="287" t="s">
        <v>460</v>
      </c>
      <c r="M685"/>
      <c r="N685"/>
    </row>
    <row r="686" spans="1:14" ht="22.25" customHeight="1">
      <c r="A686" s="286" t="s">
        <v>529</v>
      </c>
      <c r="B686" s="286" t="s">
        <v>573</v>
      </c>
      <c r="C686" s="287" t="s">
        <v>795</v>
      </c>
      <c r="D686" s="286" t="s">
        <v>1013</v>
      </c>
      <c r="E686" s="289">
        <v>45657</v>
      </c>
      <c r="F686" s="288">
        <v>26.8</v>
      </c>
      <c r="H686" s="287" t="s">
        <v>733</v>
      </c>
      <c r="I686" s="287" t="s">
        <v>469</v>
      </c>
      <c r="J686" s="287" t="s">
        <v>459</v>
      </c>
      <c r="K686" s="287" t="s">
        <v>460</v>
      </c>
      <c r="M686"/>
      <c r="N686"/>
    </row>
    <row r="687" spans="1:14" ht="22.25" customHeight="1">
      <c r="A687" s="286" t="s">
        <v>485</v>
      </c>
      <c r="B687" s="286" t="s">
        <v>486</v>
      </c>
      <c r="C687" s="287" t="s">
        <v>654</v>
      </c>
      <c r="D687" s="286" t="s">
        <v>1013</v>
      </c>
      <c r="E687" s="289">
        <v>45657</v>
      </c>
      <c r="F687" s="288">
        <v>11.85</v>
      </c>
      <c r="H687" s="287" t="s">
        <v>733</v>
      </c>
      <c r="I687" s="287" t="s">
        <v>469</v>
      </c>
      <c r="J687" s="287" t="s">
        <v>459</v>
      </c>
      <c r="K687" s="287" t="s">
        <v>460</v>
      </c>
      <c r="M687"/>
      <c r="N687"/>
    </row>
    <row r="688" spans="1:14" ht="22.25" customHeight="1">
      <c r="A688" s="286" t="s">
        <v>465</v>
      </c>
      <c r="B688" s="286" t="s">
        <v>466</v>
      </c>
      <c r="C688" s="287" t="s">
        <v>655</v>
      </c>
      <c r="D688" s="286" t="s">
        <v>1013</v>
      </c>
      <c r="E688" s="289">
        <v>45657</v>
      </c>
      <c r="F688" s="288">
        <v>8.4600000000000009</v>
      </c>
      <c r="H688" s="287" t="s">
        <v>733</v>
      </c>
      <c r="I688" s="287" t="s">
        <v>469</v>
      </c>
      <c r="J688" s="287" t="s">
        <v>459</v>
      </c>
      <c r="K688" s="287" t="s">
        <v>460</v>
      </c>
      <c r="M688"/>
      <c r="N688"/>
    </row>
    <row r="689" spans="1:14" ht="22.25" customHeight="1">
      <c r="A689" s="286" t="s">
        <v>485</v>
      </c>
      <c r="B689" s="286" t="s">
        <v>486</v>
      </c>
      <c r="C689" s="287" t="s">
        <v>750</v>
      </c>
      <c r="D689" s="286" t="s">
        <v>1013</v>
      </c>
      <c r="E689" s="289">
        <v>45657</v>
      </c>
      <c r="F689" s="288">
        <v>7.4</v>
      </c>
      <c r="H689" s="287" t="s">
        <v>733</v>
      </c>
      <c r="I689" s="287" t="s">
        <v>469</v>
      </c>
      <c r="J689" s="287" t="s">
        <v>459</v>
      </c>
      <c r="K689" s="287" t="s">
        <v>460</v>
      </c>
      <c r="M689"/>
      <c r="N689"/>
    </row>
    <row r="690" spans="1:14" ht="22.25" customHeight="1">
      <c r="A690" s="286" t="s">
        <v>485</v>
      </c>
      <c r="B690" s="286" t="s">
        <v>486</v>
      </c>
      <c r="C690" s="287" t="s">
        <v>936</v>
      </c>
      <c r="D690" s="286" t="s">
        <v>1013</v>
      </c>
      <c r="E690" s="289">
        <v>45657</v>
      </c>
      <c r="F690" s="288">
        <v>19.61</v>
      </c>
      <c r="H690" s="287" t="s">
        <v>733</v>
      </c>
      <c r="I690" s="287" t="s">
        <v>469</v>
      </c>
      <c r="J690" s="287" t="s">
        <v>459</v>
      </c>
      <c r="K690" s="287" t="s">
        <v>460</v>
      </c>
      <c r="M690"/>
      <c r="N690"/>
    </row>
    <row r="691" spans="1:14" ht="22.25" customHeight="1">
      <c r="A691" s="286" t="s">
        <v>485</v>
      </c>
      <c r="B691" s="286" t="s">
        <v>486</v>
      </c>
      <c r="C691" s="287" t="s">
        <v>1032</v>
      </c>
      <c r="D691" s="286" t="s">
        <v>1013</v>
      </c>
      <c r="E691" s="289">
        <v>45657</v>
      </c>
      <c r="F691" s="288">
        <v>70.52</v>
      </c>
      <c r="H691" s="287" t="s">
        <v>733</v>
      </c>
      <c r="I691" s="287" t="s">
        <v>469</v>
      </c>
      <c r="J691" s="287" t="s">
        <v>459</v>
      </c>
      <c r="K691" s="287" t="s">
        <v>460</v>
      </c>
      <c r="M691"/>
      <c r="N691"/>
    </row>
    <row r="692" spans="1:14" ht="22.25" customHeight="1">
      <c r="A692" s="286" t="s">
        <v>485</v>
      </c>
      <c r="B692" s="286" t="s">
        <v>486</v>
      </c>
      <c r="C692" s="287" t="s">
        <v>978</v>
      </c>
      <c r="D692" s="286" t="s">
        <v>1013</v>
      </c>
      <c r="E692" s="289">
        <v>45657</v>
      </c>
      <c r="F692" s="288">
        <v>5.08</v>
      </c>
      <c r="H692" s="287" t="s">
        <v>733</v>
      </c>
      <c r="I692" s="287" t="s">
        <v>469</v>
      </c>
      <c r="J692" s="287" t="s">
        <v>459</v>
      </c>
      <c r="K692" s="287" t="s">
        <v>460</v>
      </c>
      <c r="M692"/>
      <c r="N692"/>
    </row>
    <row r="693" spans="1:14" ht="22.25" customHeight="1">
      <c r="A693" s="286" t="s">
        <v>485</v>
      </c>
      <c r="B693" s="286" t="s">
        <v>486</v>
      </c>
      <c r="C693" s="287" t="s">
        <v>1033</v>
      </c>
      <c r="D693" s="286" t="s">
        <v>1013</v>
      </c>
      <c r="E693" s="289">
        <v>45657</v>
      </c>
      <c r="F693" s="288">
        <v>14.1</v>
      </c>
      <c r="H693" s="287" t="s">
        <v>733</v>
      </c>
      <c r="I693" s="287" t="s">
        <v>469</v>
      </c>
      <c r="J693" s="287" t="s">
        <v>459</v>
      </c>
      <c r="K693" s="287" t="s">
        <v>460</v>
      </c>
      <c r="M693"/>
      <c r="N693"/>
    </row>
    <row r="694" spans="1:14" ht="22.25" customHeight="1">
      <c r="A694" s="286" t="s">
        <v>485</v>
      </c>
      <c r="B694" s="286" t="s">
        <v>486</v>
      </c>
      <c r="C694" s="287" t="s">
        <v>660</v>
      </c>
      <c r="D694" s="286" t="s">
        <v>1013</v>
      </c>
      <c r="E694" s="289">
        <v>45657</v>
      </c>
      <c r="F694" s="288">
        <v>3.39</v>
      </c>
      <c r="H694" s="287" t="s">
        <v>733</v>
      </c>
      <c r="I694" s="287" t="s">
        <v>469</v>
      </c>
      <c r="J694" s="287" t="s">
        <v>459</v>
      </c>
      <c r="K694" s="287" t="s">
        <v>460</v>
      </c>
      <c r="M694"/>
      <c r="N694"/>
    </row>
    <row r="695" spans="1:14" ht="22.25" customHeight="1">
      <c r="A695" s="286" t="s">
        <v>485</v>
      </c>
      <c r="B695" s="286" t="s">
        <v>486</v>
      </c>
      <c r="C695" s="287" t="s">
        <v>839</v>
      </c>
      <c r="D695" s="286" t="s">
        <v>1013</v>
      </c>
      <c r="E695" s="289">
        <v>45657</v>
      </c>
      <c r="F695" s="288">
        <v>12.69</v>
      </c>
      <c r="H695" s="287" t="s">
        <v>733</v>
      </c>
      <c r="I695" s="287" t="s">
        <v>469</v>
      </c>
      <c r="J695" s="287" t="s">
        <v>459</v>
      </c>
      <c r="K695" s="287" t="s">
        <v>460</v>
      </c>
      <c r="M695"/>
      <c r="N695"/>
    </row>
    <row r="696" spans="1:14" ht="22.25" customHeight="1">
      <c r="A696" s="286" t="s">
        <v>485</v>
      </c>
      <c r="B696" s="286" t="s">
        <v>486</v>
      </c>
      <c r="C696" s="287" t="s">
        <v>625</v>
      </c>
      <c r="D696" s="286" t="s">
        <v>1013</v>
      </c>
      <c r="E696" s="289">
        <v>45657</v>
      </c>
      <c r="F696" s="288">
        <v>7.05</v>
      </c>
      <c r="H696" s="287" t="s">
        <v>733</v>
      </c>
      <c r="I696" s="287" t="s">
        <v>469</v>
      </c>
      <c r="J696" s="287" t="s">
        <v>459</v>
      </c>
      <c r="K696" s="287" t="s">
        <v>460</v>
      </c>
      <c r="M696"/>
      <c r="N696"/>
    </row>
    <row r="697" spans="1:14" ht="22.25" customHeight="1">
      <c r="A697" s="286" t="s">
        <v>485</v>
      </c>
      <c r="B697" s="286" t="s">
        <v>486</v>
      </c>
      <c r="C697" s="287" t="s">
        <v>682</v>
      </c>
      <c r="D697" s="286" t="s">
        <v>1013</v>
      </c>
      <c r="E697" s="289">
        <v>45657</v>
      </c>
      <c r="F697" s="288">
        <v>5.22</v>
      </c>
      <c r="H697" s="287" t="s">
        <v>733</v>
      </c>
      <c r="I697" s="287" t="s">
        <v>469</v>
      </c>
      <c r="J697" s="287" t="s">
        <v>459</v>
      </c>
      <c r="K697" s="287" t="s">
        <v>460</v>
      </c>
      <c r="M697"/>
      <c r="N697"/>
    </row>
    <row r="698" spans="1:14" ht="22.25" customHeight="1">
      <c r="A698" s="286" t="s">
        <v>485</v>
      </c>
      <c r="B698" s="286" t="s">
        <v>486</v>
      </c>
      <c r="C698" s="287" t="s">
        <v>1034</v>
      </c>
      <c r="D698" s="286" t="s">
        <v>1013</v>
      </c>
      <c r="E698" s="289">
        <v>45657</v>
      </c>
      <c r="F698" s="288">
        <v>11.28</v>
      </c>
      <c r="H698" s="287" t="s">
        <v>733</v>
      </c>
      <c r="I698" s="287" t="s">
        <v>469</v>
      </c>
      <c r="J698" s="287" t="s">
        <v>459</v>
      </c>
      <c r="K698" s="287" t="s">
        <v>460</v>
      </c>
      <c r="M698"/>
      <c r="N698"/>
    </row>
    <row r="699" spans="1:14" ht="22.25" customHeight="1">
      <c r="A699" s="286" t="s">
        <v>534</v>
      </c>
      <c r="B699" s="286" t="s">
        <v>601</v>
      </c>
      <c r="C699" s="287" t="s">
        <v>1035</v>
      </c>
      <c r="D699" s="286" t="s">
        <v>1013</v>
      </c>
      <c r="E699" s="289">
        <v>45657</v>
      </c>
      <c r="F699" s="288">
        <v>7.0000000000000007E-2</v>
      </c>
      <c r="H699" s="287" t="s">
        <v>733</v>
      </c>
      <c r="I699" s="287" t="s">
        <v>469</v>
      </c>
      <c r="J699" s="287" t="s">
        <v>459</v>
      </c>
      <c r="K699" s="287" t="s">
        <v>460</v>
      </c>
      <c r="M699"/>
      <c r="N699"/>
    </row>
    <row r="700" spans="1:14" ht="22.25" customHeight="1">
      <c r="A700" s="286" t="s">
        <v>534</v>
      </c>
      <c r="B700" s="286" t="s">
        <v>601</v>
      </c>
      <c r="C700" s="287" t="s">
        <v>1036</v>
      </c>
      <c r="D700" s="286" t="s">
        <v>1013</v>
      </c>
      <c r="E700" s="289">
        <v>45657</v>
      </c>
      <c r="F700" s="288">
        <v>7.0000000000000007E-2</v>
      </c>
      <c r="H700" s="287" t="s">
        <v>733</v>
      </c>
      <c r="I700" s="287" t="s">
        <v>469</v>
      </c>
      <c r="J700" s="287" t="s">
        <v>459</v>
      </c>
      <c r="K700" s="287" t="s">
        <v>460</v>
      </c>
      <c r="M700"/>
      <c r="N700"/>
    </row>
    <row r="701" spans="1:14" ht="22.25" customHeight="1">
      <c r="A701" s="286" t="s">
        <v>534</v>
      </c>
      <c r="B701" s="286" t="s">
        <v>601</v>
      </c>
      <c r="C701" s="287" t="s">
        <v>1037</v>
      </c>
      <c r="D701" s="286" t="s">
        <v>1013</v>
      </c>
      <c r="E701" s="289">
        <v>45657</v>
      </c>
      <c r="F701" s="288">
        <v>2.82</v>
      </c>
      <c r="H701" s="287" t="s">
        <v>733</v>
      </c>
      <c r="I701" s="287" t="s">
        <v>469</v>
      </c>
      <c r="J701" s="287" t="s">
        <v>459</v>
      </c>
      <c r="K701" s="287" t="s">
        <v>460</v>
      </c>
      <c r="M701"/>
      <c r="N701"/>
    </row>
    <row r="702" spans="1:14" ht="22.25" customHeight="1">
      <c r="A702" s="286" t="s">
        <v>465</v>
      </c>
      <c r="B702" s="286" t="s">
        <v>466</v>
      </c>
      <c r="C702" s="287" t="s">
        <v>1038</v>
      </c>
      <c r="D702" s="286" t="s">
        <v>1013</v>
      </c>
      <c r="E702" s="289">
        <v>45657</v>
      </c>
      <c r="F702" s="288">
        <v>63.47</v>
      </c>
      <c r="H702" s="287" t="s">
        <v>733</v>
      </c>
      <c r="I702" s="287" t="s">
        <v>469</v>
      </c>
      <c r="J702" s="287" t="s">
        <v>459</v>
      </c>
      <c r="K702" s="287" t="s">
        <v>460</v>
      </c>
      <c r="M702"/>
      <c r="N702"/>
    </row>
    <row r="703" spans="1:14" ht="22.25" customHeight="1">
      <c r="A703" s="286" t="s">
        <v>465</v>
      </c>
      <c r="B703" s="286" t="s">
        <v>466</v>
      </c>
      <c r="C703" s="287" t="s">
        <v>1038</v>
      </c>
      <c r="D703" s="286" t="s">
        <v>1013</v>
      </c>
      <c r="E703" s="289">
        <v>45657</v>
      </c>
      <c r="F703" s="288">
        <v>33.85</v>
      </c>
      <c r="H703" s="287" t="s">
        <v>733</v>
      </c>
      <c r="I703" s="287" t="s">
        <v>469</v>
      </c>
      <c r="J703" s="287" t="s">
        <v>459</v>
      </c>
      <c r="K703" s="287" t="s">
        <v>460</v>
      </c>
      <c r="M703"/>
      <c r="N703"/>
    </row>
    <row r="704" spans="1:14" ht="22.25" customHeight="1">
      <c r="A704" s="286" t="s">
        <v>534</v>
      </c>
      <c r="B704" s="286" t="s">
        <v>601</v>
      </c>
      <c r="C704" s="287" t="s">
        <v>1039</v>
      </c>
      <c r="D704" s="286" t="s">
        <v>1013</v>
      </c>
      <c r="E704" s="289">
        <v>45657</v>
      </c>
      <c r="G704" s="288">
        <v>0.26</v>
      </c>
      <c r="H704" s="287" t="s">
        <v>733</v>
      </c>
      <c r="I704" s="287" t="s">
        <v>469</v>
      </c>
      <c r="J704" s="287" t="s">
        <v>459</v>
      </c>
      <c r="K704" s="287" t="s">
        <v>460</v>
      </c>
      <c r="M704"/>
      <c r="N704"/>
    </row>
    <row r="705" spans="1:14" ht="22.25" customHeight="1">
      <c r="A705" s="286" t="s">
        <v>489</v>
      </c>
      <c r="B705" s="286" t="s">
        <v>490</v>
      </c>
      <c r="C705" s="287" t="s">
        <v>1040</v>
      </c>
      <c r="D705" s="286" t="s">
        <v>1013</v>
      </c>
      <c r="E705" s="289">
        <v>45657</v>
      </c>
      <c r="F705" s="288">
        <v>59.94</v>
      </c>
      <c r="H705" s="287" t="s">
        <v>733</v>
      </c>
      <c r="I705" s="287" t="s">
        <v>469</v>
      </c>
      <c r="J705" s="287" t="s">
        <v>459</v>
      </c>
      <c r="K705" s="287" t="s">
        <v>460</v>
      </c>
      <c r="M705"/>
      <c r="N705"/>
    </row>
    <row r="706" spans="1:14" ht="22.25" customHeight="1">
      <c r="A706" s="286" t="s">
        <v>465</v>
      </c>
      <c r="B706" s="286" t="s">
        <v>466</v>
      </c>
      <c r="C706" s="287" t="s">
        <v>1038</v>
      </c>
      <c r="D706" s="286" t="s">
        <v>1013</v>
      </c>
      <c r="E706" s="289">
        <v>45657</v>
      </c>
      <c r="F706" s="288">
        <v>40.9</v>
      </c>
      <c r="H706" s="287" t="s">
        <v>733</v>
      </c>
      <c r="I706" s="287" t="s">
        <v>469</v>
      </c>
      <c r="J706" s="287" t="s">
        <v>459</v>
      </c>
      <c r="K706" s="287" t="s">
        <v>460</v>
      </c>
      <c r="M706"/>
      <c r="N706"/>
    </row>
    <row r="707" spans="1:14" ht="22.25" customHeight="1">
      <c r="A707" s="286" t="s">
        <v>478</v>
      </c>
      <c r="B707" s="286" t="s">
        <v>479</v>
      </c>
      <c r="C707" s="287" t="s">
        <v>1041</v>
      </c>
      <c r="D707" s="286" t="s">
        <v>1013</v>
      </c>
      <c r="E707" s="289">
        <v>45657</v>
      </c>
      <c r="F707" s="288">
        <v>70.52</v>
      </c>
      <c r="H707" s="287" t="s">
        <v>733</v>
      </c>
      <c r="I707" s="287" t="s">
        <v>469</v>
      </c>
      <c r="J707" s="287" t="s">
        <v>459</v>
      </c>
      <c r="K707" s="287" t="s">
        <v>460</v>
      </c>
      <c r="M707"/>
      <c r="N707"/>
    </row>
    <row r="708" spans="1:14" ht="22.25" customHeight="1">
      <c r="A708" s="286" t="s">
        <v>455</v>
      </c>
      <c r="B708" s="286" t="s">
        <v>456</v>
      </c>
      <c r="C708" s="287" t="s">
        <v>461</v>
      </c>
      <c r="D708" s="286" t="s">
        <v>1042</v>
      </c>
      <c r="E708" s="289">
        <v>45657</v>
      </c>
      <c r="F708" s="288">
        <v>563</v>
      </c>
      <c r="H708" s="287" t="s">
        <v>458</v>
      </c>
      <c r="I708" s="287" t="s">
        <v>458</v>
      </c>
      <c r="J708" s="287" t="s">
        <v>459</v>
      </c>
      <c r="K708" s="287" t="s">
        <v>460</v>
      </c>
      <c r="M708"/>
      <c r="N708"/>
    </row>
    <row r="709" spans="1:14" ht="22.25" customHeight="1">
      <c r="A709" s="286" t="s">
        <v>455</v>
      </c>
      <c r="B709" s="286" t="s">
        <v>456</v>
      </c>
      <c r="C709" s="287" t="s">
        <v>463</v>
      </c>
      <c r="D709" s="286" t="s">
        <v>1042</v>
      </c>
      <c r="E709" s="289">
        <v>45657</v>
      </c>
      <c r="F709" s="288">
        <v>437</v>
      </c>
      <c r="H709" s="287" t="s">
        <v>458</v>
      </c>
      <c r="I709" s="287" t="s">
        <v>458</v>
      </c>
      <c r="J709" s="287" t="s">
        <v>459</v>
      </c>
      <c r="K709" s="287" t="s">
        <v>460</v>
      </c>
      <c r="M709"/>
      <c r="N709"/>
    </row>
    <row r="710" spans="1:14" ht="22.25" customHeight="1">
      <c r="A710" s="286" t="s">
        <v>455</v>
      </c>
      <c r="B710" s="286" t="s">
        <v>456</v>
      </c>
      <c r="C710" s="287" t="s">
        <v>464</v>
      </c>
      <c r="D710" s="286" t="s">
        <v>1042</v>
      </c>
      <c r="E710" s="289">
        <v>45657</v>
      </c>
      <c r="F710" s="288">
        <v>720</v>
      </c>
      <c r="H710" s="287" t="s">
        <v>458</v>
      </c>
      <c r="I710" s="287" t="s">
        <v>458</v>
      </c>
      <c r="J710" s="287" t="s">
        <v>459</v>
      </c>
      <c r="K710" s="287" t="s">
        <v>460</v>
      </c>
      <c r="M710"/>
      <c r="N710"/>
    </row>
    <row r="711" spans="1:14" ht="44.1" customHeight="1">
      <c r="A711" s="286" t="s">
        <v>506</v>
      </c>
      <c r="B711" s="286" t="s">
        <v>507</v>
      </c>
      <c r="C711" s="287" t="s">
        <v>1043</v>
      </c>
      <c r="D711" s="286" t="s">
        <v>1044</v>
      </c>
      <c r="E711" s="289">
        <v>45687</v>
      </c>
      <c r="F711" s="288">
        <v>3319</v>
      </c>
      <c r="H711" s="287" t="s">
        <v>458</v>
      </c>
      <c r="I711" s="287" t="s">
        <v>469</v>
      </c>
      <c r="J711" s="287" t="s">
        <v>459</v>
      </c>
      <c r="K711" s="287" t="s">
        <v>460</v>
      </c>
      <c r="M711"/>
      <c r="N711"/>
    </row>
    <row r="712" spans="1:14" ht="22.25" customHeight="1">
      <c r="A712" s="286" t="s">
        <v>465</v>
      </c>
      <c r="B712" s="286" t="s">
        <v>466</v>
      </c>
      <c r="C712" s="287" t="s">
        <v>604</v>
      </c>
      <c r="D712" s="286" t="s">
        <v>1045</v>
      </c>
      <c r="E712" s="289">
        <v>45688</v>
      </c>
      <c r="F712" s="288">
        <v>35.090000000000003</v>
      </c>
      <c r="H712" s="287" t="s">
        <v>94</v>
      </c>
      <c r="I712" s="287" t="s">
        <v>469</v>
      </c>
      <c r="J712" s="287" t="s">
        <v>459</v>
      </c>
      <c r="K712" s="287" t="s">
        <v>460</v>
      </c>
      <c r="M712"/>
      <c r="N712"/>
    </row>
    <row r="713" spans="1:14" ht="22.25" customHeight="1">
      <c r="A713" s="286" t="s">
        <v>465</v>
      </c>
      <c r="B713" s="286" t="s">
        <v>466</v>
      </c>
      <c r="C713" s="287" t="s">
        <v>951</v>
      </c>
      <c r="D713" s="286" t="s">
        <v>1045</v>
      </c>
      <c r="E713" s="289">
        <v>45688</v>
      </c>
      <c r="F713" s="288">
        <v>4.21</v>
      </c>
      <c r="H713" s="287" t="s">
        <v>94</v>
      </c>
      <c r="I713" s="287" t="s">
        <v>469</v>
      </c>
      <c r="J713" s="287" t="s">
        <v>459</v>
      </c>
      <c r="K713" s="287" t="s">
        <v>460</v>
      </c>
      <c r="M713"/>
      <c r="N713"/>
    </row>
    <row r="714" spans="1:14" ht="22.25" customHeight="1">
      <c r="A714" s="286" t="s">
        <v>489</v>
      </c>
      <c r="B714" s="286" t="s">
        <v>490</v>
      </c>
      <c r="C714" s="287" t="s">
        <v>627</v>
      </c>
      <c r="D714" s="286" t="s">
        <v>1045</v>
      </c>
      <c r="E714" s="289">
        <v>45688</v>
      </c>
      <c r="F714" s="288">
        <v>38.6</v>
      </c>
      <c r="H714" s="287" t="s">
        <v>94</v>
      </c>
      <c r="I714" s="287" t="s">
        <v>469</v>
      </c>
      <c r="J714" s="287" t="s">
        <v>459</v>
      </c>
      <c r="K714" s="287" t="s">
        <v>460</v>
      </c>
      <c r="M714"/>
      <c r="N714"/>
    </row>
    <row r="715" spans="1:14" ht="22.25" customHeight="1">
      <c r="A715" s="286" t="s">
        <v>465</v>
      </c>
      <c r="B715" s="286" t="s">
        <v>466</v>
      </c>
      <c r="C715" s="287" t="s">
        <v>604</v>
      </c>
      <c r="D715" s="286" t="s">
        <v>1045</v>
      </c>
      <c r="E715" s="289">
        <v>45688</v>
      </c>
      <c r="F715" s="288">
        <v>35.090000000000003</v>
      </c>
      <c r="H715" s="287" t="s">
        <v>960</v>
      </c>
      <c r="I715" s="287" t="s">
        <v>469</v>
      </c>
      <c r="J715" s="287" t="s">
        <v>459</v>
      </c>
      <c r="K715" s="287" t="s">
        <v>460</v>
      </c>
      <c r="M715"/>
      <c r="N715"/>
    </row>
    <row r="716" spans="1:14" ht="22.25" customHeight="1">
      <c r="A716" s="286" t="s">
        <v>465</v>
      </c>
      <c r="B716" s="286" t="s">
        <v>466</v>
      </c>
      <c r="C716" s="287" t="s">
        <v>1046</v>
      </c>
      <c r="D716" s="286" t="s">
        <v>1045</v>
      </c>
      <c r="E716" s="289">
        <v>45688</v>
      </c>
      <c r="F716" s="288">
        <v>168.46</v>
      </c>
      <c r="H716" s="287" t="s">
        <v>960</v>
      </c>
      <c r="I716" s="287" t="s">
        <v>469</v>
      </c>
      <c r="J716" s="287" t="s">
        <v>459</v>
      </c>
      <c r="K716" s="287" t="s">
        <v>460</v>
      </c>
      <c r="M716"/>
      <c r="N716"/>
    </row>
    <row r="717" spans="1:14" ht="22.25" customHeight="1">
      <c r="A717" s="286" t="s">
        <v>465</v>
      </c>
      <c r="B717" s="286" t="s">
        <v>466</v>
      </c>
      <c r="C717" s="287" t="s">
        <v>1047</v>
      </c>
      <c r="D717" s="286" t="s">
        <v>1045</v>
      </c>
      <c r="E717" s="289">
        <v>45688</v>
      </c>
      <c r="F717" s="288">
        <v>221.1</v>
      </c>
      <c r="H717" s="287" t="s">
        <v>960</v>
      </c>
      <c r="I717" s="287" t="s">
        <v>469</v>
      </c>
      <c r="J717" s="287" t="s">
        <v>459</v>
      </c>
      <c r="K717" s="287" t="s">
        <v>460</v>
      </c>
      <c r="M717"/>
      <c r="N717"/>
    </row>
    <row r="718" spans="1:14" ht="22.25" customHeight="1">
      <c r="A718" s="286" t="s">
        <v>465</v>
      </c>
      <c r="B718" s="286" t="s">
        <v>466</v>
      </c>
      <c r="C718" s="287" t="s">
        <v>1048</v>
      </c>
      <c r="D718" s="286" t="s">
        <v>1045</v>
      </c>
      <c r="E718" s="289">
        <v>45688</v>
      </c>
      <c r="F718" s="288">
        <v>200.04</v>
      </c>
      <c r="H718" s="287" t="s">
        <v>960</v>
      </c>
      <c r="I718" s="287" t="s">
        <v>469</v>
      </c>
      <c r="J718" s="287" t="s">
        <v>459</v>
      </c>
      <c r="K718" s="287" t="s">
        <v>460</v>
      </c>
      <c r="M718"/>
      <c r="N718"/>
    </row>
    <row r="719" spans="1:14" ht="22.25" customHeight="1">
      <c r="A719" s="286" t="s">
        <v>465</v>
      </c>
      <c r="B719" s="286" t="s">
        <v>466</v>
      </c>
      <c r="C719" s="287" t="s">
        <v>1049</v>
      </c>
      <c r="D719" s="286" t="s">
        <v>1045</v>
      </c>
      <c r="E719" s="289">
        <v>45688</v>
      </c>
      <c r="F719" s="288">
        <v>157.93</v>
      </c>
      <c r="H719" s="287" t="s">
        <v>960</v>
      </c>
      <c r="I719" s="287" t="s">
        <v>469</v>
      </c>
      <c r="J719" s="287" t="s">
        <v>459</v>
      </c>
      <c r="K719" s="287" t="s">
        <v>460</v>
      </c>
      <c r="M719"/>
      <c r="N719"/>
    </row>
    <row r="720" spans="1:14" ht="22.25" customHeight="1">
      <c r="A720" s="286" t="s">
        <v>465</v>
      </c>
      <c r="B720" s="286" t="s">
        <v>466</v>
      </c>
      <c r="C720" s="287" t="s">
        <v>1050</v>
      </c>
      <c r="D720" s="286" t="s">
        <v>1045</v>
      </c>
      <c r="E720" s="289">
        <v>45688</v>
      </c>
      <c r="F720" s="288">
        <v>117.92</v>
      </c>
      <c r="H720" s="287" t="s">
        <v>960</v>
      </c>
      <c r="I720" s="287" t="s">
        <v>469</v>
      </c>
      <c r="J720" s="287" t="s">
        <v>459</v>
      </c>
      <c r="K720" s="287" t="s">
        <v>460</v>
      </c>
      <c r="M720"/>
      <c r="N720"/>
    </row>
    <row r="721" spans="1:14" ht="22.25" customHeight="1">
      <c r="A721" s="286" t="s">
        <v>465</v>
      </c>
      <c r="B721" s="286" t="s">
        <v>466</v>
      </c>
      <c r="C721" s="287" t="s">
        <v>1051</v>
      </c>
      <c r="D721" s="286" t="s">
        <v>1045</v>
      </c>
      <c r="E721" s="289">
        <v>45688</v>
      </c>
      <c r="F721" s="288">
        <v>119.32</v>
      </c>
      <c r="H721" s="287" t="s">
        <v>960</v>
      </c>
      <c r="I721" s="287" t="s">
        <v>469</v>
      </c>
      <c r="J721" s="287" t="s">
        <v>459</v>
      </c>
      <c r="K721" s="287" t="s">
        <v>460</v>
      </c>
      <c r="M721"/>
      <c r="N721"/>
    </row>
    <row r="722" spans="1:14" ht="22.25" customHeight="1">
      <c r="A722" s="286" t="s">
        <v>465</v>
      </c>
      <c r="B722" s="286" t="s">
        <v>466</v>
      </c>
      <c r="C722" s="287" t="s">
        <v>1052</v>
      </c>
      <c r="D722" s="286" t="s">
        <v>1045</v>
      </c>
      <c r="E722" s="289">
        <v>45688</v>
      </c>
      <c r="F722" s="288">
        <v>112.3</v>
      </c>
      <c r="H722" s="287" t="s">
        <v>960</v>
      </c>
      <c r="I722" s="287" t="s">
        <v>469</v>
      </c>
      <c r="J722" s="287" t="s">
        <v>459</v>
      </c>
      <c r="K722" s="287" t="s">
        <v>460</v>
      </c>
      <c r="M722"/>
      <c r="N722"/>
    </row>
    <row r="723" spans="1:14" ht="22.25" customHeight="1">
      <c r="A723" s="286" t="s">
        <v>465</v>
      </c>
      <c r="B723" s="286" t="s">
        <v>466</v>
      </c>
      <c r="C723" s="287" t="s">
        <v>1053</v>
      </c>
      <c r="D723" s="286" t="s">
        <v>1045</v>
      </c>
      <c r="E723" s="289">
        <v>45688</v>
      </c>
      <c r="F723" s="288">
        <v>63.17</v>
      </c>
      <c r="H723" s="287" t="s">
        <v>960</v>
      </c>
      <c r="I723" s="287" t="s">
        <v>469</v>
      </c>
      <c r="J723" s="287" t="s">
        <v>459</v>
      </c>
      <c r="K723" s="287" t="s">
        <v>460</v>
      </c>
      <c r="M723"/>
      <c r="N723"/>
    </row>
    <row r="724" spans="1:14" ht="22.25" customHeight="1">
      <c r="A724" s="286" t="s">
        <v>489</v>
      </c>
      <c r="B724" s="286" t="s">
        <v>490</v>
      </c>
      <c r="C724" s="287" t="s">
        <v>959</v>
      </c>
      <c r="D724" s="286" t="s">
        <v>1045</v>
      </c>
      <c r="E724" s="289">
        <v>45688</v>
      </c>
      <c r="F724" s="288">
        <v>2702.31</v>
      </c>
      <c r="H724" s="287" t="s">
        <v>960</v>
      </c>
      <c r="I724" s="287" t="s">
        <v>469</v>
      </c>
      <c r="J724" s="287" t="s">
        <v>459</v>
      </c>
      <c r="K724" s="287" t="s">
        <v>460</v>
      </c>
      <c r="M724"/>
      <c r="N724"/>
    </row>
    <row r="725" spans="1:14" ht="22.25" customHeight="1">
      <c r="A725" s="286" t="s">
        <v>506</v>
      </c>
      <c r="B725" s="286" t="s">
        <v>507</v>
      </c>
      <c r="C725" s="287" t="s">
        <v>1054</v>
      </c>
      <c r="D725" s="286" t="s">
        <v>1045</v>
      </c>
      <c r="E725" s="289">
        <v>45688</v>
      </c>
      <c r="F725" s="288">
        <v>463.25</v>
      </c>
      <c r="H725" s="287" t="s">
        <v>960</v>
      </c>
      <c r="I725" s="287" t="s">
        <v>469</v>
      </c>
      <c r="J725" s="287" t="s">
        <v>459</v>
      </c>
      <c r="K725" s="287" t="s">
        <v>460</v>
      </c>
      <c r="M725"/>
      <c r="N725"/>
    </row>
    <row r="726" spans="1:14" ht="22.25" customHeight="1">
      <c r="A726" s="286" t="s">
        <v>536</v>
      </c>
      <c r="B726" s="286" t="s">
        <v>647</v>
      </c>
      <c r="C726" s="287" t="s">
        <v>1055</v>
      </c>
      <c r="D726" s="286" t="s">
        <v>1045</v>
      </c>
      <c r="E726" s="289">
        <v>45688</v>
      </c>
      <c r="F726" s="288">
        <v>42.11</v>
      </c>
      <c r="H726" s="287" t="s">
        <v>960</v>
      </c>
      <c r="I726" s="287" t="s">
        <v>469</v>
      </c>
      <c r="J726" s="287" t="s">
        <v>459</v>
      </c>
      <c r="K726" s="287" t="s">
        <v>460</v>
      </c>
      <c r="M726"/>
      <c r="N726"/>
    </row>
    <row r="727" spans="1:14" ht="22.25" customHeight="1">
      <c r="A727" s="286" t="s">
        <v>465</v>
      </c>
      <c r="B727" s="286" t="s">
        <v>466</v>
      </c>
      <c r="C727" s="287" t="s">
        <v>1056</v>
      </c>
      <c r="D727" s="286" t="s">
        <v>1045</v>
      </c>
      <c r="E727" s="289">
        <v>45688</v>
      </c>
      <c r="F727" s="288">
        <v>8.42</v>
      </c>
      <c r="H727" s="287" t="s">
        <v>960</v>
      </c>
      <c r="I727" s="287" t="s">
        <v>469</v>
      </c>
      <c r="J727" s="287" t="s">
        <v>459</v>
      </c>
      <c r="K727" s="287" t="s">
        <v>460</v>
      </c>
      <c r="M727"/>
      <c r="N727"/>
    </row>
    <row r="728" spans="1:14" ht="33.200000000000003" customHeight="1">
      <c r="A728" s="286" t="s">
        <v>536</v>
      </c>
      <c r="B728" s="286" t="s">
        <v>647</v>
      </c>
      <c r="C728" s="287" t="s">
        <v>1057</v>
      </c>
      <c r="D728" s="286" t="s">
        <v>1045</v>
      </c>
      <c r="E728" s="289">
        <v>45688</v>
      </c>
      <c r="F728" s="288">
        <v>409.56</v>
      </c>
      <c r="H728" s="287" t="s">
        <v>960</v>
      </c>
      <c r="I728" s="287" t="s">
        <v>469</v>
      </c>
      <c r="J728" s="287" t="s">
        <v>459</v>
      </c>
      <c r="K728" s="287" t="s">
        <v>460</v>
      </c>
      <c r="M728"/>
      <c r="N728"/>
    </row>
    <row r="729" spans="1:14" ht="33.200000000000003" customHeight="1">
      <c r="A729" s="286" t="s">
        <v>489</v>
      </c>
      <c r="B729" s="286" t="s">
        <v>490</v>
      </c>
      <c r="C729" s="287" t="s">
        <v>1058</v>
      </c>
      <c r="D729" s="286" t="s">
        <v>1045</v>
      </c>
      <c r="E729" s="289">
        <v>45688</v>
      </c>
      <c r="F729" s="288">
        <v>3958.71</v>
      </c>
      <c r="H729" s="287" t="s">
        <v>960</v>
      </c>
      <c r="I729" s="287" t="s">
        <v>469</v>
      </c>
      <c r="J729" s="287" t="s">
        <v>459</v>
      </c>
      <c r="K729" s="287" t="s">
        <v>460</v>
      </c>
      <c r="M729"/>
      <c r="N729"/>
    </row>
    <row r="730" spans="1:14" ht="33.200000000000003" customHeight="1">
      <c r="A730" s="286" t="s">
        <v>530</v>
      </c>
      <c r="B730" s="286" t="s">
        <v>531</v>
      </c>
      <c r="C730" s="287" t="s">
        <v>1059</v>
      </c>
      <c r="D730" s="286" t="s">
        <v>1045</v>
      </c>
      <c r="E730" s="289">
        <v>45688</v>
      </c>
      <c r="F730" s="288">
        <v>280.76</v>
      </c>
      <c r="H730" s="287" t="s">
        <v>960</v>
      </c>
      <c r="I730" s="287" t="s">
        <v>469</v>
      </c>
      <c r="J730" s="287" t="s">
        <v>459</v>
      </c>
      <c r="K730" s="287" t="s">
        <v>460</v>
      </c>
      <c r="M730"/>
      <c r="N730"/>
    </row>
    <row r="731" spans="1:14" ht="33.200000000000003" customHeight="1">
      <c r="A731" s="286" t="s">
        <v>557</v>
      </c>
      <c r="B731" s="286" t="s">
        <v>1060</v>
      </c>
      <c r="C731" s="287" t="s">
        <v>1061</v>
      </c>
      <c r="D731" s="286" t="s">
        <v>1045</v>
      </c>
      <c r="E731" s="289">
        <v>45688</v>
      </c>
      <c r="F731" s="288">
        <v>1768.79</v>
      </c>
      <c r="H731" s="287" t="s">
        <v>971</v>
      </c>
      <c r="I731" s="287" t="s">
        <v>469</v>
      </c>
      <c r="J731" s="287" t="s">
        <v>459</v>
      </c>
      <c r="K731" s="287" t="s">
        <v>460</v>
      </c>
      <c r="M731"/>
      <c r="N731"/>
    </row>
    <row r="732" spans="1:14" ht="22.25" customHeight="1">
      <c r="A732" s="286" t="s">
        <v>478</v>
      </c>
      <c r="B732" s="286" t="s">
        <v>479</v>
      </c>
      <c r="C732" s="287" t="s">
        <v>1062</v>
      </c>
      <c r="D732" s="286" t="s">
        <v>1045</v>
      </c>
      <c r="E732" s="289">
        <v>45688</v>
      </c>
      <c r="F732" s="288">
        <v>837.23</v>
      </c>
      <c r="H732" s="287" t="s">
        <v>863</v>
      </c>
      <c r="I732" s="287" t="s">
        <v>469</v>
      </c>
      <c r="J732" s="287" t="s">
        <v>459</v>
      </c>
      <c r="K732" s="287" t="s">
        <v>460</v>
      </c>
      <c r="M732"/>
      <c r="N732"/>
    </row>
    <row r="733" spans="1:14" ht="22.25" customHeight="1">
      <c r="A733" s="286" t="s">
        <v>538</v>
      </c>
      <c r="B733" s="286" t="s">
        <v>1028</v>
      </c>
      <c r="C733" s="287" t="s">
        <v>1063</v>
      </c>
      <c r="D733" s="286" t="s">
        <v>1045</v>
      </c>
      <c r="E733" s="289">
        <v>45688</v>
      </c>
      <c r="F733" s="288">
        <v>56.15</v>
      </c>
      <c r="H733" s="287" t="s">
        <v>733</v>
      </c>
      <c r="I733" s="287" t="s">
        <v>469</v>
      </c>
      <c r="J733" s="287" t="s">
        <v>459</v>
      </c>
      <c r="K733" s="287" t="s">
        <v>460</v>
      </c>
      <c r="M733"/>
      <c r="N733"/>
    </row>
    <row r="734" spans="1:14" ht="22.25" customHeight="1">
      <c r="A734" s="286" t="s">
        <v>465</v>
      </c>
      <c r="B734" s="286" t="s">
        <v>466</v>
      </c>
      <c r="C734" s="287" t="s">
        <v>1027</v>
      </c>
      <c r="D734" s="286" t="s">
        <v>1045</v>
      </c>
      <c r="E734" s="289">
        <v>45688</v>
      </c>
      <c r="F734" s="288">
        <v>28.08</v>
      </c>
      <c r="H734" s="287" t="s">
        <v>733</v>
      </c>
      <c r="I734" s="287" t="s">
        <v>469</v>
      </c>
      <c r="J734" s="287" t="s">
        <v>459</v>
      </c>
      <c r="K734" s="287" t="s">
        <v>460</v>
      </c>
      <c r="M734"/>
      <c r="N734"/>
    </row>
    <row r="735" spans="1:14" ht="22.25" customHeight="1">
      <c r="A735" s="286" t="s">
        <v>478</v>
      </c>
      <c r="B735" s="286" t="s">
        <v>479</v>
      </c>
      <c r="C735" s="287" t="s">
        <v>1064</v>
      </c>
      <c r="D735" s="286" t="s">
        <v>1045</v>
      </c>
      <c r="E735" s="289">
        <v>45688</v>
      </c>
      <c r="F735" s="288">
        <v>70.19</v>
      </c>
      <c r="H735" s="287" t="s">
        <v>733</v>
      </c>
      <c r="I735" s="287" t="s">
        <v>469</v>
      </c>
      <c r="J735" s="287" t="s">
        <v>459</v>
      </c>
      <c r="K735" s="287" t="s">
        <v>460</v>
      </c>
      <c r="M735"/>
      <c r="N735"/>
    </row>
    <row r="736" spans="1:14" ht="22.25" customHeight="1">
      <c r="A736" s="286" t="s">
        <v>541</v>
      </c>
      <c r="B736" s="286" t="s">
        <v>878</v>
      </c>
      <c r="C736" s="287" t="s">
        <v>1065</v>
      </c>
      <c r="D736" s="286" t="s">
        <v>1045</v>
      </c>
      <c r="E736" s="289">
        <v>45688</v>
      </c>
      <c r="F736" s="288">
        <v>238.65</v>
      </c>
      <c r="H736" s="287" t="s">
        <v>733</v>
      </c>
      <c r="I736" s="287" t="s">
        <v>469</v>
      </c>
      <c r="J736" s="287" t="s">
        <v>459</v>
      </c>
      <c r="K736" s="287" t="s">
        <v>460</v>
      </c>
      <c r="M736"/>
      <c r="N736"/>
    </row>
    <row r="737" spans="1:14" ht="22.25" customHeight="1">
      <c r="A737" s="286" t="s">
        <v>529</v>
      </c>
      <c r="B737" s="286" t="s">
        <v>573</v>
      </c>
      <c r="C737" s="287" t="s">
        <v>1066</v>
      </c>
      <c r="D737" s="286" t="s">
        <v>1045</v>
      </c>
      <c r="E737" s="289">
        <v>45688</v>
      </c>
      <c r="F737" s="288">
        <v>673.82</v>
      </c>
      <c r="H737" s="287" t="s">
        <v>733</v>
      </c>
      <c r="I737" s="287" t="s">
        <v>469</v>
      </c>
      <c r="J737" s="287" t="s">
        <v>459</v>
      </c>
      <c r="K737" s="287" t="s">
        <v>460</v>
      </c>
      <c r="M737"/>
      <c r="N737"/>
    </row>
    <row r="738" spans="1:14" ht="22.25" customHeight="1">
      <c r="A738" s="286" t="s">
        <v>534</v>
      </c>
      <c r="B738" s="286" t="s">
        <v>601</v>
      </c>
      <c r="C738" s="287" t="s">
        <v>1067</v>
      </c>
      <c r="D738" s="286" t="s">
        <v>1045</v>
      </c>
      <c r="E738" s="289">
        <v>45688</v>
      </c>
      <c r="F738" s="288">
        <v>2.11</v>
      </c>
      <c r="H738" s="287" t="s">
        <v>733</v>
      </c>
      <c r="I738" s="287" t="s">
        <v>469</v>
      </c>
      <c r="J738" s="287" t="s">
        <v>459</v>
      </c>
      <c r="K738" s="287" t="s">
        <v>460</v>
      </c>
      <c r="M738"/>
      <c r="N738"/>
    </row>
    <row r="739" spans="1:14" ht="22.25" customHeight="1">
      <c r="A739" s="286" t="s">
        <v>534</v>
      </c>
      <c r="B739" s="286" t="s">
        <v>601</v>
      </c>
      <c r="C739" s="287" t="s">
        <v>934</v>
      </c>
      <c r="D739" s="286" t="s">
        <v>1045</v>
      </c>
      <c r="E739" s="289">
        <v>45688</v>
      </c>
      <c r="F739" s="288">
        <v>0.32</v>
      </c>
      <c r="H739" s="287" t="s">
        <v>733</v>
      </c>
      <c r="I739" s="287" t="s">
        <v>469</v>
      </c>
      <c r="J739" s="287" t="s">
        <v>459</v>
      </c>
      <c r="K739" s="287" t="s">
        <v>460</v>
      </c>
      <c r="M739"/>
      <c r="N739"/>
    </row>
    <row r="740" spans="1:14" ht="22.25" customHeight="1">
      <c r="A740" s="286" t="s">
        <v>529</v>
      </c>
      <c r="B740" s="286" t="s">
        <v>573</v>
      </c>
      <c r="C740" s="287" t="s">
        <v>623</v>
      </c>
      <c r="D740" s="286" t="s">
        <v>1045</v>
      </c>
      <c r="E740" s="289">
        <v>45688</v>
      </c>
      <c r="F740" s="288">
        <v>50.76</v>
      </c>
      <c r="H740" s="287" t="s">
        <v>733</v>
      </c>
      <c r="I740" s="287" t="s">
        <v>469</v>
      </c>
      <c r="J740" s="287" t="s">
        <v>459</v>
      </c>
      <c r="K740" s="287" t="s">
        <v>460</v>
      </c>
      <c r="M740"/>
      <c r="N740"/>
    </row>
    <row r="741" spans="1:14" ht="22.25" customHeight="1">
      <c r="A741" s="286" t="s">
        <v>529</v>
      </c>
      <c r="B741" s="286" t="s">
        <v>573</v>
      </c>
      <c r="C741" s="287" t="s">
        <v>673</v>
      </c>
      <c r="D741" s="286" t="s">
        <v>1045</v>
      </c>
      <c r="E741" s="289">
        <v>45688</v>
      </c>
      <c r="F741" s="288">
        <v>40.81</v>
      </c>
      <c r="H741" s="287" t="s">
        <v>733</v>
      </c>
      <c r="I741" s="287" t="s">
        <v>469</v>
      </c>
      <c r="J741" s="287" t="s">
        <v>459</v>
      </c>
      <c r="K741" s="287" t="s">
        <v>460</v>
      </c>
      <c r="M741"/>
      <c r="N741"/>
    </row>
    <row r="742" spans="1:14" ht="22.25" customHeight="1">
      <c r="A742" s="286" t="s">
        <v>529</v>
      </c>
      <c r="B742" s="286" t="s">
        <v>573</v>
      </c>
      <c r="C742" s="287" t="s">
        <v>902</v>
      </c>
      <c r="D742" s="286" t="s">
        <v>1045</v>
      </c>
      <c r="E742" s="289">
        <v>45688</v>
      </c>
      <c r="F742" s="288">
        <v>40.81</v>
      </c>
      <c r="H742" s="287" t="s">
        <v>733</v>
      </c>
      <c r="I742" s="287" t="s">
        <v>469</v>
      </c>
      <c r="J742" s="287" t="s">
        <v>459</v>
      </c>
      <c r="K742" s="287" t="s">
        <v>460</v>
      </c>
      <c r="M742"/>
      <c r="N742"/>
    </row>
    <row r="743" spans="1:14" ht="22.25" customHeight="1">
      <c r="A743" s="286" t="s">
        <v>529</v>
      </c>
      <c r="B743" s="286" t="s">
        <v>573</v>
      </c>
      <c r="C743" s="287" t="s">
        <v>903</v>
      </c>
      <c r="D743" s="286" t="s">
        <v>1045</v>
      </c>
      <c r="E743" s="289">
        <v>45688</v>
      </c>
      <c r="F743" s="288">
        <v>40.81</v>
      </c>
      <c r="H743" s="287" t="s">
        <v>733</v>
      </c>
      <c r="I743" s="287" t="s">
        <v>469</v>
      </c>
      <c r="J743" s="287" t="s">
        <v>459</v>
      </c>
      <c r="K743" s="287" t="s">
        <v>460</v>
      </c>
      <c r="M743"/>
      <c r="N743"/>
    </row>
    <row r="744" spans="1:14" ht="22.25" customHeight="1">
      <c r="A744" s="286" t="s">
        <v>529</v>
      </c>
      <c r="B744" s="286" t="s">
        <v>573</v>
      </c>
      <c r="C744" s="287" t="s">
        <v>652</v>
      </c>
      <c r="D744" s="286" t="s">
        <v>1045</v>
      </c>
      <c r="E744" s="289">
        <v>45688</v>
      </c>
      <c r="F744" s="288">
        <v>40.81</v>
      </c>
      <c r="H744" s="287" t="s">
        <v>733</v>
      </c>
      <c r="I744" s="287" t="s">
        <v>469</v>
      </c>
      <c r="J744" s="287" t="s">
        <v>459</v>
      </c>
      <c r="K744" s="287" t="s">
        <v>460</v>
      </c>
      <c r="M744"/>
      <c r="N744"/>
    </row>
    <row r="745" spans="1:14" ht="22.25" customHeight="1">
      <c r="A745" s="286" t="s">
        <v>465</v>
      </c>
      <c r="B745" s="286" t="s">
        <v>466</v>
      </c>
      <c r="C745" s="287" t="s">
        <v>1068</v>
      </c>
      <c r="D745" s="286" t="s">
        <v>1045</v>
      </c>
      <c r="E745" s="289">
        <v>45688</v>
      </c>
      <c r="F745" s="288">
        <v>60.36</v>
      </c>
      <c r="H745" s="287" t="s">
        <v>733</v>
      </c>
      <c r="I745" s="287" t="s">
        <v>469</v>
      </c>
      <c r="J745" s="287" t="s">
        <v>459</v>
      </c>
      <c r="K745" s="287" t="s">
        <v>460</v>
      </c>
      <c r="M745"/>
      <c r="N745"/>
    </row>
    <row r="746" spans="1:14" ht="22.25" customHeight="1">
      <c r="A746" s="286" t="s">
        <v>529</v>
      </c>
      <c r="B746" s="286" t="s">
        <v>573</v>
      </c>
      <c r="C746" s="287" t="s">
        <v>1069</v>
      </c>
      <c r="D746" s="286" t="s">
        <v>1045</v>
      </c>
      <c r="E746" s="289">
        <v>45688</v>
      </c>
      <c r="F746" s="288">
        <v>38.67</v>
      </c>
      <c r="H746" s="287" t="s">
        <v>733</v>
      </c>
      <c r="I746" s="287" t="s">
        <v>469</v>
      </c>
      <c r="J746" s="287" t="s">
        <v>459</v>
      </c>
      <c r="K746" s="287" t="s">
        <v>460</v>
      </c>
      <c r="M746"/>
      <c r="N746"/>
    </row>
    <row r="747" spans="1:14" ht="22.25" customHeight="1">
      <c r="A747" s="286" t="s">
        <v>485</v>
      </c>
      <c r="B747" s="286" t="s">
        <v>486</v>
      </c>
      <c r="C747" s="287" t="s">
        <v>654</v>
      </c>
      <c r="D747" s="286" t="s">
        <v>1045</v>
      </c>
      <c r="E747" s="289">
        <v>45688</v>
      </c>
      <c r="F747" s="288">
        <v>11.23</v>
      </c>
      <c r="H747" s="287" t="s">
        <v>733</v>
      </c>
      <c r="I747" s="287" t="s">
        <v>469</v>
      </c>
      <c r="J747" s="287" t="s">
        <v>459</v>
      </c>
      <c r="K747" s="287" t="s">
        <v>460</v>
      </c>
      <c r="M747"/>
      <c r="N747"/>
    </row>
    <row r="748" spans="1:14" ht="22.25" customHeight="1">
      <c r="A748" s="286" t="s">
        <v>465</v>
      </c>
      <c r="B748" s="286" t="s">
        <v>466</v>
      </c>
      <c r="C748" s="287" t="s">
        <v>655</v>
      </c>
      <c r="D748" s="286" t="s">
        <v>1045</v>
      </c>
      <c r="E748" s="289">
        <v>45688</v>
      </c>
      <c r="F748" s="288">
        <v>11.23</v>
      </c>
      <c r="H748" s="287" t="s">
        <v>733</v>
      </c>
      <c r="I748" s="287" t="s">
        <v>469</v>
      </c>
      <c r="J748" s="287" t="s">
        <v>459</v>
      </c>
      <c r="K748" s="287" t="s">
        <v>460</v>
      </c>
      <c r="M748"/>
      <c r="N748"/>
    </row>
    <row r="749" spans="1:14" ht="22.25" customHeight="1">
      <c r="A749" s="286" t="s">
        <v>485</v>
      </c>
      <c r="B749" s="286" t="s">
        <v>486</v>
      </c>
      <c r="C749" s="287" t="s">
        <v>936</v>
      </c>
      <c r="D749" s="286" t="s">
        <v>1045</v>
      </c>
      <c r="E749" s="289">
        <v>45688</v>
      </c>
      <c r="F749" s="288">
        <v>9.9700000000000006</v>
      </c>
      <c r="H749" s="287" t="s">
        <v>733</v>
      </c>
      <c r="I749" s="287" t="s">
        <v>469</v>
      </c>
      <c r="J749" s="287" t="s">
        <v>459</v>
      </c>
      <c r="K749" s="287" t="s">
        <v>460</v>
      </c>
      <c r="M749"/>
      <c r="N749"/>
    </row>
    <row r="750" spans="1:14" ht="22.25" customHeight="1">
      <c r="A750" s="286" t="s">
        <v>485</v>
      </c>
      <c r="B750" s="286" t="s">
        <v>486</v>
      </c>
      <c r="C750" s="287" t="s">
        <v>1033</v>
      </c>
      <c r="D750" s="286" t="s">
        <v>1045</v>
      </c>
      <c r="E750" s="289">
        <v>45688</v>
      </c>
      <c r="F750" s="288">
        <v>8.2799999999999994</v>
      </c>
      <c r="H750" s="287" t="s">
        <v>733</v>
      </c>
      <c r="I750" s="287" t="s">
        <v>469</v>
      </c>
      <c r="J750" s="287" t="s">
        <v>459</v>
      </c>
      <c r="K750" s="287" t="s">
        <v>460</v>
      </c>
      <c r="M750"/>
      <c r="N750"/>
    </row>
    <row r="751" spans="1:14" ht="22.25" customHeight="1">
      <c r="A751" s="286" t="s">
        <v>485</v>
      </c>
      <c r="B751" s="286" t="s">
        <v>486</v>
      </c>
      <c r="C751" s="287" t="s">
        <v>1070</v>
      </c>
      <c r="D751" s="286" t="s">
        <v>1045</v>
      </c>
      <c r="E751" s="289">
        <v>45688</v>
      </c>
      <c r="F751" s="288">
        <v>7.0000000000000007E-2</v>
      </c>
      <c r="H751" s="287" t="s">
        <v>733</v>
      </c>
      <c r="I751" s="287" t="s">
        <v>469</v>
      </c>
      <c r="J751" s="287" t="s">
        <v>459</v>
      </c>
      <c r="K751" s="287" t="s">
        <v>460</v>
      </c>
      <c r="M751"/>
      <c r="N751"/>
    </row>
    <row r="752" spans="1:14" ht="22.25" customHeight="1">
      <c r="A752" s="286" t="s">
        <v>485</v>
      </c>
      <c r="B752" s="286" t="s">
        <v>486</v>
      </c>
      <c r="C752" s="287" t="s">
        <v>1071</v>
      </c>
      <c r="D752" s="286" t="s">
        <v>1045</v>
      </c>
      <c r="E752" s="289">
        <v>45688</v>
      </c>
      <c r="F752" s="288">
        <v>2.11</v>
      </c>
      <c r="H752" s="287" t="s">
        <v>733</v>
      </c>
      <c r="I752" s="287" t="s">
        <v>469</v>
      </c>
      <c r="J752" s="287" t="s">
        <v>459</v>
      </c>
      <c r="K752" s="287" t="s">
        <v>460</v>
      </c>
      <c r="M752"/>
      <c r="N752"/>
    </row>
    <row r="753" spans="1:14" ht="22.25" customHeight="1">
      <c r="A753" s="286" t="s">
        <v>485</v>
      </c>
      <c r="B753" s="286" t="s">
        <v>486</v>
      </c>
      <c r="C753" s="287" t="s">
        <v>1072</v>
      </c>
      <c r="D753" s="286" t="s">
        <v>1045</v>
      </c>
      <c r="E753" s="289">
        <v>45688</v>
      </c>
      <c r="F753" s="288">
        <v>7.02</v>
      </c>
      <c r="H753" s="287" t="s">
        <v>733</v>
      </c>
      <c r="I753" s="287" t="s">
        <v>469</v>
      </c>
      <c r="J753" s="287" t="s">
        <v>459</v>
      </c>
      <c r="K753" s="287" t="s">
        <v>460</v>
      </c>
      <c r="M753"/>
      <c r="N753"/>
    </row>
    <row r="754" spans="1:14" ht="22.25" customHeight="1">
      <c r="A754" s="286" t="s">
        <v>485</v>
      </c>
      <c r="B754" s="286" t="s">
        <v>486</v>
      </c>
      <c r="C754" s="287" t="s">
        <v>1073</v>
      </c>
      <c r="D754" s="286" t="s">
        <v>1045</v>
      </c>
      <c r="E754" s="289">
        <v>45688</v>
      </c>
      <c r="F754" s="288">
        <v>7.02</v>
      </c>
      <c r="H754" s="287" t="s">
        <v>733</v>
      </c>
      <c r="I754" s="287" t="s">
        <v>469</v>
      </c>
      <c r="J754" s="287" t="s">
        <v>459</v>
      </c>
      <c r="K754" s="287" t="s">
        <v>460</v>
      </c>
      <c r="M754"/>
      <c r="N754"/>
    </row>
    <row r="755" spans="1:14" ht="33.200000000000003" customHeight="1">
      <c r="A755" s="286" t="s">
        <v>485</v>
      </c>
      <c r="B755" s="286" t="s">
        <v>486</v>
      </c>
      <c r="C755" s="287" t="s">
        <v>1074</v>
      </c>
      <c r="D755" s="286" t="s">
        <v>1045</v>
      </c>
      <c r="E755" s="289">
        <v>45688</v>
      </c>
      <c r="F755" s="288">
        <v>98.27</v>
      </c>
      <c r="H755" s="287" t="s">
        <v>733</v>
      </c>
      <c r="I755" s="287" t="s">
        <v>469</v>
      </c>
      <c r="J755" s="287" t="s">
        <v>459</v>
      </c>
      <c r="K755" s="287" t="s">
        <v>460</v>
      </c>
      <c r="M755"/>
      <c r="N755"/>
    </row>
    <row r="756" spans="1:14" ht="22.25" customHeight="1">
      <c r="A756" s="286" t="s">
        <v>485</v>
      </c>
      <c r="B756" s="286" t="s">
        <v>486</v>
      </c>
      <c r="C756" s="287" t="s">
        <v>625</v>
      </c>
      <c r="D756" s="286" t="s">
        <v>1045</v>
      </c>
      <c r="E756" s="289">
        <v>45688</v>
      </c>
      <c r="F756" s="288">
        <v>4.7699999999999996</v>
      </c>
      <c r="H756" s="287" t="s">
        <v>733</v>
      </c>
      <c r="I756" s="287" t="s">
        <v>469</v>
      </c>
      <c r="J756" s="287" t="s">
        <v>459</v>
      </c>
      <c r="K756" s="287" t="s">
        <v>460</v>
      </c>
      <c r="M756"/>
      <c r="N756"/>
    </row>
    <row r="757" spans="1:14" ht="22.25" customHeight="1">
      <c r="A757" s="286" t="s">
        <v>455</v>
      </c>
      <c r="B757" s="286" t="s">
        <v>456</v>
      </c>
      <c r="C757" s="287" t="s">
        <v>461</v>
      </c>
      <c r="D757" s="286" t="s">
        <v>1075</v>
      </c>
      <c r="E757" s="293">
        <v>45688</v>
      </c>
      <c r="F757" s="288">
        <v>563</v>
      </c>
      <c r="H757" s="287" t="s">
        <v>458</v>
      </c>
      <c r="I757" s="287" t="s">
        <v>458</v>
      </c>
      <c r="J757" s="287" t="s">
        <v>459</v>
      </c>
      <c r="K757" s="287" t="s">
        <v>460</v>
      </c>
      <c r="M757"/>
      <c r="N757"/>
    </row>
    <row r="758" spans="1:14" ht="22.25" customHeight="1">
      <c r="A758" s="286" t="s">
        <v>455</v>
      </c>
      <c r="B758" s="286" t="s">
        <v>456</v>
      </c>
      <c r="C758" s="287" t="s">
        <v>463</v>
      </c>
      <c r="D758" s="286" t="s">
        <v>1075</v>
      </c>
      <c r="E758" s="293">
        <v>45688</v>
      </c>
      <c r="F758" s="288">
        <v>437</v>
      </c>
      <c r="H758" s="287" t="s">
        <v>458</v>
      </c>
      <c r="I758" s="287" t="s">
        <v>458</v>
      </c>
      <c r="J758" s="287" t="s">
        <v>459</v>
      </c>
      <c r="K758" s="287" t="s">
        <v>460</v>
      </c>
      <c r="M758"/>
      <c r="N758"/>
    </row>
    <row r="759" spans="1:14" ht="22.25" customHeight="1">
      <c r="A759" s="286" t="s">
        <v>455</v>
      </c>
      <c r="B759" s="286" t="s">
        <v>456</v>
      </c>
      <c r="C759" s="287" t="s">
        <v>464</v>
      </c>
      <c r="D759" s="286" t="s">
        <v>1075</v>
      </c>
      <c r="E759" s="293">
        <v>45688</v>
      </c>
      <c r="F759" s="288">
        <v>720</v>
      </c>
      <c r="H759" s="287" t="s">
        <v>458</v>
      </c>
      <c r="I759" s="287" t="s">
        <v>458</v>
      </c>
      <c r="J759" s="287" t="s">
        <v>459</v>
      </c>
      <c r="K759" s="287" t="s">
        <v>460</v>
      </c>
      <c r="M759"/>
      <c r="N759"/>
    </row>
    <row r="760" spans="1:14" ht="6.95" customHeight="1">
      <c r="F760" s="285" t="s">
        <v>210</v>
      </c>
      <c r="G760" s="285" t="s">
        <v>210</v>
      </c>
      <c r="M760"/>
      <c r="N760"/>
    </row>
    <row r="761" spans="1:14" ht="12" customHeight="1">
      <c r="D761" s="287" t="s">
        <v>1076</v>
      </c>
      <c r="F761" s="292">
        <v>426929.96</v>
      </c>
      <c r="G761" s="288">
        <v>0.33</v>
      </c>
      <c r="M761"/>
      <c r="N761"/>
    </row>
    <row r="762" spans="1:14" ht="6.95" customHeight="1">
      <c r="F762" s="285" t="s">
        <v>210</v>
      </c>
      <c r="G762" s="285" t="s">
        <v>210</v>
      </c>
      <c r="M762"/>
      <c r="N762"/>
    </row>
    <row r="763" spans="1:14" ht="33.200000000000003" customHeight="1">
      <c r="A763" s="287"/>
      <c r="F763" s="288">
        <v>0</v>
      </c>
      <c r="G763" s="288">
        <v>0</v>
      </c>
      <c r="M763"/>
      <c r="N763"/>
    </row>
    <row r="764" spans="1:14" ht="6.95" customHeight="1">
      <c r="F764" s="285" t="s">
        <v>210</v>
      </c>
      <c r="G764" s="285" t="s">
        <v>210</v>
      </c>
      <c r="M764"/>
      <c r="N764"/>
    </row>
    <row r="765" spans="1:14" ht="22.25" customHeight="1">
      <c r="A765" s="287"/>
      <c r="F765" s="288">
        <v>426929.96</v>
      </c>
      <c r="G765" s="288">
        <v>0.33</v>
      </c>
      <c r="M765"/>
      <c r="N765"/>
    </row>
    <row r="766" spans="1:14" ht="6.95" customHeight="1">
      <c r="F766" s="285" t="s">
        <v>210</v>
      </c>
      <c r="G766" s="285" t="s">
        <v>210</v>
      </c>
      <c r="M766"/>
      <c r="N766"/>
    </row>
    <row r="767" spans="1:14" ht="22.25" customHeight="1">
      <c r="A767" s="287"/>
      <c r="F767" s="288">
        <v>426929.96</v>
      </c>
      <c r="G767" s="288">
        <v>0.33</v>
      </c>
      <c r="M767"/>
      <c r="N767"/>
    </row>
    <row r="768" spans="1:14" ht="6.95" customHeight="1">
      <c r="F768" s="285" t="s">
        <v>210</v>
      </c>
      <c r="G768" s="285" t="s">
        <v>210</v>
      </c>
      <c r="M768"/>
      <c r="N768"/>
    </row>
    <row r="769" spans="1:14" ht="12" customHeight="1">
      <c r="A769" s="287"/>
      <c r="F769" s="288">
        <v>426929.63</v>
      </c>
      <c r="M769"/>
      <c r="N769"/>
    </row>
    <row r="770" spans="1:14" ht="6.95" customHeight="1">
      <c r="F770" s="290" t="s">
        <v>210</v>
      </c>
      <c r="G770" s="290" t="s">
        <v>210</v>
      </c>
      <c r="M770"/>
      <c r="N770"/>
    </row>
    <row r="771" spans="1:14" ht="14.25">
      <c r="M771"/>
      <c r="N771"/>
    </row>
    <row r="772" spans="1:14" ht="14.25">
      <c r="M772"/>
      <c r="N772"/>
    </row>
    <row r="773" spans="1:14" ht="14.25">
      <c r="M773"/>
      <c r="N773"/>
    </row>
    <row r="774" spans="1:14" ht="14.25">
      <c r="M774"/>
      <c r="N774"/>
    </row>
    <row r="775" spans="1:14" ht="14.25">
      <c r="M775"/>
      <c r="N775"/>
    </row>
    <row r="776" spans="1:14" ht="14.25">
      <c r="M776"/>
      <c r="N776"/>
    </row>
    <row r="777" spans="1:14" ht="14.25">
      <c r="M777"/>
      <c r="N777"/>
    </row>
    <row r="778" spans="1:14" ht="14.25">
      <c r="M778"/>
      <c r="N778"/>
    </row>
    <row r="779" spans="1:14" ht="14.25">
      <c r="M779"/>
      <c r="N779"/>
    </row>
    <row r="780" spans="1:14" ht="14.25">
      <c r="M780"/>
      <c r="N780"/>
    </row>
    <row r="781" spans="1:14" ht="14.25">
      <c r="M781"/>
      <c r="N781"/>
    </row>
    <row r="782" spans="1:14" ht="14.25">
      <c r="M782"/>
      <c r="N782"/>
    </row>
    <row r="783" spans="1:14" ht="14.25">
      <c r="M783"/>
      <c r="N783"/>
    </row>
    <row r="784" spans="1:14" ht="14.25">
      <c r="M784"/>
      <c r="N784"/>
    </row>
    <row r="785" spans="13:14" ht="14.25">
      <c r="M785"/>
      <c r="N785"/>
    </row>
    <row r="786" spans="13:14" ht="14.25">
      <c r="M786"/>
      <c r="N786"/>
    </row>
    <row r="787" spans="13:14" ht="14.25">
      <c r="M787"/>
      <c r="N787"/>
    </row>
    <row r="788" spans="13:14" ht="14.25">
      <c r="M788"/>
      <c r="N788"/>
    </row>
    <row r="789" spans="13:14" ht="14.25">
      <c r="M789"/>
      <c r="N789"/>
    </row>
    <row r="790" spans="13:14" ht="14.25">
      <c r="M790"/>
      <c r="N790"/>
    </row>
    <row r="791" spans="13:14" ht="14.25">
      <c r="M791"/>
      <c r="N791"/>
    </row>
    <row r="792" spans="13:14" ht="14.25">
      <c r="M792"/>
      <c r="N792"/>
    </row>
    <row r="793" spans="13:14" ht="14.25">
      <c r="M793"/>
      <c r="N793"/>
    </row>
    <row r="794" spans="13:14" ht="14.25">
      <c r="M794"/>
      <c r="N794"/>
    </row>
    <row r="795" spans="13:14" ht="14.25">
      <c r="M795"/>
      <c r="N795"/>
    </row>
    <row r="796" spans="13:14" ht="14.25">
      <c r="M796"/>
      <c r="N796"/>
    </row>
    <row r="797" spans="13:14" ht="14.25">
      <c r="M797"/>
      <c r="N797"/>
    </row>
    <row r="798" spans="13:14" ht="14.25">
      <c r="M798"/>
      <c r="N798"/>
    </row>
    <row r="799" spans="13:14" ht="14.25">
      <c r="M799"/>
      <c r="N799"/>
    </row>
    <row r="800" spans="13:14" ht="14.25">
      <c r="M800"/>
      <c r="N800"/>
    </row>
    <row r="801" spans="13:14" ht="14.25">
      <c r="M801"/>
      <c r="N801"/>
    </row>
    <row r="802" spans="13:14" ht="14.25">
      <c r="M802"/>
      <c r="N802"/>
    </row>
    <row r="803" spans="13:14" ht="14.25">
      <c r="M803"/>
      <c r="N803"/>
    </row>
    <row r="804" spans="13:14" ht="14.25">
      <c r="M804"/>
      <c r="N804"/>
    </row>
    <row r="805" spans="13:14" ht="14.25">
      <c r="M805"/>
      <c r="N805"/>
    </row>
    <row r="806" spans="13:14" ht="14.25">
      <c r="M806"/>
      <c r="N806"/>
    </row>
    <row r="807" spans="13:14" ht="14.25">
      <c r="M807"/>
      <c r="N807"/>
    </row>
    <row r="808" spans="13:14" ht="14.25">
      <c r="M808"/>
      <c r="N808"/>
    </row>
    <row r="809" spans="13:14" ht="14.25">
      <c r="M809"/>
      <c r="N809"/>
    </row>
    <row r="810" spans="13:14" ht="14.25">
      <c r="M810"/>
      <c r="N810"/>
    </row>
    <row r="811" spans="13:14" ht="14.25">
      <c r="M811"/>
      <c r="N811"/>
    </row>
    <row r="812" spans="13:14" ht="14.25">
      <c r="M812"/>
      <c r="N812"/>
    </row>
    <row r="813" spans="13:14" ht="14.25">
      <c r="M813"/>
      <c r="N813"/>
    </row>
    <row r="814" spans="13:14" ht="14.25">
      <c r="M814"/>
      <c r="N814"/>
    </row>
    <row r="815" spans="13:14" ht="14.25">
      <c r="M815"/>
      <c r="N815"/>
    </row>
    <row r="816" spans="13:14" ht="14.25">
      <c r="M816"/>
      <c r="N816"/>
    </row>
    <row r="817" spans="13:14" ht="14.25">
      <c r="M817"/>
      <c r="N817"/>
    </row>
    <row r="818" spans="13:14" ht="14.25">
      <c r="M818"/>
      <c r="N818"/>
    </row>
    <row r="819" spans="13:14" ht="14.25">
      <c r="M819"/>
      <c r="N819"/>
    </row>
    <row r="820" spans="13:14" ht="14.25">
      <c r="M820"/>
      <c r="N820"/>
    </row>
    <row r="821" spans="13:14" ht="14.25">
      <c r="M821"/>
      <c r="N821"/>
    </row>
    <row r="822" spans="13:14" ht="14.25">
      <c r="M822"/>
      <c r="N822"/>
    </row>
    <row r="823" spans="13:14" ht="14.25">
      <c r="M823"/>
      <c r="N823"/>
    </row>
    <row r="824" spans="13:14" ht="14.25">
      <c r="M824"/>
      <c r="N824"/>
    </row>
    <row r="825" spans="13:14" ht="14.25">
      <c r="M825"/>
      <c r="N825"/>
    </row>
    <row r="826" spans="13:14" ht="14.25">
      <c r="M826"/>
      <c r="N826"/>
    </row>
    <row r="827" spans="13:14" ht="14.25">
      <c r="M827"/>
      <c r="N827"/>
    </row>
    <row r="828" spans="13:14" ht="14.25">
      <c r="M828"/>
      <c r="N828"/>
    </row>
    <row r="829" spans="13:14" ht="14.25">
      <c r="M829"/>
      <c r="N829"/>
    </row>
    <row r="830" spans="13:14" ht="14.25">
      <c r="M830"/>
      <c r="N830"/>
    </row>
    <row r="831" spans="13:14" ht="14.25">
      <c r="M831"/>
      <c r="N831"/>
    </row>
    <row r="832" spans="13:14" ht="14.25">
      <c r="M832"/>
      <c r="N832"/>
    </row>
    <row r="833" spans="13:14" ht="14.25">
      <c r="M833"/>
      <c r="N833"/>
    </row>
    <row r="834" spans="13:14" ht="14.25">
      <c r="M834"/>
      <c r="N834"/>
    </row>
    <row r="835" spans="13:14" ht="14.25">
      <c r="M835"/>
      <c r="N835"/>
    </row>
    <row r="836" spans="13:14" ht="14.25">
      <c r="M836"/>
      <c r="N836"/>
    </row>
    <row r="837" spans="13:14" ht="14.25">
      <c r="M837"/>
      <c r="N837"/>
    </row>
    <row r="838" spans="13:14" ht="14.25">
      <c r="M838"/>
      <c r="N838"/>
    </row>
    <row r="839" spans="13:14" ht="14.25">
      <c r="M839"/>
      <c r="N839"/>
    </row>
    <row r="840" spans="13:14" ht="14.25">
      <c r="M840"/>
      <c r="N840"/>
    </row>
    <row r="841" spans="13:14" ht="14.25">
      <c r="M841"/>
      <c r="N841"/>
    </row>
    <row r="842" spans="13:14" ht="14.25">
      <c r="M842"/>
      <c r="N842"/>
    </row>
    <row r="843" spans="13:14" ht="14.25">
      <c r="M843"/>
      <c r="N843"/>
    </row>
    <row r="844" spans="13:14" ht="14.25">
      <c r="M844"/>
      <c r="N844"/>
    </row>
    <row r="845" spans="13:14" ht="14.25">
      <c r="M845"/>
      <c r="N845"/>
    </row>
    <row r="846" spans="13:14" ht="14.25">
      <c r="M846"/>
      <c r="N846"/>
    </row>
    <row r="847" spans="13:14" ht="14.25">
      <c r="M847"/>
      <c r="N847"/>
    </row>
    <row r="848" spans="13:14" ht="14.25">
      <c r="M848"/>
      <c r="N848"/>
    </row>
    <row r="849" spans="13:14" ht="14.25">
      <c r="M849"/>
      <c r="N849"/>
    </row>
    <row r="850" spans="13:14" ht="14.25">
      <c r="M850"/>
      <c r="N850"/>
    </row>
    <row r="851" spans="13:14" ht="14.25">
      <c r="M851"/>
      <c r="N851"/>
    </row>
    <row r="852" spans="13:14" ht="14.25">
      <c r="M852"/>
      <c r="N852"/>
    </row>
    <row r="853" spans="13:14" ht="14.25">
      <c r="M853"/>
      <c r="N853"/>
    </row>
    <row r="854" spans="13:14" ht="14.25">
      <c r="M854"/>
      <c r="N854"/>
    </row>
    <row r="855" spans="13:14" ht="14.25">
      <c r="M855"/>
      <c r="N855"/>
    </row>
    <row r="856" spans="13:14" ht="14.25">
      <c r="M856"/>
      <c r="N856"/>
    </row>
    <row r="857" spans="13:14" ht="14.25">
      <c r="M857"/>
      <c r="N857"/>
    </row>
    <row r="858" spans="13:14" ht="14.25">
      <c r="M858"/>
      <c r="N858"/>
    </row>
    <row r="859" spans="13:14" ht="14.25">
      <c r="M859"/>
      <c r="N859"/>
    </row>
    <row r="860" spans="13:14" ht="14.25">
      <c r="M860"/>
      <c r="N860"/>
    </row>
    <row r="861" spans="13:14" ht="14.25">
      <c r="M861"/>
      <c r="N861"/>
    </row>
    <row r="862" spans="13:14" ht="14.25">
      <c r="M862"/>
      <c r="N862"/>
    </row>
    <row r="863" spans="13:14" ht="14.25">
      <c r="M863"/>
      <c r="N863"/>
    </row>
    <row r="864" spans="13:14" ht="14.25">
      <c r="M864"/>
      <c r="N864"/>
    </row>
    <row r="865" spans="13:14" ht="14.25">
      <c r="M865"/>
      <c r="N865"/>
    </row>
    <row r="866" spans="13:14" ht="14.25">
      <c r="M866"/>
      <c r="N866"/>
    </row>
    <row r="867" spans="13:14" ht="14.25">
      <c r="M867"/>
      <c r="N867"/>
    </row>
    <row r="868" spans="13:14" ht="14.25">
      <c r="M868"/>
      <c r="N868"/>
    </row>
    <row r="869" spans="13:14" ht="14.25">
      <c r="M869"/>
      <c r="N869"/>
    </row>
    <row r="870" spans="13:14" ht="14.25">
      <c r="M870"/>
      <c r="N870"/>
    </row>
    <row r="871" spans="13:14" ht="14.25">
      <c r="M871"/>
      <c r="N871"/>
    </row>
    <row r="872" spans="13:14" ht="14.25">
      <c r="M872"/>
      <c r="N872"/>
    </row>
    <row r="873" spans="13:14" ht="14.25">
      <c r="M873"/>
      <c r="N873"/>
    </row>
    <row r="874" spans="13:14" ht="14.25">
      <c r="M874"/>
      <c r="N874"/>
    </row>
    <row r="875" spans="13:14" ht="14.25">
      <c r="M875"/>
      <c r="N875"/>
    </row>
    <row r="876" spans="13:14" ht="14.25">
      <c r="M876"/>
      <c r="N876"/>
    </row>
    <row r="877" spans="13:14" ht="14.25">
      <c r="M877"/>
      <c r="N877"/>
    </row>
    <row r="878" spans="13:14" ht="14.25">
      <c r="M878"/>
      <c r="N878"/>
    </row>
    <row r="879" spans="13:14" ht="14.25">
      <c r="M879"/>
      <c r="N879"/>
    </row>
    <row r="880" spans="13:14" ht="14.25">
      <c r="M880"/>
      <c r="N880"/>
    </row>
    <row r="881" spans="13:14" ht="14.25">
      <c r="M881"/>
      <c r="N881"/>
    </row>
    <row r="882" spans="13:14" ht="14.25">
      <c r="M882"/>
      <c r="N882"/>
    </row>
    <row r="883" spans="13:14" ht="14.25">
      <c r="M883"/>
      <c r="N883"/>
    </row>
    <row r="884" spans="13:14" ht="14.25">
      <c r="M884"/>
      <c r="N884"/>
    </row>
    <row r="885" spans="13:14" ht="14.25">
      <c r="M885"/>
      <c r="N885"/>
    </row>
    <row r="886" spans="13:14" ht="14.25">
      <c r="M886"/>
      <c r="N886"/>
    </row>
    <row r="887" spans="13:14" ht="14.25">
      <c r="M887"/>
      <c r="N887"/>
    </row>
    <row r="888" spans="13:14" ht="14.25">
      <c r="M888"/>
      <c r="N888"/>
    </row>
    <row r="889" spans="13:14" ht="14.25">
      <c r="M889"/>
      <c r="N889"/>
    </row>
    <row r="890" spans="13:14" ht="14.25">
      <c r="M890"/>
      <c r="N890"/>
    </row>
    <row r="891" spans="13:14" ht="14.25">
      <c r="M891"/>
      <c r="N891"/>
    </row>
    <row r="892" spans="13:14" ht="14.25">
      <c r="M892"/>
      <c r="N892"/>
    </row>
    <row r="893" spans="13:14" ht="14.25">
      <c r="M893"/>
      <c r="N893"/>
    </row>
    <row r="894" spans="13:14" ht="14.25">
      <c r="M894"/>
      <c r="N894"/>
    </row>
    <row r="895" spans="13:14" ht="14.25">
      <c r="M895"/>
      <c r="N895"/>
    </row>
    <row r="896" spans="13:14" ht="14.25">
      <c r="M896"/>
      <c r="N896"/>
    </row>
    <row r="897" spans="13:14" ht="14.25">
      <c r="M897"/>
      <c r="N897"/>
    </row>
    <row r="898" spans="13:14" ht="14.25">
      <c r="M898"/>
      <c r="N898"/>
    </row>
    <row r="899" spans="13:14" ht="14.25">
      <c r="M899"/>
      <c r="N899"/>
    </row>
    <row r="900" spans="13:14" ht="14.25">
      <c r="M900"/>
      <c r="N900"/>
    </row>
    <row r="901" spans="13:14" ht="14.25">
      <c r="M901"/>
      <c r="N901"/>
    </row>
    <row r="902" spans="13:14" ht="14.25">
      <c r="M902"/>
      <c r="N902"/>
    </row>
    <row r="903" spans="13:14" ht="14.25">
      <c r="M903"/>
      <c r="N903"/>
    </row>
    <row r="904" spans="13:14" ht="14.25">
      <c r="M904"/>
      <c r="N904"/>
    </row>
    <row r="905" spans="13:14" ht="14.25">
      <c r="M905"/>
      <c r="N905"/>
    </row>
    <row r="906" spans="13:14" ht="14.25">
      <c r="M906"/>
      <c r="N906"/>
    </row>
    <row r="907" spans="13:14" ht="14.25">
      <c r="M907"/>
      <c r="N907"/>
    </row>
    <row r="908" spans="13:14" ht="14.25">
      <c r="M908"/>
      <c r="N908"/>
    </row>
    <row r="909" spans="13:14" ht="14.25">
      <c r="M909"/>
      <c r="N909"/>
    </row>
    <row r="910" spans="13:14" ht="14.25">
      <c r="M910"/>
      <c r="N910"/>
    </row>
    <row r="911" spans="13:14" ht="14.25">
      <c r="M911"/>
      <c r="N911"/>
    </row>
    <row r="912" spans="13:14" ht="14.25">
      <c r="M912"/>
      <c r="N912"/>
    </row>
    <row r="913" spans="13:14" ht="14.25">
      <c r="M913"/>
      <c r="N913"/>
    </row>
    <row r="914" spans="13:14" ht="14.25">
      <c r="M914"/>
      <c r="N914"/>
    </row>
    <row r="915" spans="13:14" ht="14.25">
      <c r="M915"/>
      <c r="N915"/>
    </row>
    <row r="916" spans="13:14" ht="14.25">
      <c r="M916"/>
      <c r="N916"/>
    </row>
    <row r="917" spans="13:14" ht="14.25">
      <c r="M917"/>
      <c r="N917"/>
    </row>
    <row r="918" spans="13:14" ht="14.25">
      <c r="M918"/>
      <c r="N918"/>
    </row>
    <row r="919" spans="13:14" ht="14.25">
      <c r="M919"/>
      <c r="N919"/>
    </row>
    <row r="920" spans="13:14" ht="14.25">
      <c r="M920"/>
      <c r="N920"/>
    </row>
    <row r="921" spans="13:14" ht="14.25">
      <c r="M921"/>
      <c r="N921"/>
    </row>
    <row r="922" spans="13:14" ht="14.25">
      <c r="M922"/>
      <c r="N922"/>
    </row>
    <row r="923" spans="13:14" ht="14.25">
      <c r="M923"/>
      <c r="N923"/>
    </row>
    <row r="924" spans="13:14" ht="14.25">
      <c r="M924"/>
      <c r="N924"/>
    </row>
    <row r="925" spans="13:14" ht="14.25">
      <c r="M925"/>
      <c r="N925"/>
    </row>
    <row r="926" spans="13:14" ht="14.25">
      <c r="M926"/>
      <c r="N926"/>
    </row>
    <row r="927" spans="13:14" ht="14.25">
      <c r="M927"/>
      <c r="N927"/>
    </row>
    <row r="928" spans="13:14" ht="14.25">
      <c r="M928"/>
      <c r="N928"/>
    </row>
    <row r="929" spans="13:14" ht="14.25">
      <c r="M929"/>
      <c r="N929"/>
    </row>
    <row r="930" spans="13:14" ht="14.25">
      <c r="M930"/>
      <c r="N930"/>
    </row>
    <row r="931" spans="13:14" ht="14.25">
      <c r="M931"/>
      <c r="N931"/>
    </row>
    <row r="932" spans="13:14" ht="14.25">
      <c r="M932"/>
      <c r="N932"/>
    </row>
    <row r="933" spans="13:14" ht="14.25">
      <c r="M933"/>
      <c r="N933"/>
    </row>
    <row r="934" spans="13:14" ht="14.25">
      <c r="M934"/>
      <c r="N934"/>
    </row>
    <row r="935" spans="13:14" ht="14.25">
      <c r="M935"/>
      <c r="N935"/>
    </row>
    <row r="936" spans="13:14" ht="14.25">
      <c r="M936"/>
      <c r="N936"/>
    </row>
    <row r="937" spans="13:14" ht="14.25">
      <c r="M937"/>
      <c r="N937"/>
    </row>
    <row r="938" spans="13:14" ht="14.25">
      <c r="M938"/>
      <c r="N938"/>
    </row>
    <row r="939" spans="13:14" ht="14.25">
      <c r="M939"/>
      <c r="N939"/>
    </row>
    <row r="940" spans="13:14" ht="14.25">
      <c r="M940"/>
      <c r="N940"/>
    </row>
    <row r="941" spans="13:14" ht="14.25">
      <c r="M941"/>
      <c r="N941"/>
    </row>
    <row r="942" spans="13:14" ht="14.25">
      <c r="M942"/>
      <c r="N942"/>
    </row>
    <row r="943" spans="13:14" ht="14.25">
      <c r="M943"/>
      <c r="N943"/>
    </row>
    <row r="944" spans="13:14" ht="14.25">
      <c r="M944"/>
      <c r="N944"/>
    </row>
    <row r="945" spans="13:14" ht="14.25">
      <c r="M945"/>
      <c r="N945"/>
    </row>
    <row r="946" spans="13:14" ht="14.25">
      <c r="M946"/>
      <c r="N946"/>
    </row>
    <row r="947" spans="13:14" ht="14.25">
      <c r="M947"/>
      <c r="N947"/>
    </row>
    <row r="948" spans="13:14" ht="14.25">
      <c r="M948"/>
      <c r="N948"/>
    </row>
    <row r="949" spans="13:14" ht="14.25">
      <c r="M949"/>
      <c r="N949"/>
    </row>
    <row r="950" spans="13:14" ht="14.25">
      <c r="M950"/>
      <c r="N950"/>
    </row>
    <row r="951" spans="13:14" ht="14.25">
      <c r="M951"/>
      <c r="N951"/>
    </row>
    <row r="952" spans="13:14" ht="14.25">
      <c r="M952"/>
      <c r="N952"/>
    </row>
    <row r="953" spans="13:14" ht="14.25">
      <c r="M953"/>
      <c r="N953"/>
    </row>
    <row r="954" spans="13:14" ht="14.25">
      <c r="M954"/>
      <c r="N954"/>
    </row>
    <row r="955" spans="13:14" ht="14.25">
      <c r="M955"/>
      <c r="N955"/>
    </row>
    <row r="956" spans="13:14" ht="14.25">
      <c r="M956"/>
      <c r="N956"/>
    </row>
    <row r="957" spans="13:14" ht="14.25">
      <c r="M957"/>
      <c r="N957"/>
    </row>
    <row r="958" spans="13:14" ht="14.25">
      <c r="M958"/>
      <c r="N958"/>
    </row>
    <row r="959" spans="13:14" ht="14.25">
      <c r="M959"/>
      <c r="N959"/>
    </row>
    <row r="960" spans="13:14" ht="14.25">
      <c r="M960"/>
      <c r="N960"/>
    </row>
    <row r="961" spans="13:14" ht="14.25">
      <c r="M961"/>
      <c r="N961"/>
    </row>
    <row r="962" spans="13:14" ht="14.25">
      <c r="M962"/>
      <c r="N962"/>
    </row>
    <row r="963" spans="13:14" ht="14.25">
      <c r="M963"/>
      <c r="N963"/>
    </row>
    <row r="964" spans="13:14" ht="14.25">
      <c r="M964"/>
      <c r="N964"/>
    </row>
    <row r="965" spans="13:14" ht="14.25">
      <c r="M965"/>
      <c r="N965"/>
    </row>
    <row r="966" spans="13:14" ht="14.25">
      <c r="M966"/>
      <c r="N966"/>
    </row>
    <row r="967" spans="13:14" ht="14.25">
      <c r="M967"/>
      <c r="N967"/>
    </row>
    <row r="968" spans="13:14" ht="14.25">
      <c r="M968"/>
      <c r="N968"/>
    </row>
    <row r="969" spans="13:14" ht="14.25">
      <c r="M969"/>
      <c r="N969"/>
    </row>
    <row r="970" spans="13:14" ht="14.25">
      <c r="M970"/>
      <c r="N970"/>
    </row>
  </sheetData>
  <autoFilter ref="A1:K770" xr:uid="{00000000-0009-0000-0000-000002000000}"/>
  <pageMargins left="0.5" right="0.5" top="0.94444444444444442" bottom="0.5" header="0.5" footer="0.5"/>
  <pageSetup orientation="landscape" horizontalDpi="9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Q115"/>
  <sheetViews>
    <sheetView topLeftCell="C16" workbookViewId="0">
      <selection activeCell="L33" sqref="L33"/>
    </sheetView>
  </sheetViews>
  <sheetFormatPr defaultRowHeight="14.25"/>
  <cols>
    <col min="1" max="1" width="14.33203125" customWidth="1"/>
    <col min="2" max="2" width="24.33203125" customWidth="1"/>
    <col min="3" max="3" width="14.33203125" customWidth="1"/>
    <col min="4" max="4" width="26.53125" customWidth="1"/>
    <col min="5" max="5" width="14.33203125" customWidth="1"/>
    <col min="6" max="6" width="16.33203125" customWidth="1"/>
    <col min="7" max="7" width="15" customWidth="1"/>
    <col min="8" max="8" width="9.53125" customWidth="1"/>
    <col min="9" max="9" width="11.6640625" customWidth="1"/>
    <col min="10" max="10" width="11.33203125" customWidth="1"/>
    <col min="11" max="11" width="9.53125" customWidth="1"/>
    <col min="12" max="12" width="16.53125" customWidth="1"/>
    <col min="13" max="13" width="29.33203125" bestFit="1" customWidth="1"/>
    <col min="14" max="14" width="13.33203125" customWidth="1"/>
    <col min="17" max="17" width="10.1328125" bestFit="1" customWidth="1"/>
  </cols>
  <sheetData>
    <row r="2" spans="1:14">
      <c r="A2" s="158" t="s">
        <v>1077</v>
      </c>
      <c r="B2" s="159" t="s">
        <v>1078</v>
      </c>
      <c r="C2" s="160"/>
    </row>
    <row r="3" spans="1:14">
      <c r="A3" s="158" t="s">
        <v>1079</v>
      </c>
      <c r="B3" s="159" t="s">
        <v>1080</v>
      </c>
      <c r="C3" s="160"/>
    </row>
    <row r="4" spans="1:14">
      <c r="A4" s="158" t="s">
        <v>1081</v>
      </c>
      <c r="B4" s="159">
        <v>3007</v>
      </c>
      <c r="C4" s="160"/>
    </row>
    <row r="5" spans="1:14">
      <c r="A5" s="158" t="s">
        <v>1082</v>
      </c>
      <c r="B5" s="159" t="s">
        <v>1083</v>
      </c>
      <c r="C5" s="160"/>
    </row>
    <row r="7" spans="1:14">
      <c r="A7" t="s">
        <v>444</v>
      </c>
      <c r="B7" t="s">
        <v>445</v>
      </c>
      <c r="C7" t="s">
        <v>1084</v>
      </c>
      <c r="D7" t="s">
        <v>1085</v>
      </c>
      <c r="E7" t="s">
        <v>447</v>
      </c>
      <c r="F7" t="s">
        <v>448</v>
      </c>
      <c r="G7" t="s">
        <v>449</v>
      </c>
      <c r="H7" t="s">
        <v>450</v>
      </c>
      <c r="I7" t="s">
        <v>1086</v>
      </c>
      <c r="J7" s="161" t="s">
        <v>452</v>
      </c>
      <c r="K7" s="161" t="s">
        <v>453</v>
      </c>
    </row>
    <row r="8" spans="1:14">
      <c r="A8" s="162" t="s">
        <v>210</v>
      </c>
      <c r="B8" s="162" t="s">
        <v>210</v>
      </c>
      <c r="C8" s="162" t="s">
        <v>210</v>
      </c>
      <c r="D8" s="162" t="s">
        <v>210</v>
      </c>
      <c r="E8" s="162" t="s">
        <v>210</v>
      </c>
      <c r="F8" s="162" t="s">
        <v>210</v>
      </c>
      <c r="G8" s="162" t="s">
        <v>210</v>
      </c>
      <c r="H8" s="162" t="s">
        <v>210</v>
      </c>
      <c r="I8" s="162" t="s">
        <v>210</v>
      </c>
      <c r="J8" s="162" t="s">
        <v>210</v>
      </c>
      <c r="K8" s="162" t="s">
        <v>210</v>
      </c>
    </row>
    <row r="9" spans="1:14">
      <c r="A9" s="163"/>
      <c r="B9" s="163"/>
      <c r="F9" s="164"/>
      <c r="G9" s="165"/>
      <c r="J9" s="164"/>
      <c r="K9" s="164"/>
      <c r="M9" s="178" t="s">
        <v>512</v>
      </c>
      <c r="N9" t="s">
        <v>1087</v>
      </c>
    </row>
    <row r="10" spans="1:14">
      <c r="A10" s="163" t="s">
        <v>478</v>
      </c>
      <c r="B10" s="163" t="s">
        <v>479</v>
      </c>
      <c r="C10" s="163" t="s">
        <v>1088</v>
      </c>
      <c r="D10" s="163" t="s">
        <v>643</v>
      </c>
      <c r="E10" s="163" t="s">
        <v>642</v>
      </c>
      <c r="F10" s="166">
        <v>45322</v>
      </c>
      <c r="G10" s="165">
        <v>497.69</v>
      </c>
      <c r="I10" s="167">
        <f>G10-H10</f>
        <v>497.69</v>
      </c>
      <c r="J10" s="164" t="s">
        <v>469</v>
      </c>
      <c r="K10" s="164" t="s">
        <v>459</v>
      </c>
      <c r="M10" s="168" t="s">
        <v>210</v>
      </c>
      <c r="N10" s="169">
        <v>0</v>
      </c>
    </row>
    <row r="11" spans="1:14">
      <c r="A11" s="163" t="s">
        <v>478</v>
      </c>
      <c r="B11" s="163" t="s">
        <v>479</v>
      </c>
      <c r="C11" s="163" t="s">
        <v>1089</v>
      </c>
      <c r="D11" s="163" t="s">
        <v>669</v>
      </c>
      <c r="E11" s="163" t="s">
        <v>670</v>
      </c>
      <c r="F11" s="166">
        <v>45351</v>
      </c>
      <c r="G11" s="165">
        <v>564.84</v>
      </c>
      <c r="I11" s="167">
        <f t="shared" ref="I11:I74" si="0">G11-H11</f>
        <v>564.84</v>
      </c>
      <c r="J11" s="164" t="s">
        <v>469</v>
      </c>
      <c r="K11" s="164" t="s">
        <v>459</v>
      </c>
      <c r="M11" s="168" t="s">
        <v>601</v>
      </c>
      <c r="N11" s="169">
        <v>6.78</v>
      </c>
    </row>
    <row r="12" spans="1:14">
      <c r="A12" s="163" t="s">
        <v>478</v>
      </c>
      <c r="B12" s="163" t="s">
        <v>479</v>
      </c>
      <c r="C12" s="163" t="s">
        <v>1089</v>
      </c>
      <c r="D12" s="163" t="s">
        <v>671</v>
      </c>
      <c r="E12" s="163" t="s">
        <v>670</v>
      </c>
      <c r="F12" s="166">
        <v>45351</v>
      </c>
      <c r="G12" s="165">
        <v>1113.32</v>
      </c>
      <c r="I12" s="167">
        <f t="shared" si="0"/>
        <v>1113.32</v>
      </c>
      <c r="J12" s="164" t="s">
        <v>469</v>
      </c>
      <c r="K12" s="164" t="s">
        <v>459</v>
      </c>
      <c r="M12" s="168" t="s">
        <v>507</v>
      </c>
      <c r="N12" s="169">
        <v>6149.68</v>
      </c>
    </row>
    <row r="13" spans="1:14">
      <c r="A13" s="163" t="s">
        <v>478</v>
      </c>
      <c r="B13" s="163" t="s">
        <v>479</v>
      </c>
      <c r="C13" s="163" t="s">
        <v>1089</v>
      </c>
      <c r="D13" s="163" t="s">
        <v>672</v>
      </c>
      <c r="E13" s="163" t="s">
        <v>670</v>
      </c>
      <c r="F13" s="166">
        <v>45351</v>
      </c>
      <c r="G13" s="165">
        <v>497.02</v>
      </c>
      <c r="I13" s="167">
        <f t="shared" si="0"/>
        <v>497.02</v>
      </c>
      <c r="J13" s="164" t="s">
        <v>469</v>
      </c>
      <c r="K13" s="164" t="s">
        <v>459</v>
      </c>
      <c r="M13" s="168" t="s">
        <v>593</v>
      </c>
      <c r="N13" s="169">
        <v>48070.33</v>
      </c>
    </row>
    <row r="14" spans="1:14">
      <c r="A14" s="163" t="s">
        <v>478</v>
      </c>
      <c r="B14" s="163" t="s">
        <v>479</v>
      </c>
      <c r="C14" s="163" t="s">
        <v>1090</v>
      </c>
      <c r="D14" s="163" t="s">
        <v>696</v>
      </c>
      <c r="E14" s="163" t="s">
        <v>689</v>
      </c>
      <c r="F14" s="166">
        <v>45382</v>
      </c>
      <c r="G14" s="165">
        <v>500.26</v>
      </c>
      <c r="I14" s="167">
        <f t="shared" si="0"/>
        <v>500.26</v>
      </c>
      <c r="J14" s="164" t="s">
        <v>469</v>
      </c>
      <c r="K14" s="164" t="s">
        <v>459</v>
      </c>
      <c r="M14" s="168" t="s">
        <v>466</v>
      </c>
      <c r="N14" s="169">
        <v>2579.46</v>
      </c>
    </row>
    <row r="15" spans="1:14">
      <c r="A15" s="163" t="s">
        <v>478</v>
      </c>
      <c r="B15" s="163" t="s">
        <v>479</v>
      </c>
      <c r="C15" s="163" t="s">
        <v>1090</v>
      </c>
      <c r="D15" s="163" t="s">
        <v>697</v>
      </c>
      <c r="E15" s="163" t="s">
        <v>689</v>
      </c>
      <c r="F15" s="166">
        <v>45382</v>
      </c>
      <c r="G15" s="165">
        <v>1200.6300000000001</v>
      </c>
      <c r="I15" s="167">
        <f t="shared" si="0"/>
        <v>1200.6300000000001</v>
      </c>
      <c r="J15" s="164" t="s">
        <v>469</v>
      </c>
      <c r="K15" s="164" t="s">
        <v>459</v>
      </c>
      <c r="M15" s="168" t="s">
        <v>490</v>
      </c>
      <c r="N15" s="169">
        <v>1130.98</v>
      </c>
    </row>
    <row r="16" spans="1:14">
      <c r="A16" s="163" t="s">
        <v>478</v>
      </c>
      <c r="B16" s="163" t="s">
        <v>479</v>
      </c>
      <c r="C16" s="163" t="s">
        <v>1090</v>
      </c>
      <c r="D16" s="163" t="s">
        <v>698</v>
      </c>
      <c r="E16" s="163" t="s">
        <v>689</v>
      </c>
      <c r="F16" s="166">
        <v>45382</v>
      </c>
      <c r="G16" s="165">
        <v>1120.5899999999999</v>
      </c>
      <c r="I16" s="167">
        <f t="shared" si="0"/>
        <v>1120.5899999999999</v>
      </c>
      <c r="J16" s="164" t="s">
        <v>469</v>
      </c>
      <c r="K16" s="164" t="s">
        <v>459</v>
      </c>
      <c r="M16" s="168" t="s">
        <v>647</v>
      </c>
      <c r="N16" s="169">
        <v>1091.3600000000001</v>
      </c>
    </row>
    <row r="17" spans="1:14">
      <c r="A17" s="163" t="s">
        <v>455</v>
      </c>
      <c r="B17" s="163" t="s">
        <v>456</v>
      </c>
      <c r="C17" s="163" t="s">
        <v>1091</v>
      </c>
      <c r="D17" s="163" t="s">
        <v>461</v>
      </c>
      <c r="E17" s="163" t="s">
        <v>640</v>
      </c>
      <c r="F17" s="166">
        <v>45322</v>
      </c>
      <c r="G17" s="165">
        <v>563.29</v>
      </c>
      <c r="I17" s="167">
        <f t="shared" si="0"/>
        <v>563.29</v>
      </c>
      <c r="J17" s="164" t="s">
        <v>458</v>
      </c>
      <c r="K17" s="164" t="s">
        <v>459</v>
      </c>
      <c r="M17" s="168" t="s">
        <v>486</v>
      </c>
      <c r="N17" s="169">
        <v>428.38000000000005</v>
      </c>
    </row>
    <row r="18" spans="1:14">
      <c r="A18" s="163" t="s">
        <v>455</v>
      </c>
      <c r="B18" s="163" t="s">
        <v>456</v>
      </c>
      <c r="C18" s="163" t="s">
        <v>1091</v>
      </c>
      <c r="D18" s="163" t="s">
        <v>463</v>
      </c>
      <c r="E18" s="163" t="s">
        <v>640</v>
      </c>
      <c r="F18" s="166">
        <v>45322</v>
      </c>
      <c r="G18" s="165">
        <v>436.8</v>
      </c>
      <c r="I18" s="167">
        <f t="shared" si="0"/>
        <v>436.8</v>
      </c>
      <c r="J18" s="164" t="s">
        <v>458</v>
      </c>
      <c r="K18" s="164" t="s">
        <v>459</v>
      </c>
      <c r="M18" s="168" t="s">
        <v>531</v>
      </c>
      <c r="N18" s="169">
        <v>89.81</v>
      </c>
    </row>
    <row r="19" spans="1:14">
      <c r="A19" s="163" t="s">
        <v>455</v>
      </c>
      <c r="B19" s="163" t="s">
        <v>456</v>
      </c>
      <c r="C19" s="163" t="s">
        <v>1091</v>
      </c>
      <c r="D19" s="163" t="s">
        <v>464</v>
      </c>
      <c r="E19" s="163" t="s">
        <v>640</v>
      </c>
      <c r="F19" s="166">
        <v>45322</v>
      </c>
      <c r="G19" s="165">
        <v>720</v>
      </c>
      <c r="I19" s="167">
        <f t="shared" si="0"/>
        <v>720</v>
      </c>
      <c r="J19" s="164" t="s">
        <v>458</v>
      </c>
      <c r="K19" s="164" t="s">
        <v>459</v>
      </c>
      <c r="M19" s="168" t="s">
        <v>456</v>
      </c>
      <c r="N19" s="169">
        <v>5160.2700000000004</v>
      </c>
    </row>
    <row r="20" spans="1:14">
      <c r="A20" s="163" t="s">
        <v>455</v>
      </c>
      <c r="B20" s="163" t="s">
        <v>456</v>
      </c>
      <c r="C20" s="163" t="s">
        <v>1092</v>
      </c>
      <c r="D20" s="163" t="s">
        <v>461</v>
      </c>
      <c r="E20" s="163" t="s">
        <v>668</v>
      </c>
      <c r="F20" s="166">
        <v>45351</v>
      </c>
      <c r="G20" s="165">
        <v>563.29</v>
      </c>
      <c r="I20" s="167">
        <f t="shared" si="0"/>
        <v>563.29</v>
      </c>
      <c r="J20" s="164" t="s">
        <v>458</v>
      </c>
      <c r="K20" s="164" t="s">
        <v>459</v>
      </c>
      <c r="M20" s="168" t="s">
        <v>701</v>
      </c>
      <c r="N20" s="169">
        <v>11.8</v>
      </c>
    </row>
    <row r="21" spans="1:14">
      <c r="A21" s="163" t="s">
        <v>455</v>
      </c>
      <c r="B21" s="163" t="s">
        <v>456</v>
      </c>
      <c r="C21" s="163" t="s">
        <v>1092</v>
      </c>
      <c r="D21" s="163" t="s">
        <v>463</v>
      </c>
      <c r="E21" s="163" t="s">
        <v>668</v>
      </c>
      <c r="F21" s="166">
        <v>45351</v>
      </c>
      <c r="G21" s="165">
        <v>436.8</v>
      </c>
      <c r="I21" s="167">
        <f t="shared" si="0"/>
        <v>436.8</v>
      </c>
      <c r="J21" s="164" t="s">
        <v>458</v>
      </c>
      <c r="K21" s="164" t="s">
        <v>459</v>
      </c>
      <c r="M21" s="168" t="s">
        <v>573</v>
      </c>
      <c r="N21" s="169">
        <v>712.48999999999978</v>
      </c>
    </row>
    <row r="22" spans="1:14">
      <c r="A22" s="163" t="s">
        <v>455</v>
      </c>
      <c r="B22" s="163" t="s">
        <v>456</v>
      </c>
      <c r="C22" s="163" t="s">
        <v>1092</v>
      </c>
      <c r="D22" s="163" t="s">
        <v>464</v>
      </c>
      <c r="E22" s="163" t="s">
        <v>668</v>
      </c>
      <c r="F22" s="166">
        <v>45351</v>
      </c>
      <c r="G22" s="165">
        <v>720</v>
      </c>
      <c r="I22" s="167">
        <f t="shared" si="0"/>
        <v>720</v>
      </c>
      <c r="J22" s="164" t="s">
        <v>458</v>
      </c>
      <c r="K22" s="164" t="s">
        <v>459</v>
      </c>
      <c r="M22" s="168" t="s">
        <v>479</v>
      </c>
      <c r="N22" s="169">
        <v>5494.35</v>
      </c>
    </row>
    <row r="23" spans="1:14">
      <c r="A23" s="163" t="s">
        <v>455</v>
      </c>
      <c r="B23" s="163" t="s">
        <v>456</v>
      </c>
      <c r="C23" s="163" t="s">
        <v>1093</v>
      </c>
      <c r="D23" s="163" t="s">
        <v>461</v>
      </c>
      <c r="E23" s="163" t="s">
        <v>693</v>
      </c>
      <c r="F23" s="166">
        <v>45382</v>
      </c>
      <c r="G23" s="165">
        <v>563.29</v>
      </c>
      <c r="I23" s="167">
        <f t="shared" si="0"/>
        <v>563.29</v>
      </c>
      <c r="J23" s="164" t="s">
        <v>458</v>
      </c>
      <c r="K23" s="164" t="s">
        <v>459</v>
      </c>
      <c r="M23" s="168" t="s">
        <v>1094</v>
      </c>
      <c r="N23" s="169"/>
    </row>
    <row r="24" spans="1:14">
      <c r="A24" s="163" t="s">
        <v>455</v>
      </c>
      <c r="B24" s="163" t="s">
        <v>456</v>
      </c>
      <c r="C24" s="163" t="s">
        <v>1093</v>
      </c>
      <c r="D24" s="163" t="s">
        <v>463</v>
      </c>
      <c r="E24" s="163" t="s">
        <v>693</v>
      </c>
      <c r="F24" s="166">
        <v>45382</v>
      </c>
      <c r="G24" s="165">
        <v>436.8</v>
      </c>
      <c r="I24" s="167">
        <f t="shared" si="0"/>
        <v>436.8</v>
      </c>
      <c r="J24" s="164" t="s">
        <v>458</v>
      </c>
      <c r="K24" s="164" t="s">
        <v>459</v>
      </c>
      <c r="M24" s="168" t="s">
        <v>566</v>
      </c>
      <c r="N24" s="169">
        <v>70925.69</v>
      </c>
    </row>
    <row r="25" spans="1:14" ht="14.65" thickBot="1">
      <c r="A25" s="163" t="s">
        <v>455</v>
      </c>
      <c r="B25" s="163" t="s">
        <v>456</v>
      </c>
      <c r="C25" s="163" t="s">
        <v>1093</v>
      </c>
      <c r="D25" s="163" t="s">
        <v>464</v>
      </c>
      <c r="E25" s="163" t="s">
        <v>693</v>
      </c>
      <c r="F25" s="166">
        <v>45382</v>
      </c>
      <c r="G25" s="165">
        <v>720</v>
      </c>
      <c r="I25" s="167">
        <f t="shared" si="0"/>
        <v>720</v>
      </c>
      <c r="J25" s="164" t="s">
        <v>458</v>
      </c>
      <c r="K25" s="164" t="s">
        <v>459</v>
      </c>
    </row>
    <row r="26" spans="1:14">
      <c r="A26" s="163" t="s">
        <v>506</v>
      </c>
      <c r="B26" s="163" t="s">
        <v>507</v>
      </c>
      <c r="C26" s="163" t="s">
        <v>1095</v>
      </c>
      <c r="D26" s="163" t="s">
        <v>638</v>
      </c>
      <c r="E26" s="163" t="s">
        <v>639</v>
      </c>
      <c r="F26" s="166">
        <v>45315</v>
      </c>
      <c r="G26" s="165">
        <v>500</v>
      </c>
      <c r="I26" s="167">
        <f t="shared" si="0"/>
        <v>500</v>
      </c>
      <c r="J26" s="164" t="s">
        <v>469</v>
      </c>
      <c r="K26" s="164" t="s">
        <v>459</v>
      </c>
      <c r="M26" s="170" t="s">
        <v>1096</v>
      </c>
      <c r="N26" s="171">
        <v>500000</v>
      </c>
    </row>
    <row r="27" spans="1:14">
      <c r="A27" s="163" t="s">
        <v>506</v>
      </c>
      <c r="B27" s="163" t="s">
        <v>507</v>
      </c>
      <c r="C27" s="163" t="s">
        <v>1097</v>
      </c>
      <c r="D27" s="163" t="s">
        <v>663</v>
      </c>
      <c r="E27" s="163" t="s">
        <v>642</v>
      </c>
      <c r="F27" s="166">
        <v>45322</v>
      </c>
      <c r="G27" s="165">
        <v>149.68</v>
      </c>
      <c r="I27" s="167">
        <f t="shared" si="0"/>
        <v>149.68</v>
      </c>
      <c r="J27" s="164" t="s">
        <v>469</v>
      </c>
      <c r="K27" s="164" t="s">
        <v>459</v>
      </c>
      <c r="M27" s="172" t="s">
        <v>1098</v>
      </c>
      <c r="N27" s="173">
        <v>175000</v>
      </c>
    </row>
    <row r="28" spans="1:14">
      <c r="A28" s="163" t="s">
        <v>506</v>
      </c>
      <c r="B28" s="163" t="s">
        <v>507</v>
      </c>
      <c r="C28" s="163" t="s">
        <v>1099</v>
      </c>
      <c r="D28" s="163" t="s">
        <v>686</v>
      </c>
      <c r="E28" s="163" t="s">
        <v>687</v>
      </c>
      <c r="F28" s="166">
        <v>45376</v>
      </c>
      <c r="G28" s="165">
        <v>2500</v>
      </c>
      <c r="I28" s="167">
        <f t="shared" si="0"/>
        <v>2500</v>
      </c>
      <c r="J28" s="164" t="s">
        <v>458</v>
      </c>
      <c r="K28" s="164" t="s">
        <v>459</v>
      </c>
      <c r="M28" s="172" t="s">
        <v>1100</v>
      </c>
      <c r="N28" s="173">
        <v>200956.96</v>
      </c>
    </row>
    <row r="29" spans="1:14" ht="14.65" thickBot="1">
      <c r="A29" s="163" t="s">
        <v>506</v>
      </c>
      <c r="B29" s="163" t="s">
        <v>507</v>
      </c>
      <c r="C29" s="179" t="s">
        <v>1101</v>
      </c>
      <c r="D29" s="179" t="s">
        <v>1102</v>
      </c>
      <c r="E29" s="179" t="s">
        <v>687</v>
      </c>
      <c r="F29" s="180">
        <v>45376</v>
      </c>
      <c r="G29" s="181">
        <v>3000</v>
      </c>
      <c r="H29" s="182"/>
      <c r="I29" s="183">
        <f t="shared" si="0"/>
        <v>3000</v>
      </c>
      <c r="J29" s="184" t="s">
        <v>469</v>
      </c>
      <c r="K29" s="184" t="s">
        <v>459</v>
      </c>
      <c r="L29" t="s">
        <v>1103</v>
      </c>
      <c r="M29" s="174" t="s">
        <v>1104</v>
      </c>
      <c r="N29" s="175">
        <f>N26-N28</f>
        <v>299043.04000000004</v>
      </c>
    </row>
    <row r="30" spans="1:14">
      <c r="A30" s="163" t="s">
        <v>485</v>
      </c>
      <c r="B30" s="163" t="s">
        <v>486</v>
      </c>
      <c r="C30" s="163" t="s">
        <v>1097</v>
      </c>
      <c r="D30" s="163" t="s">
        <v>654</v>
      </c>
      <c r="E30" s="163" t="s">
        <v>642</v>
      </c>
      <c r="F30" s="166">
        <v>45322</v>
      </c>
      <c r="G30" s="165">
        <v>9.58</v>
      </c>
      <c r="I30" s="167">
        <f t="shared" si="0"/>
        <v>9.58</v>
      </c>
      <c r="J30" s="164" t="s">
        <v>469</v>
      </c>
      <c r="K30" s="164" t="s">
        <v>459</v>
      </c>
      <c r="M30" s="176" t="s">
        <v>1105</v>
      </c>
    </row>
    <row r="31" spans="1:14">
      <c r="A31" s="163" t="s">
        <v>485</v>
      </c>
      <c r="B31" s="163" t="s">
        <v>486</v>
      </c>
      <c r="C31" s="163" t="s">
        <v>1097</v>
      </c>
      <c r="D31" s="163" t="s">
        <v>656</v>
      </c>
      <c r="E31" s="163" t="s">
        <v>642</v>
      </c>
      <c r="F31" s="166">
        <v>45322</v>
      </c>
      <c r="G31" s="165">
        <v>10.4</v>
      </c>
      <c r="I31" s="167">
        <f t="shared" si="0"/>
        <v>10.4</v>
      </c>
      <c r="J31" s="164" t="s">
        <v>469</v>
      </c>
      <c r="K31" s="164" t="s">
        <v>459</v>
      </c>
    </row>
    <row r="32" spans="1:14">
      <c r="A32" s="163" t="s">
        <v>485</v>
      </c>
      <c r="B32" s="163" t="s">
        <v>486</v>
      </c>
      <c r="C32" s="163" t="s">
        <v>1097</v>
      </c>
      <c r="D32" s="163" t="s">
        <v>657</v>
      </c>
      <c r="E32" s="163" t="s">
        <v>642</v>
      </c>
      <c r="F32" s="166">
        <v>45322</v>
      </c>
      <c r="G32" s="165">
        <v>7.86</v>
      </c>
      <c r="I32" s="167">
        <f t="shared" si="0"/>
        <v>7.86</v>
      </c>
      <c r="J32" s="164" t="s">
        <v>469</v>
      </c>
      <c r="K32" s="164" t="s">
        <v>459</v>
      </c>
    </row>
    <row r="33" spans="1:17">
      <c r="A33" s="163" t="s">
        <v>485</v>
      </c>
      <c r="B33" s="163" t="s">
        <v>486</v>
      </c>
      <c r="C33" s="163" t="s">
        <v>1097</v>
      </c>
      <c r="D33" s="163" t="s">
        <v>624</v>
      </c>
      <c r="E33" s="163" t="s">
        <v>642</v>
      </c>
      <c r="F33" s="166">
        <v>45322</v>
      </c>
      <c r="G33" s="165">
        <v>0.9</v>
      </c>
      <c r="I33" s="167">
        <f t="shared" si="0"/>
        <v>0.9</v>
      </c>
      <c r="J33" s="164" t="s">
        <v>469</v>
      </c>
      <c r="K33" s="164" t="s">
        <v>459</v>
      </c>
    </row>
    <row r="34" spans="1:17">
      <c r="A34" s="163" t="s">
        <v>485</v>
      </c>
      <c r="B34" s="163" t="s">
        <v>486</v>
      </c>
      <c r="C34" s="163" t="s">
        <v>1097</v>
      </c>
      <c r="D34" s="163" t="s">
        <v>658</v>
      </c>
      <c r="E34" s="163" t="s">
        <v>642</v>
      </c>
      <c r="F34" s="166">
        <v>45322</v>
      </c>
      <c r="G34" s="165">
        <v>3.89</v>
      </c>
      <c r="I34" s="167">
        <f t="shared" si="0"/>
        <v>3.89</v>
      </c>
      <c r="J34" s="164" t="s">
        <v>469</v>
      </c>
      <c r="K34" s="164" t="s">
        <v>459</v>
      </c>
      <c r="Q34" s="169"/>
    </row>
    <row r="35" spans="1:17">
      <c r="A35" s="163" t="s">
        <v>485</v>
      </c>
      <c r="B35" s="163" t="s">
        <v>486</v>
      </c>
      <c r="C35" s="163" t="s">
        <v>1097</v>
      </c>
      <c r="D35" s="163" t="s">
        <v>659</v>
      </c>
      <c r="E35" s="163" t="s">
        <v>642</v>
      </c>
      <c r="F35" s="166">
        <v>45322</v>
      </c>
      <c r="G35" s="165">
        <v>74.84</v>
      </c>
      <c r="I35" s="167">
        <f t="shared" si="0"/>
        <v>74.84</v>
      </c>
      <c r="J35" s="164" t="s">
        <v>469</v>
      </c>
      <c r="K35" s="164" t="s">
        <v>459</v>
      </c>
    </row>
    <row r="36" spans="1:17">
      <c r="A36" s="163" t="s">
        <v>485</v>
      </c>
      <c r="B36" s="163" t="s">
        <v>486</v>
      </c>
      <c r="C36" s="163" t="s">
        <v>1097</v>
      </c>
      <c r="D36" s="163" t="s">
        <v>660</v>
      </c>
      <c r="E36" s="163" t="s">
        <v>642</v>
      </c>
      <c r="F36" s="166">
        <v>45322</v>
      </c>
      <c r="G36" s="165">
        <v>3.59</v>
      </c>
      <c r="I36" s="167">
        <f t="shared" si="0"/>
        <v>3.59</v>
      </c>
      <c r="J36" s="164" t="s">
        <v>469</v>
      </c>
      <c r="K36" s="164" t="s">
        <v>459</v>
      </c>
    </row>
    <row r="37" spans="1:17">
      <c r="A37" s="163" t="s">
        <v>485</v>
      </c>
      <c r="B37" s="163" t="s">
        <v>486</v>
      </c>
      <c r="C37" s="163" t="s">
        <v>1097</v>
      </c>
      <c r="D37" s="163" t="s">
        <v>626</v>
      </c>
      <c r="E37" s="163" t="s">
        <v>642</v>
      </c>
      <c r="F37" s="166">
        <v>45322</v>
      </c>
      <c r="G37" s="165">
        <v>7.0000000000000007E-2</v>
      </c>
      <c r="I37" s="167">
        <f t="shared" si="0"/>
        <v>7.0000000000000007E-2</v>
      </c>
      <c r="J37" s="164" t="s">
        <v>469</v>
      </c>
      <c r="K37" s="164" t="s">
        <v>459</v>
      </c>
    </row>
    <row r="38" spans="1:17">
      <c r="A38" s="163" t="s">
        <v>485</v>
      </c>
      <c r="B38" s="163" t="s">
        <v>486</v>
      </c>
      <c r="C38" s="163" t="s">
        <v>1106</v>
      </c>
      <c r="D38" s="163" t="s">
        <v>654</v>
      </c>
      <c r="E38" s="163" t="s">
        <v>670</v>
      </c>
      <c r="F38" s="166">
        <v>45351</v>
      </c>
      <c r="G38" s="165">
        <v>12.98</v>
      </c>
      <c r="I38" s="167">
        <f t="shared" si="0"/>
        <v>12.98</v>
      </c>
      <c r="J38" s="164" t="s">
        <v>469</v>
      </c>
      <c r="K38" s="164" t="s">
        <v>459</v>
      </c>
    </row>
    <row r="39" spans="1:17">
      <c r="A39" s="163" t="s">
        <v>485</v>
      </c>
      <c r="B39" s="163" t="s">
        <v>486</v>
      </c>
      <c r="C39" s="163" t="s">
        <v>1106</v>
      </c>
      <c r="D39" s="163" t="s">
        <v>656</v>
      </c>
      <c r="E39" s="163" t="s">
        <v>670</v>
      </c>
      <c r="F39" s="166">
        <v>45351</v>
      </c>
      <c r="G39" s="165">
        <v>10.25</v>
      </c>
      <c r="I39" s="167">
        <f t="shared" si="0"/>
        <v>10.25</v>
      </c>
      <c r="J39" s="164" t="s">
        <v>469</v>
      </c>
      <c r="K39" s="164" t="s">
        <v>459</v>
      </c>
    </row>
    <row r="40" spans="1:17">
      <c r="A40" s="163" t="s">
        <v>485</v>
      </c>
      <c r="B40" s="163" t="s">
        <v>486</v>
      </c>
      <c r="C40" s="163" t="s">
        <v>1106</v>
      </c>
      <c r="D40" s="163" t="s">
        <v>657</v>
      </c>
      <c r="E40" s="163" t="s">
        <v>670</v>
      </c>
      <c r="F40" s="166">
        <v>45351</v>
      </c>
      <c r="G40" s="165">
        <v>7.74</v>
      </c>
      <c r="I40" s="167">
        <f t="shared" si="0"/>
        <v>7.74</v>
      </c>
      <c r="J40" s="164" t="s">
        <v>469</v>
      </c>
      <c r="K40" s="164" t="s">
        <v>459</v>
      </c>
    </row>
    <row r="41" spans="1:17">
      <c r="A41" s="163" t="s">
        <v>485</v>
      </c>
      <c r="B41" s="163" t="s">
        <v>486</v>
      </c>
      <c r="C41" s="163" t="s">
        <v>1106</v>
      </c>
      <c r="D41" s="163" t="s">
        <v>624</v>
      </c>
      <c r="E41" s="163" t="s">
        <v>670</v>
      </c>
      <c r="F41" s="166">
        <v>45351</v>
      </c>
      <c r="G41" s="165">
        <v>3.54</v>
      </c>
      <c r="I41" s="167">
        <f t="shared" si="0"/>
        <v>3.54</v>
      </c>
      <c r="J41" s="164" t="s">
        <v>469</v>
      </c>
      <c r="K41" s="164" t="s">
        <v>459</v>
      </c>
    </row>
    <row r="42" spans="1:17">
      <c r="A42" s="163" t="s">
        <v>485</v>
      </c>
      <c r="B42" s="163" t="s">
        <v>486</v>
      </c>
      <c r="C42" s="163" t="s">
        <v>1106</v>
      </c>
      <c r="D42" s="163" t="s">
        <v>659</v>
      </c>
      <c r="E42" s="163" t="s">
        <v>670</v>
      </c>
      <c r="F42" s="166">
        <v>45351</v>
      </c>
      <c r="G42" s="165">
        <v>73.75</v>
      </c>
      <c r="I42" s="167">
        <f t="shared" si="0"/>
        <v>73.75</v>
      </c>
      <c r="J42" s="164" t="s">
        <v>469</v>
      </c>
      <c r="K42" s="164" t="s">
        <v>459</v>
      </c>
    </row>
    <row r="43" spans="1:17">
      <c r="A43" s="163" t="s">
        <v>485</v>
      </c>
      <c r="B43" s="163" t="s">
        <v>486</v>
      </c>
      <c r="C43" s="163" t="s">
        <v>1106</v>
      </c>
      <c r="D43" s="163" t="s">
        <v>626</v>
      </c>
      <c r="E43" s="163" t="s">
        <v>670</v>
      </c>
      <c r="F43" s="166">
        <v>45351</v>
      </c>
      <c r="G43" s="165">
        <v>7.0000000000000007E-2</v>
      </c>
      <c r="I43" s="167">
        <f t="shared" si="0"/>
        <v>7.0000000000000007E-2</v>
      </c>
      <c r="J43" s="164" t="s">
        <v>469</v>
      </c>
      <c r="K43" s="164" t="s">
        <v>459</v>
      </c>
    </row>
    <row r="44" spans="1:17">
      <c r="A44" s="163" t="s">
        <v>485</v>
      </c>
      <c r="B44" s="163" t="s">
        <v>486</v>
      </c>
      <c r="C44" s="163" t="s">
        <v>1106</v>
      </c>
      <c r="D44" s="163" t="s">
        <v>674</v>
      </c>
      <c r="E44" s="163" t="s">
        <v>670</v>
      </c>
      <c r="F44" s="166">
        <v>45351</v>
      </c>
      <c r="G44" s="165">
        <v>4.43</v>
      </c>
      <c r="I44" s="167">
        <f t="shared" si="0"/>
        <v>4.43</v>
      </c>
      <c r="J44" s="164" t="s">
        <v>469</v>
      </c>
      <c r="K44" s="164" t="s">
        <v>459</v>
      </c>
    </row>
    <row r="45" spans="1:17">
      <c r="A45" s="163" t="s">
        <v>485</v>
      </c>
      <c r="B45" s="163" t="s">
        <v>486</v>
      </c>
      <c r="C45" s="163" t="s">
        <v>1106</v>
      </c>
      <c r="D45" s="163" t="s">
        <v>675</v>
      </c>
      <c r="E45" s="163" t="s">
        <v>670</v>
      </c>
      <c r="F45" s="166">
        <v>45351</v>
      </c>
      <c r="G45" s="165">
        <v>2.95</v>
      </c>
      <c r="I45" s="167">
        <f t="shared" si="0"/>
        <v>2.95</v>
      </c>
      <c r="J45" s="164" t="s">
        <v>469</v>
      </c>
      <c r="K45" s="164" t="s">
        <v>459</v>
      </c>
    </row>
    <row r="46" spans="1:17">
      <c r="A46" s="163" t="s">
        <v>485</v>
      </c>
      <c r="B46" s="163" t="s">
        <v>486</v>
      </c>
      <c r="C46" s="163" t="s">
        <v>1106</v>
      </c>
      <c r="D46" s="163" t="s">
        <v>676</v>
      </c>
      <c r="E46" s="163" t="s">
        <v>670</v>
      </c>
      <c r="F46" s="166">
        <v>45351</v>
      </c>
      <c r="G46" s="165">
        <v>10.33</v>
      </c>
      <c r="I46" s="167">
        <f t="shared" si="0"/>
        <v>10.33</v>
      </c>
      <c r="J46" s="164" t="s">
        <v>469</v>
      </c>
      <c r="K46" s="164" t="s">
        <v>459</v>
      </c>
    </row>
    <row r="47" spans="1:17">
      <c r="A47" s="163" t="s">
        <v>485</v>
      </c>
      <c r="B47" s="163" t="s">
        <v>486</v>
      </c>
      <c r="C47" s="163" t="s">
        <v>1106</v>
      </c>
      <c r="D47" s="163" t="s">
        <v>677</v>
      </c>
      <c r="E47" s="163" t="s">
        <v>670</v>
      </c>
      <c r="F47" s="166">
        <v>45351</v>
      </c>
      <c r="G47" s="165">
        <v>17.04</v>
      </c>
      <c r="I47" s="167">
        <f t="shared" si="0"/>
        <v>17.04</v>
      </c>
      <c r="J47" s="164" t="s">
        <v>469</v>
      </c>
      <c r="K47" s="164" t="s">
        <v>459</v>
      </c>
    </row>
    <row r="48" spans="1:17">
      <c r="A48" s="163" t="s">
        <v>485</v>
      </c>
      <c r="B48" s="163" t="s">
        <v>486</v>
      </c>
      <c r="C48" s="163" t="s">
        <v>1106</v>
      </c>
      <c r="D48" s="163" t="s">
        <v>678</v>
      </c>
      <c r="E48" s="163" t="s">
        <v>670</v>
      </c>
      <c r="F48" s="166">
        <v>45351</v>
      </c>
      <c r="G48" s="165">
        <v>1.48</v>
      </c>
      <c r="I48" s="167">
        <f t="shared" si="0"/>
        <v>1.48</v>
      </c>
      <c r="J48" s="164" t="s">
        <v>469</v>
      </c>
      <c r="K48" s="164" t="s">
        <v>459</v>
      </c>
    </row>
    <row r="49" spans="1:11">
      <c r="A49" s="163" t="s">
        <v>485</v>
      </c>
      <c r="B49" s="163" t="s">
        <v>486</v>
      </c>
      <c r="C49" s="163" t="s">
        <v>1106</v>
      </c>
      <c r="D49" s="163" t="s">
        <v>679</v>
      </c>
      <c r="E49" s="163" t="s">
        <v>670</v>
      </c>
      <c r="F49" s="166">
        <v>45351</v>
      </c>
      <c r="G49" s="165">
        <v>35.4</v>
      </c>
      <c r="I49" s="167">
        <f t="shared" si="0"/>
        <v>35.4</v>
      </c>
      <c r="J49" s="164" t="s">
        <v>469</v>
      </c>
      <c r="K49" s="164" t="s">
        <v>459</v>
      </c>
    </row>
    <row r="50" spans="1:11">
      <c r="A50" s="163" t="s">
        <v>485</v>
      </c>
      <c r="B50" s="163" t="s">
        <v>486</v>
      </c>
      <c r="C50" s="163" t="s">
        <v>1106</v>
      </c>
      <c r="D50" s="163" t="s">
        <v>680</v>
      </c>
      <c r="E50" s="163" t="s">
        <v>670</v>
      </c>
      <c r="F50" s="166">
        <v>45351</v>
      </c>
      <c r="G50" s="165">
        <v>2.21</v>
      </c>
      <c r="I50" s="167">
        <f t="shared" si="0"/>
        <v>2.21</v>
      </c>
      <c r="J50" s="164" t="s">
        <v>469</v>
      </c>
      <c r="K50" s="164" t="s">
        <v>459</v>
      </c>
    </row>
    <row r="51" spans="1:11">
      <c r="A51" s="163" t="s">
        <v>485</v>
      </c>
      <c r="B51" s="163" t="s">
        <v>486</v>
      </c>
      <c r="C51" s="163" t="s">
        <v>1106</v>
      </c>
      <c r="D51" s="163" t="s">
        <v>681</v>
      </c>
      <c r="E51" s="163" t="s">
        <v>670</v>
      </c>
      <c r="F51" s="166">
        <v>45351</v>
      </c>
      <c r="G51" s="165">
        <v>10.62</v>
      </c>
      <c r="I51" s="167">
        <f t="shared" si="0"/>
        <v>10.62</v>
      </c>
      <c r="J51" s="164" t="s">
        <v>469</v>
      </c>
      <c r="K51" s="164" t="s">
        <v>459</v>
      </c>
    </row>
    <row r="52" spans="1:11">
      <c r="A52" s="163" t="s">
        <v>485</v>
      </c>
      <c r="B52" s="163" t="s">
        <v>486</v>
      </c>
      <c r="C52" s="163" t="s">
        <v>1106</v>
      </c>
      <c r="D52" s="163" t="s">
        <v>682</v>
      </c>
      <c r="E52" s="163" t="s">
        <v>670</v>
      </c>
      <c r="F52" s="166">
        <v>45351</v>
      </c>
      <c r="G52" s="165">
        <v>6.05</v>
      </c>
      <c r="I52" s="167">
        <f t="shared" si="0"/>
        <v>6.05</v>
      </c>
      <c r="J52" s="164" t="s">
        <v>469</v>
      </c>
      <c r="K52" s="164" t="s">
        <v>459</v>
      </c>
    </row>
    <row r="53" spans="1:11">
      <c r="A53" s="163" t="s">
        <v>485</v>
      </c>
      <c r="B53" s="163" t="s">
        <v>486</v>
      </c>
      <c r="C53" s="163" t="s">
        <v>1106</v>
      </c>
      <c r="D53" s="163" t="s">
        <v>683</v>
      </c>
      <c r="E53" s="163" t="s">
        <v>670</v>
      </c>
      <c r="F53" s="166">
        <v>45351</v>
      </c>
      <c r="G53" s="165">
        <v>3.54</v>
      </c>
      <c r="I53" s="167">
        <f t="shared" si="0"/>
        <v>3.54</v>
      </c>
      <c r="J53" s="164" t="s">
        <v>469</v>
      </c>
      <c r="K53" s="164" t="s">
        <v>459</v>
      </c>
    </row>
    <row r="54" spans="1:11">
      <c r="A54" s="163" t="s">
        <v>485</v>
      </c>
      <c r="B54" s="163" t="s">
        <v>486</v>
      </c>
      <c r="C54" s="163" t="s">
        <v>1107</v>
      </c>
      <c r="D54" s="163" t="s">
        <v>656</v>
      </c>
      <c r="E54" s="163" t="s">
        <v>689</v>
      </c>
      <c r="F54" s="166">
        <v>45382</v>
      </c>
      <c r="G54" s="165">
        <v>10.25</v>
      </c>
      <c r="I54" s="167">
        <f t="shared" si="0"/>
        <v>10.25</v>
      </c>
      <c r="J54" s="164" t="s">
        <v>469</v>
      </c>
      <c r="K54" s="164" t="s">
        <v>459</v>
      </c>
    </row>
    <row r="55" spans="1:11">
      <c r="A55" s="163" t="s">
        <v>485</v>
      </c>
      <c r="B55" s="163" t="s">
        <v>486</v>
      </c>
      <c r="C55" s="163" t="s">
        <v>1107</v>
      </c>
      <c r="D55" s="163" t="s">
        <v>657</v>
      </c>
      <c r="E55" s="163" t="s">
        <v>689</v>
      </c>
      <c r="F55" s="166">
        <v>45382</v>
      </c>
      <c r="G55" s="165">
        <v>7</v>
      </c>
      <c r="I55" s="167">
        <f t="shared" si="0"/>
        <v>7</v>
      </c>
      <c r="J55" s="164" t="s">
        <v>469</v>
      </c>
      <c r="K55" s="164" t="s">
        <v>459</v>
      </c>
    </row>
    <row r="56" spans="1:11">
      <c r="A56" s="163" t="s">
        <v>485</v>
      </c>
      <c r="B56" s="163" t="s">
        <v>486</v>
      </c>
      <c r="C56" s="163" t="s">
        <v>1107</v>
      </c>
      <c r="D56" s="163" t="s">
        <v>624</v>
      </c>
      <c r="E56" s="163" t="s">
        <v>689</v>
      </c>
      <c r="F56" s="166">
        <v>45382</v>
      </c>
      <c r="G56" s="165">
        <v>3.54</v>
      </c>
      <c r="I56" s="167">
        <f t="shared" si="0"/>
        <v>3.54</v>
      </c>
      <c r="J56" s="164" t="s">
        <v>469</v>
      </c>
      <c r="K56" s="164" t="s">
        <v>459</v>
      </c>
    </row>
    <row r="57" spans="1:11">
      <c r="A57" s="163" t="s">
        <v>485</v>
      </c>
      <c r="B57" s="163" t="s">
        <v>486</v>
      </c>
      <c r="C57" s="163" t="s">
        <v>1107</v>
      </c>
      <c r="D57" s="163" t="s">
        <v>702</v>
      </c>
      <c r="E57" s="163" t="s">
        <v>689</v>
      </c>
      <c r="F57" s="166">
        <v>45382</v>
      </c>
      <c r="G57" s="165">
        <v>73.73</v>
      </c>
      <c r="I57" s="167">
        <f t="shared" si="0"/>
        <v>73.73</v>
      </c>
      <c r="J57" s="164" t="s">
        <v>469</v>
      </c>
      <c r="K57" s="164" t="s">
        <v>459</v>
      </c>
    </row>
    <row r="58" spans="1:11">
      <c r="A58" s="163" t="s">
        <v>485</v>
      </c>
      <c r="B58" s="163" t="s">
        <v>486</v>
      </c>
      <c r="C58" s="163" t="s">
        <v>1107</v>
      </c>
      <c r="D58" s="163" t="s">
        <v>626</v>
      </c>
      <c r="E58" s="163" t="s">
        <v>689</v>
      </c>
      <c r="F58" s="166">
        <v>45382</v>
      </c>
      <c r="G58" s="165">
        <v>7.0000000000000007E-2</v>
      </c>
      <c r="I58" s="167">
        <f t="shared" si="0"/>
        <v>7.0000000000000007E-2</v>
      </c>
      <c r="J58" s="164" t="s">
        <v>469</v>
      </c>
      <c r="K58" s="164" t="s">
        <v>459</v>
      </c>
    </row>
    <row r="59" spans="1:11">
      <c r="A59" s="163" t="s">
        <v>485</v>
      </c>
      <c r="B59" s="163" t="s">
        <v>486</v>
      </c>
      <c r="C59" s="163" t="s">
        <v>1107</v>
      </c>
      <c r="D59" s="163" t="s">
        <v>703</v>
      </c>
      <c r="E59" s="163" t="s">
        <v>689</v>
      </c>
      <c r="F59" s="166">
        <v>45382</v>
      </c>
      <c r="G59" s="165">
        <v>3.98</v>
      </c>
      <c r="I59" s="167">
        <f t="shared" si="0"/>
        <v>3.98</v>
      </c>
      <c r="J59" s="164" t="s">
        <v>469</v>
      </c>
      <c r="K59" s="164" t="s">
        <v>459</v>
      </c>
    </row>
    <row r="60" spans="1:11">
      <c r="A60" s="163" t="s">
        <v>485</v>
      </c>
      <c r="B60" s="163" t="s">
        <v>486</v>
      </c>
      <c r="C60" s="163" t="s">
        <v>1107</v>
      </c>
      <c r="D60" s="163" t="s">
        <v>704</v>
      </c>
      <c r="E60" s="163" t="s">
        <v>689</v>
      </c>
      <c r="F60" s="166">
        <v>45382</v>
      </c>
      <c r="G60" s="165">
        <v>2.21</v>
      </c>
      <c r="I60" s="167">
        <f t="shared" si="0"/>
        <v>2.21</v>
      </c>
      <c r="J60" s="164" t="s">
        <v>469</v>
      </c>
      <c r="K60" s="164" t="s">
        <v>459</v>
      </c>
    </row>
    <row r="61" spans="1:11">
      <c r="A61" s="163" t="s">
        <v>485</v>
      </c>
      <c r="B61" s="163" t="s">
        <v>486</v>
      </c>
      <c r="C61" s="163" t="s">
        <v>1107</v>
      </c>
      <c r="D61" s="163" t="s">
        <v>705</v>
      </c>
      <c r="E61" s="163" t="s">
        <v>689</v>
      </c>
      <c r="F61" s="166">
        <v>45382</v>
      </c>
      <c r="G61" s="165">
        <v>3.47</v>
      </c>
      <c r="I61" s="167">
        <f t="shared" si="0"/>
        <v>3.47</v>
      </c>
      <c r="J61" s="164" t="s">
        <v>469</v>
      </c>
      <c r="K61" s="164" t="s">
        <v>459</v>
      </c>
    </row>
    <row r="62" spans="1:11">
      <c r="A62" s="163" t="s">
        <v>485</v>
      </c>
      <c r="B62" s="163" t="s">
        <v>486</v>
      </c>
      <c r="C62" s="163" t="s">
        <v>1107</v>
      </c>
      <c r="D62" s="163" t="s">
        <v>706</v>
      </c>
      <c r="E62" s="163" t="s">
        <v>689</v>
      </c>
      <c r="F62" s="166">
        <v>45382</v>
      </c>
      <c r="G62" s="165">
        <v>7.08</v>
      </c>
      <c r="I62" s="167">
        <f t="shared" si="0"/>
        <v>7.08</v>
      </c>
      <c r="J62" s="164" t="s">
        <v>469</v>
      </c>
      <c r="K62" s="164" t="s">
        <v>459</v>
      </c>
    </row>
    <row r="63" spans="1:11">
      <c r="A63" s="163" t="s">
        <v>485</v>
      </c>
      <c r="B63" s="163" t="s">
        <v>486</v>
      </c>
      <c r="C63" s="163" t="s">
        <v>1107</v>
      </c>
      <c r="D63" s="163" t="s">
        <v>683</v>
      </c>
      <c r="E63" s="163" t="s">
        <v>689</v>
      </c>
      <c r="F63" s="166">
        <v>45382</v>
      </c>
      <c r="G63" s="165">
        <v>3.54</v>
      </c>
      <c r="I63" s="167">
        <f t="shared" si="0"/>
        <v>3.54</v>
      </c>
      <c r="J63" s="164" t="s">
        <v>469</v>
      </c>
      <c r="K63" s="164" t="s">
        <v>459</v>
      </c>
    </row>
    <row r="64" spans="1:11">
      <c r="A64" s="163" t="s">
        <v>528</v>
      </c>
      <c r="B64" s="163" t="s">
        <v>701</v>
      </c>
      <c r="C64" s="163" t="s">
        <v>1107</v>
      </c>
      <c r="D64" s="163" t="s">
        <v>654</v>
      </c>
      <c r="E64" s="163" t="s">
        <v>689</v>
      </c>
      <c r="F64" s="166">
        <v>45382</v>
      </c>
      <c r="G64" s="165">
        <v>11.8</v>
      </c>
      <c r="I64" s="167">
        <f t="shared" si="0"/>
        <v>11.8</v>
      </c>
      <c r="J64" s="164" t="s">
        <v>469</v>
      </c>
      <c r="K64" s="164" t="s">
        <v>459</v>
      </c>
    </row>
    <row r="65" spans="1:11">
      <c r="A65" s="163" t="s">
        <v>529</v>
      </c>
      <c r="B65" s="163" t="s">
        <v>573</v>
      </c>
      <c r="C65" s="163" t="s">
        <v>1097</v>
      </c>
      <c r="D65" s="163" t="s">
        <v>664</v>
      </c>
      <c r="E65" s="163" t="s">
        <v>642</v>
      </c>
      <c r="F65" s="166">
        <v>45322</v>
      </c>
      <c r="G65" s="165">
        <v>7.48</v>
      </c>
      <c r="I65" s="167">
        <f t="shared" si="0"/>
        <v>7.48</v>
      </c>
      <c r="J65" s="164" t="s">
        <v>469</v>
      </c>
      <c r="K65" s="164" t="s">
        <v>459</v>
      </c>
    </row>
    <row r="66" spans="1:11">
      <c r="A66" s="163" t="s">
        <v>529</v>
      </c>
      <c r="B66" s="163" t="s">
        <v>573</v>
      </c>
      <c r="C66" s="163" t="s">
        <v>1097</v>
      </c>
      <c r="D66" s="163" t="s">
        <v>623</v>
      </c>
      <c r="E66" s="163" t="s">
        <v>642</v>
      </c>
      <c r="F66" s="166">
        <v>45322</v>
      </c>
      <c r="G66" s="165">
        <v>50.87</v>
      </c>
      <c r="I66" s="167">
        <f t="shared" si="0"/>
        <v>50.87</v>
      </c>
      <c r="J66" s="164" t="s">
        <v>469</v>
      </c>
      <c r="K66" s="164" t="s">
        <v>459</v>
      </c>
    </row>
    <row r="67" spans="1:11">
      <c r="A67" s="163" t="s">
        <v>529</v>
      </c>
      <c r="B67" s="163" t="s">
        <v>573</v>
      </c>
      <c r="C67" s="163" t="s">
        <v>1097</v>
      </c>
      <c r="D67" s="163" t="s">
        <v>650</v>
      </c>
      <c r="E67" s="163" t="s">
        <v>642</v>
      </c>
      <c r="F67" s="166">
        <v>45322</v>
      </c>
      <c r="G67" s="165">
        <v>39.9</v>
      </c>
      <c r="I67" s="167">
        <f t="shared" si="0"/>
        <v>39.9</v>
      </c>
      <c r="J67" s="164" t="s">
        <v>469</v>
      </c>
      <c r="K67" s="164" t="s">
        <v>459</v>
      </c>
    </row>
    <row r="68" spans="1:11">
      <c r="A68" s="163" t="s">
        <v>529</v>
      </c>
      <c r="B68" s="163" t="s">
        <v>573</v>
      </c>
      <c r="C68" s="163" t="s">
        <v>1097</v>
      </c>
      <c r="D68" s="163" t="s">
        <v>651</v>
      </c>
      <c r="E68" s="163" t="s">
        <v>642</v>
      </c>
      <c r="F68" s="166">
        <v>45322</v>
      </c>
      <c r="G68" s="165">
        <v>40.9</v>
      </c>
      <c r="I68" s="167">
        <f t="shared" si="0"/>
        <v>40.9</v>
      </c>
      <c r="J68" s="164" t="s">
        <v>469</v>
      </c>
      <c r="K68" s="164" t="s">
        <v>459</v>
      </c>
    </row>
    <row r="69" spans="1:11">
      <c r="A69" s="163" t="s">
        <v>529</v>
      </c>
      <c r="B69" s="163" t="s">
        <v>573</v>
      </c>
      <c r="C69" s="163" t="s">
        <v>1097</v>
      </c>
      <c r="D69" s="163" t="s">
        <v>652</v>
      </c>
      <c r="E69" s="163" t="s">
        <v>642</v>
      </c>
      <c r="F69" s="166">
        <v>45322</v>
      </c>
      <c r="G69" s="165">
        <v>40.9</v>
      </c>
      <c r="I69" s="167">
        <f t="shared" si="0"/>
        <v>40.9</v>
      </c>
      <c r="J69" s="164" t="s">
        <v>469</v>
      </c>
      <c r="K69" s="164" t="s">
        <v>459</v>
      </c>
    </row>
    <row r="70" spans="1:11">
      <c r="A70" s="163" t="s">
        <v>529</v>
      </c>
      <c r="B70" s="163" t="s">
        <v>573</v>
      </c>
      <c r="C70" s="163" t="s">
        <v>1097</v>
      </c>
      <c r="D70" s="163" t="s">
        <v>653</v>
      </c>
      <c r="E70" s="163" t="s">
        <v>642</v>
      </c>
      <c r="F70" s="166">
        <v>45322</v>
      </c>
      <c r="G70" s="165">
        <v>28.44</v>
      </c>
      <c r="I70" s="167">
        <f t="shared" si="0"/>
        <v>28.44</v>
      </c>
      <c r="J70" s="164" t="s">
        <v>469</v>
      </c>
      <c r="K70" s="164" t="s">
        <v>459</v>
      </c>
    </row>
    <row r="71" spans="1:11">
      <c r="A71" s="163" t="s">
        <v>529</v>
      </c>
      <c r="B71" s="163" t="s">
        <v>573</v>
      </c>
      <c r="C71" s="163" t="s">
        <v>1088</v>
      </c>
      <c r="D71" s="163" t="s">
        <v>641</v>
      </c>
      <c r="E71" s="163" t="s">
        <v>642</v>
      </c>
      <c r="F71" s="166">
        <v>45322</v>
      </c>
      <c r="G71" s="165">
        <v>39.9</v>
      </c>
      <c r="I71" s="167">
        <f t="shared" si="0"/>
        <v>39.9</v>
      </c>
      <c r="J71" s="164" t="s">
        <v>469</v>
      </c>
      <c r="K71" s="164" t="s">
        <v>459</v>
      </c>
    </row>
    <row r="72" spans="1:11">
      <c r="A72" s="163" t="s">
        <v>529</v>
      </c>
      <c r="B72" s="163" t="s">
        <v>573</v>
      </c>
      <c r="C72" s="163" t="s">
        <v>1106</v>
      </c>
      <c r="D72" s="163" t="s">
        <v>623</v>
      </c>
      <c r="E72" s="163" t="s">
        <v>670</v>
      </c>
      <c r="F72" s="166">
        <v>45351</v>
      </c>
      <c r="G72" s="165">
        <v>50.25</v>
      </c>
      <c r="I72" s="167">
        <f t="shared" si="0"/>
        <v>50.25</v>
      </c>
      <c r="J72" s="164" t="s">
        <v>469</v>
      </c>
      <c r="K72" s="164" t="s">
        <v>459</v>
      </c>
    </row>
    <row r="73" spans="1:11">
      <c r="A73" s="163" t="s">
        <v>529</v>
      </c>
      <c r="B73" s="163" t="s">
        <v>573</v>
      </c>
      <c r="C73" s="163" t="s">
        <v>1106</v>
      </c>
      <c r="D73" s="163" t="s">
        <v>650</v>
      </c>
      <c r="E73" s="163" t="s">
        <v>670</v>
      </c>
      <c r="F73" s="166">
        <v>45351</v>
      </c>
      <c r="G73" s="165">
        <v>39.409999999999997</v>
      </c>
      <c r="I73" s="167">
        <f t="shared" si="0"/>
        <v>39.409999999999997</v>
      </c>
      <c r="J73" s="164" t="s">
        <v>469</v>
      </c>
      <c r="K73" s="164" t="s">
        <v>459</v>
      </c>
    </row>
    <row r="74" spans="1:11">
      <c r="A74" s="163" t="s">
        <v>529</v>
      </c>
      <c r="B74" s="163" t="s">
        <v>573</v>
      </c>
      <c r="C74" s="163" t="s">
        <v>1106</v>
      </c>
      <c r="D74" s="163" t="s">
        <v>673</v>
      </c>
      <c r="E74" s="163" t="s">
        <v>670</v>
      </c>
      <c r="F74" s="166">
        <v>45351</v>
      </c>
      <c r="G74" s="165">
        <v>39.409999999999997</v>
      </c>
      <c r="I74" s="167">
        <f t="shared" si="0"/>
        <v>39.409999999999997</v>
      </c>
      <c r="J74" s="164" t="s">
        <v>469</v>
      </c>
      <c r="K74" s="164" t="s">
        <v>459</v>
      </c>
    </row>
    <row r="75" spans="1:11">
      <c r="A75" s="163" t="s">
        <v>529</v>
      </c>
      <c r="B75" s="163" t="s">
        <v>573</v>
      </c>
      <c r="C75" s="163" t="s">
        <v>1106</v>
      </c>
      <c r="D75" s="163" t="s">
        <v>651</v>
      </c>
      <c r="E75" s="163" t="s">
        <v>670</v>
      </c>
      <c r="F75" s="166">
        <v>45351</v>
      </c>
      <c r="G75" s="165">
        <v>40.4</v>
      </c>
      <c r="I75" s="167">
        <f t="shared" ref="I75:I112" si="1">G75-H75</f>
        <v>40.4</v>
      </c>
      <c r="J75" s="164" t="s">
        <v>469</v>
      </c>
      <c r="K75" s="164" t="s">
        <v>459</v>
      </c>
    </row>
    <row r="76" spans="1:11">
      <c r="A76" s="163" t="s">
        <v>529</v>
      </c>
      <c r="B76" s="163" t="s">
        <v>573</v>
      </c>
      <c r="C76" s="163" t="s">
        <v>1106</v>
      </c>
      <c r="D76" s="163" t="s">
        <v>652</v>
      </c>
      <c r="E76" s="163" t="s">
        <v>670</v>
      </c>
      <c r="F76" s="166">
        <v>45351</v>
      </c>
      <c r="G76" s="165">
        <v>40.4</v>
      </c>
      <c r="I76" s="167">
        <f t="shared" si="1"/>
        <v>40.4</v>
      </c>
      <c r="J76" s="164" t="s">
        <v>469</v>
      </c>
      <c r="K76" s="164" t="s">
        <v>459</v>
      </c>
    </row>
    <row r="77" spans="1:11">
      <c r="A77" s="163" t="s">
        <v>529</v>
      </c>
      <c r="B77" s="163" t="s">
        <v>573</v>
      </c>
      <c r="C77" s="163" t="s">
        <v>1107</v>
      </c>
      <c r="D77" s="163" t="s">
        <v>623</v>
      </c>
      <c r="E77" s="163" t="s">
        <v>689</v>
      </c>
      <c r="F77" s="166">
        <v>45382</v>
      </c>
      <c r="G77" s="165">
        <v>51.01</v>
      </c>
      <c r="I77" s="167">
        <f t="shared" si="1"/>
        <v>51.01</v>
      </c>
      <c r="J77" s="164" t="s">
        <v>469</v>
      </c>
      <c r="K77" s="164" t="s">
        <v>459</v>
      </c>
    </row>
    <row r="78" spans="1:11">
      <c r="A78" s="163" t="s">
        <v>529</v>
      </c>
      <c r="B78" s="163" t="s">
        <v>573</v>
      </c>
      <c r="C78" s="163" t="s">
        <v>1107</v>
      </c>
      <c r="D78" s="163" t="s">
        <v>650</v>
      </c>
      <c r="E78" s="163" t="s">
        <v>689</v>
      </c>
      <c r="F78" s="166">
        <v>45382</v>
      </c>
      <c r="G78" s="165">
        <v>40.01</v>
      </c>
      <c r="I78" s="167">
        <f t="shared" si="1"/>
        <v>40.01</v>
      </c>
      <c r="J78" s="164" t="s">
        <v>469</v>
      </c>
      <c r="K78" s="164" t="s">
        <v>459</v>
      </c>
    </row>
    <row r="79" spans="1:11">
      <c r="A79" s="163" t="s">
        <v>529</v>
      </c>
      <c r="B79" s="163" t="s">
        <v>573</v>
      </c>
      <c r="C79" s="163" t="s">
        <v>1107</v>
      </c>
      <c r="D79" s="163" t="s">
        <v>673</v>
      </c>
      <c r="E79" s="163" t="s">
        <v>689</v>
      </c>
      <c r="F79" s="166">
        <v>45382</v>
      </c>
      <c r="G79" s="165">
        <v>40.01</v>
      </c>
      <c r="I79" s="167">
        <f t="shared" si="1"/>
        <v>40.01</v>
      </c>
      <c r="J79" s="164" t="s">
        <v>469</v>
      </c>
      <c r="K79" s="164" t="s">
        <v>459</v>
      </c>
    </row>
    <row r="80" spans="1:11">
      <c r="A80" s="163" t="s">
        <v>529</v>
      </c>
      <c r="B80" s="163" t="s">
        <v>573</v>
      </c>
      <c r="C80" s="163" t="s">
        <v>1107</v>
      </c>
      <c r="D80" s="163" t="s">
        <v>651</v>
      </c>
      <c r="E80" s="163" t="s">
        <v>689</v>
      </c>
      <c r="F80" s="166">
        <v>45382</v>
      </c>
      <c r="G80" s="165">
        <v>41.01</v>
      </c>
      <c r="I80" s="167">
        <f t="shared" si="1"/>
        <v>41.01</v>
      </c>
      <c r="J80" s="164" t="s">
        <v>469</v>
      </c>
      <c r="K80" s="164" t="s">
        <v>459</v>
      </c>
    </row>
    <row r="81" spans="1:11">
      <c r="A81" s="163" t="s">
        <v>529</v>
      </c>
      <c r="B81" s="163" t="s">
        <v>573</v>
      </c>
      <c r="C81" s="163" t="s">
        <v>1107</v>
      </c>
      <c r="D81" s="163" t="s">
        <v>652</v>
      </c>
      <c r="E81" s="163" t="s">
        <v>689</v>
      </c>
      <c r="F81" s="166">
        <v>45382</v>
      </c>
      <c r="G81" s="165">
        <v>41.01</v>
      </c>
      <c r="I81" s="167">
        <f t="shared" si="1"/>
        <v>41.01</v>
      </c>
      <c r="J81" s="164" t="s">
        <v>469</v>
      </c>
      <c r="K81" s="164" t="s">
        <v>459</v>
      </c>
    </row>
    <row r="82" spans="1:11">
      <c r="A82" s="163" t="s">
        <v>529</v>
      </c>
      <c r="B82" s="163" t="s">
        <v>573</v>
      </c>
      <c r="C82" s="163" t="s">
        <v>1108</v>
      </c>
      <c r="D82" s="163" t="s">
        <v>707</v>
      </c>
      <c r="E82" s="163" t="s">
        <v>708</v>
      </c>
      <c r="F82" s="166">
        <v>45382</v>
      </c>
      <c r="G82" s="165">
        <v>41.18</v>
      </c>
      <c r="I82" s="167">
        <f t="shared" si="1"/>
        <v>41.18</v>
      </c>
      <c r="J82" s="164" t="s">
        <v>469</v>
      </c>
      <c r="K82" s="164" t="s">
        <v>459</v>
      </c>
    </row>
    <row r="83" spans="1:11">
      <c r="A83" s="163" t="s">
        <v>534</v>
      </c>
      <c r="B83" s="163" t="s">
        <v>601</v>
      </c>
      <c r="C83" s="163" t="s">
        <v>1090</v>
      </c>
      <c r="D83" s="163" t="s">
        <v>603</v>
      </c>
      <c r="E83" s="163" t="s">
        <v>689</v>
      </c>
      <c r="F83" s="166">
        <v>45382</v>
      </c>
      <c r="G83" s="165">
        <v>3.39</v>
      </c>
      <c r="I83" s="167">
        <f t="shared" si="1"/>
        <v>3.39</v>
      </c>
      <c r="J83" s="164" t="s">
        <v>469</v>
      </c>
      <c r="K83" s="164" t="s">
        <v>459</v>
      </c>
    </row>
    <row r="84" spans="1:11">
      <c r="A84" s="163" t="s">
        <v>534</v>
      </c>
      <c r="B84" s="163" t="s">
        <v>601</v>
      </c>
      <c r="C84" s="163" t="s">
        <v>1090</v>
      </c>
      <c r="D84" s="163" t="s">
        <v>709</v>
      </c>
      <c r="E84" s="163" t="s">
        <v>689</v>
      </c>
      <c r="F84" s="166">
        <v>45382</v>
      </c>
      <c r="G84" s="165">
        <v>3.39</v>
      </c>
      <c r="I84" s="167">
        <f t="shared" si="1"/>
        <v>3.39</v>
      </c>
      <c r="J84" s="164" t="s">
        <v>469</v>
      </c>
      <c r="K84" s="164" t="s">
        <v>459</v>
      </c>
    </row>
    <row r="85" spans="1:11">
      <c r="A85" s="163" t="s">
        <v>536</v>
      </c>
      <c r="B85" s="163" t="s">
        <v>647</v>
      </c>
      <c r="C85" s="163" t="s">
        <v>1088</v>
      </c>
      <c r="D85" s="163" t="s">
        <v>648</v>
      </c>
      <c r="E85" s="163" t="s">
        <v>642</v>
      </c>
      <c r="F85" s="166">
        <v>45322</v>
      </c>
      <c r="G85" s="165">
        <v>666.09</v>
      </c>
      <c r="I85" s="167">
        <f t="shared" si="1"/>
        <v>666.09</v>
      </c>
      <c r="J85" s="164" t="s">
        <v>469</v>
      </c>
      <c r="K85" s="164" t="s">
        <v>459</v>
      </c>
    </row>
    <row r="86" spans="1:11">
      <c r="A86" s="163" t="s">
        <v>536</v>
      </c>
      <c r="B86" s="163" t="s">
        <v>647</v>
      </c>
      <c r="C86" s="163" t="s">
        <v>1090</v>
      </c>
      <c r="D86" s="163" t="s">
        <v>695</v>
      </c>
      <c r="E86" s="163" t="s">
        <v>689</v>
      </c>
      <c r="F86" s="166">
        <v>45382</v>
      </c>
      <c r="G86" s="165">
        <v>425.27</v>
      </c>
      <c r="I86" s="167">
        <f t="shared" si="1"/>
        <v>425.27</v>
      </c>
      <c r="J86" s="164" t="s">
        <v>469</v>
      </c>
      <c r="K86" s="164" t="s">
        <v>459</v>
      </c>
    </row>
    <row r="87" spans="1:11">
      <c r="A87" s="163" t="s">
        <v>465</v>
      </c>
      <c r="B87" s="163" t="s">
        <v>466</v>
      </c>
      <c r="C87" s="163" t="s">
        <v>1088</v>
      </c>
      <c r="D87" s="163" t="s">
        <v>649</v>
      </c>
      <c r="E87" s="163" t="s">
        <v>642</v>
      </c>
      <c r="F87" s="166">
        <v>45322</v>
      </c>
      <c r="G87" s="165">
        <v>633.9</v>
      </c>
      <c r="I87" s="167">
        <f t="shared" si="1"/>
        <v>633.9</v>
      </c>
      <c r="J87" s="164" t="s">
        <v>469</v>
      </c>
      <c r="K87" s="164" t="s">
        <v>459</v>
      </c>
    </row>
    <row r="88" spans="1:11">
      <c r="A88" s="163" t="s">
        <v>465</v>
      </c>
      <c r="B88" s="163" t="s">
        <v>466</v>
      </c>
      <c r="C88" s="163" t="s">
        <v>1097</v>
      </c>
      <c r="D88" s="163" t="s">
        <v>655</v>
      </c>
      <c r="E88" s="163" t="s">
        <v>642</v>
      </c>
      <c r="F88" s="166">
        <v>45322</v>
      </c>
      <c r="G88" s="165">
        <v>7.48</v>
      </c>
      <c r="I88" s="167">
        <f t="shared" si="1"/>
        <v>7.48</v>
      </c>
      <c r="J88" s="164" t="s">
        <v>469</v>
      </c>
      <c r="K88" s="164" t="s">
        <v>459</v>
      </c>
    </row>
    <row r="89" spans="1:11">
      <c r="A89" s="163" t="s">
        <v>465</v>
      </c>
      <c r="B89" s="163" t="s">
        <v>466</v>
      </c>
      <c r="C89" s="163" t="s">
        <v>1097</v>
      </c>
      <c r="D89" s="163" t="s">
        <v>665</v>
      </c>
      <c r="E89" s="163" t="s">
        <v>642</v>
      </c>
      <c r="F89" s="166">
        <v>45322</v>
      </c>
      <c r="G89" s="165">
        <v>7.48</v>
      </c>
      <c r="I89" s="167">
        <f t="shared" si="1"/>
        <v>7.48</v>
      </c>
      <c r="J89" s="164" t="s">
        <v>469</v>
      </c>
      <c r="K89" s="164" t="s">
        <v>459</v>
      </c>
    </row>
    <row r="90" spans="1:11">
      <c r="A90" s="163" t="s">
        <v>465</v>
      </c>
      <c r="B90" s="163" t="s">
        <v>466</v>
      </c>
      <c r="C90" s="163" t="s">
        <v>1097</v>
      </c>
      <c r="D90" s="163" t="s">
        <v>630</v>
      </c>
      <c r="E90" s="163" t="s">
        <v>642</v>
      </c>
      <c r="F90" s="166">
        <v>45322</v>
      </c>
      <c r="G90" s="165">
        <v>598.73</v>
      </c>
      <c r="I90" s="167">
        <f t="shared" si="1"/>
        <v>598.73</v>
      </c>
      <c r="J90" s="164" t="s">
        <v>469</v>
      </c>
      <c r="K90" s="164" t="s">
        <v>459</v>
      </c>
    </row>
    <row r="91" spans="1:11">
      <c r="A91" s="163" t="s">
        <v>465</v>
      </c>
      <c r="B91" s="163" t="s">
        <v>466</v>
      </c>
      <c r="C91" s="163" t="s">
        <v>1088</v>
      </c>
      <c r="D91" s="163" t="s">
        <v>646</v>
      </c>
      <c r="E91" s="163" t="s">
        <v>642</v>
      </c>
      <c r="F91" s="166">
        <v>45322</v>
      </c>
      <c r="G91" s="165">
        <v>296.37</v>
      </c>
      <c r="I91" s="167">
        <f t="shared" si="1"/>
        <v>296.37</v>
      </c>
      <c r="J91" s="164" t="s">
        <v>469</v>
      </c>
      <c r="K91" s="164" t="s">
        <v>459</v>
      </c>
    </row>
    <row r="92" spans="1:11">
      <c r="A92" s="163" t="s">
        <v>465</v>
      </c>
      <c r="B92" s="163" t="s">
        <v>466</v>
      </c>
      <c r="C92" s="163" t="s">
        <v>1097</v>
      </c>
      <c r="D92" s="163" t="s">
        <v>662</v>
      </c>
      <c r="E92" s="163" t="s">
        <v>642</v>
      </c>
      <c r="F92" s="166">
        <v>45322</v>
      </c>
      <c r="G92" s="165">
        <v>763.38</v>
      </c>
      <c r="I92" s="167">
        <f t="shared" si="1"/>
        <v>763.38</v>
      </c>
      <c r="J92" s="164" t="s">
        <v>469</v>
      </c>
      <c r="K92" s="164" t="s">
        <v>459</v>
      </c>
    </row>
    <row r="93" spans="1:11">
      <c r="A93" s="163" t="s">
        <v>465</v>
      </c>
      <c r="B93" s="163" t="s">
        <v>466</v>
      </c>
      <c r="C93" s="163" t="s">
        <v>1097</v>
      </c>
      <c r="D93" s="163" t="s">
        <v>667</v>
      </c>
      <c r="E93" s="163" t="s">
        <v>642</v>
      </c>
      <c r="F93" s="166">
        <v>45322</v>
      </c>
      <c r="G93" s="165">
        <v>74.84</v>
      </c>
      <c r="I93" s="167">
        <f t="shared" si="1"/>
        <v>74.84</v>
      </c>
      <c r="J93" s="164" t="s">
        <v>469</v>
      </c>
      <c r="K93" s="164" t="s">
        <v>459</v>
      </c>
    </row>
    <row r="94" spans="1:11">
      <c r="A94" s="163" t="s">
        <v>465</v>
      </c>
      <c r="B94" s="163" t="s">
        <v>466</v>
      </c>
      <c r="C94" s="163" t="s">
        <v>1106</v>
      </c>
      <c r="D94" s="163" t="s">
        <v>604</v>
      </c>
      <c r="E94" s="163" t="s">
        <v>670</v>
      </c>
      <c r="F94" s="166">
        <v>45351</v>
      </c>
      <c r="G94" s="165">
        <v>59</v>
      </c>
      <c r="I94" s="167">
        <f t="shared" si="1"/>
        <v>59</v>
      </c>
      <c r="J94" s="164" t="s">
        <v>469</v>
      </c>
      <c r="K94" s="164" t="s">
        <v>459</v>
      </c>
    </row>
    <row r="95" spans="1:11">
      <c r="A95" s="163" t="s">
        <v>465</v>
      </c>
      <c r="B95" s="163" t="s">
        <v>466</v>
      </c>
      <c r="C95" s="163" t="s">
        <v>1106</v>
      </c>
      <c r="D95" s="163" t="s">
        <v>684</v>
      </c>
      <c r="E95" s="163" t="s">
        <v>670</v>
      </c>
      <c r="F95" s="166">
        <v>45351</v>
      </c>
      <c r="G95" s="165">
        <v>4.43</v>
      </c>
      <c r="I95" s="167">
        <f t="shared" si="1"/>
        <v>4.43</v>
      </c>
      <c r="J95" s="164" t="s">
        <v>469</v>
      </c>
      <c r="K95" s="164" t="s">
        <v>459</v>
      </c>
    </row>
    <row r="96" spans="1:11">
      <c r="A96" s="163" t="s">
        <v>465</v>
      </c>
      <c r="B96" s="163" t="s">
        <v>466</v>
      </c>
      <c r="C96" s="163" t="s">
        <v>1106</v>
      </c>
      <c r="D96" s="163" t="s">
        <v>604</v>
      </c>
      <c r="E96" s="163" t="s">
        <v>670</v>
      </c>
      <c r="F96" s="166">
        <v>45351</v>
      </c>
      <c r="G96" s="165">
        <v>36.880000000000003</v>
      </c>
      <c r="I96" s="167">
        <f t="shared" si="1"/>
        <v>36.880000000000003</v>
      </c>
      <c r="J96" s="164" t="s">
        <v>469</v>
      </c>
      <c r="K96" s="164" t="s">
        <v>459</v>
      </c>
    </row>
    <row r="97" spans="1:11">
      <c r="A97" s="163" t="s">
        <v>465</v>
      </c>
      <c r="B97" s="163" t="s">
        <v>466</v>
      </c>
      <c r="C97" s="163" t="s">
        <v>1106</v>
      </c>
      <c r="D97" s="163" t="s">
        <v>684</v>
      </c>
      <c r="E97" s="163" t="s">
        <v>670</v>
      </c>
      <c r="F97" s="166">
        <v>45351</v>
      </c>
      <c r="G97" s="165">
        <v>4.43</v>
      </c>
      <c r="I97" s="167">
        <f t="shared" si="1"/>
        <v>4.43</v>
      </c>
      <c r="J97" s="164" t="s">
        <v>469</v>
      </c>
      <c r="K97" s="164" t="s">
        <v>459</v>
      </c>
    </row>
    <row r="98" spans="1:11">
      <c r="A98" s="163" t="s">
        <v>465</v>
      </c>
      <c r="B98" s="163" t="s">
        <v>466</v>
      </c>
      <c r="C98" s="163" t="s">
        <v>1106</v>
      </c>
      <c r="D98" s="163" t="s">
        <v>655</v>
      </c>
      <c r="E98" s="163" t="s">
        <v>670</v>
      </c>
      <c r="F98" s="166">
        <v>45351</v>
      </c>
      <c r="G98" s="165">
        <v>11.8</v>
      </c>
      <c r="I98" s="167">
        <f t="shared" si="1"/>
        <v>11.8</v>
      </c>
      <c r="J98" s="164" t="s">
        <v>469</v>
      </c>
      <c r="K98" s="164" t="s">
        <v>459</v>
      </c>
    </row>
    <row r="99" spans="1:11">
      <c r="A99" s="163" t="s">
        <v>465</v>
      </c>
      <c r="B99" s="163" t="s">
        <v>466</v>
      </c>
      <c r="C99" s="163" t="s">
        <v>1107</v>
      </c>
      <c r="D99" s="163" t="s">
        <v>655</v>
      </c>
      <c r="E99" s="163" t="s">
        <v>689</v>
      </c>
      <c r="F99" s="166">
        <v>45382</v>
      </c>
      <c r="G99" s="165">
        <v>8.85</v>
      </c>
      <c r="I99" s="167">
        <f t="shared" si="1"/>
        <v>8.85</v>
      </c>
      <c r="J99" s="164" t="s">
        <v>469</v>
      </c>
      <c r="K99" s="164" t="s">
        <v>459</v>
      </c>
    </row>
    <row r="100" spans="1:11">
      <c r="A100" s="163" t="s">
        <v>465</v>
      </c>
      <c r="B100" s="163" t="s">
        <v>466</v>
      </c>
      <c r="C100" s="163" t="s">
        <v>1090</v>
      </c>
      <c r="D100" s="163" t="s">
        <v>694</v>
      </c>
      <c r="E100" s="163" t="s">
        <v>689</v>
      </c>
      <c r="F100" s="166">
        <v>45382</v>
      </c>
      <c r="G100" s="165">
        <v>46.82</v>
      </c>
      <c r="I100" s="167">
        <f t="shared" si="1"/>
        <v>46.82</v>
      </c>
      <c r="J100" s="164" t="s">
        <v>469</v>
      </c>
      <c r="K100" s="164" t="s">
        <v>459</v>
      </c>
    </row>
    <row r="101" spans="1:11">
      <c r="A101" s="163" t="s">
        <v>465</v>
      </c>
      <c r="B101" s="163" t="s">
        <v>466</v>
      </c>
      <c r="C101" s="163" t="s">
        <v>1090</v>
      </c>
      <c r="D101" s="163" t="s">
        <v>699</v>
      </c>
      <c r="E101" s="163" t="s">
        <v>689</v>
      </c>
      <c r="F101" s="166">
        <v>45382</v>
      </c>
      <c r="G101" s="165">
        <v>17.7</v>
      </c>
      <c r="I101" s="167">
        <f t="shared" si="1"/>
        <v>17.7</v>
      </c>
      <c r="J101" s="164" t="s">
        <v>469</v>
      </c>
      <c r="K101" s="164" t="s">
        <v>459</v>
      </c>
    </row>
    <row r="102" spans="1:11">
      <c r="A102" s="163" t="s">
        <v>465</v>
      </c>
      <c r="B102" s="163" t="s">
        <v>466</v>
      </c>
      <c r="C102" s="163" t="s">
        <v>1090</v>
      </c>
      <c r="D102" s="163" t="s">
        <v>700</v>
      </c>
      <c r="E102" s="163" t="s">
        <v>689</v>
      </c>
      <c r="F102" s="166">
        <v>45382</v>
      </c>
      <c r="G102" s="165">
        <v>7.37</v>
      </c>
      <c r="I102" s="167">
        <f t="shared" si="1"/>
        <v>7.37</v>
      </c>
      <c r="J102" s="164" t="s">
        <v>469</v>
      </c>
      <c r="K102" s="164" t="s">
        <v>459</v>
      </c>
    </row>
    <row r="103" spans="1:11">
      <c r="A103" s="163" t="s">
        <v>489</v>
      </c>
      <c r="B103" s="163" t="s">
        <v>490</v>
      </c>
      <c r="C103" s="163" t="s">
        <v>1097</v>
      </c>
      <c r="D103" s="163" t="s">
        <v>661</v>
      </c>
      <c r="E103" s="163" t="s">
        <v>642</v>
      </c>
      <c r="F103" s="166">
        <v>45322</v>
      </c>
      <c r="G103" s="165">
        <v>889.11</v>
      </c>
      <c r="I103" s="167">
        <f t="shared" si="1"/>
        <v>889.11</v>
      </c>
      <c r="J103" s="164" t="s">
        <v>469</v>
      </c>
      <c r="K103" s="164" t="s">
        <v>459</v>
      </c>
    </row>
    <row r="104" spans="1:11">
      <c r="A104" s="163" t="s">
        <v>489</v>
      </c>
      <c r="B104" s="163" t="s">
        <v>490</v>
      </c>
      <c r="C104" s="163" t="s">
        <v>1088</v>
      </c>
      <c r="D104" s="163" t="s">
        <v>644</v>
      </c>
      <c r="E104" s="163" t="s">
        <v>642</v>
      </c>
      <c r="F104" s="166">
        <v>45322</v>
      </c>
      <c r="G104" s="165">
        <v>74.84</v>
      </c>
      <c r="I104" s="167">
        <f t="shared" si="1"/>
        <v>74.84</v>
      </c>
      <c r="J104" s="164" t="s">
        <v>469</v>
      </c>
      <c r="K104" s="164" t="s">
        <v>459</v>
      </c>
    </row>
    <row r="105" spans="1:11">
      <c r="A105" s="163" t="s">
        <v>489</v>
      </c>
      <c r="B105" s="163" t="s">
        <v>490</v>
      </c>
      <c r="C105" s="163" t="s">
        <v>1088</v>
      </c>
      <c r="D105" s="163" t="s">
        <v>645</v>
      </c>
      <c r="E105" s="163" t="s">
        <v>642</v>
      </c>
      <c r="F105" s="166">
        <v>45322</v>
      </c>
      <c r="G105" s="165">
        <v>74.84</v>
      </c>
      <c r="I105" s="167">
        <f t="shared" si="1"/>
        <v>74.84</v>
      </c>
      <c r="J105" s="164" t="s">
        <v>469</v>
      </c>
      <c r="K105" s="164" t="s">
        <v>459</v>
      </c>
    </row>
    <row r="106" spans="1:11">
      <c r="A106" s="163" t="s">
        <v>489</v>
      </c>
      <c r="B106" s="163" t="s">
        <v>490</v>
      </c>
      <c r="C106" s="163" t="s">
        <v>1106</v>
      </c>
      <c r="D106" s="163" t="s">
        <v>685</v>
      </c>
      <c r="E106" s="163" t="s">
        <v>670</v>
      </c>
      <c r="F106" s="166">
        <v>45351</v>
      </c>
      <c r="G106" s="165">
        <v>44.25</v>
      </c>
      <c r="I106" s="167">
        <f t="shared" si="1"/>
        <v>44.25</v>
      </c>
      <c r="J106" s="164" t="s">
        <v>469</v>
      </c>
      <c r="K106" s="164" t="s">
        <v>459</v>
      </c>
    </row>
    <row r="107" spans="1:11">
      <c r="A107" s="163" t="s">
        <v>489</v>
      </c>
      <c r="B107" s="163" t="s">
        <v>490</v>
      </c>
      <c r="C107" s="163" t="s">
        <v>1106</v>
      </c>
      <c r="D107" s="163" t="s">
        <v>585</v>
      </c>
      <c r="E107" s="163" t="s">
        <v>670</v>
      </c>
      <c r="F107" s="166">
        <v>45351</v>
      </c>
      <c r="G107" s="165">
        <v>47.94</v>
      </c>
      <c r="I107" s="167">
        <f t="shared" si="1"/>
        <v>47.94</v>
      </c>
      <c r="J107" s="164" t="s">
        <v>469</v>
      </c>
      <c r="K107" s="164" t="s">
        <v>459</v>
      </c>
    </row>
    <row r="108" spans="1:11">
      <c r="A108" s="163" t="s">
        <v>530</v>
      </c>
      <c r="B108" s="163" t="s">
        <v>531</v>
      </c>
      <c r="C108" s="163" t="s">
        <v>1097</v>
      </c>
      <c r="D108" s="163" t="s">
        <v>666</v>
      </c>
      <c r="E108" s="163" t="s">
        <v>642</v>
      </c>
      <c r="F108" s="166">
        <v>45322</v>
      </c>
      <c r="G108" s="165">
        <v>89.81</v>
      </c>
      <c r="I108" s="167">
        <f t="shared" si="1"/>
        <v>89.81</v>
      </c>
      <c r="J108" s="164" t="s">
        <v>469</v>
      </c>
      <c r="K108" s="164" t="s">
        <v>459</v>
      </c>
    </row>
    <row r="109" spans="1:11">
      <c r="A109" s="163" t="s">
        <v>564</v>
      </c>
      <c r="B109" s="163" t="s">
        <v>593</v>
      </c>
      <c r="C109" s="163" t="s">
        <v>1090</v>
      </c>
      <c r="D109" s="163" t="s">
        <v>688</v>
      </c>
      <c r="E109" s="163" t="s">
        <v>689</v>
      </c>
      <c r="F109" s="166">
        <v>45382</v>
      </c>
      <c r="G109" s="165">
        <v>11543.31</v>
      </c>
      <c r="I109" s="167">
        <f t="shared" si="1"/>
        <v>11543.31</v>
      </c>
      <c r="J109" s="164" t="s">
        <v>596</v>
      </c>
      <c r="K109" s="164" t="s">
        <v>459</v>
      </c>
    </row>
    <row r="110" spans="1:11">
      <c r="A110" s="163" t="s">
        <v>564</v>
      </c>
      <c r="B110" s="163" t="s">
        <v>593</v>
      </c>
      <c r="C110" s="163" t="s">
        <v>1090</v>
      </c>
      <c r="D110" s="163" t="s">
        <v>691</v>
      </c>
      <c r="E110" s="163" t="s">
        <v>689</v>
      </c>
      <c r="F110" s="166">
        <v>45382</v>
      </c>
      <c r="G110" s="165">
        <v>12136.84</v>
      </c>
      <c r="I110" s="167">
        <f t="shared" si="1"/>
        <v>12136.84</v>
      </c>
      <c r="J110" s="164" t="s">
        <v>596</v>
      </c>
      <c r="K110" s="164" t="s">
        <v>459</v>
      </c>
    </row>
    <row r="111" spans="1:11">
      <c r="A111" s="163" t="s">
        <v>564</v>
      </c>
      <c r="B111" s="163" t="s">
        <v>593</v>
      </c>
      <c r="C111" s="163" t="s">
        <v>1090</v>
      </c>
      <c r="D111" s="163" t="s">
        <v>692</v>
      </c>
      <c r="E111" s="163" t="s">
        <v>689</v>
      </c>
      <c r="F111" s="166">
        <v>45382</v>
      </c>
      <c r="G111" s="165">
        <v>12268.82</v>
      </c>
      <c r="I111" s="167">
        <f t="shared" si="1"/>
        <v>12268.82</v>
      </c>
      <c r="J111" s="164" t="s">
        <v>596</v>
      </c>
      <c r="K111" s="164" t="s">
        <v>459</v>
      </c>
    </row>
    <row r="112" spans="1:11">
      <c r="A112" s="163" t="s">
        <v>564</v>
      </c>
      <c r="B112" s="163" t="s">
        <v>593</v>
      </c>
      <c r="C112" s="163" t="s">
        <v>1090</v>
      </c>
      <c r="D112" s="163" t="s">
        <v>690</v>
      </c>
      <c r="E112" s="163" t="s">
        <v>689</v>
      </c>
      <c r="F112" s="166">
        <v>45382</v>
      </c>
      <c r="G112" s="165">
        <v>12121.36</v>
      </c>
      <c r="I112" s="167">
        <f t="shared" si="1"/>
        <v>12121.36</v>
      </c>
      <c r="J112" s="164" t="s">
        <v>596</v>
      </c>
      <c r="K112" s="164" t="s">
        <v>459</v>
      </c>
    </row>
    <row r="113" spans="1:9">
      <c r="G113" s="162" t="s">
        <v>210</v>
      </c>
      <c r="H113" s="162" t="s">
        <v>210</v>
      </c>
      <c r="I113" s="162" t="s">
        <v>210</v>
      </c>
    </row>
    <row r="114" spans="1:9">
      <c r="A114" s="164"/>
      <c r="G114" s="165">
        <f>SUM(G10:G113)</f>
        <v>70925.69</v>
      </c>
      <c r="H114" s="165">
        <f t="shared" ref="H114:I114" si="2">SUM(H10:H113)</f>
        <v>0</v>
      </c>
      <c r="I114" s="165">
        <f t="shared" si="2"/>
        <v>70925.69</v>
      </c>
    </row>
    <row r="115" spans="1:9">
      <c r="G115" s="177" t="s">
        <v>210</v>
      </c>
      <c r="H115" s="177" t="s">
        <v>210</v>
      </c>
      <c r="I115" s="177" t="s">
        <v>210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Final narrative report</DocumentType>
    <UploadedBy xmlns="b1528a4b-5ccb-40f7-a09e-43427183cd95">mamadou.salieu.bah@undp.org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MPTF_00006_00974</ProjectId>
    <FundCode xmlns="f9695bc1-6109-4dcd-a27a-f8a0370b00e2">MPTF_00006</FundCode>
    <Comments xmlns="f9695bc1-6109-4dcd-a27a-f8a0370b00e2">Final Finance Report</Comments>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080C9969-1D33-4C93-BD58-AC8BC213ECA2}"/>
</file>

<file path=customXml/itemProps2.xml><?xml version="1.0" encoding="utf-8"?>
<ds:datastoreItem xmlns:ds="http://schemas.openxmlformats.org/officeDocument/2006/customXml" ds:itemID="{8E60FA42-DF53-4159-B587-925DA5EE7AA9}"/>
</file>

<file path=customXml/itemProps3.xml><?xml version="1.0" encoding="utf-8"?>
<ds:datastoreItem xmlns:ds="http://schemas.openxmlformats.org/officeDocument/2006/customXml" ds:itemID="{B4F83BE4-1EF3-4053-B23A-D0A0B9E9C9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UNPBF_FC-3007 Final Report</vt:lpstr>
      <vt:lpstr>Budget Tables- Jan 23-Feb. 25</vt:lpstr>
      <vt:lpstr>MIP Sheet</vt:lpstr>
      <vt:lpstr>MIP run from Jan-Mar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Gambia UNPBF Project Revised Final Report...160625.xlsx</dc:title>
  <dc:subject/>
  <dc:creator>Jennifer Rasmussen</dc:creator>
  <cp:keywords/>
  <dc:description/>
  <cp:lastModifiedBy>Mamadou Salieu Bah</cp:lastModifiedBy>
  <cp:revision/>
  <dcterms:created xsi:type="dcterms:W3CDTF">2023-02-28T17:55:04Z</dcterms:created>
  <dcterms:modified xsi:type="dcterms:W3CDTF">2025-07-02T12:46:31Z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