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mido.jalo\Desktop\PBF ALL DOCS\MYR 2025\7. Political Stabilization and Reform through Confidence Building and Inclusive Dialogue in GNB\Reviewed\Reviwed 25.7.2025\"/>
    </mc:Choice>
  </mc:AlternateContent>
  <xr:revisionPtr revIDLastSave="0" documentId="13_ncr:1_{646D828E-7199-424D-BCAE-A7D0045DA09F}" xr6:coauthVersionLast="47" xr6:coauthVersionMax="47" xr10:uidLastSave="{00000000-0000-0000-0000-000000000000}"/>
  <bookViews>
    <workbookView xWindow="-120" yWindow="-120" windowWidth="29040" windowHeight="15720" firstSheet="1" activeTab="1" xr2:uid="{00000000-000D-0000-FFFF-FFFF00000000}"/>
  </bookViews>
  <sheets>
    <sheet name="Instructions" sheetId="9" r:id="rId1"/>
    <sheet name="1c) Combined by budget activity" sheetId="13" r:id="rId2"/>
    <sheet name="2a) By Category Phase I+ II"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3" l="1"/>
  <c r="R164" i="13"/>
  <c r="G89" i="5"/>
  <c r="S96" i="13"/>
  <c r="D57" i="5" l="1"/>
  <c r="D55" i="5"/>
  <c r="Q165" i="13" l="1"/>
  <c r="D116" i="5"/>
  <c r="D110" i="5"/>
  <c r="D113" i="5"/>
  <c r="Q164" i="13"/>
  <c r="D10" i="5"/>
  <c r="D13" i="5"/>
  <c r="D47" i="5"/>
  <c r="Q63" i="13"/>
  <c r="Q61" i="13"/>
  <c r="Q55" i="13"/>
  <c r="Q14" i="13"/>
  <c r="D192" i="13" l="1"/>
  <c r="J58" i="13"/>
  <c r="J54" i="13"/>
  <c r="J53" i="13"/>
  <c r="J52" i="13"/>
  <c r="J51" i="13"/>
  <c r="J50" i="13"/>
  <c r="J49" i="13"/>
  <c r="J48" i="13"/>
  <c r="J23" i="13"/>
  <c r="J22" i="13"/>
  <c r="J21" i="13"/>
  <c r="J20" i="13"/>
  <c r="J19" i="13"/>
  <c r="J18" i="13"/>
  <c r="J17" i="13"/>
  <c r="J14" i="13"/>
  <c r="J13" i="13"/>
  <c r="J12" i="13"/>
  <c r="J11" i="13"/>
  <c r="J10" i="13"/>
  <c r="J9" i="13"/>
  <c r="R24" i="13"/>
  <c r="R23" i="13"/>
  <c r="R22" i="13"/>
  <c r="R21" i="13"/>
  <c r="R20" i="13"/>
  <c r="R19" i="13"/>
  <c r="R18" i="13"/>
  <c r="R17" i="13"/>
  <c r="R14" i="13"/>
  <c r="R13" i="13"/>
  <c r="R12" i="13"/>
  <c r="R11" i="13"/>
  <c r="R10" i="13"/>
  <c r="S8" i="13"/>
  <c r="Q23" i="13" l="1"/>
  <c r="Q12" i="13"/>
  <c r="Q13" i="13"/>
  <c r="E127" i="5"/>
  <c r="E110" i="5"/>
  <c r="E12" i="5"/>
  <c r="D115" i="5"/>
  <c r="D70" i="5"/>
  <c r="Q10" i="13"/>
  <c r="D114" i="5"/>
  <c r="D21" i="5"/>
  <c r="D26" i="5"/>
  <c r="D46" i="5" l="1"/>
  <c r="Q54" i="13"/>
  <c r="D44" i="5"/>
  <c r="R55" i="13"/>
  <c r="R56" i="13" s="1"/>
  <c r="Q11" i="13"/>
  <c r="Q104" i="13" l="1"/>
  <c r="O168" i="13" l="1"/>
  <c r="O109" i="13"/>
  <c r="O99" i="13"/>
  <c r="O93" i="13"/>
  <c r="O74" i="13"/>
  <c r="O66" i="13"/>
  <c r="O56" i="13"/>
  <c r="O24" i="13"/>
  <c r="O15" i="13"/>
  <c r="H168" i="13"/>
  <c r="H109" i="13"/>
  <c r="H99" i="13"/>
  <c r="H93" i="13"/>
  <c r="H74" i="13"/>
  <c r="H66" i="13"/>
  <c r="H56" i="13"/>
  <c r="H24" i="13"/>
  <c r="H15" i="13"/>
  <c r="Q53" i="13" l="1"/>
  <c r="D111" i="5"/>
  <c r="D12" i="5"/>
  <c r="Q22" i="13"/>
  <c r="D23" i="5"/>
  <c r="Q21" i="13"/>
  <c r="D24" i="5"/>
  <c r="I175" i="13"/>
  <c r="I174" i="13"/>
  <c r="I171" i="13"/>
  <c r="D48" i="5"/>
  <c r="Q56" i="13" l="1"/>
  <c r="Q66" i="13"/>
  <c r="Q74" i="13"/>
  <c r="Q93" i="13"/>
  <c r="Q99" i="13"/>
  <c r="Q109" i="13"/>
  <c r="Q168" i="13"/>
  <c r="Q52" i="13"/>
  <c r="R52" i="13" l="1"/>
  <c r="S14" i="13"/>
  <c r="S13" i="13"/>
  <c r="S12" i="13"/>
  <c r="S11" i="13"/>
  <c r="S10" i="13"/>
  <c r="S9" i="13"/>
  <c r="N8" i="13"/>
  <c r="R74" i="13" l="1"/>
  <c r="R167" i="13"/>
  <c r="R166" i="13"/>
  <c r="R165" i="13"/>
  <c r="R104" i="13"/>
  <c r="R109" i="13" s="1"/>
  <c r="R103" i="13"/>
  <c r="R102" i="13"/>
  <c r="R101" i="13"/>
  <c r="R98" i="13"/>
  <c r="R97" i="13"/>
  <c r="R99" i="13" s="1"/>
  <c r="R96" i="13"/>
  <c r="R95" i="13"/>
  <c r="R92" i="13"/>
  <c r="R91" i="13"/>
  <c r="R90" i="13"/>
  <c r="R89" i="13"/>
  <c r="R88" i="13"/>
  <c r="R93" i="13" s="1"/>
  <c r="R73" i="13"/>
  <c r="R72" i="13"/>
  <c r="R71" i="13"/>
  <c r="R70" i="13"/>
  <c r="R69" i="13"/>
  <c r="R68" i="13"/>
  <c r="R65" i="13"/>
  <c r="R64" i="13"/>
  <c r="R63" i="13"/>
  <c r="R62" i="13"/>
  <c r="R61" i="13"/>
  <c r="R60" i="13"/>
  <c r="R59" i="13"/>
  <c r="R58" i="13"/>
  <c r="R54" i="13"/>
  <c r="R53" i="13"/>
  <c r="R51" i="13"/>
  <c r="R50" i="13"/>
  <c r="R49" i="13"/>
  <c r="R48" i="13"/>
  <c r="R9" i="13"/>
  <c r="R8" i="13"/>
  <c r="J15" i="13"/>
  <c r="J24" i="13"/>
  <c r="J66" i="13"/>
  <c r="J74" i="13"/>
  <c r="J93" i="13"/>
  <c r="J99" i="13"/>
  <c r="J109" i="13"/>
  <c r="J168" i="13"/>
  <c r="J167" i="13"/>
  <c r="J166" i="13"/>
  <c r="J164" i="13"/>
  <c r="J104" i="13"/>
  <c r="J103" i="13"/>
  <c r="J102" i="13"/>
  <c r="J101" i="13"/>
  <c r="J98" i="13"/>
  <c r="J97" i="13"/>
  <c r="J96" i="13"/>
  <c r="J95" i="13"/>
  <c r="J92" i="13"/>
  <c r="J91" i="13"/>
  <c r="J90" i="13"/>
  <c r="J89" i="13"/>
  <c r="J88" i="13"/>
  <c r="J73" i="13"/>
  <c r="J72" i="13"/>
  <c r="J71" i="13"/>
  <c r="J70" i="13"/>
  <c r="J69" i="13"/>
  <c r="J68" i="13"/>
  <c r="J65" i="13"/>
  <c r="J64" i="13"/>
  <c r="J63" i="13"/>
  <c r="J62" i="13"/>
  <c r="J61" i="13"/>
  <c r="J60" i="13"/>
  <c r="J59" i="13"/>
  <c r="J55" i="13"/>
  <c r="J26" i="13"/>
  <c r="R15" i="13" l="1"/>
  <c r="R66" i="13"/>
  <c r="R168" i="13"/>
  <c r="I168" i="13"/>
  <c r="K201" i="13"/>
  <c r="D195" i="13"/>
  <c r="O201" i="13" s="1"/>
  <c r="G5" i="5"/>
  <c r="G120" i="5" s="1"/>
  <c r="E5" i="5"/>
  <c r="E120" i="5" s="1"/>
  <c r="F5" i="5"/>
  <c r="F120" i="5" s="1"/>
  <c r="D5" i="5"/>
  <c r="D120" i="5" s="1"/>
  <c r="F20" i="4"/>
  <c r="E20" i="4"/>
  <c r="D20" i="4"/>
  <c r="C20" i="4"/>
  <c r="F6" i="4"/>
  <c r="D6" i="4"/>
  <c r="E6" i="4"/>
  <c r="C6" i="4"/>
  <c r="F122" i="5" l="1"/>
  <c r="E8" i="4" s="1"/>
  <c r="F117" i="5"/>
  <c r="G117" i="5"/>
  <c r="F128" i="5"/>
  <c r="E14" i="4" s="1"/>
  <c r="F127" i="5"/>
  <c r="E13" i="4" s="1"/>
  <c r="F126" i="5"/>
  <c r="E12" i="4" s="1"/>
  <c r="F125" i="5"/>
  <c r="E11" i="4" s="1"/>
  <c r="F124" i="5"/>
  <c r="E10" i="4" s="1"/>
  <c r="F123" i="5"/>
  <c r="E9" i="4" s="1"/>
  <c r="F98" i="5"/>
  <c r="F87" i="5"/>
  <c r="F76" i="5"/>
  <c r="E61" i="5"/>
  <c r="F61" i="5"/>
  <c r="G61" i="5"/>
  <c r="S34" i="13"/>
  <c r="Q34" i="13"/>
  <c r="S167" i="13"/>
  <c r="S166" i="13"/>
  <c r="S104" i="13"/>
  <c r="S103" i="13"/>
  <c r="S102" i="13"/>
  <c r="S101" i="13"/>
  <c r="S98" i="13"/>
  <c r="S97" i="13"/>
  <c r="S95" i="13"/>
  <c r="S91" i="13"/>
  <c r="S90" i="13"/>
  <c r="S89" i="13"/>
  <c r="S88" i="13"/>
  <c r="S73" i="13"/>
  <c r="S72" i="13"/>
  <c r="S71" i="13"/>
  <c r="S70" i="13"/>
  <c r="S69" i="13"/>
  <c r="S68" i="13"/>
  <c r="S65" i="13"/>
  <c r="S64" i="13"/>
  <c r="S62" i="13"/>
  <c r="S61" i="13"/>
  <c r="S60" i="13"/>
  <c r="S59" i="13"/>
  <c r="S55" i="13"/>
  <c r="S54" i="13"/>
  <c r="S53" i="13"/>
  <c r="S52" i="13"/>
  <c r="S51" i="13"/>
  <c r="S50" i="13"/>
  <c r="S49" i="13"/>
  <c r="S48" i="13"/>
  <c r="S23" i="13"/>
  <c r="S22" i="13"/>
  <c r="S21" i="13"/>
  <c r="S20" i="13"/>
  <c r="S19" i="13"/>
  <c r="S18" i="13"/>
  <c r="S17" i="13"/>
  <c r="S165" i="13"/>
  <c r="S164" i="13"/>
  <c r="Q92" i="13"/>
  <c r="S92" i="13" s="1"/>
  <c r="S63" i="13"/>
  <c r="Q24" i="13"/>
  <c r="Q15" i="13"/>
  <c r="O194" i="13"/>
  <c r="L193" i="13"/>
  <c r="K193" i="13"/>
  <c r="P64" i="13"/>
  <c r="Q171" i="13" l="1"/>
  <c r="Q174" i="13" s="1"/>
  <c r="Q175" i="13" s="1"/>
  <c r="S109" i="13"/>
  <c r="S15" i="13"/>
  <c r="S168" i="13"/>
  <c r="E15" i="4"/>
  <c r="E16" i="4" s="1"/>
  <c r="E17" i="4" s="1"/>
  <c r="F129" i="5"/>
  <c r="S56" i="13"/>
  <c r="S74" i="13"/>
  <c r="S99" i="13"/>
  <c r="S24" i="13"/>
  <c r="S93" i="13"/>
  <c r="F130" i="5" l="1"/>
  <c r="F131" i="5"/>
  <c r="I58" i="13"/>
  <c r="F56" i="13"/>
  <c r="F168" i="13"/>
  <c r="F109" i="5" s="1"/>
  <c r="G167" i="13"/>
  <c r="G166" i="13"/>
  <c r="G165" i="13"/>
  <c r="G164" i="13"/>
  <c r="G104" i="13"/>
  <c r="G103" i="13"/>
  <c r="G102" i="13"/>
  <c r="G101" i="13"/>
  <c r="G98" i="13"/>
  <c r="G97" i="13"/>
  <c r="G96" i="13"/>
  <c r="G95" i="13"/>
  <c r="G92" i="13"/>
  <c r="G91" i="13"/>
  <c r="G90" i="13"/>
  <c r="G89" i="13"/>
  <c r="G88" i="13"/>
  <c r="E74" i="13"/>
  <c r="F74" i="13"/>
  <c r="G73" i="13"/>
  <c r="G72" i="13"/>
  <c r="G71" i="13"/>
  <c r="G70" i="13"/>
  <c r="G69" i="13"/>
  <c r="G68" i="13"/>
  <c r="F66" i="13"/>
  <c r="E66" i="13"/>
  <c r="D66" i="13"/>
  <c r="G65" i="13"/>
  <c r="G63" i="13"/>
  <c r="G62" i="13"/>
  <c r="G61" i="13"/>
  <c r="G60" i="13"/>
  <c r="G59" i="13"/>
  <c r="G58" i="13"/>
  <c r="G55" i="13"/>
  <c r="G54" i="13"/>
  <c r="G53" i="13"/>
  <c r="G52" i="13"/>
  <c r="G51" i="13"/>
  <c r="G50" i="13"/>
  <c r="G49" i="13"/>
  <c r="G48" i="13"/>
  <c r="E56" i="13"/>
  <c r="D56" i="13"/>
  <c r="E34" i="13"/>
  <c r="E30" i="5" s="1"/>
  <c r="F34" i="13"/>
  <c r="F30" i="5" s="1"/>
  <c r="G34" i="13"/>
  <c r="D34" i="13"/>
  <c r="D30" i="5" s="1"/>
  <c r="F24" i="13"/>
  <c r="G23" i="13"/>
  <c r="G22" i="13"/>
  <c r="G21" i="13"/>
  <c r="G20" i="13"/>
  <c r="G19" i="13"/>
  <c r="G18" i="13"/>
  <c r="G17" i="13"/>
  <c r="G14" i="13"/>
  <c r="G13" i="13"/>
  <c r="G12" i="13"/>
  <c r="G11" i="13"/>
  <c r="E24" i="13"/>
  <c r="E15" i="13"/>
  <c r="F15" i="13"/>
  <c r="F8" i="5" s="1"/>
  <c r="D15" i="13"/>
  <c r="G10" i="13"/>
  <c r="G9" i="13"/>
  <c r="G8" i="13"/>
  <c r="S58" i="13" l="1"/>
  <c r="S66" i="13" s="1"/>
  <c r="G168" i="13"/>
  <c r="E176" i="13"/>
  <c r="P182" i="13" s="1"/>
  <c r="G74" i="13"/>
  <c r="G56" i="13"/>
  <c r="G66" i="13"/>
  <c r="G24" i="13"/>
  <c r="G15" i="13"/>
  <c r="D127" i="5" l="1"/>
  <c r="D13" i="4"/>
  <c r="G127" i="5"/>
  <c r="F13" i="4" s="1"/>
  <c r="N9" i="13"/>
  <c r="P9" i="13" s="1"/>
  <c r="N10" i="13"/>
  <c r="P10" i="13" s="1"/>
  <c r="N11" i="13"/>
  <c r="P11" i="13" s="1"/>
  <c r="N12" i="13"/>
  <c r="P12" i="13" s="1"/>
  <c r="N13" i="13"/>
  <c r="P13" i="13" s="1"/>
  <c r="N14" i="13"/>
  <c r="P14" i="13" s="1"/>
  <c r="N17" i="13"/>
  <c r="N18" i="13"/>
  <c r="P18" i="13" s="1"/>
  <c r="N19" i="13"/>
  <c r="P19" i="13" s="1"/>
  <c r="N20" i="13"/>
  <c r="P20" i="13" s="1"/>
  <c r="N21" i="13"/>
  <c r="P21" i="13" s="1"/>
  <c r="N22" i="13"/>
  <c r="P22" i="13" s="1"/>
  <c r="N23" i="13"/>
  <c r="P23" i="13" s="1"/>
  <c r="N26" i="13"/>
  <c r="P26" i="13" s="1"/>
  <c r="N27" i="13"/>
  <c r="P27" i="13" s="1"/>
  <c r="N28" i="13"/>
  <c r="N29" i="13"/>
  <c r="P29" i="13" s="1"/>
  <c r="N30" i="13"/>
  <c r="N31" i="13"/>
  <c r="P31" i="13" s="1"/>
  <c r="N32" i="13"/>
  <c r="N33" i="13"/>
  <c r="P33" i="13" s="1"/>
  <c r="N48" i="13"/>
  <c r="P48" i="13" s="1"/>
  <c r="N49" i="13"/>
  <c r="P49" i="13" s="1"/>
  <c r="N50" i="13"/>
  <c r="P50" i="13" s="1"/>
  <c r="N51" i="13"/>
  <c r="P51" i="13" s="1"/>
  <c r="N52" i="13"/>
  <c r="P52" i="13" s="1"/>
  <c r="N53" i="13"/>
  <c r="P53" i="13" s="1"/>
  <c r="N54" i="13"/>
  <c r="P54" i="13" s="1"/>
  <c r="N55" i="13"/>
  <c r="P55" i="13" s="1"/>
  <c r="N58" i="13"/>
  <c r="N59" i="13"/>
  <c r="P59" i="13" s="1"/>
  <c r="N60" i="13"/>
  <c r="P60" i="13" s="1"/>
  <c r="N61" i="13"/>
  <c r="P61" i="13" s="1"/>
  <c r="N62" i="13"/>
  <c r="P62" i="13" s="1"/>
  <c r="N63" i="13"/>
  <c r="P63" i="13" s="1"/>
  <c r="N65" i="13"/>
  <c r="N68" i="13"/>
  <c r="P68" i="13" s="1"/>
  <c r="N69" i="13"/>
  <c r="P69" i="13" s="1"/>
  <c r="N70" i="13"/>
  <c r="P70" i="13" s="1"/>
  <c r="N71" i="13"/>
  <c r="P71" i="13" s="1"/>
  <c r="N72" i="13"/>
  <c r="P72" i="13" s="1"/>
  <c r="N73" i="13"/>
  <c r="P73" i="13" s="1"/>
  <c r="N88" i="13"/>
  <c r="P88" i="13" s="1"/>
  <c r="N89" i="13"/>
  <c r="P89" i="13" s="1"/>
  <c r="N90" i="13"/>
  <c r="P90" i="13" s="1"/>
  <c r="N91" i="13"/>
  <c r="P91" i="13" s="1"/>
  <c r="N92" i="13"/>
  <c r="P92" i="13" s="1"/>
  <c r="N95" i="13"/>
  <c r="P95" i="13" s="1"/>
  <c r="N96" i="13"/>
  <c r="P96" i="13" s="1"/>
  <c r="N97" i="13"/>
  <c r="P97" i="13" s="1"/>
  <c r="N98" i="13"/>
  <c r="P98" i="13" s="1"/>
  <c r="N101" i="13"/>
  <c r="P101" i="13" s="1"/>
  <c r="N102" i="13"/>
  <c r="P102" i="13" s="1"/>
  <c r="N103" i="13"/>
  <c r="P103" i="13" s="1"/>
  <c r="N104" i="13"/>
  <c r="P104" i="13" s="1"/>
  <c r="N105" i="13"/>
  <c r="N106" i="13"/>
  <c r="N107" i="13"/>
  <c r="P107" i="13" s="1"/>
  <c r="N108" i="13"/>
  <c r="P108" i="13" s="1"/>
  <c r="N164" i="13"/>
  <c r="N165" i="13"/>
  <c r="P165" i="13" s="1"/>
  <c r="N166" i="13"/>
  <c r="P166" i="13" s="1"/>
  <c r="N167" i="13"/>
  <c r="P167" i="13" s="1"/>
  <c r="M193" i="13"/>
  <c r="G188" i="13"/>
  <c r="M168" i="13"/>
  <c r="G109" i="5" s="1"/>
  <c r="L168" i="13"/>
  <c r="K168" i="13"/>
  <c r="E168" i="13"/>
  <c r="D168" i="13"/>
  <c r="M161" i="13"/>
  <c r="L161" i="13"/>
  <c r="K161" i="13"/>
  <c r="J161" i="13"/>
  <c r="I161" i="13"/>
  <c r="H161" i="13"/>
  <c r="D161" i="13"/>
  <c r="N160" i="13"/>
  <c r="P160" i="13" s="1"/>
  <c r="N159" i="13"/>
  <c r="P159" i="13" s="1"/>
  <c r="N158" i="13"/>
  <c r="P158" i="13" s="1"/>
  <c r="N157" i="13"/>
  <c r="P157" i="13" s="1"/>
  <c r="N156" i="13"/>
  <c r="P156" i="13" s="1"/>
  <c r="N155" i="13"/>
  <c r="P155" i="13" s="1"/>
  <c r="N154" i="13"/>
  <c r="P154" i="13" s="1"/>
  <c r="N153" i="13"/>
  <c r="P153" i="13" s="1"/>
  <c r="M151" i="13"/>
  <c r="L151" i="13"/>
  <c r="K151" i="13"/>
  <c r="J151" i="13"/>
  <c r="I151" i="13"/>
  <c r="H151" i="13"/>
  <c r="D151" i="13"/>
  <c r="N150" i="13"/>
  <c r="P150" i="13" s="1"/>
  <c r="N149" i="13"/>
  <c r="P149" i="13" s="1"/>
  <c r="N148" i="13"/>
  <c r="P148" i="13" s="1"/>
  <c r="N147" i="13"/>
  <c r="P147" i="13" s="1"/>
  <c r="N146" i="13"/>
  <c r="P146" i="13" s="1"/>
  <c r="N145" i="13"/>
  <c r="P145" i="13" s="1"/>
  <c r="N144" i="13"/>
  <c r="P144" i="13" s="1"/>
  <c r="N143" i="13"/>
  <c r="P143" i="13" s="1"/>
  <c r="M141" i="13"/>
  <c r="L141" i="13"/>
  <c r="K141" i="13"/>
  <c r="J141" i="13"/>
  <c r="I141" i="13"/>
  <c r="H141" i="13"/>
  <c r="D141" i="13"/>
  <c r="N140" i="13"/>
  <c r="P140" i="13" s="1"/>
  <c r="N139" i="13"/>
  <c r="P139" i="13" s="1"/>
  <c r="N138" i="13"/>
  <c r="P138" i="13" s="1"/>
  <c r="N137" i="13"/>
  <c r="P137" i="13" s="1"/>
  <c r="N136" i="13"/>
  <c r="P136" i="13" s="1"/>
  <c r="N135" i="13"/>
  <c r="P135" i="13" s="1"/>
  <c r="N134" i="13"/>
  <c r="P134" i="13" s="1"/>
  <c r="N133" i="13"/>
  <c r="P133" i="13" s="1"/>
  <c r="M131" i="13"/>
  <c r="L131" i="13"/>
  <c r="K131" i="13"/>
  <c r="J131" i="13"/>
  <c r="I131" i="13"/>
  <c r="H131" i="13"/>
  <c r="D131" i="13"/>
  <c r="N130" i="13"/>
  <c r="P130" i="13" s="1"/>
  <c r="N129" i="13"/>
  <c r="P129" i="13" s="1"/>
  <c r="N128" i="13"/>
  <c r="P128" i="13" s="1"/>
  <c r="N127" i="13"/>
  <c r="P127" i="13" s="1"/>
  <c r="N126" i="13"/>
  <c r="P126" i="13" s="1"/>
  <c r="N125" i="13"/>
  <c r="P125" i="13" s="1"/>
  <c r="N124" i="13"/>
  <c r="P124" i="13" s="1"/>
  <c r="N123" i="13"/>
  <c r="P123" i="13" s="1"/>
  <c r="M119" i="13"/>
  <c r="L119" i="13"/>
  <c r="K119" i="13"/>
  <c r="J119" i="13"/>
  <c r="I119" i="13"/>
  <c r="H119" i="13"/>
  <c r="D119" i="13"/>
  <c r="N118" i="13"/>
  <c r="P118" i="13" s="1"/>
  <c r="N117" i="13"/>
  <c r="P117" i="13" s="1"/>
  <c r="N116" i="13"/>
  <c r="P116" i="13" s="1"/>
  <c r="N115" i="13"/>
  <c r="P115" i="13" s="1"/>
  <c r="N114" i="13"/>
  <c r="P114" i="13" s="1"/>
  <c r="N113" i="13"/>
  <c r="P113" i="13" s="1"/>
  <c r="N112" i="13"/>
  <c r="P112" i="13" s="1"/>
  <c r="N111" i="13"/>
  <c r="P111" i="13" s="1"/>
  <c r="M109" i="13"/>
  <c r="G98" i="5" s="1"/>
  <c r="L109" i="13"/>
  <c r="E98" i="5" s="1"/>
  <c r="K109" i="13"/>
  <c r="I109" i="13"/>
  <c r="D109" i="13"/>
  <c r="P106" i="13"/>
  <c r="P105" i="13"/>
  <c r="M99" i="13"/>
  <c r="G87" i="5" s="1"/>
  <c r="L99" i="13"/>
  <c r="E87" i="5" s="1"/>
  <c r="K99" i="13"/>
  <c r="I99" i="13"/>
  <c r="D99" i="13"/>
  <c r="M93" i="13"/>
  <c r="G76" i="5" s="1"/>
  <c r="L93" i="13"/>
  <c r="E76" i="5" s="1"/>
  <c r="K93" i="13"/>
  <c r="I93" i="13"/>
  <c r="D93" i="13"/>
  <c r="M84" i="13"/>
  <c r="L84" i="13"/>
  <c r="K84" i="13"/>
  <c r="J84" i="13"/>
  <c r="I84" i="13"/>
  <c r="H84" i="13"/>
  <c r="D84" i="13"/>
  <c r="N83" i="13"/>
  <c r="P83" i="13" s="1"/>
  <c r="N82" i="13"/>
  <c r="P82" i="13" s="1"/>
  <c r="N81" i="13"/>
  <c r="P81" i="13" s="1"/>
  <c r="N80" i="13"/>
  <c r="P80" i="13" s="1"/>
  <c r="N79" i="13"/>
  <c r="P79" i="13" s="1"/>
  <c r="N78" i="13"/>
  <c r="P78" i="13" s="1"/>
  <c r="N77" i="13"/>
  <c r="P77" i="13" s="1"/>
  <c r="N76" i="13"/>
  <c r="P76" i="13" s="1"/>
  <c r="M74" i="13"/>
  <c r="L74" i="13"/>
  <c r="E64" i="5" s="1"/>
  <c r="K74" i="13"/>
  <c r="I74" i="13"/>
  <c r="D74" i="13"/>
  <c r="M66" i="13"/>
  <c r="L66" i="13"/>
  <c r="E53" i="5" s="1"/>
  <c r="K66" i="13"/>
  <c r="D53" i="5" s="1"/>
  <c r="I66" i="13"/>
  <c r="M56" i="13"/>
  <c r="L56" i="13"/>
  <c r="E42" i="5" s="1"/>
  <c r="K56" i="13"/>
  <c r="D42" i="5" s="1"/>
  <c r="I56" i="13"/>
  <c r="M44" i="13"/>
  <c r="L44" i="13"/>
  <c r="K44" i="13"/>
  <c r="J44" i="13"/>
  <c r="I44" i="13"/>
  <c r="H44" i="13"/>
  <c r="D44" i="13"/>
  <c r="N43" i="13"/>
  <c r="P43" i="13" s="1"/>
  <c r="N42" i="13"/>
  <c r="P42" i="13" s="1"/>
  <c r="N41" i="13"/>
  <c r="P41" i="13" s="1"/>
  <c r="N40" i="13"/>
  <c r="P40" i="13" s="1"/>
  <c r="N39" i="13"/>
  <c r="P39" i="13" s="1"/>
  <c r="N38" i="13"/>
  <c r="P38" i="13" s="1"/>
  <c r="N37" i="13"/>
  <c r="P37" i="13" s="1"/>
  <c r="N36" i="13"/>
  <c r="P36" i="13" s="1"/>
  <c r="M34" i="13"/>
  <c r="G30" i="5" s="1"/>
  <c r="L34" i="13"/>
  <c r="K34" i="13"/>
  <c r="J34" i="13"/>
  <c r="I34" i="13"/>
  <c r="P30" i="13"/>
  <c r="P28" i="13"/>
  <c r="M24" i="13"/>
  <c r="L24" i="13"/>
  <c r="E19" i="5" s="1"/>
  <c r="K24" i="13"/>
  <c r="I24" i="13"/>
  <c r="D24" i="13"/>
  <c r="D19" i="5" s="1"/>
  <c r="M15" i="13"/>
  <c r="G8" i="5" s="1"/>
  <c r="L15" i="13"/>
  <c r="E8" i="5" s="1"/>
  <c r="K15" i="13"/>
  <c r="D8" i="5" s="1"/>
  <c r="I15" i="13"/>
  <c r="E122" i="5"/>
  <c r="D8" i="4" s="1"/>
  <c r="E123" i="5"/>
  <c r="D9" i="4" s="1"/>
  <c r="E124" i="5"/>
  <c r="D10" i="4" s="1"/>
  <c r="E125" i="5"/>
  <c r="D11" i="4" s="1"/>
  <c r="E126" i="5"/>
  <c r="D12" i="4" s="1"/>
  <c r="E128" i="5"/>
  <c r="D14" i="4" s="1"/>
  <c r="G128" i="5"/>
  <c r="F14" i="4" s="1"/>
  <c r="G126" i="5"/>
  <c r="F12" i="4" s="1"/>
  <c r="G125" i="5"/>
  <c r="F11" i="4" s="1"/>
  <c r="G124" i="5"/>
  <c r="F10" i="4" s="1"/>
  <c r="G123" i="5"/>
  <c r="F9" i="4" s="1"/>
  <c r="D123" i="5"/>
  <c r="G122" i="5"/>
  <c r="F8" i="4" s="1"/>
  <c r="E177" i="13"/>
  <c r="E178" i="13" s="1"/>
  <c r="D128" i="5"/>
  <c r="D126" i="5"/>
  <c r="D125" i="5"/>
  <c r="D124" i="5"/>
  <c r="D122" i="5"/>
  <c r="C8" i="4" s="1"/>
  <c r="G84" i="5"/>
  <c r="E84" i="5"/>
  <c r="D84" i="5"/>
  <c r="H84" i="5" s="1"/>
  <c r="H83" i="5"/>
  <c r="H82" i="5"/>
  <c r="H81" i="5"/>
  <c r="H80" i="5"/>
  <c r="H79" i="5"/>
  <c r="H78" i="5"/>
  <c r="H77" i="5"/>
  <c r="H60" i="5"/>
  <c r="H58" i="5"/>
  <c r="H57" i="5"/>
  <c r="H56" i="5"/>
  <c r="H55" i="5"/>
  <c r="H54" i="5"/>
  <c r="G72" i="5"/>
  <c r="E72" i="5"/>
  <c r="H71" i="5"/>
  <c r="H70" i="5"/>
  <c r="H69" i="5"/>
  <c r="H67" i="5"/>
  <c r="H66" i="5"/>
  <c r="H65" i="5"/>
  <c r="G95" i="5"/>
  <c r="H95" i="5" s="1"/>
  <c r="E95" i="5"/>
  <c r="H94" i="5"/>
  <c r="H93" i="5"/>
  <c r="H92" i="5"/>
  <c r="H90" i="5"/>
  <c r="H89" i="5"/>
  <c r="H88" i="5"/>
  <c r="G106" i="5"/>
  <c r="H106" i="5" s="1"/>
  <c r="E106" i="5"/>
  <c r="H105" i="5"/>
  <c r="H104" i="5"/>
  <c r="H103" i="5"/>
  <c r="H101" i="5"/>
  <c r="H100" i="5"/>
  <c r="H99" i="5"/>
  <c r="D61" i="5"/>
  <c r="H61" i="5" s="1"/>
  <c r="D72" i="5"/>
  <c r="H59" i="5"/>
  <c r="H68" i="5"/>
  <c r="D95" i="5"/>
  <c r="H91" i="5"/>
  <c r="D106" i="5"/>
  <c r="H102" i="5"/>
  <c r="G50" i="5"/>
  <c r="E50" i="5"/>
  <c r="D50" i="5"/>
  <c r="H49" i="5"/>
  <c r="H48" i="5"/>
  <c r="H47" i="5"/>
  <c r="H46" i="5"/>
  <c r="H45" i="5"/>
  <c r="H44" i="5"/>
  <c r="H43" i="5"/>
  <c r="G16" i="5"/>
  <c r="E16" i="5"/>
  <c r="D16" i="5"/>
  <c r="E117" i="5"/>
  <c r="D117" i="5"/>
  <c r="H115" i="5"/>
  <c r="H114" i="5"/>
  <c r="H113" i="5"/>
  <c r="H112" i="5"/>
  <c r="H111" i="5"/>
  <c r="H110" i="5"/>
  <c r="H20" i="5"/>
  <c r="H21" i="5"/>
  <c r="H22" i="5"/>
  <c r="H23" i="5"/>
  <c r="H24" i="5"/>
  <c r="H25" i="5"/>
  <c r="H26" i="5"/>
  <c r="D27" i="5"/>
  <c r="E27" i="5"/>
  <c r="G27" i="5"/>
  <c r="H31" i="5"/>
  <c r="H32" i="5"/>
  <c r="H33" i="5"/>
  <c r="H34" i="5"/>
  <c r="H35" i="5"/>
  <c r="H36" i="5"/>
  <c r="H37" i="5"/>
  <c r="D38" i="5"/>
  <c r="E38" i="5"/>
  <c r="G38" i="5"/>
  <c r="H9" i="5"/>
  <c r="H10" i="5"/>
  <c r="H11" i="5"/>
  <c r="H13" i="5"/>
  <c r="H14" i="5"/>
  <c r="C29" i="6"/>
  <c r="D36" i="6" s="1"/>
  <c r="C18" i="6"/>
  <c r="D24" i="6" s="1"/>
  <c r="C40" i="6"/>
  <c r="D45" i="6" s="1"/>
  <c r="D47" i="6"/>
  <c r="C7" i="6"/>
  <c r="D14" i="6" s="1"/>
  <c r="H15" i="5"/>
  <c r="H116" i="5"/>
  <c r="H12" i="5"/>
  <c r="H72" i="5" l="1"/>
  <c r="C14" i="4"/>
  <c r="C12" i="4"/>
  <c r="C11" i="4"/>
  <c r="C13" i="4"/>
  <c r="D109" i="5"/>
  <c r="G53" i="5"/>
  <c r="F53" i="5"/>
  <c r="H53" i="5" s="1"/>
  <c r="D64" i="5"/>
  <c r="P65" i="13"/>
  <c r="D87" i="5"/>
  <c r="H87" i="5" s="1"/>
  <c r="G42" i="5"/>
  <c r="F42" i="5"/>
  <c r="D98" i="5"/>
  <c r="G64" i="5"/>
  <c r="F64" i="5"/>
  <c r="D76" i="5"/>
  <c r="G19" i="5"/>
  <c r="F19" i="5"/>
  <c r="H19" i="5" s="1"/>
  <c r="D176" i="13"/>
  <c r="D177" i="13" s="1"/>
  <c r="D178" i="13" s="1"/>
  <c r="D186" i="13" s="1"/>
  <c r="D23" i="4" s="1"/>
  <c r="E109" i="5"/>
  <c r="H16" i="5"/>
  <c r="D23" i="6"/>
  <c r="D21" i="6"/>
  <c r="C19" i="6" s="1"/>
  <c r="H124" i="5"/>
  <c r="H50" i="5"/>
  <c r="H117" i="5"/>
  <c r="C10" i="4"/>
  <c r="G10" i="4" s="1"/>
  <c r="H38" i="5"/>
  <c r="H126" i="5"/>
  <c r="G129" i="5"/>
  <c r="G130" i="5" s="1"/>
  <c r="G131" i="5" s="1"/>
  <c r="F15" i="4"/>
  <c r="F16" i="4" s="1"/>
  <c r="F17" i="4" s="1"/>
  <c r="H123" i="5"/>
  <c r="H125" i="5"/>
  <c r="H27" i="5"/>
  <c r="G8" i="4"/>
  <c r="G14" i="4"/>
  <c r="E129" i="5"/>
  <c r="H122" i="5"/>
  <c r="G13" i="4"/>
  <c r="C9" i="4"/>
  <c r="D129" i="5"/>
  <c r="D15" i="4"/>
  <c r="H76" i="5"/>
  <c r="H128" i="5"/>
  <c r="H127" i="5"/>
  <c r="P58" i="13"/>
  <c r="P66" i="13" s="1"/>
  <c r="P8" i="13"/>
  <c r="P15" i="13" s="1"/>
  <c r="P17" i="13"/>
  <c r="N99" i="13"/>
  <c r="K182" i="13"/>
  <c r="K183" i="13" s="1"/>
  <c r="K184" i="13" s="1"/>
  <c r="L182" i="13"/>
  <c r="L183" i="13" s="1"/>
  <c r="L184" i="13" s="1"/>
  <c r="M182" i="13"/>
  <c r="N168" i="13"/>
  <c r="P164" i="13"/>
  <c r="P168" i="13" s="1"/>
  <c r="C176" i="13"/>
  <c r="N66" i="13"/>
  <c r="E187" i="13"/>
  <c r="E24" i="4" s="1"/>
  <c r="E186" i="13"/>
  <c r="E23" i="4" s="1"/>
  <c r="E185" i="13"/>
  <c r="E22" i="4" s="1"/>
  <c r="N131" i="13"/>
  <c r="P93" i="13"/>
  <c r="P99" i="13"/>
  <c r="O131" i="13"/>
  <c r="P109" i="13"/>
  <c r="N93" i="13"/>
  <c r="N34" i="13"/>
  <c r="O119" i="13"/>
  <c r="N119" i="13"/>
  <c r="N109" i="13"/>
  <c r="J56" i="13"/>
  <c r="N74" i="13"/>
  <c r="N84" i="13"/>
  <c r="N193" i="13"/>
  <c r="O141" i="13"/>
  <c r="N161" i="13"/>
  <c r="O161" i="13"/>
  <c r="N24" i="13"/>
  <c r="N141" i="13"/>
  <c r="P74" i="13"/>
  <c r="N44" i="13"/>
  <c r="P32" i="13"/>
  <c r="P34" i="13" s="1"/>
  <c r="O44" i="13"/>
  <c r="O84" i="13"/>
  <c r="N15" i="13"/>
  <c r="N151" i="13"/>
  <c r="P24" i="13"/>
  <c r="N56" i="13"/>
  <c r="P56" i="13"/>
  <c r="O151" i="13"/>
  <c r="P131" i="13"/>
  <c r="P161" i="13"/>
  <c r="P141" i="13"/>
  <c r="P84" i="13"/>
  <c r="P44" i="13"/>
  <c r="P119" i="13"/>
  <c r="P151" i="13"/>
  <c r="H42" i="5"/>
  <c r="H98" i="5"/>
  <c r="H109" i="5"/>
  <c r="H30" i="5"/>
  <c r="H8" i="5"/>
  <c r="D46" i="6"/>
  <c r="D43" i="6"/>
  <c r="C41" i="6" s="1"/>
  <c r="D22" i="6"/>
  <c r="D10" i="6"/>
  <c r="C8" i="6" s="1"/>
  <c r="D13" i="6"/>
  <c r="D33" i="6"/>
  <c r="D25" i="6"/>
  <c r="D11" i="6"/>
  <c r="D44" i="6"/>
  <c r="D35" i="6"/>
  <c r="D32" i="6"/>
  <c r="C30" i="6" s="1"/>
  <c r="D34" i="6"/>
  <c r="D12" i="6"/>
  <c r="G11" i="4" l="1"/>
  <c r="G12" i="4"/>
  <c r="H64" i="5"/>
  <c r="M183" i="13"/>
  <c r="M184" i="13" s="1"/>
  <c r="P181" i="13"/>
  <c r="P180" i="13"/>
  <c r="D130" i="5"/>
  <c r="D131" i="5" s="1"/>
  <c r="D185" i="13"/>
  <c r="D22" i="4" s="1"/>
  <c r="D187" i="13"/>
  <c r="D24" i="4" s="1"/>
  <c r="C177" i="13"/>
  <c r="C178" i="13" s="1"/>
  <c r="C187" i="13" s="1"/>
  <c r="P179" i="13"/>
  <c r="E27" i="4"/>
  <c r="C15" i="4"/>
  <c r="C16" i="4" s="1"/>
  <c r="C17" i="4" s="1"/>
  <c r="G9" i="4"/>
  <c r="H129" i="5"/>
  <c r="E130" i="5"/>
  <c r="E131" i="5" s="1"/>
  <c r="D16" i="4"/>
  <c r="D17" i="4" s="1"/>
  <c r="K192" i="13"/>
  <c r="C26" i="4" s="1"/>
  <c r="K191" i="13"/>
  <c r="C25" i="4" s="1"/>
  <c r="N182" i="13"/>
  <c r="F176" i="13"/>
  <c r="F177" i="13" s="1"/>
  <c r="L192" i="13"/>
  <c r="D26" i="4" s="1"/>
  <c r="L191" i="13"/>
  <c r="C185" i="13"/>
  <c r="C22" i="4" s="1"/>
  <c r="M192" i="13"/>
  <c r="F26" i="4" s="1"/>
  <c r="M191" i="13"/>
  <c r="E188" i="13"/>
  <c r="L194" i="13" l="1"/>
  <c r="D25" i="4"/>
  <c r="D27" i="4" s="1"/>
  <c r="G26" i="4"/>
  <c r="G25" i="4"/>
  <c r="M194" i="13"/>
  <c r="F25" i="4"/>
  <c r="F27" i="4" s="1"/>
  <c r="D188" i="13"/>
  <c r="C186" i="13"/>
  <c r="F187" i="13"/>
  <c r="C24" i="4"/>
  <c r="G24" i="4" s="1"/>
  <c r="F186" i="13"/>
  <c r="C23" i="4"/>
  <c r="G23" i="4" s="1"/>
  <c r="C27" i="4"/>
  <c r="G22" i="4"/>
  <c r="F178" i="13"/>
  <c r="H130" i="5"/>
  <c r="G15" i="4"/>
  <c r="G16" i="4" s="1"/>
  <c r="G17" i="4" s="1"/>
  <c r="N183" i="13"/>
  <c r="N184" i="13" s="1"/>
  <c r="K194" i="13"/>
  <c r="N191" i="13"/>
  <c r="N192" i="13"/>
  <c r="C188" i="13"/>
  <c r="F185" i="13"/>
  <c r="H131" i="5" l="1"/>
  <c r="S171" i="13"/>
  <c r="T174" i="13" s="1"/>
  <c r="T175" i="13" s="1"/>
  <c r="P183" i="13"/>
  <c r="P184" i="13" s="1"/>
  <c r="O202" i="13" s="1"/>
  <c r="G27" i="4"/>
  <c r="F188" i="13"/>
  <c r="D196" i="13"/>
  <c r="K202" i="13"/>
  <c r="N194" i="13"/>
  <c r="H165" i="13"/>
  <c r="D193" i="13" l="1"/>
  <c r="K199" i="13"/>
  <c r="O34" i="13"/>
  <c r="K198" i="13"/>
  <c r="O198" i="13"/>
  <c r="O19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tc={F06673FE-669C-4C03-A2F9-DA9A47CAF00E}</author>
  </authors>
  <commentList>
    <comment ref="Q164" authorId="0" shapeId="0" xr:uid="{F06673FE-669C-4C03-A2F9-DA9A47CAF00E}">
      <text>
        <t>[Threaded comment]
Your version of Excel allows you to read this threaded comment; however, any edits to it will get removed if the file is opened in a newer version of Excel. Learn more: https://go.microsoft.com/fwlink/?linkid=870924
Comment:
    L’UNESCO a dépensé sur cette ligne $102009</t>
      </text>
    </comment>
  </commentList>
</comments>
</file>

<file path=xl/sharedStrings.xml><?xml version="1.0" encoding="utf-8"?>
<sst xmlns="http://schemas.openxmlformats.org/spreadsheetml/2006/main" count="831" uniqueCount="650">
  <si>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</si>
  <si>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</si>
  <si>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Title of Project: Building trust through political dialogue as the foundation for peaceful elections and priority reforms in Guinea-Bissau</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</si>
  <si>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</si>
  <si>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</si>
  <si>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</si>
  <si>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 xml:space="preserve">
UNDP</t>
  </si>
  <si>
    <t xml:space="preserve">
UNFPA</t>
  </si>
  <si>
    <t xml:space="preserve">
WFP</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</si>
  <si>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</si>
  <si>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</si>
  <si>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Phase I</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</si>
  <si>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</si>
  <si>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UNDP</t>
  </si>
  <si>
    <t>UNFPA</t>
  </si>
  <si>
    <t>UNESCO</t>
  </si>
  <si>
    <t>Total (phase I2)</t>
  </si>
  <si>
    <t xml:space="preserve">Cumulative                       (Phase I +II )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</si>
  <si>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Phase II</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</si>
  <si>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Phase I +Phase II</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</si>
  <si>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</si>
  <si>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</si>
  <si>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Effective and Coordination in-country confidence building measures, dialogue and mediation interventions from ECOWAS, UN, Civil Society and other key international actors strengthen political stabilization in Guinea-Bissau</t>
  </si>
  <si>
    <t>Output 1.1:</t>
  </si>
  <si>
    <t>Enhanced capacity of political actors for effective and inclusive inter-party, intra-party dialogue, and multi-stakeholders’ dialogues</t>
  </si>
  <si>
    <t>Activity 1.1.1:</t>
  </si>
  <si>
    <t>Support national-led initiaties, namely the ANP Good Offices Group, involving also other (women and youth) peacebuilders, on dialogue and negotiation efforts between political actors</t>
  </si>
  <si>
    <t>Activity 1.1.2:</t>
  </si>
  <si>
    <t xml:space="preserve">Design and facilitate a youth political parties forum </t>
  </si>
  <si>
    <t>Activity 1.1.3:</t>
  </si>
  <si>
    <t>Facilitate the creation of a Political Parties Platform/Forum and support capacity building of high-level national actors in conflict resolution skills and techniques.</t>
  </si>
  <si>
    <t>Activity 1.1.4</t>
  </si>
  <si>
    <t xml:space="preserve"> Organize training on preventing electoral violence for political parties members and other relevant stakholders, such as tradicional leaders, non formal and faith based leaders </t>
  </si>
  <si>
    <t>Activity 1.1.5</t>
  </si>
  <si>
    <t>Support  and facilitate inter-party dialogue, including through multi-stakeholder platforms and women led initiatiatives  to ensure a peaceful environment for elections</t>
  </si>
  <si>
    <t>Activity 1.1.6</t>
  </si>
  <si>
    <t xml:space="preserve">Enhance the capacity of youth political leaders in political dialogue, through supporting the Youth Political Parties' Forum and the implementation of the common strategy for youth political participation </t>
  </si>
  <si>
    <t>Activity 1.1.7</t>
  </si>
  <si>
    <t xml:space="preserve">Support  and facilitate  through multi-stakeholder platforms and women led initiatives  to ensure post electoral stability through priority reforms </t>
  </si>
  <si>
    <t>Output Total</t>
  </si>
  <si>
    <t>Output 1.2:</t>
  </si>
  <si>
    <t xml:space="preserve">Civil Society contributes effectively to an environment conducive to peaceful elections and priority reforms in Guinea-Bissau </t>
  </si>
  <si>
    <t>Activity 1.2.1</t>
  </si>
  <si>
    <t xml:space="preserve">Support to the CSO Consultation Space to create and operationalize the "Common Agenda for Peace and Development" to promote peace and stabilization in the country </t>
  </si>
  <si>
    <t>Activity 1.2.2</t>
  </si>
  <si>
    <t xml:space="preserve">Enable capacity of civil society capacity building in  conflict resolution skills and method </t>
  </si>
  <si>
    <t>Budget for this is with Output 2 below</t>
  </si>
  <si>
    <t>Activity 1.2.3</t>
  </si>
  <si>
    <t>support to CSO activities contributing to inclusive political dialogue (A.1.2.3) and the mapping of traditional, non-formal and faith-based leaders power dynamics and how they impact political dialogue and elaborate a strategy to engage them to ensure inclusive dialogue</t>
  </si>
  <si>
    <t>Activity 1.2.4</t>
  </si>
  <si>
    <t xml:space="preserve">Mapping of traditional, non-formal and faith-based leaders power dynamics and how they impact political dialogue and elaborate a strategy to engage them to ensure inclusive dialogue </t>
  </si>
  <si>
    <t>Activity 1.2.5</t>
  </si>
  <si>
    <t xml:space="preserve">Support  the CSO Consultation Space to develop synergies and ensure communication with other platforms and regional networks, and build on the coordination established with other including as well as enhance coordination with intervetions supported by other international partners that promote political and communities dialogues </t>
  </si>
  <si>
    <t>Activity 1.2.6</t>
  </si>
  <si>
    <t xml:space="preserve">Support CSOs initiatives that contribute to regional initiatives for conflict prevention and early action, including ECOWAS early warning system </t>
  </si>
  <si>
    <t>Activity 1.2.7</t>
  </si>
  <si>
    <t xml:space="preserve">Supporting youth and women CSO leaders and initiatives towards implementation of the CSO common agenda, in particular initiatives to promote the political  participation of women and youth </t>
  </si>
  <si>
    <t>Output 1.3:</t>
  </si>
  <si>
    <t>Support RC and UNOWAS good office role</t>
  </si>
  <si>
    <t>Activity 1.3.1</t>
  </si>
  <si>
    <t>Support RC and UNOWAS in their Good Offices role</t>
  </si>
  <si>
    <t>Funds to be used under 1.1.1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</si>
  <si>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</si>
  <si>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</si>
  <si>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</si>
  <si>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</si>
  <si>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</si>
  <si>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</si>
  <si>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</si>
  <si>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</si>
  <si>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</si>
  <si>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</si>
  <si>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</si>
  <si>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</si>
  <si>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</si>
  <si>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</si>
  <si>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</si>
  <si>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</si>
  <si>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</si>
  <si>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National consensus on priority reforms</t>
  </si>
  <si>
    <t>Outcome 2.1</t>
  </si>
  <si>
    <t xml:space="preserve">CSO monitoring systems and advocacy contribute to a National Consensus on Priority Reforms </t>
  </si>
  <si>
    <t>Activity 2.1.1</t>
  </si>
  <si>
    <t xml:space="preserve">support provided to the ANP (specialized commissions, ad-hoc commissions and technical secretariat) in advancing systemic reforms </t>
  </si>
  <si>
    <t>Activity 2.1.2</t>
  </si>
  <si>
    <t>support to the organization and facilitation of stakeholder consultations on the political party law, electoral law and Constitution and other relevant laws that contribute to the systemic reforms organized by public entities and CSO through a bottom-up approach</t>
  </si>
  <si>
    <t>Activity 2.1.3</t>
  </si>
  <si>
    <t>Enable bottom up advocacy for the design and passage of the draft laws in parliament</t>
  </si>
  <si>
    <t>Activity 2.1.4</t>
  </si>
  <si>
    <t>Enable media and communication efforts and public sensitization initiatives on systemic reforms</t>
  </si>
  <si>
    <t>Activity 2.1.5</t>
  </si>
  <si>
    <t xml:space="preserve">Support CSOs monitoring and advocating for  implementation/ ongoing processes related to the systemic reforms  and government actions, including at the local level, </t>
  </si>
  <si>
    <t>Activity 2.1.6</t>
  </si>
  <si>
    <t xml:space="preserve">support CSO networks in the region to establish multistakeholder platforms for the monitoring of sectorial development plans; Based on the results of the five pilot platforms, the experience  will in the second year be replicated in other sectors/regions </t>
  </si>
  <si>
    <t>Activity 2.1.7</t>
  </si>
  <si>
    <t>Build the capacity and support local leaders to advocate for social and economic stability at the local level, including the advancement of the implementation of local elections</t>
  </si>
  <si>
    <t>Activity 2.1.8</t>
  </si>
  <si>
    <t xml:space="preserve">Support 2  National Conferences on Priority Reforns </t>
  </si>
  <si>
    <t>Output 2.2</t>
  </si>
  <si>
    <t xml:space="preserve"> Leadership academy contributes to broadening grassroots engagement on priority  reforms and political processes </t>
  </si>
  <si>
    <t>Activity 2.2.1</t>
  </si>
  <si>
    <t xml:space="preserve">Launch of the  Leadership Academy to provide tailored training to promote building of capacities to enable effective engagement on systemic reforms and political processes </t>
  </si>
  <si>
    <t>Activity 2.2.2</t>
  </si>
  <si>
    <t>Establishment of the regional polos of the leadership academy to ensure citizens in the regions also receive capacity building to ensure their full understanding and participation in the consultations related to the systemic reforms and key political processes</t>
  </si>
  <si>
    <t>Activity 2.2.3</t>
  </si>
  <si>
    <t>Establishment of a gender sensitive curricula for trainings on Conflict Analysis and Alternative Dispute Resolution (ADR), and on preventing electoral violence, including the development of  on-line course on Conflict Analysis and ADR</t>
  </si>
  <si>
    <t>Activity 2.2.4</t>
  </si>
  <si>
    <t xml:space="preserve">Training of trainers of the leadership academy on Conflict Analysis and ADR  </t>
  </si>
  <si>
    <t>Activity 2.2.5</t>
  </si>
  <si>
    <t>Training on Conflict Analysis and ADR to Youth leaders, including women (conducted by trainers of the Leadership Academy, under the supervision of a Senior Consultant</t>
  </si>
  <si>
    <t>Activity 2.2.6</t>
  </si>
  <si>
    <t xml:space="preserve">Consolidate the Leadership Academy basic curricula (4 courses) and enhance the capacity to train and create agents of change, with a special focus on women and youth  </t>
  </si>
  <si>
    <t>Activity 2.2.7</t>
  </si>
  <si>
    <t>Administer training in the 5 pilot regions on monitoring local development.</t>
  </si>
  <si>
    <t>Activity 2.2.8</t>
  </si>
  <si>
    <t xml:space="preserve">support the full transition of the leadership academy to the ENA, </t>
  </si>
  <si>
    <t>Output 2.3</t>
  </si>
  <si>
    <t>Increased awareness on reconciliation by promoting a common understanding of the past</t>
  </si>
  <si>
    <t>Activity 2.3.1</t>
  </si>
  <si>
    <r>
      <t xml:space="preserve">support to the National Public Library to preserve national memory for sustaining peace </t>
    </r>
    <r>
      <rPr>
        <sz val="12"/>
        <color theme="5" tint="-0.499984740745262"/>
        <rFont val="Calibri"/>
        <family val="2"/>
        <scheme val="minor"/>
      </rPr>
      <t>[</t>
    </r>
    <r>
      <rPr>
        <u val="double"/>
        <sz val="12"/>
        <color theme="5" tint="-0.499984740745262"/>
        <rFont val="Calibri (corpo)"/>
      </rPr>
      <t>Engage Stakeholders and prepare them to participate in the National Conference</t>
    </r>
    <r>
      <rPr>
        <sz val="12"/>
        <color theme="5" tint="-0.499984740745262"/>
        <rFont val="Calibri"/>
        <family val="2"/>
        <scheme val="minor"/>
      </rPr>
      <t>]</t>
    </r>
  </si>
  <si>
    <t>Activity 2.3.2</t>
  </si>
  <si>
    <r>
      <rPr>
        <u val="double"/>
        <sz val="12"/>
        <color theme="5" tint="-0.499984740745262"/>
        <rFont val="Calibri (corpo)"/>
      </rPr>
      <t>[Help Prepare the OCNC to facilitate the National Conference</t>
    </r>
    <r>
      <rPr>
        <sz val="12"/>
        <color theme="1"/>
        <rFont val="Calibri"/>
        <family val="2"/>
        <scheme val="minor"/>
      </rPr>
      <t xml:space="preserve">] Support awareness on the History of Guinea-Bissau via creative initiatives. </t>
    </r>
  </si>
  <si>
    <t>Activity 2.3.3</t>
  </si>
  <si>
    <t>Support the development and implementation of a Strategic Communication Plan about the conference</t>
  </si>
  <si>
    <t>Activity 2.3.4</t>
  </si>
  <si>
    <t>Hold the National Conference</t>
  </si>
  <si>
    <t>Activity 2.3.5</t>
  </si>
  <si>
    <t>Support post conference reporting and the development of a strategic action plan</t>
  </si>
  <si>
    <t>Activity 2.3.6</t>
  </si>
  <si>
    <r>
      <t xml:space="preserve">Support the debate on the contribution of historical events </t>
    </r>
    <r>
      <rPr>
        <sz val="12"/>
        <color rgb="FFFF0000"/>
        <rFont val="Calibri (corpo)"/>
      </rPr>
      <t>and women leaders</t>
    </r>
    <r>
      <rPr>
        <sz val="12"/>
        <color rgb="FFFF0000"/>
        <rFont val="Calibri"/>
        <family val="2"/>
        <scheme val="minor"/>
      </rPr>
      <t xml:space="preserve">, and culture to the national identity and how they can contribute create social cohesion </t>
    </r>
  </si>
  <si>
    <t>Output 2.4</t>
  </si>
  <si>
    <t>Activity 2.4.1</t>
  </si>
  <si>
    <t>Activity 2.4.2</t>
  </si>
  <si>
    <t>Activity 2.4.3</t>
  </si>
  <si>
    <t>Activity 2.4.4</t>
  </si>
  <si>
    <t>Activity 2.4.5</t>
  </si>
  <si>
    <t>Activity 2.4.6</t>
  </si>
  <si>
    <t>Activity 2.4.7</t>
  </si>
  <si>
    <t>Activity 2.4.8</t>
  </si>
  <si>
    <t xml:space="preserve">OUTCOME 3: </t>
  </si>
  <si>
    <t xml:space="preserve">Media professionals, at the national and community levels, safely engage in solution-oriented reporting to foster civic engagement, prevent conflicts, and promote inclusive political processes </t>
  </si>
  <si>
    <t>Output 3.1</t>
  </si>
  <si>
    <t>Public order and media stakeholders’ capacity is strengthened and supported through legal reform to create an environment that guarantees the right to seek, receive and impart information, freedom of expression and safety of journalists</t>
  </si>
  <si>
    <t>Activity 3.1.1</t>
  </si>
  <si>
    <t xml:space="preserve">Assess the media landscape based on UNESCO’s Media Development Indicators (MDI) and support the implementation of its recommendations </t>
  </si>
  <si>
    <t>Activity 3.1.2</t>
  </si>
  <si>
    <t xml:space="preserve">Technical support for the participative and inclusive elaboration of access to information law </t>
  </si>
  <si>
    <t>Activity 3.1.3</t>
  </si>
  <si>
    <t xml:space="preserve">build the capacity of media professionals, including women, on access to information legal instruments </t>
  </si>
  <si>
    <t>Activity 3.1.4</t>
  </si>
  <si>
    <t xml:space="preserve">strengthen the capacity and raise awareness of security officers on public order maintenance and freedom of expression and safety of journalists </t>
  </si>
  <si>
    <t>Activity 3.1.5</t>
  </si>
  <si>
    <t>support the establishment of a joint mechanism, between public order institutions and media organizations to monitor the safety of journalists</t>
  </si>
  <si>
    <t>Output 3.2:</t>
  </si>
  <si>
    <t xml:space="preserve">Media professionals have enhanced skills and capacity to objectively investigate, prepare, and disseminate information on subjects of public interest to ensure the public can meaningfully engage in ongoing political processes, namely on the electoral process </t>
  </si>
  <si>
    <t>Activity 3.2.1</t>
  </si>
  <si>
    <t xml:space="preserve">support public and community media to provide discursive spaces, on political processes, involving CSOs, youth and women organizations as well as the Leadership Academy </t>
  </si>
  <si>
    <t>Activity 3.2.2</t>
  </si>
  <si>
    <t xml:space="preserve">build the capacity of RENARC to support community broadcasters’ skills and competencies development on reporting techniques such as solution journalism </t>
  </si>
  <si>
    <t>Activity 3.2.3</t>
  </si>
  <si>
    <t xml:space="preserve">strengthen the capacity and raise awareness of media professionals on conflict-sensitive, gender-sensitive investigative, and solution journalisms </t>
  </si>
  <si>
    <t>Activity 3.2.4</t>
  </si>
  <si>
    <t>support community media on quality and informative content production related to public interest matters, such as human rights and gender equality</t>
  </si>
  <si>
    <t>Output 3.3</t>
  </si>
  <si>
    <t>Media, CSOs, public institutions, and youth leaders counter hate speech in both traditional and social media and contribute to an environment conducive to peaceful elections</t>
  </si>
  <si>
    <t>Activity 3.3.1</t>
  </si>
  <si>
    <t>support CSOs and youth organizations in establishing a participative and open mechanism for monitoring hate speech online and offline</t>
  </si>
  <si>
    <t>Activity 3.3.2</t>
  </si>
  <si>
    <t>support the operation of a participative online fact-checking platform to tackle disinformation, misinformation, and hate speech</t>
  </si>
  <si>
    <t>Activity 3.3.3</t>
  </si>
  <si>
    <t xml:space="preserve"> build the capacity of media professionals, from the public, private and community media, on fact-checking techniques and countering hate speech </t>
  </si>
  <si>
    <t>Activity 3.3.4</t>
  </si>
  <si>
    <t>support media organizations to countering disinformation through fact-checking during the electoral period and dissemination of outputs online and offline</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</si>
  <si>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</si>
  <si>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</si>
  <si>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</si>
  <si>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</si>
  <si>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</si>
  <si>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</si>
  <si>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</si>
  <si>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</si>
  <si>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</si>
  <si>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</si>
  <si>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</si>
  <si>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</si>
  <si>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</si>
  <si>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</si>
  <si>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</si>
  <si>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</si>
  <si>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</si>
  <si>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</si>
  <si>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</si>
  <si>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</si>
  <si>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</si>
  <si>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</si>
  <si>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</si>
  <si>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</si>
  <si>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</si>
  <si>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</si>
  <si>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</si>
  <si>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</si>
  <si>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</si>
  <si>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</si>
  <si>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</si>
  <si>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</si>
  <si>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</si>
  <si>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</si>
  <si>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</si>
  <si>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</si>
  <si>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</si>
  <si>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</si>
  <si>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</si>
  <si>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</si>
  <si>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</si>
  <si>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</si>
  <si>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</si>
  <si>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</si>
  <si>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</si>
  <si>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</si>
  <si>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</si>
  <si>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</si>
  <si>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</si>
  <si>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</si>
  <si>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</si>
  <si>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</si>
  <si>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Connectivity, Office Supplies, Printing, Fuel</t>
  </si>
  <si>
    <t>Monitoring budget</t>
  </si>
  <si>
    <t xml:space="preserve">Monitoring &amp; Communications </t>
  </si>
  <si>
    <t>Budget for independent final evaluation</t>
  </si>
  <si>
    <t>Final Evaluation</t>
  </si>
  <si>
    <t>Total Additional Costs</t>
  </si>
  <si>
    <t>Totals Phase I</t>
  </si>
  <si>
    <t>WFP</t>
  </si>
  <si>
    <t>Total Expenditure 1st to  3th Tranche</t>
  </si>
  <si>
    <t>Total Expenditure 4th Tranche</t>
  </si>
  <si>
    <t>Total Expenditure 1st to 4th Tranches</t>
  </si>
  <si>
    <t>Delivery Rate Total Budget(not include PSC):</t>
  </si>
  <si>
    <t>Sub-Total Project Budget</t>
  </si>
  <si>
    <t>Indirect support costs (7%):</t>
  </si>
  <si>
    <t>Totals Phase II</t>
  </si>
  <si>
    <t>Totals Cumulative  Phase (I+II)</t>
  </si>
  <si>
    <t>Performance-Based Tranche Breakdown - Phase I</t>
  </si>
  <si>
    <t>WFP/UNESCO</t>
  </si>
  <si>
    <t>Tranche %</t>
  </si>
  <si>
    <t>ISC</t>
  </si>
  <si>
    <t>First Tranche:</t>
  </si>
  <si>
    <t>Second Tranche:</t>
  </si>
  <si>
    <t>Third Tranche</t>
  </si>
  <si>
    <t>Total:</t>
  </si>
  <si>
    <t>Performance-Based Tranche Breakdown - Phase II</t>
  </si>
  <si>
    <t>Phase I</t>
  </si>
  <si>
    <t>Fourth Tranche:</t>
  </si>
  <si>
    <r>
      <t xml:space="preserve">$ Towards GEWE </t>
    </r>
    <r>
      <rPr>
        <sz val="11"/>
        <color theme="1"/>
        <rFont val="Calibri"/>
        <family val="2"/>
        <scheme val="minor"/>
      </rPr>
      <t>(includes indirect costs)</t>
    </r>
  </si>
  <si>
    <t>Fifth Tranche:</t>
  </si>
  <si>
    <t>% Towards GEWE</t>
  </si>
  <si>
    <t>Sixth Tranche: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</si>
  <si>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</si>
  <si>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</si>
  <si>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</si>
  <si>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Phase II</t>
  </si>
  <si>
    <t>Phase( I+II)</t>
  </si>
  <si>
    <t>$ Towards GEWE (includes indirect costs)</t>
  </si>
  <si>
    <t>$ Towards M&amp;E (includes indirect costs)</t>
  </si>
  <si>
    <t xml:space="preserve">Note: PBF does not accept projects with less than 5% towards M&amp;E and less than 15% towards GEWE. These figures will show as red if this minimum threshold is not met.  </t>
  </si>
  <si>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</si>
  <si>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</si>
  <si>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</si>
  <si>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</si>
  <si>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</si>
  <si>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</si>
  <si>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</si>
  <si>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</si>
  <si>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</si>
  <si>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</si>
  <si>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</si>
  <si>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</si>
  <si>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</si>
  <si>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</si>
  <si>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OUTCOME 2</t>
  </si>
  <si>
    <t>Output 2.1</t>
  </si>
  <si>
    <t>OUTCOME 3</t>
  </si>
  <si>
    <t>Output 3.2</t>
  </si>
  <si>
    <t>Additional Costs</t>
  </si>
  <si>
    <t>Additional Cost Totals from Table 1</t>
  </si>
  <si>
    <t>Totals</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</si>
  <si>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</si>
  <si>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</si>
  <si>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</si>
  <si>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</si>
  <si>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</si>
  <si>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</si>
  <si>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</si>
  <si>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</si>
  <si>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</si>
  <si>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</si>
  <si>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</si>
  <si>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</si>
  <si>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</si>
  <si>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</si>
  <si>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</si>
  <si>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</si>
  <si>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</si>
  <si>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</si>
  <si>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</si>
  <si>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</si>
  <si>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</si>
  <si>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</si>
  <si>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</si>
  <si>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Performance-Based Tranche Breakdown</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</si>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</sst>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_(&quot;$&quot;* #,##0.0000_);_(&quot;$&quot;* \(#,##0.0000\);_(&quot;$&quot;* &quot;-&quot;??_);_(@_)"/>
    <numFmt numFmtId="166" formatCode="_-* #,##0.00\ _C_F_A_-;\-* #,##0.00\ _C_F_A_-;_-* &quot;-&quot;??\ _C_F_A_-;_-@_-"/>
    <numFmt numFmtId="167" formatCode="_-* #,##0.00\ _€_-;\-* #,##0.00\ _€_-;_-* &quot;-&quot;??\ _€_-;_-@_-"/>
    <numFmt numFmtId="168" formatCode="0.0%"/>
  </numFmts>
  <fonts count="36">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
      <b/>
      <sz val="14"/>
      <color rgb="FF002060"/>
      <name val="Calibri"/>
      <family val="2"/>
      <scheme val="minor"/>
    </font>
    <font>
      <b/>
      <sz val="12"/>
      <name val="Calibri"/>
      <family val="2"/>
      <scheme val="minor"/>
    </font>
    <font>
      <b/>
      <sz val="12"/>
      <color rgb="FF0070C0"/>
      <name val="Calibri"/>
      <family val="2"/>
      <scheme val="minor"/>
    </font>
    <font>
      <sz val="12"/>
      <color theme="4"/>
      <name val="Calibri"/>
      <family val="2"/>
      <scheme val="minor"/>
    </font>
    <font>
      <sz val="12"/>
      <color rgb="FFFF0000"/>
      <name val="Calibri (corpo)"/>
    </font>
    <font>
      <sz val="12"/>
      <color theme="5"/>
      <name val="Calibri"/>
      <family val="2"/>
      <scheme val="minor"/>
    </font>
    <font>
      <sz val="11"/>
      <color rgb="FF000000"/>
      <name val="Times New Roman"/>
      <family val="1"/>
    </font>
    <font>
      <sz val="12"/>
      <color rgb="FFFF0000"/>
      <name val="Calibri Light (Cabeçalhos)"/>
    </font>
    <font>
      <u val="double"/>
      <sz val="12"/>
      <color theme="5" tint="-0.499984740745262"/>
      <name val="Calibri (corpo)"/>
    </font>
    <font>
      <sz val="12"/>
      <color theme="1"/>
      <name val="Calibri (corpo)"/>
    </font>
    <font>
      <sz val="12"/>
      <color theme="4"/>
      <name val="Calibri (corpo)"/>
    </font>
    <font>
      <sz val="12"/>
      <color theme="5" tint="-0.499984740745262"/>
      <name val="Calibri"/>
      <family val="2"/>
      <scheme val="minor"/>
    </font>
    <font>
      <sz val="12"/>
      <color theme="1"/>
      <name val="Calibri"/>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
      <patternFill patternType="solid">
        <fgColor theme="2"/>
        <bgColor indexed="64"/>
      </patternFill>
    </fill>
    <fill>
      <patternFill patternType="solid">
        <fgColor rgb="FFD9D9D9"/>
        <bgColor rgb="FF000000"/>
      </patternFill>
    </fill>
    <fill>
      <patternFill patternType="solid">
        <fgColor theme="0"/>
        <bgColor theme="0"/>
      </patternFill>
    </fill>
  </fills>
  <borders count="6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thin">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double">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double">
        <color indexed="64"/>
      </right>
      <top style="medium">
        <color indexed="64"/>
      </top>
      <bottom style="thin">
        <color indexed="64"/>
      </bottom>
      <diagonal/>
    </border>
    <border>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cellStyleXfs>
  <cellXfs count="410">
    <xf numFmtId="0" fontId="0" fillId="0" borderId="0" xfId="0"/>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0"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horizontal="center" vertical="center" wrapText="1"/>
    </xf>
    <xf numFmtId="44" fontId="3" fillId="2" borderId="1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7" fillId="0" borderId="0" xfId="0" applyFont="1" applyAlignment="1">
      <alignment wrapText="1"/>
    </xf>
    <xf numFmtId="44" fontId="2" fillId="8" borderId="3" xfId="1" applyFont="1" applyFill="1" applyBorder="1" applyAlignment="1" applyProtection="1">
      <alignment horizontal="center" vertical="center" wrapText="1"/>
    </xf>
    <xf numFmtId="44" fontId="0" fillId="8" borderId="16" xfId="1" applyFont="1" applyFill="1" applyBorder="1" applyAlignment="1">
      <alignment vertical="center" wrapText="1"/>
    </xf>
    <xf numFmtId="9" fontId="0" fillId="8" borderId="14" xfId="2" applyFont="1" applyFill="1" applyBorder="1" applyAlignment="1">
      <alignment wrapText="1"/>
    </xf>
    <xf numFmtId="44" fontId="22" fillId="0" borderId="3" xfId="1" applyFont="1" applyBorder="1" applyAlignment="1" applyProtection="1">
      <alignment horizontal="center" vertical="center" wrapText="1"/>
      <protection locked="0"/>
    </xf>
    <xf numFmtId="44" fontId="22" fillId="3" borderId="3" xfId="1" applyFont="1" applyFill="1" applyBorder="1" applyAlignment="1" applyProtection="1">
      <alignment horizontal="center" vertical="center" wrapText="1"/>
      <protection locked="0"/>
    </xf>
    <xf numFmtId="43" fontId="5" fillId="0" borderId="0" xfId="3" applyFont="1" applyBorder="1" applyAlignment="1">
      <alignment wrapText="1"/>
    </xf>
    <xf numFmtId="44" fontId="2" fillId="0" borderId="0" xfId="0" applyNumberFormat="1" applyFont="1" applyAlignment="1">
      <alignment horizontal="center" vertical="center" wrapText="1"/>
    </xf>
    <xf numFmtId="44" fontId="22" fillId="8" borderId="3" xfId="1" applyFont="1" applyFill="1" applyBorder="1" applyAlignment="1" applyProtection="1">
      <alignment horizontal="center" vertical="center" wrapText="1"/>
      <protection locked="0"/>
    </xf>
    <xf numFmtId="0" fontId="22" fillId="2" borderId="3" xfId="0" applyFont="1" applyFill="1" applyBorder="1" applyAlignment="1">
      <alignment vertical="center" wrapText="1"/>
    </xf>
    <xf numFmtId="0" fontId="22" fillId="0" borderId="3" xfId="0" applyFont="1" applyBorder="1" applyAlignment="1" applyProtection="1">
      <alignment horizontal="left" vertical="top" wrapText="1"/>
      <protection locked="0"/>
    </xf>
    <xf numFmtId="43" fontId="13" fillId="0" borderId="0" xfId="3" applyFont="1" applyBorder="1" applyAlignment="1">
      <alignment wrapText="1"/>
    </xf>
    <xf numFmtId="43" fontId="2" fillId="3" borderId="0" xfId="3" applyFont="1" applyFill="1" applyBorder="1" applyAlignment="1">
      <alignment vertical="center" wrapText="1"/>
    </xf>
    <xf numFmtId="43" fontId="2" fillId="0" borderId="0" xfId="3" applyFont="1" applyFill="1" applyBorder="1" applyAlignment="1">
      <alignment horizontal="center" vertical="center" wrapText="1"/>
    </xf>
    <xf numFmtId="43" fontId="2" fillId="0" borderId="0" xfId="3" applyFont="1" applyFill="1" applyBorder="1" applyAlignment="1">
      <alignment wrapText="1"/>
    </xf>
    <xf numFmtId="165" fontId="22" fillId="8" borderId="3" xfId="1" applyNumberFormat="1" applyFont="1" applyFill="1" applyBorder="1" applyAlignment="1" applyProtection="1">
      <alignment vertical="center" wrapText="1"/>
      <protection locked="0"/>
    </xf>
    <xf numFmtId="166" fontId="0" fillId="0" borderId="0" xfId="0" applyNumberFormat="1" applyAlignment="1">
      <alignment wrapText="1"/>
    </xf>
    <xf numFmtId="44" fontId="22" fillId="0" borderId="3" xfId="1" applyFont="1" applyFill="1" applyBorder="1" applyAlignment="1" applyProtection="1">
      <alignment horizontal="center" vertical="center" wrapText="1"/>
      <protection locked="0"/>
    </xf>
    <xf numFmtId="44" fontId="10" fillId="0" borderId="3" xfId="1" applyFont="1" applyFill="1" applyBorder="1" applyAlignment="1" applyProtection="1">
      <alignment horizontal="center" vertical="center" wrapText="1"/>
      <protection locked="0"/>
    </xf>
    <xf numFmtId="44" fontId="9" fillId="2" borderId="3" xfId="1" applyFont="1" applyFill="1" applyBorder="1" applyAlignment="1" applyProtection="1">
      <alignment horizontal="center" vertical="center" wrapText="1"/>
    </xf>
    <xf numFmtId="44" fontId="10" fillId="3" borderId="3" xfId="1" applyFont="1" applyFill="1" applyBorder="1" applyAlignment="1" applyProtection="1">
      <alignment horizontal="center" vertical="center" wrapText="1"/>
      <protection locked="0"/>
    </xf>
    <xf numFmtId="0" fontId="10" fillId="2" borderId="3" xfId="0" applyFont="1" applyFill="1" applyBorder="1" applyAlignment="1">
      <alignment vertical="center" wrapText="1"/>
    </xf>
    <xf numFmtId="0" fontId="10" fillId="0" borderId="3" xfId="0" applyFont="1" applyBorder="1" applyAlignment="1" applyProtection="1">
      <alignment horizontal="left" vertical="top" wrapText="1"/>
      <protection locked="0"/>
    </xf>
    <xf numFmtId="44" fontId="10" fillId="0" borderId="3" xfId="1" applyFont="1" applyBorder="1" applyAlignment="1" applyProtection="1">
      <alignment horizontal="center" vertical="center" wrapText="1"/>
      <protection locked="0"/>
    </xf>
    <xf numFmtId="44" fontId="2" fillId="0" borderId="3" xfId="1" applyFont="1" applyFill="1" applyBorder="1" applyAlignment="1" applyProtection="1">
      <alignment horizontal="center" vertical="center" wrapText="1"/>
    </xf>
    <xf numFmtId="44" fontId="22" fillId="2" borderId="3" xfId="1" applyFont="1" applyFill="1" applyBorder="1" applyAlignment="1" applyProtection="1">
      <alignment horizontal="center" vertical="center" wrapText="1"/>
    </xf>
    <xf numFmtId="44" fontId="10" fillId="2" borderId="3" xfId="1" applyFont="1" applyFill="1" applyBorder="1" applyAlignment="1" applyProtection="1">
      <alignment horizontal="center" vertical="center" wrapText="1"/>
    </xf>
    <xf numFmtId="44" fontId="22" fillId="8" borderId="3" xfId="1" applyFont="1" applyFill="1" applyBorder="1" applyAlignment="1" applyProtection="1">
      <alignment vertical="center" wrapText="1"/>
      <protection locked="0"/>
    </xf>
    <xf numFmtId="44" fontId="10" fillId="0" borderId="3" xfId="1" applyFont="1" applyBorder="1" applyAlignment="1" applyProtection="1">
      <alignment vertical="center" wrapText="1"/>
      <protection locked="0"/>
    </xf>
    <xf numFmtId="44" fontId="16" fillId="0" borderId="3" xfId="0" applyNumberFormat="1" applyFont="1" applyBorder="1" applyAlignment="1">
      <alignment horizontal="center" vertical="center" wrapText="1"/>
    </xf>
    <xf numFmtId="44" fontId="2" fillId="5" borderId="55" xfId="1" applyFont="1" applyFill="1" applyBorder="1" applyAlignment="1" applyProtection="1">
      <alignment horizontal="center" vertical="center" wrapText="1"/>
      <protection locked="0"/>
    </xf>
    <xf numFmtId="44" fontId="2" fillId="5" borderId="57" xfId="1" applyFont="1" applyFill="1" applyBorder="1" applyAlignment="1" applyProtection="1">
      <alignment horizontal="center" vertical="center" wrapText="1"/>
      <protection locked="0"/>
    </xf>
    <xf numFmtId="44" fontId="25" fillId="3" borderId="6" xfId="0" applyNumberFormat="1" applyFont="1" applyFill="1" applyBorder="1" applyAlignment="1">
      <alignment vertical="center" wrapText="1"/>
    </xf>
    <xf numFmtId="44" fontId="0" fillId="0" borderId="0" xfId="1" applyFont="1" applyFill="1" applyBorder="1" applyAlignment="1">
      <alignment wrapText="1"/>
    </xf>
    <xf numFmtId="0" fontId="2" fillId="5" borderId="12" xfId="0" applyFont="1" applyFill="1" applyBorder="1" applyAlignment="1">
      <alignment horizontal="center" vertical="center" wrapText="1"/>
    </xf>
    <xf numFmtId="44" fontId="2" fillId="5" borderId="24" xfId="0" applyNumberFormat="1" applyFont="1" applyFill="1" applyBorder="1" applyAlignment="1">
      <alignment vertical="center" wrapText="1"/>
    </xf>
    <xf numFmtId="0" fontId="3" fillId="2" borderId="4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0" fillId="5" borderId="47" xfId="0" applyFill="1" applyBorder="1" applyAlignment="1">
      <alignment horizontal="center" vertical="center" wrapText="1"/>
    </xf>
    <xf numFmtId="44" fontId="26" fillId="0" borderId="3" xfId="1" applyFont="1" applyBorder="1" applyAlignment="1" applyProtection="1">
      <alignment horizontal="center" vertical="center" wrapText="1"/>
      <protection locked="0"/>
    </xf>
    <xf numFmtId="9" fontId="22" fillId="0" borderId="3" xfId="2" applyFont="1" applyBorder="1" applyAlignment="1" applyProtection="1">
      <alignment horizontal="center" vertical="center" wrapText="1"/>
      <protection locked="0"/>
    </xf>
    <xf numFmtId="9" fontId="10" fillId="0" borderId="3" xfId="2" applyFont="1" applyBorder="1" applyAlignment="1" applyProtection="1">
      <alignment horizontal="center" vertical="center" wrapText="1"/>
      <protection locked="0"/>
    </xf>
    <xf numFmtId="9" fontId="10" fillId="3" borderId="3" xfId="2" applyFont="1" applyFill="1" applyBorder="1" applyAlignment="1" applyProtection="1">
      <alignment horizontal="center" vertical="center" wrapText="1"/>
      <protection locked="0"/>
    </xf>
    <xf numFmtId="0" fontId="10" fillId="3" borderId="3" xfId="0" applyFont="1" applyFill="1" applyBorder="1" applyAlignment="1" applyProtection="1">
      <alignment horizontal="left" vertical="top" wrapText="1"/>
      <protection locked="0"/>
    </xf>
    <xf numFmtId="44" fontId="28" fillId="0" borderId="3" xfId="1" applyFont="1" applyBorder="1" applyAlignment="1" applyProtection="1">
      <alignment horizontal="center" vertical="center" wrapText="1"/>
      <protection locked="0"/>
    </xf>
    <xf numFmtId="9" fontId="10" fillId="0" borderId="3" xfId="2" applyFont="1" applyFill="1" applyBorder="1" applyAlignment="1" applyProtection="1">
      <alignment horizontal="center" vertical="center" wrapText="1"/>
      <protection locked="0"/>
    </xf>
    <xf numFmtId="9" fontId="22" fillId="3" borderId="3" xfId="2" applyFont="1" applyFill="1" applyBorder="1" applyAlignment="1" applyProtection="1">
      <alignment horizontal="center" vertical="center" wrapText="1"/>
      <protection locked="0"/>
    </xf>
    <xf numFmtId="44" fontId="10" fillId="11" borderId="3" xfId="1" applyFont="1" applyFill="1" applyBorder="1" applyAlignment="1" applyProtection="1">
      <alignment horizontal="center" vertical="center" wrapText="1"/>
      <protection locked="0"/>
    </xf>
    <xf numFmtId="49" fontId="10" fillId="0" borderId="3" xfId="1" applyNumberFormat="1" applyFont="1" applyBorder="1" applyAlignment="1" applyProtection="1">
      <alignment horizontal="left" wrapText="1"/>
      <protection locked="0"/>
    </xf>
    <xf numFmtId="0" fontId="10" fillId="10" borderId="3" xfId="0" applyFont="1" applyFill="1" applyBorder="1" applyAlignment="1" applyProtection="1">
      <alignment horizontal="left" vertical="top" wrapText="1"/>
      <protection locked="0"/>
    </xf>
    <xf numFmtId="49" fontId="10" fillId="3" borderId="3" xfId="1" applyNumberFormat="1" applyFont="1" applyFill="1" applyBorder="1" applyAlignment="1" applyProtection="1">
      <alignment horizontal="left" wrapText="1"/>
      <protection locked="0"/>
    </xf>
    <xf numFmtId="0" fontId="8" fillId="0" borderId="0" xfId="0" applyFont="1" applyAlignment="1">
      <alignment wrapText="1"/>
    </xf>
    <xf numFmtId="0" fontId="9" fillId="2" borderId="3" xfId="0" applyFont="1" applyFill="1" applyBorder="1" applyAlignment="1">
      <alignment vertical="center" wrapText="1"/>
    </xf>
    <xf numFmtId="0" fontId="26" fillId="0" borderId="3" xfId="0" applyFont="1" applyBorder="1" applyAlignment="1" applyProtection="1">
      <alignment horizontal="left" vertical="top" wrapText="1"/>
      <protection locked="0"/>
    </xf>
    <xf numFmtId="0" fontId="30" fillId="0" borderId="0" xfId="0" applyFont="1" applyAlignment="1" applyProtection="1">
      <alignment wrapText="1"/>
      <protection locked="0"/>
    </xf>
    <xf numFmtId="44" fontId="26" fillId="3" borderId="3" xfId="1" applyFont="1" applyFill="1" applyBorder="1" applyAlignment="1" applyProtection="1">
      <alignment horizontal="center" vertical="center" wrapText="1"/>
      <protection locked="0"/>
    </xf>
    <xf numFmtId="0" fontId="31" fillId="0" borderId="3" xfId="0" applyFont="1" applyBorder="1" applyAlignment="1" applyProtection="1">
      <alignment horizontal="left" vertical="top" wrapText="1"/>
      <protection locked="0"/>
    </xf>
    <xf numFmtId="0" fontId="33" fillId="2" borderId="3" xfId="0" applyFont="1" applyFill="1" applyBorder="1" applyAlignment="1">
      <alignment vertical="center" wrapText="1"/>
    </xf>
    <xf numFmtId="0" fontId="26" fillId="2" borderId="3" xfId="0" applyFont="1" applyFill="1" applyBorder="1" applyAlignment="1">
      <alignment vertical="center" wrapText="1"/>
    </xf>
    <xf numFmtId="44" fontId="28" fillId="3" borderId="3" xfId="1" applyFont="1" applyFill="1" applyBorder="1" applyAlignment="1" applyProtection="1">
      <alignment horizontal="center" vertical="center" wrapText="1"/>
      <protection locked="0"/>
    </xf>
    <xf numFmtId="44" fontId="9" fillId="2" borderId="5" xfId="1" applyFont="1" applyFill="1" applyBorder="1" applyAlignment="1" applyProtection="1">
      <alignment horizontal="center" vertical="center" wrapText="1"/>
    </xf>
    <xf numFmtId="44" fontId="10" fillId="2" borderId="3" xfId="1" applyFont="1" applyFill="1" applyBorder="1" applyAlignment="1" applyProtection="1">
      <alignment horizontal="center" vertical="center" wrapText="1"/>
      <protection locked="0"/>
    </xf>
    <xf numFmtId="44" fontId="16" fillId="12" borderId="3" xfId="0" applyNumberFormat="1" applyFont="1" applyFill="1" applyBorder="1" applyAlignment="1">
      <alignment horizontal="center" vertical="center" wrapText="1"/>
    </xf>
    <xf numFmtId="44" fontId="9" fillId="12" borderId="3" xfId="0" applyNumberFormat="1" applyFont="1" applyFill="1" applyBorder="1" applyAlignment="1">
      <alignment horizontal="center" vertical="center" wrapText="1"/>
    </xf>
    <xf numFmtId="0" fontId="10" fillId="3" borderId="3" xfId="0" applyFont="1" applyFill="1" applyBorder="1" applyAlignment="1" applyProtection="1">
      <alignment vertical="center" wrapText="1"/>
      <protection locked="0"/>
    </xf>
    <xf numFmtId="44" fontId="10" fillId="2" borderId="3" xfId="1" applyFont="1" applyFill="1" applyBorder="1" applyAlignment="1" applyProtection="1">
      <alignment vertical="center" wrapText="1"/>
    </xf>
    <xf numFmtId="49" fontId="27" fillId="0" borderId="3" xfId="0" applyNumberFormat="1" applyFont="1" applyBorder="1" applyAlignment="1" applyProtection="1">
      <alignment horizontal="left" wrapText="1"/>
      <protection locked="0"/>
    </xf>
    <xf numFmtId="44" fontId="0" fillId="0" borderId="0" xfId="1" applyFont="1" applyBorder="1" applyAlignment="1">
      <alignment wrapText="1"/>
    </xf>
    <xf numFmtId="44" fontId="22" fillId="11" borderId="3" xfId="1" applyFont="1" applyFill="1" applyBorder="1" applyAlignment="1" applyProtection="1">
      <alignment horizontal="center" vertical="center" wrapText="1"/>
      <protection locked="0"/>
    </xf>
    <xf numFmtId="44" fontId="22" fillId="2" borderId="3" xfId="1" applyFont="1" applyFill="1" applyBorder="1" applyAlignment="1" applyProtection="1">
      <alignment horizontal="center" vertical="center" wrapText="1"/>
      <protection locked="0"/>
    </xf>
    <xf numFmtId="0" fontId="2" fillId="0" borderId="25" xfId="0" applyFont="1" applyBorder="1" applyAlignment="1">
      <alignment horizontal="center" wrapText="1"/>
    </xf>
    <xf numFmtId="44" fontId="2" fillId="5" borderId="53" xfId="1" applyFont="1" applyFill="1" applyBorder="1" applyAlignment="1" applyProtection="1">
      <alignment horizontal="center" vertical="center" wrapText="1"/>
      <protection locked="0"/>
    </xf>
    <xf numFmtId="44" fontId="2" fillId="5" borderId="54" xfId="1" applyFont="1" applyFill="1" applyBorder="1" applyAlignment="1" applyProtection="1">
      <alignment horizontal="center" vertical="center" wrapText="1"/>
      <protection locked="0"/>
    </xf>
    <xf numFmtId="44" fontId="25" fillId="3" borderId="56"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3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44" fontId="2" fillId="2" borderId="39" xfId="1" applyFont="1" applyFill="1" applyBorder="1" applyAlignment="1" applyProtection="1">
      <alignment horizontal="center" vertical="center" wrapText="1"/>
      <protection locked="0"/>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43" xfId="0" applyFont="1" applyFill="1" applyBorder="1" applyAlignment="1">
      <alignment horizontal="center" vertical="center" wrapText="1"/>
    </xf>
    <xf numFmtId="49" fontId="2" fillId="3" borderId="4" xfId="0" applyNumberFormat="1" applyFont="1" applyFill="1" applyBorder="1" applyAlignment="1" applyProtection="1">
      <alignment vertical="top" wrapText="1"/>
      <protection locked="0"/>
    </xf>
    <xf numFmtId="49" fontId="2" fillId="3" borderId="1" xfId="0" applyNumberFormat="1" applyFont="1" applyFill="1" applyBorder="1" applyAlignment="1" applyProtection="1">
      <alignment vertical="top" wrapText="1"/>
      <protection locked="0"/>
    </xf>
    <xf numFmtId="49" fontId="2" fillId="3" borderId="2" xfId="0" applyNumberFormat="1" applyFont="1" applyFill="1" applyBorder="1" applyAlignment="1" applyProtection="1">
      <alignment vertical="top" wrapText="1"/>
      <protection locked="0"/>
    </xf>
    <xf numFmtId="0" fontId="29" fillId="10" borderId="0" xfId="0" applyFont="1" applyFill="1" applyAlignment="1" applyProtection="1">
      <alignment wrapText="1"/>
      <protection locked="0"/>
    </xf>
    <xf numFmtId="0" fontId="32" fillId="10" borderId="3" xfId="0" applyFont="1" applyFill="1" applyBorder="1" applyAlignment="1" applyProtection="1">
      <alignment horizontal="left" vertical="top" wrapText="1"/>
      <protection locked="0"/>
    </xf>
    <xf numFmtId="44" fontId="2" fillId="2" borderId="28" xfId="0" applyNumberFormat="1" applyFont="1" applyFill="1" applyBorder="1" applyAlignment="1">
      <alignment horizontal="center" vertical="center" wrapText="1"/>
    </xf>
    <xf numFmtId="0" fontId="0" fillId="2" borderId="12" xfId="0" applyFill="1" applyBorder="1" applyAlignment="1">
      <alignment horizontal="center" wrapText="1"/>
    </xf>
    <xf numFmtId="44" fontId="25" fillId="3" borderId="0" xfId="0" applyNumberFormat="1" applyFont="1" applyFill="1" applyAlignment="1" applyProtection="1">
      <alignment horizontal="center" vertical="center" wrapText="1"/>
      <protection locked="0"/>
    </xf>
    <xf numFmtId="44" fontId="24" fillId="9" borderId="3" xfId="0" applyNumberFormat="1" applyFont="1" applyFill="1" applyBorder="1" applyAlignment="1">
      <alignment horizontal="center" vertical="center" wrapText="1"/>
    </xf>
    <xf numFmtId="10" fontId="0" fillId="8" borderId="14" xfId="2" applyNumberFormat="1" applyFont="1" applyFill="1" applyBorder="1" applyAlignment="1">
      <alignment wrapText="1"/>
    </xf>
    <xf numFmtId="0" fontId="2" fillId="4" borderId="59" xfId="0" applyFont="1" applyFill="1" applyBorder="1" applyAlignment="1">
      <alignment horizontal="center" vertical="center" wrapText="1"/>
    </xf>
    <xf numFmtId="0" fontId="2" fillId="2" borderId="0" xfId="0" applyFont="1" applyFill="1" applyAlignment="1">
      <alignment vertical="center" wrapText="1"/>
    </xf>
    <xf numFmtId="44" fontId="2" fillId="2" borderId="0" xfId="1" applyFont="1" applyFill="1" applyBorder="1" applyAlignment="1" applyProtection="1">
      <alignment vertical="center" wrapText="1"/>
    </xf>
    <xf numFmtId="9" fontId="25" fillId="3" borderId="0" xfId="2" applyFont="1" applyFill="1" applyBorder="1" applyAlignment="1" applyProtection="1">
      <alignment horizontal="center" vertical="center" wrapText="1"/>
      <protection locked="0"/>
    </xf>
    <xf numFmtId="0" fontId="17" fillId="0" borderId="0" xfId="0" applyFont="1" applyAlignment="1">
      <alignment horizontal="left" wrapText="1"/>
    </xf>
    <xf numFmtId="44" fontId="22" fillId="0" borderId="39" xfId="0" applyNumberFormat="1" applyFont="1" applyBorder="1" applyAlignment="1" applyProtection="1">
      <alignment wrapText="1"/>
      <protection locked="0"/>
    </xf>
    <xf numFmtId="44" fontId="22" fillId="0" borderId="3" xfId="0" applyNumberFormat="1" applyFont="1" applyBorder="1" applyAlignment="1" applyProtection="1">
      <alignment wrapText="1"/>
      <protection locked="0"/>
    </xf>
    <xf numFmtId="44" fontId="22" fillId="3" borderId="39" xfId="1" applyFont="1" applyFill="1" applyBorder="1" applyAlignment="1" applyProtection="1">
      <alignment horizontal="center" vertical="center" wrapText="1"/>
      <protection locked="0"/>
    </xf>
    <xf numFmtId="164" fontId="0" fillId="0" borderId="0" xfId="4" applyFont="1" applyAlignment="1">
      <alignment wrapText="1"/>
    </xf>
    <xf numFmtId="9" fontId="0" fillId="0" borderId="0" xfId="2" applyFont="1" applyAlignment="1">
      <alignment wrapText="1"/>
    </xf>
    <xf numFmtId="0" fontId="2" fillId="2" borderId="10" xfId="0" applyFont="1" applyFill="1" applyBorder="1" applyAlignment="1">
      <alignment horizontal="left" vertical="center" wrapText="1"/>
    </xf>
    <xf numFmtId="44" fontId="2" fillId="2" borderId="44" xfId="0" applyNumberFormat="1" applyFont="1" applyFill="1" applyBorder="1" applyAlignment="1">
      <alignment horizontal="center" vertical="center" wrapText="1"/>
    </xf>
    <xf numFmtId="44" fontId="24" fillId="2" borderId="3" xfId="1" applyFont="1" applyFill="1" applyBorder="1" applyAlignment="1" applyProtection="1">
      <alignment horizontal="center" vertical="center" wrapText="1"/>
    </xf>
    <xf numFmtId="44" fontId="0" fillId="0" borderId="0" xfId="0" applyNumberFormat="1" applyAlignment="1">
      <alignment wrapText="1"/>
    </xf>
    <xf numFmtId="44" fontId="3" fillId="0" borderId="0" xfId="0" applyNumberFormat="1" applyFont="1" applyAlignment="1">
      <alignment wrapText="1"/>
    </xf>
    <xf numFmtId="44" fontId="0" fillId="8" borderId="42" xfId="1" applyFont="1" applyFill="1" applyBorder="1" applyAlignment="1">
      <alignment vertical="center" wrapText="1"/>
    </xf>
    <xf numFmtId="10" fontId="0" fillId="8" borderId="47" xfId="2" applyNumberFormat="1" applyFont="1" applyFill="1" applyBorder="1" applyAlignment="1">
      <alignment wrapText="1"/>
    </xf>
    <xf numFmtId="44" fontId="3" fillId="0" borderId="0" xfId="1" applyFont="1" applyFill="1" applyBorder="1" applyAlignment="1">
      <alignment wrapText="1"/>
    </xf>
    <xf numFmtId="166" fontId="3" fillId="0" borderId="0" xfId="0" applyNumberFormat="1" applyFont="1" applyAlignment="1">
      <alignment wrapText="1"/>
    </xf>
    <xf numFmtId="43" fontId="0" fillId="0" borderId="0" xfId="3" applyFont="1" applyAlignment="1">
      <alignment wrapText="1"/>
    </xf>
    <xf numFmtId="0" fontId="2" fillId="0" borderId="3" xfId="0" applyFont="1" applyBorder="1" applyAlignment="1" applyProtection="1">
      <alignment horizontal="center" vertical="center" wrapText="1"/>
      <protection locked="0"/>
    </xf>
    <xf numFmtId="49" fontId="2" fillId="0" borderId="1" xfId="0" applyNumberFormat="1" applyFont="1" applyBorder="1" applyAlignment="1" applyProtection="1">
      <alignment vertical="top" wrapText="1"/>
      <protection locked="0"/>
    </xf>
    <xf numFmtId="44" fontId="9" fillId="0" borderId="3" xfId="1" applyFont="1" applyFill="1" applyBorder="1" applyAlignment="1" applyProtection="1">
      <alignment horizontal="center" vertical="center" wrapText="1"/>
    </xf>
    <xf numFmtId="44" fontId="26" fillId="0" borderId="3" xfId="1" applyFont="1" applyFill="1" applyBorder="1" applyAlignment="1" applyProtection="1">
      <alignment horizontal="center" vertical="center" wrapText="1"/>
      <protection locked="0"/>
    </xf>
    <xf numFmtId="44" fontId="2" fillId="0" borderId="5" xfId="1" applyFont="1" applyFill="1" applyBorder="1" applyAlignment="1" applyProtection="1">
      <alignment horizontal="center" vertical="center" wrapText="1"/>
    </xf>
    <xf numFmtId="44" fontId="9" fillId="0" borderId="5" xfId="1" applyFont="1" applyFill="1" applyBorder="1" applyAlignment="1" applyProtection="1">
      <alignment horizontal="center" vertical="center" wrapText="1"/>
    </xf>
    <xf numFmtId="44" fontId="10" fillId="0" borderId="3" xfId="1" applyFont="1" applyFill="1" applyBorder="1" applyAlignment="1" applyProtection="1">
      <alignment vertical="center" wrapText="1"/>
      <protection locked="0"/>
    </xf>
    <xf numFmtId="44" fontId="2" fillId="0" borderId="3" xfId="1" applyFont="1" applyFill="1" applyBorder="1" applyAlignment="1" applyProtection="1">
      <alignment vertical="center" wrapText="1"/>
    </xf>
    <xf numFmtId="0" fontId="2" fillId="0" borderId="42" xfId="0" applyFont="1" applyBorder="1" applyAlignment="1">
      <alignment horizontal="center" vertical="center" wrapText="1"/>
    </xf>
    <xf numFmtId="44" fontId="2" fillId="0" borderId="5" xfId="1" applyFont="1" applyFill="1" applyBorder="1" applyAlignment="1" applyProtection="1">
      <alignment horizontal="center" vertical="center" wrapText="1"/>
      <protection locked="0"/>
    </xf>
    <xf numFmtId="44" fontId="2" fillId="0" borderId="39" xfId="1" applyFont="1" applyFill="1" applyBorder="1" applyAlignment="1" applyProtection="1">
      <alignment horizontal="center" vertical="center" wrapText="1"/>
      <protection locked="0"/>
    </xf>
    <xf numFmtId="44" fontId="2" fillId="0" borderId="13" xfId="1" applyFont="1" applyFill="1" applyBorder="1" applyAlignment="1" applyProtection="1">
      <alignment vertical="center" wrapText="1"/>
    </xf>
    <xf numFmtId="0" fontId="2" fillId="0" borderId="5"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44" fontId="2" fillId="0" borderId="16" xfId="0" applyNumberFormat="1" applyFont="1" applyBorder="1" applyAlignment="1">
      <alignment vertical="center" wrapText="1"/>
    </xf>
    <xf numFmtId="10" fontId="2" fillId="0" borderId="9" xfId="2" applyNumberFormat="1" applyFont="1" applyFill="1" applyBorder="1" applyAlignment="1" applyProtection="1">
      <alignment wrapText="1"/>
    </xf>
    <xf numFmtId="0" fontId="3" fillId="0" borderId="36" xfId="0" applyFont="1" applyBorder="1" applyAlignment="1">
      <alignment horizontal="center" vertical="center" wrapText="1"/>
    </xf>
    <xf numFmtId="44" fontId="2" fillId="0" borderId="9" xfId="2" applyNumberFormat="1" applyFont="1" applyFill="1" applyBorder="1" applyAlignment="1" applyProtection="1">
      <alignment wrapText="1"/>
    </xf>
    <xf numFmtId="0" fontId="0" fillId="0" borderId="14" xfId="0" applyBorder="1" applyAlignment="1">
      <alignment horizontal="center" vertical="center" wrapText="1"/>
    </xf>
    <xf numFmtId="168" fontId="2" fillId="2" borderId="9" xfId="2" applyNumberFormat="1" applyFont="1" applyFill="1" applyBorder="1" applyAlignment="1" applyProtection="1">
      <alignment wrapText="1"/>
    </xf>
    <xf numFmtId="167" fontId="0" fillId="0" borderId="0" xfId="0" applyNumberFormat="1" applyAlignment="1">
      <alignment wrapText="1"/>
    </xf>
    <xf numFmtId="167" fontId="0" fillId="0" borderId="0" xfId="0" applyNumberFormat="1"/>
    <xf numFmtId="44" fontId="0" fillId="0" borderId="0" xfId="0" applyNumberFormat="1"/>
    <xf numFmtId="44" fontId="35" fillId="13" borderId="61" xfId="0" applyNumberFormat="1" applyFont="1" applyFill="1" applyBorder="1" applyAlignment="1">
      <alignment horizontal="center" vertical="center" wrapText="1"/>
    </xf>
    <xf numFmtId="44" fontId="35" fillId="13" borderId="62" xfId="0" applyNumberFormat="1" applyFont="1" applyFill="1" applyBorder="1" applyAlignment="1">
      <alignment horizontal="center" vertical="center" wrapText="1"/>
    </xf>
    <xf numFmtId="44" fontId="35" fillId="0" borderId="62" xfId="0" applyNumberFormat="1" applyFont="1" applyBorder="1" applyAlignment="1">
      <alignment wrapText="1"/>
    </xf>
    <xf numFmtId="0" fontId="1" fillId="2" borderId="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2" borderId="3" xfId="0" applyFont="1" applyFill="1" applyBorder="1" applyAlignment="1">
      <alignment vertical="center" wrapText="1"/>
    </xf>
    <xf numFmtId="0" fontId="1" fillId="10" borderId="3" xfId="0" applyFont="1" applyFill="1" applyBorder="1" applyAlignment="1" applyProtection="1">
      <alignment horizontal="left" vertical="top" wrapText="1"/>
      <protection locked="0"/>
    </xf>
    <xf numFmtId="44" fontId="1" fillId="2" borderId="3" xfId="1" applyFont="1" applyFill="1" applyBorder="1" applyAlignment="1" applyProtection="1">
      <alignment horizontal="center" vertical="center" wrapText="1"/>
    </xf>
    <xf numFmtId="44" fontId="1" fillId="0" borderId="3" xfId="1" applyFont="1" applyFill="1" applyBorder="1" applyAlignment="1" applyProtection="1">
      <alignment horizontal="center" vertical="center" wrapText="1"/>
      <protection locked="0"/>
    </xf>
    <xf numFmtId="44" fontId="1" fillId="0" borderId="3" xfId="1" applyFont="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49" fontId="1" fillId="3" borderId="3" xfId="1" applyNumberFormat="1" applyFont="1" applyFill="1" applyBorder="1" applyAlignment="1" applyProtection="1">
      <alignment horizontal="left" wrapText="1"/>
      <protection locked="0"/>
    </xf>
    <xf numFmtId="0" fontId="1" fillId="0" borderId="3" xfId="0" applyFont="1" applyBorder="1" applyAlignment="1" applyProtection="1">
      <alignment horizontal="left" vertical="top" wrapText="1"/>
      <protection locked="0"/>
    </xf>
    <xf numFmtId="44" fontId="1" fillId="11"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0" borderId="0" xfId="1"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wrapText="1"/>
      <protection locked="0"/>
    </xf>
    <xf numFmtId="44" fontId="1" fillId="2" borderId="3"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44" fontId="1" fillId="0" borderId="0" xfId="1" applyFont="1" applyFill="1" applyBorder="1" applyAlignment="1" applyProtection="1">
      <alignment vertical="center" wrapText="1"/>
      <protection locked="0"/>
    </xf>
    <xf numFmtId="49" fontId="1" fillId="3" borderId="5" xfId="1" applyNumberFormat="1" applyFont="1" applyFill="1" applyBorder="1" applyAlignment="1" applyProtection="1">
      <alignment horizontal="left"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3" xfId="0" applyFont="1" applyFill="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44" fontId="1" fillId="8" borderId="3" xfId="1" applyFont="1" applyFill="1" applyBorder="1" applyAlignment="1" applyProtection="1">
      <alignment vertical="center" wrapText="1"/>
      <protection locked="0"/>
    </xf>
    <xf numFmtId="44" fontId="1" fillId="8" borderId="0" xfId="1" applyFont="1" applyFill="1" applyBorder="1" applyAlignment="1" applyProtection="1">
      <alignment vertical="center" wrapText="1"/>
      <protection locked="0"/>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3" xfId="0" applyNumberFormat="1" applyFont="1" applyBorder="1" applyAlignment="1">
      <alignment vertical="center" wrapText="1"/>
    </xf>
    <xf numFmtId="0" fontId="1" fillId="3" borderId="0" xfId="0" applyFont="1" applyFill="1" applyAlignment="1">
      <alignment vertical="center" wrapText="1"/>
    </xf>
    <xf numFmtId="0" fontId="1" fillId="0" borderId="0" xfId="0" applyFont="1" applyAlignment="1">
      <alignment wrapText="1"/>
    </xf>
    <xf numFmtId="43" fontId="1" fillId="0" borderId="0" xfId="3" applyFont="1" applyBorder="1" applyAlignment="1">
      <alignment wrapText="1"/>
    </xf>
    <xf numFmtId="44" fontId="1" fillId="3" borderId="39" xfId="1" applyFont="1" applyFill="1" applyBorder="1" applyAlignment="1" applyProtection="1">
      <alignment horizontal="center" vertical="center" wrapText="1"/>
      <protection locked="0"/>
    </xf>
    <xf numFmtId="44" fontId="1" fillId="0" borderId="0" xfId="0" applyNumberFormat="1" applyFont="1" applyAlignment="1">
      <alignment wrapText="1"/>
    </xf>
    <xf numFmtId="44" fontId="1" fillId="0" borderId="39" xfId="0" applyNumberFormat="1" applyFont="1" applyBorder="1" applyAlignment="1" applyProtection="1">
      <alignment wrapText="1"/>
      <protection locked="0"/>
    </xf>
    <xf numFmtId="44" fontId="1" fillId="0" borderId="3" xfId="0" applyNumberFormat="1" applyFont="1" applyBorder="1" applyAlignment="1" applyProtection="1">
      <alignment wrapText="1"/>
      <protection locked="0"/>
    </xf>
    <xf numFmtId="44" fontId="1" fillId="3" borderId="0" xfId="0" applyNumberFormat="1" applyFont="1" applyFill="1" applyAlignment="1">
      <alignment wrapText="1"/>
    </xf>
    <xf numFmtId="43" fontId="1" fillId="3" borderId="0" xfId="3" applyFont="1" applyFill="1" applyBorder="1" applyAlignment="1">
      <alignment wrapText="1"/>
    </xf>
    <xf numFmtId="0" fontId="1" fillId="3" borderId="0" xfId="0" applyFont="1" applyFill="1" applyAlignment="1">
      <alignment wrapText="1"/>
    </xf>
    <xf numFmtId="167" fontId="1" fillId="3" borderId="0" xfId="0" applyNumberFormat="1" applyFont="1" applyFill="1" applyAlignment="1">
      <alignment wrapText="1"/>
    </xf>
    <xf numFmtId="43" fontId="1" fillId="0" borderId="0" xfId="3" applyFont="1" applyAlignment="1">
      <alignment wrapText="1"/>
    </xf>
    <xf numFmtId="43" fontId="1" fillId="0" borderId="0" xfId="3" applyFont="1" applyFill="1" applyBorder="1" applyAlignment="1">
      <alignment wrapText="1"/>
    </xf>
    <xf numFmtId="44" fontId="1" fillId="0" borderId="39" xfId="1" applyFont="1" applyFill="1" applyBorder="1" applyAlignment="1" applyProtection="1">
      <alignment horizontal="center" vertical="center" wrapText="1"/>
      <protection locked="0"/>
    </xf>
    <xf numFmtId="44" fontId="1" fillId="2" borderId="39" xfId="0" applyNumberFormat="1" applyFont="1" applyFill="1" applyBorder="1" applyAlignment="1">
      <alignment wrapText="1"/>
    </xf>
    <xf numFmtId="43" fontId="1" fillId="3" borderId="0" xfId="3" applyFont="1" applyFill="1" applyBorder="1" applyAlignment="1" applyProtection="1">
      <alignment vertical="center" wrapText="1"/>
      <protection locked="0"/>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43" fontId="1" fillId="0" borderId="0" xfId="0" applyNumberFormat="1" applyFont="1" applyAlignment="1">
      <alignment wrapText="1"/>
    </xf>
    <xf numFmtId="43" fontId="1" fillId="3" borderId="0" xfId="3" applyFont="1" applyFill="1" applyAlignment="1">
      <alignment wrapText="1"/>
    </xf>
    <xf numFmtId="164" fontId="1" fillId="3" borderId="0" xfId="4" applyFont="1" applyFill="1" applyBorder="1" applyAlignment="1">
      <alignment wrapText="1"/>
    </xf>
    <xf numFmtId="164" fontId="1" fillId="0" borderId="0" xfId="4" applyFont="1" applyBorder="1" applyAlignment="1">
      <alignment wrapText="1"/>
    </xf>
    <xf numFmtId="166" fontId="1" fillId="3" borderId="0" xfId="0" applyNumberFormat="1" applyFont="1" applyFill="1" applyAlignment="1">
      <alignment wrapText="1"/>
    </xf>
    <xf numFmtId="0" fontId="1" fillId="3" borderId="0" xfId="0" applyFont="1" applyFill="1" applyAlignment="1">
      <alignment horizontal="center" vertical="center" wrapText="1"/>
    </xf>
    <xf numFmtId="43" fontId="1" fillId="3" borderId="0" xfId="0" applyNumberFormat="1" applyFont="1" applyFill="1" applyAlignment="1">
      <alignment wrapText="1"/>
    </xf>
    <xf numFmtId="0" fontId="1" fillId="0" borderId="0" xfId="0" applyFont="1"/>
    <xf numFmtId="43" fontId="1" fillId="0" borderId="0" xfId="3" applyFont="1"/>
    <xf numFmtId="167" fontId="1" fillId="0" borderId="0" xfId="0" applyNumberFormat="1" applyFont="1"/>
    <xf numFmtId="44" fontId="1" fillId="2" borderId="49"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0" fontId="19" fillId="0" borderId="0" xfId="0" applyFont="1" applyAlignment="1">
      <alignment horizontal="left" vertical="top"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58"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0" fillId="3" borderId="4"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1" fillId="2" borderId="60"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2"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0" borderId="25" xfId="0" applyFont="1" applyBorder="1" applyAlignment="1">
      <alignment horizontal="center" wrapText="1"/>
    </xf>
    <xf numFmtId="0" fontId="17" fillId="0" borderId="52" xfId="0" applyFont="1" applyBorder="1" applyAlignment="1">
      <alignment horizontal="left" wrapText="1"/>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3" fillId="0" borderId="0" xfId="0" applyFont="1" applyAlignment="1">
      <alignment horizontal="left" vertical="top" wrapText="1"/>
    </xf>
    <xf numFmtId="44" fontId="2" fillId="2" borderId="51" xfId="0" applyNumberFormat="1"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4" xfId="0" applyNumberFormat="1" applyFont="1" applyFill="1" applyBorder="1" applyAlignment="1">
      <alignment horizontal="center"/>
    </xf>
    <xf numFmtId="44" fontId="3" fillId="2" borderId="45" xfId="0" applyNumberFormat="1" applyFont="1" applyFill="1" applyBorder="1" applyAlignment="1">
      <alignment horizontal="center"/>
    </xf>
    <xf numFmtId="0" fontId="3" fillId="2" borderId="41" xfId="0" applyFont="1" applyFill="1" applyBorder="1" applyAlignment="1">
      <alignment horizontal="left"/>
    </xf>
    <xf numFmtId="0" fontId="3" fillId="2" borderId="42" xfId="0" applyFont="1" applyFill="1" applyBorder="1" applyAlignment="1">
      <alignment horizontal="left"/>
    </xf>
    <xf numFmtId="0" fontId="3" fillId="2" borderId="43" xfId="0" applyFont="1" applyFill="1" applyBorder="1" applyAlignment="1">
      <alignment horizontal="left"/>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1" xfId="0" applyFont="1" applyFill="1" applyBorder="1" applyAlignment="1">
      <alignment horizontal="center" wrapText="1"/>
    </xf>
    <xf numFmtId="0" fontId="2" fillId="2" borderId="39"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5">
    <cellStyle name="Comma" xfId="3" builtinId="3"/>
    <cellStyle name="Comma [0]" xfId="4" builtinId="6"/>
    <cellStyle name="Currency" xfId="1" builtinId="4"/>
    <cellStyle name="Normal" xfId="0" builtinId="0"/>
    <cellStyle name="Percent"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7A7"/>
      <color rgb="FFFF979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enmoe, Elvis Michel" id="{0C0AD124-10EC-4597-B574-0115029DA1F2}" userId="S::me.kenmoe@unesco.org::d9fee908-a8ec-4502-bcfa-197ad6cd590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64" dT="2025-06-11T15:28:47.00" personId="{0C0AD124-10EC-4597-B574-0115029DA1F2}" id="{F06673FE-669C-4C03-A2F9-DA9A47CAF00E}">
    <text>L’UNESCO a dépensé sur cette ligne $102009</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2" sqref="B2:E2"/>
    </sheetView>
  </sheetViews>
  <sheetFormatPr defaultColWidth="8.85546875" defaultRowHeight="15"/>
  <cols>
    <col min="2" max="2" width="127.140625" customWidth="1"/>
  </cols>
  <sheetData>
    <row r="2" spans="2:5" ht="36.75" customHeight="1" thickBot="1">
      <c r="B2" s="335" t="s">
        <v>0</v>
      </c>
      <c r="C2" s="335"/>
      <c r="D2" s="335"/>
      <c r="E2" s="335"/>
    </row>
    <row r="3" spans="2:5" ht="295.5" customHeight="1" thickBot="1">
      <c r="B3" s="106"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4B11-5065-4837-94B6-C921BEDAF2E0}">
  <sheetPr>
    <tabColor theme="5" tint="0.39997558519241921"/>
  </sheetPr>
  <dimension ref="A1:V203"/>
  <sheetViews>
    <sheetView showGridLines="0" showZeros="0" tabSelected="1" topLeftCell="K1" zoomScale="70" zoomScaleNormal="70" workbookViewId="0">
      <pane ySplit="1" topLeftCell="A98" activePane="bottomLeft" state="frozen"/>
      <selection activeCell="H1" sqref="H1"/>
      <selection pane="bottomLeft" activeCell="M173" sqref="M173"/>
    </sheetView>
  </sheetViews>
  <sheetFormatPr defaultColWidth="9.140625" defaultRowHeight="15"/>
  <cols>
    <col min="1" max="1" width="9.140625" style="16"/>
    <col min="2" max="2" width="15.140625" style="16" customWidth="1"/>
    <col min="3" max="3" width="26.85546875" style="16" customWidth="1"/>
    <col min="4" max="4" width="21.42578125" style="16" customWidth="1"/>
    <col min="5" max="5" width="18" style="16" customWidth="1"/>
    <col min="6" max="6" width="20.140625" style="16" customWidth="1"/>
    <col min="7" max="7" width="18.140625" style="16" customWidth="1"/>
    <col min="8" max="8" width="38.85546875" style="16" customWidth="1"/>
    <col min="9" max="9" width="22.42578125" style="141" customWidth="1"/>
    <col min="10" max="10" width="22.42578125" style="176" customWidth="1"/>
    <col min="11" max="11" width="22" style="16" customWidth="1"/>
    <col min="12" max="12" width="22.42578125" style="16" bestFit="1" customWidth="1"/>
    <col min="13" max="13" width="20.85546875" style="16" customWidth="1"/>
    <col min="14" max="14" width="23.140625" style="16" customWidth="1"/>
    <col min="15" max="15" width="22.42578125" style="16" customWidth="1"/>
    <col min="16" max="18" width="23.140625" style="16" customWidth="1"/>
    <col min="19" max="19" width="38.28515625" style="16" customWidth="1"/>
    <col min="20" max="20" width="23.140625" style="16" customWidth="1"/>
    <col min="21" max="21" width="21.85546875" style="16" customWidth="1"/>
    <col min="22" max="22" width="18.85546875" style="16" customWidth="1"/>
    <col min="23" max="23" width="12.42578125" style="16" bestFit="1" customWidth="1"/>
    <col min="24" max="24" width="17.42578125" style="16" customWidth="1"/>
    <col min="25" max="25" width="26.42578125" style="16" customWidth="1"/>
    <col min="26" max="26" width="22.42578125" style="16" customWidth="1"/>
    <col min="27" max="27" width="29.42578125" style="16" customWidth="1"/>
    <col min="28" max="28" width="23.42578125" style="16" customWidth="1"/>
    <col min="29" max="29" width="18.42578125" style="16" customWidth="1"/>
    <col min="30" max="30" width="17.42578125" style="16" customWidth="1"/>
    <col min="31" max="31" width="25.140625" style="16" customWidth="1"/>
    <col min="32" max="16384" width="9.140625" style="16"/>
  </cols>
  <sheetData>
    <row r="1" spans="1:22" ht="30.75" customHeight="1">
      <c r="B1" s="335" t="s">
        <v>0</v>
      </c>
      <c r="C1" s="335"/>
      <c r="D1" s="335"/>
      <c r="E1" s="335"/>
      <c r="F1" s="335"/>
      <c r="G1" s="335"/>
      <c r="H1" s="335"/>
      <c r="I1" s="335"/>
      <c r="J1" s="335"/>
      <c r="K1" s="335"/>
      <c r="L1" s="335"/>
      <c r="M1" s="14"/>
      <c r="N1" s="14"/>
      <c r="O1" s="15"/>
      <c r="P1" s="14"/>
      <c r="Q1" s="14"/>
      <c r="R1" s="14"/>
      <c r="S1" s="14"/>
      <c r="T1" s="14"/>
      <c r="U1" s="15"/>
    </row>
    <row r="2" spans="1:22" ht="30.75" customHeight="1">
      <c r="B2" s="364" t="s">
        <v>2</v>
      </c>
      <c r="C2" s="364"/>
      <c r="D2" s="364"/>
      <c r="E2" s="364"/>
      <c r="F2" s="364"/>
      <c r="G2" s="364"/>
      <c r="H2" s="364"/>
      <c r="I2" s="364"/>
      <c r="J2" s="364"/>
      <c r="K2" s="364"/>
      <c r="L2" s="364"/>
      <c r="M2" s="364"/>
      <c r="N2" s="14"/>
      <c r="O2" s="15"/>
      <c r="P2" s="14"/>
      <c r="Q2" s="14"/>
      <c r="R2" s="14"/>
      <c r="S2" s="14"/>
      <c r="T2" s="14"/>
      <c r="U2" s="15"/>
    </row>
    <row r="3" spans="1:22" ht="16.5" customHeight="1">
      <c r="B3" s="360" t="s">
        <v>3</v>
      </c>
      <c r="C3" s="360"/>
      <c r="D3" s="360"/>
      <c r="E3" s="360"/>
      <c r="F3" s="360"/>
      <c r="G3" s="360"/>
      <c r="H3" s="360"/>
      <c r="I3" s="360"/>
      <c r="J3" s="360"/>
      <c r="K3" s="360"/>
      <c r="L3" s="360"/>
      <c r="M3" s="107"/>
      <c r="N3" s="107"/>
      <c r="O3" s="107"/>
      <c r="P3" s="107"/>
      <c r="Q3" s="107"/>
      <c r="R3" s="107"/>
      <c r="S3" s="107"/>
      <c r="T3" s="107"/>
    </row>
    <row r="5" spans="1:22" ht="137.25" customHeight="1">
      <c r="B5" s="257" t="s">
        <v>4</v>
      </c>
      <c r="C5" s="257" t="s">
        <v>5</v>
      </c>
      <c r="D5" s="40" t="s">
        <v>6</v>
      </c>
      <c r="E5" s="40" t="s">
        <v>7</v>
      </c>
      <c r="F5" s="40" t="s">
        <v>8</v>
      </c>
      <c r="G5" s="40" t="s">
        <v>9</v>
      </c>
      <c r="H5" s="257" t="s">
        <v>10</v>
      </c>
      <c r="I5" s="258" t="s">
        <v>11</v>
      </c>
      <c r="J5" s="257" t="s">
        <v>12</v>
      </c>
      <c r="K5" s="231" t="s">
        <v>13</v>
      </c>
      <c r="L5" s="40" t="s">
        <v>14</v>
      </c>
      <c r="M5" s="40" t="s">
        <v>15</v>
      </c>
      <c r="N5" s="64" t="s">
        <v>16</v>
      </c>
      <c r="O5" s="257" t="s">
        <v>10</v>
      </c>
      <c r="P5" s="64" t="s">
        <v>17</v>
      </c>
      <c r="Q5" s="258" t="s">
        <v>18</v>
      </c>
      <c r="R5" s="257" t="s">
        <v>12</v>
      </c>
      <c r="S5" s="258" t="s">
        <v>19</v>
      </c>
      <c r="T5" s="257" t="s">
        <v>12</v>
      </c>
      <c r="U5" s="257" t="s">
        <v>20</v>
      </c>
      <c r="V5" s="19"/>
    </row>
    <row r="6" spans="1:22" ht="51" customHeight="1">
      <c r="B6" s="62" t="s">
        <v>21</v>
      </c>
      <c r="C6" s="201" t="s">
        <v>22</v>
      </c>
      <c r="D6" s="202"/>
      <c r="E6" s="202"/>
      <c r="F6" s="202"/>
      <c r="G6" s="202"/>
      <c r="H6" s="202"/>
      <c r="I6" s="202"/>
      <c r="J6" s="202"/>
      <c r="K6" s="232"/>
      <c r="L6" s="202"/>
      <c r="M6" s="202"/>
      <c r="N6" s="202"/>
      <c r="O6" s="202"/>
      <c r="P6" s="202"/>
      <c r="Q6" s="202"/>
      <c r="R6" s="202"/>
      <c r="S6" s="202"/>
      <c r="T6" s="202"/>
      <c r="U6" s="203"/>
      <c r="V6" s="6"/>
    </row>
    <row r="7" spans="1:22" ht="51" customHeight="1">
      <c r="B7" s="62" t="s">
        <v>23</v>
      </c>
      <c r="C7" s="361" t="s">
        <v>24</v>
      </c>
      <c r="D7" s="362"/>
      <c r="E7" s="362"/>
      <c r="F7" s="362"/>
      <c r="G7" s="362"/>
      <c r="H7" s="362"/>
      <c r="I7" s="362"/>
      <c r="J7" s="362"/>
      <c r="K7" s="362"/>
      <c r="L7" s="362"/>
      <c r="M7" s="362"/>
      <c r="N7" s="362"/>
      <c r="O7" s="362"/>
      <c r="P7" s="362"/>
      <c r="Q7" s="362"/>
      <c r="R7" s="362"/>
      <c r="S7" s="362"/>
      <c r="T7" s="362"/>
      <c r="U7" s="363"/>
      <c r="V7" s="21"/>
    </row>
    <row r="8" spans="1:22" ht="126">
      <c r="B8" s="259" t="s">
        <v>25</v>
      </c>
      <c r="C8" s="260" t="s">
        <v>26</v>
      </c>
      <c r="D8" s="112">
        <v>130000</v>
      </c>
      <c r="E8" s="112"/>
      <c r="F8" s="112"/>
      <c r="G8" s="261">
        <f>SUM(D8:F8)</f>
        <v>130000</v>
      </c>
      <c r="H8" s="149">
        <v>0.3</v>
      </c>
      <c r="I8" s="116">
        <v>105870.37000000001</v>
      </c>
      <c r="J8" s="113">
        <f>+H8*I8</f>
        <v>31761.111000000001</v>
      </c>
      <c r="K8" s="262"/>
      <c r="L8" s="263"/>
      <c r="M8" s="263"/>
      <c r="N8" s="261">
        <f>SUM(K8:M8)</f>
        <v>0</v>
      </c>
      <c r="O8" s="264"/>
      <c r="P8" s="261">
        <f>+G8+N8</f>
        <v>130000</v>
      </c>
      <c r="Q8" s="116"/>
      <c r="R8" s="116">
        <f t="shared" ref="R8:R14" si="0">+O8*Q8</f>
        <v>0</v>
      </c>
      <c r="S8" s="116">
        <f>+Q8+I8</f>
        <v>105870.37000000001</v>
      </c>
      <c r="T8" s="261"/>
      <c r="U8" s="265"/>
      <c r="V8" s="266"/>
    </row>
    <row r="9" spans="1:22" ht="57.75" customHeight="1">
      <c r="B9" s="259" t="s">
        <v>27</v>
      </c>
      <c r="C9" s="204" t="s">
        <v>28</v>
      </c>
      <c r="D9" s="112"/>
      <c r="E9" s="112">
        <v>30000</v>
      </c>
      <c r="F9" s="112"/>
      <c r="G9" s="261">
        <f t="shared" ref="G9:G14" si="1">SUM(D9:F9)</f>
        <v>30000</v>
      </c>
      <c r="H9" s="149">
        <v>0.3</v>
      </c>
      <c r="I9" s="116">
        <v>21065</v>
      </c>
      <c r="J9" s="113">
        <f t="shared" ref="J9:J14" si="2">+H9*I9</f>
        <v>6319.5</v>
      </c>
      <c r="K9" s="262"/>
      <c r="L9" s="263"/>
      <c r="M9" s="263"/>
      <c r="N9" s="261">
        <f t="shared" ref="N9:N14" si="3">SUM(K9:M9)</f>
        <v>0</v>
      </c>
      <c r="O9" s="264"/>
      <c r="P9" s="261">
        <f t="shared" ref="P9:P14" si="4">+G9+N9</f>
        <v>30000</v>
      </c>
      <c r="Q9" s="116"/>
      <c r="R9" s="116">
        <f t="shared" si="0"/>
        <v>0</v>
      </c>
      <c r="S9" s="116">
        <f t="shared" ref="S9:S14" si="5">+Q9+I9</f>
        <v>21065</v>
      </c>
      <c r="T9" s="261"/>
      <c r="U9" s="265"/>
      <c r="V9" s="266"/>
    </row>
    <row r="10" spans="1:22" ht="135.75" customHeight="1">
      <c r="B10" s="129" t="s">
        <v>29</v>
      </c>
      <c r="C10" s="158" t="s">
        <v>30</v>
      </c>
      <c r="D10" s="112"/>
      <c r="E10" s="112"/>
      <c r="F10" s="112"/>
      <c r="G10" s="261">
        <f t="shared" si="1"/>
        <v>0</v>
      </c>
      <c r="H10" s="155">
        <v>0.3</v>
      </c>
      <c r="I10" s="116"/>
      <c r="J10" s="113">
        <f t="shared" si="2"/>
        <v>0</v>
      </c>
      <c r="K10" s="126">
        <v>50000</v>
      </c>
      <c r="L10" s="131"/>
      <c r="M10" s="131"/>
      <c r="N10" s="134">
        <f t="shared" si="3"/>
        <v>50000</v>
      </c>
      <c r="O10" s="150">
        <v>0.4</v>
      </c>
      <c r="P10" s="261">
        <f t="shared" si="4"/>
        <v>50000</v>
      </c>
      <c r="Q10" s="116">
        <f>44352.5333333333+8631.51</f>
        <v>52984.043333333299</v>
      </c>
      <c r="R10" s="116">
        <f t="shared" si="0"/>
        <v>21193.617333333321</v>
      </c>
      <c r="S10" s="116">
        <f t="shared" si="5"/>
        <v>52984.043333333299</v>
      </c>
      <c r="T10" s="261"/>
      <c r="U10" s="157"/>
      <c r="V10" s="266"/>
    </row>
    <row r="11" spans="1:22" ht="144" customHeight="1">
      <c r="B11" s="129" t="s">
        <v>31</v>
      </c>
      <c r="C11" s="130" t="s">
        <v>32</v>
      </c>
      <c r="D11" s="131"/>
      <c r="E11" s="156"/>
      <c r="F11" s="156"/>
      <c r="G11" s="261">
        <f t="shared" si="1"/>
        <v>0</v>
      </c>
      <c r="H11" s="150"/>
      <c r="I11" s="116"/>
      <c r="J11" s="113">
        <f t="shared" si="2"/>
        <v>0</v>
      </c>
      <c r="K11" s="126">
        <v>50000</v>
      </c>
      <c r="L11" s="131"/>
      <c r="M11" s="131"/>
      <c r="N11" s="134">
        <f t="shared" si="3"/>
        <v>50000</v>
      </c>
      <c r="O11" s="150">
        <v>0.3</v>
      </c>
      <c r="P11" s="261">
        <f t="shared" si="4"/>
        <v>50000</v>
      </c>
      <c r="Q11" s="116">
        <f>37018.0375+222.97+17193.9</f>
        <v>54434.907500000001</v>
      </c>
      <c r="R11" s="116">
        <f t="shared" si="0"/>
        <v>16330.472249999999</v>
      </c>
      <c r="S11" s="116">
        <f t="shared" si="5"/>
        <v>54434.907500000001</v>
      </c>
      <c r="T11" s="261"/>
      <c r="U11" s="157"/>
      <c r="V11" s="266"/>
    </row>
    <row r="12" spans="1:22" ht="110.25">
      <c r="B12" s="129" t="s">
        <v>33</v>
      </c>
      <c r="C12" s="130" t="s">
        <v>34</v>
      </c>
      <c r="D12" s="131"/>
      <c r="E12" s="156"/>
      <c r="F12" s="156"/>
      <c r="G12" s="261">
        <f t="shared" si="1"/>
        <v>0</v>
      </c>
      <c r="H12" s="150"/>
      <c r="I12" s="116"/>
      <c r="J12" s="113">
        <f t="shared" si="2"/>
        <v>0</v>
      </c>
      <c r="K12" s="126">
        <v>25000</v>
      </c>
      <c r="L12" s="131">
        <v>10000</v>
      </c>
      <c r="M12" s="131"/>
      <c r="N12" s="134">
        <f t="shared" si="3"/>
        <v>35000</v>
      </c>
      <c r="O12" s="150">
        <v>0.3</v>
      </c>
      <c r="P12" s="261">
        <f t="shared" si="4"/>
        <v>35000</v>
      </c>
      <c r="Q12" s="116">
        <f>22176.2666666667+8631.51+12428.85-256.31</f>
        <v>42980.316666666702</v>
      </c>
      <c r="R12" s="116">
        <f t="shared" si="0"/>
        <v>12894.09500000001</v>
      </c>
      <c r="S12" s="116">
        <f t="shared" si="5"/>
        <v>42980.316666666702</v>
      </c>
      <c r="T12" s="261"/>
      <c r="U12" s="157"/>
      <c r="V12" s="266"/>
    </row>
    <row r="13" spans="1:22" ht="141.75">
      <c r="B13" s="129" t="s">
        <v>35</v>
      </c>
      <c r="C13" s="130" t="s">
        <v>36</v>
      </c>
      <c r="D13" s="131"/>
      <c r="E13" s="156"/>
      <c r="F13" s="156"/>
      <c r="G13" s="261">
        <f t="shared" si="1"/>
        <v>0</v>
      </c>
      <c r="H13" s="150"/>
      <c r="I13" s="116"/>
      <c r="J13" s="113">
        <f t="shared" si="2"/>
        <v>0</v>
      </c>
      <c r="K13" s="126">
        <v>20000</v>
      </c>
      <c r="L13" s="131">
        <v>60000</v>
      </c>
      <c r="M13" s="131"/>
      <c r="N13" s="134">
        <f t="shared" si="3"/>
        <v>80000</v>
      </c>
      <c r="O13" s="150">
        <v>0.4</v>
      </c>
      <c r="P13" s="261">
        <f t="shared" si="4"/>
        <v>80000</v>
      </c>
      <c r="Q13" s="116">
        <f>559.78+17193.9+8631.51+60000</f>
        <v>86385.19</v>
      </c>
      <c r="R13" s="116">
        <f t="shared" si="0"/>
        <v>34554.076000000001</v>
      </c>
      <c r="S13" s="116">
        <f t="shared" si="5"/>
        <v>86385.19</v>
      </c>
      <c r="T13" s="261"/>
      <c r="U13" s="157"/>
      <c r="V13" s="266"/>
    </row>
    <row r="14" spans="1:22" ht="94.5">
      <c r="B14" s="129" t="s">
        <v>37</v>
      </c>
      <c r="C14" s="158" t="s">
        <v>38</v>
      </c>
      <c r="D14" s="128"/>
      <c r="E14" s="156"/>
      <c r="F14" s="156"/>
      <c r="G14" s="261">
        <f t="shared" si="1"/>
        <v>0</v>
      </c>
      <c r="H14" s="151"/>
      <c r="I14" s="116"/>
      <c r="J14" s="113">
        <f t="shared" si="2"/>
        <v>0</v>
      </c>
      <c r="K14" s="126">
        <v>20000</v>
      </c>
      <c r="L14" s="128">
        <v>5000</v>
      </c>
      <c r="M14" s="128"/>
      <c r="N14" s="134">
        <f t="shared" si="3"/>
        <v>25000</v>
      </c>
      <c r="O14" s="151">
        <v>0.3</v>
      </c>
      <c r="P14" s="261">
        <f t="shared" si="4"/>
        <v>25000</v>
      </c>
      <c r="Q14" s="116">
        <f>609.12+14400.57+7870.89+57035.9</f>
        <v>79916.48000000001</v>
      </c>
      <c r="R14" s="116">
        <f t="shared" si="0"/>
        <v>23974.944000000003</v>
      </c>
      <c r="S14" s="116">
        <f t="shared" si="5"/>
        <v>79916.48000000001</v>
      </c>
      <c r="T14" s="261"/>
      <c r="U14" s="159"/>
      <c r="V14" s="266"/>
    </row>
    <row r="15" spans="1:22" ht="15.75">
      <c r="A15" s="17"/>
      <c r="B15" s="160"/>
      <c r="C15" s="161" t="s">
        <v>39</v>
      </c>
      <c r="D15" s="127">
        <f>SUM(D8:D14)</f>
        <v>130000</v>
      </c>
      <c r="E15" s="127">
        <f>SUM(E8:E14)</f>
        <v>30000</v>
      </c>
      <c r="F15" s="127">
        <f>SUM(F8:F14)</f>
        <v>0</v>
      </c>
      <c r="G15" s="127">
        <f>SUM(G8:G14)</f>
        <v>160000</v>
      </c>
      <c r="H15" s="65">
        <f>(H12*I12)+(H13*I13)+(I14*H14)+(I11*H11)+(I10*H10)+(I9*H9)+(I8*H8)</f>
        <v>38080.611000000004</v>
      </c>
      <c r="I15" s="109">
        <f t="shared" ref="I15:N15" si="6">SUM(I8:I14)</f>
        <v>126935.37000000001</v>
      </c>
      <c r="J15" s="127">
        <f>SUM(J8:J14)</f>
        <v>38080.611000000004</v>
      </c>
      <c r="K15" s="233">
        <f t="shared" si="6"/>
        <v>165000</v>
      </c>
      <c r="L15" s="127">
        <f t="shared" si="6"/>
        <v>75000</v>
      </c>
      <c r="M15" s="127">
        <f t="shared" si="6"/>
        <v>0</v>
      </c>
      <c r="N15" s="127">
        <f t="shared" si="6"/>
        <v>240000</v>
      </c>
      <c r="O15" s="127">
        <f>(O8*Q8)+(O9*Q9)+(O10*Q10)+(O11*Q11)+(O12*Q12)+(O13*Q13)+(O14*Q14)</f>
        <v>108947.20458333332</v>
      </c>
      <c r="P15" s="127">
        <f>SUM(P8:P14)</f>
        <v>400000</v>
      </c>
      <c r="Q15" s="127">
        <f>SUM(Q8:Q14)</f>
        <v>316700.9375</v>
      </c>
      <c r="R15" s="127">
        <f>SUM(R8:R14)</f>
        <v>108947.20458333332</v>
      </c>
      <c r="S15" s="127">
        <f>SUM(S8:S14)</f>
        <v>443636.3075</v>
      </c>
      <c r="T15" s="127"/>
      <c r="U15" s="159"/>
      <c r="V15" s="22"/>
    </row>
    <row r="16" spans="1:22" ht="51" customHeight="1">
      <c r="A16" s="17"/>
      <c r="B16" s="161" t="s">
        <v>40</v>
      </c>
      <c r="C16" s="344" t="s">
        <v>41</v>
      </c>
      <c r="D16" s="345"/>
      <c r="E16" s="345"/>
      <c r="F16" s="345"/>
      <c r="G16" s="345"/>
      <c r="H16" s="345"/>
      <c r="I16" s="345"/>
      <c r="J16" s="345"/>
      <c r="K16" s="345"/>
      <c r="L16" s="345"/>
      <c r="M16" s="345"/>
      <c r="N16" s="345"/>
      <c r="O16" s="345"/>
      <c r="P16" s="345"/>
      <c r="Q16" s="345"/>
      <c r="R16" s="345"/>
      <c r="S16" s="345"/>
      <c r="T16" s="345"/>
      <c r="U16" s="346"/>
      <c r="V16" s="21"/>
    </row>
    <row r="17" spans="1:22" ht="110.25">
      <c r="A17" s="17"/>
      <c r="B17" s="259" t="s">
        <v>42</v>
      </c>
      <c r="C17" s="260" t="s">
        <v>43</v>
      </c>
      <c r="D17" s="112">
        <v>60000</v>
      </c>
      <c r="E17" s="112"/>
      <c r="F17" s="112"/>
      <c r="G17" s="261">
        <f t="shared" ref="G17:G23" si="7">SUM(D17:F17)</f>
        <v>60000</v>
      </c>
      <c r="H17" s="264">
        <v>0.3</v>
      </c>
      <c r="I17" s="116">
        <v>53211.85</v>
      </c>
      <c r="J17" s="113">
        <f t="shared" ref="J17:J23" si="8">+H17*I17</f>
        <v>15963.554999999998</v>
      </c>
      <c r="K17" s="262"/>
      <c r="L17" s="263"/>
      <c r="M17" s="263"/>
      <c r="N17" s="134">
        <f t="shared" ref="N17:N23" si="9">SUM(K17:M17)</f>
        <v>0</v>
      </c>
      <c r="O17" s="264">
        <v>0.4</v>
      </c>
      <c r="P17" s="261">
        <f t="shared" ref="P17:P23" si="10">+G17+N17</f>
        <v>60000</v>
      </c>
      <c r="Q17" s="116"/>
      <c r="R17" s="116">
        <f t="shared" ref="R17:R23" si="11">+O17*Q17</f>
        <v>0</v>
      </c>
      <c r="S17" s="116">
        <f t="shared" ref="S17:S23" si="12">+Q17+I17</f>
        <v>53211.85</v>
      </c>
      <c r="T17" s="261"/>
      <c r="U17" s="157"/>
      <c r="V17" s="266"/>
    </row>
    <row r="18" spans="1:22" ht="83.25" customHeight="1">
      <c r="A18" s="17"/>
      <c r="B18" s="259" t="s">
        <v>44</v>
      </c>
      <c r="C18" s="162" t="s">
        <v>45</v>
      </c>
      <c r="D18" s="263"/>
      <c r="E18" s="177"/>
      <c r="F18" s="177"/>
      <c r="G18" s="261">
        <f t="shared" si="7"/>
        <v>0</v>
      </c>
      <c r="H18" s="264">
        <v>0</v>
      </c>
      <c r="I18" s="116"/>
      <c r="J18" s="113">
        <f t="shared" si="8"/>
        <v>0</v>
      </c>
      <c r="K18" s="262"/>
      <c r="L18" s="148">
        <v>5000</v>
      </c>
      <c r="M18" s="263"/>
      <c r="N18" s="134">
        <f t="shared" si="9"/>
        <v>5000</v>
      </c>
      <c r="O18" s="264">
        <v>0.4</v>
      </c>
      <c r="P18" s="261">
        <f t="shared" si="10"/>
        <v>5000</v>
      </c>
      <c r="Q18" s="116">
        <v>9534.26</v>
      </c>
      <c r="R18" s="116">
        <f t="shared" si="11"/>
        <v>3813.7040000000002</v>
      </c>
      <c r="S18" s="116">
        <f t="shared" si="12"/>
        <v>9534.26</v>
      </c>
      <c r="T18" s="261"/>
      <c r="U18" s="157" t="s">
        <v>46</v>
      </c>
      <c r="V18" s="266"/>
    </row>
    <row r="19" spans="1:22" ht="173.25">
      <c r="A19" s="17"/>
      <c r="B19" s="117" t="s">
        <v>47</v>
      </c>
      <c r="C19" s="118" t="s">
        <v>48</v>
      </c>
      <c r="D19" s="263">
        <v>68500</v>
      </c>
      <c r="E19" s="177"/>
      <c r="F19" s="177"/>
      <c r="G19" s="261">
        <f t="shared" si="7"/>
        <v>68500</v>
      </c>
      <c r="H19" s="264">
        <v>0.3</v>
      </c>
      <c r="I19" s="116">
        <v>63707.270000000004</v>
      </c>
      <c r="J19" s="113">
        <f t="shared" si="8"/>
        <v>19112.181</v>
      </c>
      <c r="K19" s="262"/>
      <c r="L19" s="263"/>
      <c r="M19" s="263"/>
      <c r="N19" s="133">
        <f t="shared" si="9"/>
        <v>0</v>
      </c>
      <c r="O19" s="264">
        <v>0.5</v>
      </c>
      <c r="P19" s="261">
        <f t="shared" si="10"/>
        <v>68500</v>
      </c>
      <c r="Q19" s="116"/>
      <c r="R19" s="116">
        <f t="shared" si="11"/>
        <v>0</v>
      </c>
      <c r="S19" s="116">
        <f t="shared" si="12"/>
        <v>63707.270000000004</v>
      </c>
      <c r="T19" s="261"/>
      <c r="U19" s="157"/>
      <c r="V19" s="266"/>
    </row>
    <row r="20" spans="1:22" ht="126">
      <c r="A20" s="17"/>
      <c r="B20" s="117" t="s">
        <v>49</v>
      </c>
      <c r="C20" s="118" t="s">
        <v>50</v>
      </c>
      <c r="D20" s="112">
        <v>20000</v>
      </c>
      <c r="E20" s="177">
        <v>10000</v>
      </c>
      <c r="F20" s="177"/>
      <c r="G20" s="261">
        <f t="shared" si="7"/>
        <v>30000</v>
      </c>
      <c r="H20" s="264">
        <v>0.15</v>
      </c>
      <c r="I20" s="116">
        <v>19635</v>
      </c>
      <c r="J20" s="113">
        <f t="shared" si="8"/>
        <v>2945.25</v>
      </c>
      <c r="K20" s="125"/>
      <c r="L20" s="112"/>
      <c r="M20" s="112"/>
      <c r="N20" s="133">
        <f t="shared" si="9"/>
        <v>0</v>
      </c>
      <c r="O20" s="149">
        <v>0.5</v>
      </c>
      <c r="P20" s="261">
        <f t="shared" si="10"/>
        <v>30000</v>
      </c>
      <c r="Q20" s="116"/>
      <c r="R20" s="116">
        <f t="shared" si="11"/>
        <v>0</v>
      </c>
      <c r="S20" s="116">
        <f t="shared" si="12"/>
        <v>19635</v>
      </c>
      <c r="T20" s="261"/>
      <c r="U20" s="157"/>
      <c r="V20" s="266"/>
    </row>
    <row r="21" spans="1:22" ht="295.5" customHeight="1">
      <c r="A21" s="17"/>
      <c r="B21" s="129" t="s">
        <v>51</v>
      </c>
      <c r="C21" s="162" t="s">
        <v>52</v>
      </c>
      <c r="D21" s="131"/>
      <c r="E21" s="156"/>
      <c r="F21" s="156"/>
      <c r="G21" s="261">
        <f t="shared" si="7"/>
        <v>0</v>
      </c>
      <c r="H21" s="150"/>
      <c r="I21" s="116"/>
      <c r="J21" s="113">
        <f t="shared" si="8"/>
        <v>0</v>
      </c>
      <c r="K21" s="234">
        <v>80000</v>
      </c>
      <c r="L21" s="131"/>
      <c r="M21" s="131"/>
      <c r="N21" s="134">
        <f t="shared" si="9"/>
        <v>80000</v>
      </c>
      <c r="O21" s="150">
        <v>0.3</v>
      </c>
      <c r="P21" s="261">
        <f t="shared" si="10"/>
        <v>80000</v>
      </c>
      <c r="Q21" s="116">
        <f>78880.868555096+178+10505.2</f>
        <v>89564.068555096004</v>
      </c>
      <c r="R21" s="116">
        <f t="shared" si="11"/>
        <v>26869.220566528802</v>
      </c>
      <c r="S21" s="116">
        <f t="shared" si="12"/>
        <v>89564.068555096004</v>
      </c>
      <c r="T21" s="261"/>
      <c r="U21" s="157"/>
      <c r="V21" s="266"/>
    </row>
    <row r="22" spans="1:22" ht="94.5">
      <c r="A22" s="17"/>
      <c r="B22" s="129" t="s">
        <v>53</v>
      </c>
      <c r="C22" s="162" t="s">
        <v>54</v>
      </c>
      <c r="D22" s="131"/>
      <c r="E22" s="156"/>
      <c r="F22" s="156"/>
      <c r="G22" s="261">
        <f t="shared" si="7"/>
        <v>0</v>
      </c>
      <c r="H22" s="150"/>
      <c r="I22" s="116"/>
      <c r="J22" s="113">
        <f t="shared" si="8"/>
        <v>0</v>
      </c>
      <c r="K22" s="234">
        <v>40000</v>
      </c>
      <c r="L22" s="131"/>
      <c r="M22" s="131"/>
      <c r="N22" s="134">
        <f t="shared" si="9"/>
        <v>40000</v>
      </c>
      <c r="O22" s="150">
        <v>0.3</v>
      </c>
      <c r="P22" s="261">
        <f t="shared" si="10"/>
        <v>40000</v>
      </c>
      <c r="Q22" s="116">
        <f>39875.984277548+383.68+26.44</f>
        <v>40286.104277548002</v>
      </c>
      <c r="R22" s="116">
        <f t="shared" si="11"/>
        <v>12085.831283264401</v>
      </c>
      <c r="S22" s="116">
        <f t="shared" si="12"/>
        <v>40286.104277548002</v>
      </c>
      <c r="T22" s="261"/>
      <c r="U22" s="157"/>
      <c r="V22" s="266"/>
    </row>
    <row r="23" spans="1:22" ht="135.75">
      <c r="A23" s="17"/>
      <c r="B23" s="129" t="s">
        <v>55</v>
      </c>
      <c r="C23" s="163" t="s">
        <v>56</v>
      </c>
      <c r="D23" s="128"/>
      <c r="E23" s="156"/>
      <c r="F23" s="156"/>
      <c r="G23" s="261">
        <f t="shared" si="7"/>
        <v>0</v>
      </c>
      <c r="H23" s="151"/>
      <c r="I23" s="116"/>
      <c r="J23" s="113">
        <f t="shared" si="8"/>
        <v>0</v>
      </c>
      <c r="K23" s="126"/>
      <c r="L23" s="164">
        <v>20000</v>
      </c>
      <c r="M23" s="128"/>
      <c r="N23" s="134">
        <f t="shared" si="9"/>
        <v>20000</v>
      </c>
      <c r="O23" s="151">
        <v>0.3</v>
      </c>
      <c r="P23" s="261">
        <f t="shared" si="10"/>
        <v>20000</v>
      </c>
      <c r="Q23" s="116">
        <f>9290.02+4565</f>
        <v>13855.02</v>
      </c>
      <c r="R23" s="116">
        <f t="shared" si="11"/>
        <v>4156.5060000000003</v>
      </c>
      <c r="S23" s="116">
        <f t="shared" si="12"/>
        <v>13855.02</v>
      </c>
      <c r="T23" s="261"/>
      <c r="U23" s="159"/>
      <c r="V23" s="266"/>
    </row>
    <row r="24" spans="1:22" ht="15.75">
      <c r="A24" s="17"/>
      <c r="C24" s="62" t="s">
        <v>39</v>
      </c>
      <c r="D24" s="10">
        <f>SUM(D17:D23)</f>
        <v>148500</v>
      </c>
      <c r="E24" s="10">
        <f>SUM(E17:E23)</f>
        <v>10000</v>
      </c>
      <c r="F24" s="10">
        <f>SUM(F17:F23)</f>
        <v>0</v>
      </c>
      <c r="G24" s="10">
        <f>SUM(G17:G23)</f>
        <v>158500</v>
      </c>
      <c r="H24" s="127">
        <f>(H20*I20)+(H21*I21)+(H22*I22)+(H23*I23)+(I19*H19)+(I18*H18)+(I17*H17)</f>
        <v>38020.985999999997</v>
      </c>
      <c r="I24" s="109">
        <f t="shared" ref="I24:N24" si="13">SUM(I17:I23)</f>
        <v>136554.12</v>
      </c>
      <c r="J24" s="7">
        <f>SUM(J17:J23)</f>
        <v>38020.985999999997</v>
      </c>
      <c r="K24" s="235">
        <f t="shared" si="13"/>
        <v>120000</v>
      </c>
      <c r="L24" s="10">
        <f t="shared" si="13"/>
        <v>25000</v>
      </c>
      <c r="M24" s="10">
        <f t="shared" si="13"/>
        <v>0</v>
      </c>
      <c r="N24" s="10">
        <f t="shared" si="13"/>
        <v>145000</v>
      </c>
      <c r="O24" s="7">
        <f>(O17*Q17)+(O18*Q18)+(O19*Q19)+(O20*Q20)+(O21*Q21)+(O22*Q22)+(O23*Q23)</f>
        <v>46925.261849793205</v>
      </c>
      <c r="P24" s="10">
        <f>SUM(P17:P23)</f>
        <v>303500</v>
      </c>
      <c r="Q24" s="10">
        <f>SUM(Q17:Q23)</f>
        <v>153239.45283264399</v>
      </c>
      <c r="R24" s="10">
        <f>SUM(R17:R23)</f>
        <v>46925.261849793205</v>
      </c>
      <c r="S24" s="10">
        <f>SUM(S17:S23)</f>
        <v>289793.57283264399</v>
      </c>
      <c r="T24" s="10"/>
      <c r="U24" s="267"/>
      <c r="V24" s="22"/>
    </row>
    <row r="25" spans="1:22" ht="51" customHeight="1">
      <c r="A25" s="17"/>
      <c r="B25" s="62" t="s">
        <v>57</v>
      </c>
      <c r="C25" s="340" t="s">
        <v>58</v>
      </c>
      <c r="D25" s="341"/>
      <c r="E25" s="341"/>
      <c r="F25" s="341"/>
      <c r="G25" s="341"/>
      <c r="H25" s="341"/>
      <c r="I25" s="341"/>
      <c r="J25" s="341"/>
      <c r="K25" s="341"/>
      <c r="L25" s="341"/>
      <c r="M25" s="341"/>
      <c r="N25" s="341"/>
      <c r="O25" s="341"/>
      <c r="P25" s="341"/>
      <c r="Q25" s="341"/>
      <c r="R25" s="341"/>
      <c r="S25" s="341"/>
      <c r="T25" s="341"/>
      <c r="U25" s="342"/>
      <c r="V25" s="21"/>
    </row>
    <row r="26" spans="1:22" ht="31.5">
      <c r="A26" s="17"/>
      <c r="B26" s="259" t="s">
        <v>59</v>
      </c>
      <c r="C26" s="268" t="s">
        <v>60</v>
      </c>
      <c r="D26" s="263">
        <v>0</v>
      </c>
      <c r="E26" s="263">
        <v>0</v>
      </c>
      <c r="F26" s="263">
        <v>0</v>
      </c>
      <c r="G26" s="269"/>
      <c r="H26" s="264"/>
      <c r="I26" s="262"/>
      <c r="J26" s="113">
        <f>+H26*I26</f>
        <v>0</v>
      </c>
      <c r="K26" s="262"/>
      <c r="L26" s="263"/>
      <c r="M26" s="263"/>
      <c r="N26" s="261">
        <f t="shared" ref="N26:N33" si="14">SUM(K26:M26)</f>
        <v>0</v>
      </c>
      <c r="O26" s="264"/>
      <c r="P26" s="261">
        <f t="shared" ref="P26" si="15">+G26+N26</f>
        <v>0</v>
      </c>
      <c r="Q26" s="261"/>
      <c r="R26" s="261"/>
      <c r="S26" s="261"/>
      <c r="T26" s="261"/>
      <c r="U26" s="265" t="s">
        <v>61</v>
      </c>
      <c r="V26" s="266"/>
    </row>
    <row r="27" spans="1:22" ht="15.75" hidden="1">
      <c r="A27" s="17"/>
      <c r="B27" s="259" t="s">
        <v>62</v>
      </c>
      <c r="C27" s="268"/>
      <c r="D27" s="263"/>
      <c r="E27" s="263"/>
      <c r="F27" s="263"/>
      <c r="G27" s="263"/>
      <c r="H27" s="264"/>
      <c r="I27" s="262"/>
      <c r="J27" s="263"/>
      <c r="K27" s="262"/>
      <c r="L27" s="263"/>
      <c r="M27" s="263"/>
      <c r="N27" s="261">
        <f t="shared" si="14"/>
        <v>0</v>
      </c>
      <c r="O27" s="264"/>
      <c r="P27" s="261">
        <f t="shared" ref="P27:P33" si="16">SUM(N27:O27)</f>
        <v>0</v>
      </c>
      <c r="Q27" s="261"/>
      <c r="R27" s="261"/>
      <c r="S27" s="261"/>
      <c r="T27" s="261"/>
      <c r="U27" s="265"/>
      <c r="V27" s="266"/>
    </row>
    <row r="28" spans="1:22" ht="15.75" hidden="1">
      <c r="A28" s="17"/>
      <c r="B28" s="259" t="s">
        <v>63</v>
      </c>
      <c r="C28" s="268"/>
      <c r="D28" s="263"/>
      <c r="E28" s="263"/>
      <c r="F28" s="263"/>
      <c r="G28" s="263"/>
      <c r="H28" s="264"/>
      <c r="I28" s="262"/>
      <c r="J28" s="263"/>
      <c r="K28" s="262"/>
      <c r="L28" s="263"/>
      <c r="M28" s="263"/>
      <c r="N28" s="261">
        <f t="shared" si="14"/>
        <v>0</v>
      </c>
      <c r="O28" s="264"/>
      <c r="P28" s="261">
        <f t="shared" si="16"/>
        <v>0</v>
      </c>
      <c r="Q28" s="261"/>
      <c r="R28" s="261"/>
      <c r="S28" s="261"/>
      <c r="T28" s="261"/>
      <c r="U28" s="265"/>
      <c r="V28" s="266"/>
    </row>
    <row r="29" spans="1:22" ht="15.75" hidden="1">
      <c r="A29" s="17"/>
      <c r="B29" s="259" t="s">
        <v>64</v>
      </c>
      <c r="C29" s="268"/>
      <c r="D29" s="263"/>
      <c r="E29" s="263"/>
      <c r="F29" s="263"/>
      <c r="G29" s="263"/>
      <c r="H29" s="264"/>
      <c r="I29" s="262"/>
      <c r="J29" s="263"/>
      <c r="K29" s="262"/>
      <c r="L29" s="263"/>
      <c r="M29" s="263"/>
      <c r="N29" s="261">
        <f t="shared" si="14"/>
        <v>0</v>
      </c>
      <c r="O29" s="264"/>
      <c r="P29" s="261">
        <f t="shared" si="16"/>
        <v>0</v>
      </c>
      <c r="Q29" s="261"/>
      <c r="R29" s="261"/>
      <c r="S29" s="261"/>
      <c r="T29" s="261"/>
      <c r="U29" s="265"/>
      <c r="V29" s="266"/>
    </row>
    <row r="30" spans="1:22" s="17" customFormat="1" ht="15.75" hidden="1">
      <c r="B30" s="259" t="s">
        <v>65</v>
      </c>
      <c r="C30" s="268"/>
      <c r="D30" s="263"/>
      <c r="E30" s="263"/>
      <c r="F30" s="263"/>
      <c r="G30" s="263"/>
      <c r="H30" s="264"/>
      <c r="I30" s="262"/>
      <c r="J30" s="263"/>
      <c r="K30" s="262"/>
      <c r="L30" s="263"/>
      <c r="M30" s="263"/>
      <c r="N30" s="261">
        <f t="shared" si="14"/>
        <v>0</v>
      </c>
      <c r="O30" s="264"/>
      <c r="P30" s="261">
        <f t="shared" si="16"/>
        <v>0</v>
      </c>
      <c r="Q30" s="261"/>
      <c r="R30" s="261"/>
      <c r="S30" s="261"/>
      <c r="T30" s="261"/>
      <c r="U30" s="265"/>
      <c r="V30" s="266"/>
    </row>
    <row r="31" spans="1:22" s="17" customFormat="1" ht="15.75" hidden="1">
      <c r="B31" s="259" t="s">
        <v>66</v>
      </c>
      <c r="C31" s="268"/>
      <c r="D31" s="263"/>
      <c r="E31" s="263"/>
      <c r="F31" s="263"/>
      <c r="G31" s="263"/>
      <c r="H31" s="264"/>
      <c r="I31" s="262"/>
      <c r="J31" s="263"/>
      <c r="K31" s="262"/>
      <c r="L31" s="263"/>
      <c r="M31" s="263"/>
      <c r="N31" s="261">
        <f t="shared" si="14"/>
        <v>0</v>
      </c>
      <c r="O31" s="264"/>
      <c r="P31" s="261">
        <f t="shared" si="16"/>
        <v>0</v>
      </c>
      <c r="Q31" s="261"/>
      <c r="R31" s="261"/>
      <c r="S31" s="261"/>
      <c r="T31" s="261"/>
      <c r="U31" s="265"/>
      <c r="V31" s="266"/>
    </row>
    <row r="32" spans="1:22" s="17" customFormat="1" ht="15.75" hidden="1">
      <c r="A32" s="16"/>
      <c r="B32" s="259" t="s">
        <v>67</v>
      </c>
      <c r="C32" s="270"/>
      <c r="D32" s="271"/>
      <c r="E32" s="271"/>
      <c r="F32" s="271"/>
      <c r="G32" s="271"/>
      <c r="H32" s="272"/>
      <c r="I32" s="262"/>
      <c r="J32" s="271"/>
      <c r="K32" s="262"/>
      <c r="L32" s="271"/>
      <c r="M32" s="271"/>
      <c r="N32" s="261">
        <f t="shared" si="14"/>
        <v>0</v>
      </c>
      <c r="O32" s="272"/>
      <c r="P32" s="261">
        <f t="shared" si="16"/>
        <v>0</v>
      </c>
      <c r="Q32" s="261"/>
      <c r="R32" s="261"/>
      <c r="S32" s="261"/>
      <c r="T32" s="261"/>
      <c r="U32" s="267"/>
      <c r="V32" s="266"/>
    </row>
    <row r="33" spans="1:22" ht="15.75" hidden="1">
      <c r="B33" s="259" t="s">
        <v>68</v>
      </c>
      <c r="C33" s="270"/>
      <c r="D33" s="271"/>
      <c r="E33" s="271"/>
      <c r="F33" s="271"/>
      <c r="G33" s="271"/>
      <c r="H33" s="272"/>
      <c r="I33" s="262"/>
      <c r="J33" s="271"/>
      <c r="K33" s="262"/>
      <c r="L33" s="271"/>
      <c r="M33" s="271"/>
      <c r="N33" s="261">
        <f t="shared" si="14"/>
        <v>0</v>
      </c>
      <c r="O33" s="272"/>
      <c r="P33" s="261">
        <f t="shared" si="16"/>
        <v>0</v>
      </c>
      <c r="Q33" s="261"/>
      <c r="R33" s="261"/>
      <c r="S33" s="261"/>
      <c r="T33" s="261"/>
      <c r="U33" s="267"/>
      <c r="V33" s="266"/>
    </row>
    <row r="34" spans="1:22" ht="21.75" customHeight="1">
      <c r="C34" s="62" t="s">
        <v>39</v>
      </c>
      <c r="D34" s="7">
        <f>SUM(D26:D33)</f>
        <v>0</v>
      </c>
      <c r="E34" s="7">
        <f t="shared" ref="E34:G34" si="17">SUM(E26:E33)</f>
        <v>0</v>
      </c>
      <c r="F34" s="7">
        <f t="shared" si="17"/>
        <v>0</v>
      </c>
      <c r="G34" s="7">
        <f t="shared" si="17"/>
        <v>0</v>
      </c>
      <c r="H34" s="127"/>
      <c r="I34" s="109">
        <f t="shared" ref="I34:N34" si="18">SUM(I26:I33)</f>
        <v>0</v>
      </c>
      <c r="J34" s="7">
        <f t="shared" si="18"/>
        <v>0</v>
      </c>
      <c r="K34" s="132">
        <f t="shared" si="18"/>
        <v>0</v>
      </c>
      <c r="L34" s="7">
        <f t="shared" si="18"/>
        <v>0</v>
      </c>
      <c r="M34" s="7">
        <f t="shared" si="18"/>
        <v>0</v>
      </c>
      <c r="N34" s="7">
        <f t="shared" si="18"/>
        <v>0</v>
      </c>
      <c r="O34" s="7">
        <f ca="1">(O34*Q34)</f>
        <v>0</v>
      </c>
      <c r="P34" s="7">
        <f>SUM(P26:P33)</f>
        <v>0</v>
      </c>
      <c r="Q34" s="7">
        <f>SUM(Q27:Q33)</f>
        <v>0</v>
      </c>
      <c r="R34" s="7"/>
      <c r="S34" s="7">
        <f>SUM(S27:S33)</f>
        <v>0</v>
      </c>
      <c r="T34" s="7"/>
      <c r="U34" s="267"/>
      <c r="V34" s="22"/>
    </row>
    <row r="35" spans="1:22" ht="51" hidden="1" customHeight="1">
      <c r="B35" s="62" t="s">
        <v>69</v>
      </c>
      <c r="C35" s="340"/>
      <c r="D35" s="341"/>
      <c r="E35" s="341"/>
      <c r="F35" s="341"/>
      <c r="G35" s="341"/>
      <c r="H35" s="341"/>
      <c r="I35" s="341"/>
      <c r="J35" s="341"/>
      <c r="K35" s="341"/>
      <c r="L35" s="341"/>
      <c r="M35" s="341"/>
      <c r="N35" s="341"/>
      <c r="O35" s="341"/>
      <c r="P35" s="341"/>
      <c r="Q35" s="341"/>
      <c r="R35" s="341"/>
      <c r="S35" s="341"/>
      <c r="T35" s="341"/>
      <c r="U35" s="342"/>
      <c r="V35" s="21"/>
    </row>
    <row r="36" spans="1:22" ht="15.75" hidden="1">
      <c r="B36" s="259" t="s">
        <v>70</v>
      </c>
      <c r="C36" s="268"/>
      <c r="D36" s="263"/>
      <c r="E36" s="263"/>
      <c r="F36" s="263"/>
      <c r="G36" s="263"/>
      <c r="H36" s="264"/>
      <c r="I36" s="262"/>
      <c r="J36" s="263"/>
      <c r="K36" s="262"/>
      <c r="L36" s="263"/>
      <c r="M36" s="263"/>
      <c r="N36" s="261">
        <f t="shared" ref="N36:N43" si="19">SUM(K36:M36)</f>
        <v>0</v>
      </c>
      <c r="O36" s="264"/>
      <c r="P36" s="261">
        <f t="shared" ref="P36:P43" si="20">SUM(N36:O36)</f>
        <v>0</v>
      </c>
      <c r="Q36" s="261"/>
      <c r="R36" s="261"/>
      <c r="S36" s="261"/>
      <c r="T36" s="261"/>
      <c r="U36" s="265"/>
      <c r="V36" s="266"/>
    </row>
    <row r="37" spans="1:22" ht="15.75" hidden="1">
      <c r="B37" s="259" t="s">
        <v>71</v>
      </c>
      <c r="C37" s="268"/>
      <c r="D37" s="263"/>
      <c r="E37" s="263"/>
      <c r="F37" s="263"/>
      <c r="G37" s="263"/>
      <c r="H37" s="264"/>
      <c r="I37" s="262"/>
      <c r="J37" s="263"/>
      <c r="K37" s="262"/>
      <c r="L37" s="263"/>
      <c r="M37" s="263"/>
      <c r="N37" s="261">
        <f t="shared" si="19"/>
        <v>0</v>
      </c>
      <c r="O37" s="264"/>
      <c r="P37" s="261">
        <f t="shared" si="20"/>
        <v>0</v>
      </c>
      <c r="Q37" s="261"/>
      <c r="R37" s="261"/>
      <c r="S37" s="261"/>
      <c r="T37" s="261"/>
      <c r="U37" s="265"/>
      <c r="V37" s="266"/>
    </row>
    <row r="38" spans="1:22" ht="15.75" hidden="1">
      <c r="B38" s="259" t="s">
        <v>72</v>
      </c>
      <c r="C38" s="268"/>
      <c r="D38" s="263"/>
      <c r="E38" s="263"/>
      <c r="F38" s="263"/>
      <c r="G38" s="263"/>
      <c r="H38" s="264"/>
      <c r="I38" s="262"/>
      <c r="J38" s="263"/>
      <c r="K38" s="262"/>
      <c r="L38" s="263"/>
      <c r="M38" s="263"/>
      <c r="N38" s="261">
        <f t="shared" si="19"/>
        <v>0</v>
      </c>
      <c r="O38" s="264"/>
      <c r="P38" s="261">
        <f t="shared" si="20"/>
        <v>0</v>
      </c>
      <c r="Q38" s="261"/>
      <c r="R38" s="261"/>
      <c r="S38" s="261"/>
      <c r="T38" s="261"/>
      <c r="U38" s="265"/>
      <c r="V38" s="266"/>
    </row>
    <row r="39" spans="1:22" ht="15.75" hidden="1">
      <c r="B39" s="259" t="s">
        <v>73</v>
      </c>
      <c r="C39" s="268"/>
      <c r="D39" s="263"/>
      <c r="E39" s="263"/>
      <c r="F39" s="263"/>
      <c r="G39" s="263"/>
      <c r="H39" s="264"/>
      <c r="I39" s="262"/>
      <c r="J39" s="263"/>
      <c r="K39" s="262"/>
      <c r="L39" s="263"/>
      <c r="M39" s="263"/>
      <c r="N39" s="261">
        <f t="shared" si="19"/>
        <v>0</v>
      </c>
      <c r="O39" s="264"/>
      <c r="P39" s="261">
        <f t="shared" si="20"/>
        <v>0</v>
      </c>
      <c r="Q39" s="261"/>
      <c r="R39" s="261"/>
      <c r="S39" s="261"/>
      <c r="T39" s="261"/>
      <c r="U39" s="265"/>
      <c r="V39" s="266"/>
    </row>
    <row r="40" spans="1:22" ht="15.75" hidden="1">
      <c r="B40" s="259" t="s">
        <v>74</v>
      </c>
      <c r="C40" s="268"/>
      <c r="D40" s="263"/>
      <c r="E40" s="263"/>
      <c r="F40" s="263"/>
      <c r="G40" s="263"/>
      <c r="H40" s="264"/>
      <c r="I40" s="262"/>
      <c r="J40" s="263"/>
      <c r="K40" s="262"/>
      <c r="L40" s="263"/>
      <c r="M40" s="263"/>
      <c r="N40" s="261">
        <f t="shared" si="19"/>
        <v>0</v>
      </c>
      <c r="O40" s="264"/>
      <c r="P40" s="261">
        <f t="shared" si="20"/>
        <v>0</v>
      </c>
      <c r="Q40" s="261"/>
      <c r="R40" s="261"/>
      <c r="S40" s="261"/>
      <c r="T40" s="261"/>
      <c r="U40" s="265"/>
      <c r="V40" s="266"/>
    </row>
    <row r="41" spans="1:22" ht="15.75" hidden="1">
      <c r="A41" s="17"/>
      <c r="B41" s="259" t="s">
        <v>75</v>
      </c>
      <c r="C41" s="268"/>
      <c r="D41" s="263"/>
      <c r="E41" s="263"/>
      <c r="F41" s="263"/>
      <c r="G41" s="263"/>
      <c r="H41" s="264"/>
      <c r="I41" s="262"/>
      <c r="J41" s="263"/>
      <c r="K41" s="262"/>
      <c r="L41" s="263"/>
      <c r="M41" s="263"/>
      <c r="N41" s="261">
        <f t="shared" si="19"/>
        <v>0</v>
      </c>
      <c r="O41" s="264"/>
      <c r="P41" s="261">
        <f t="shared" si="20"/>
        <v>0</v>
      </c>
      <c r="Q41" s="261"/>
      <c r="R41" s="261"/>
      <c r="S41" s="261"/>
      <c r="T41" s="261"/>
      <c r="U41" s="265"/>
      <c r="V41" s="266"/>
    </row>
    <row r="42" spans="1:22" s="17" customFormat="1" ht="15.75" hidden="1">
      <c r="A42" s="16"/>
      <c r="B42" s="259" t="s">
        <v>76</v>
      </c>
      <c r="C42" s="270"/>
      <c r="D42" s="271"/>
      <c r="E42" s="271"/>
      <c r="F42" s="271"/>
      <c r="G42" s="271"/>
      <c r="H42" s="272"/>
      <c r="I42" s="262"/>
      <c r="J42" s="271"/>
      <c r="K42" s="262"/>
      <c r="L42" s="271"/>
      <c r="M42" s="271"/>
      <c r="N42" s="261">
        <f t="shared" si="19"/>
        <v>0</v>
      </c>
      <c r="O42" s="272"/>
      <c r="P42" s="261">
        <f t="shared" si="20"/>
        <v>0</v>
      </c>
      <c r="Q42" s="261"/>
      <c r="R42" s="261"/>
      <c r="S42" s="261"/>
      <c r="T42" s="261"/>
      <c r="U42" s="267"/>
      <c r="V42" s="266"/>
    </row>
    <row r="43" spans="1:22" ht="15.75" hidden="1">
      <c r="B43" s="259" t="s">
        <v>77</v>
      </c>
      <c r="C43" s="270"/>
      <c r="D43" s="271"/>
      <c r="E43" s="271"/>
      <c r="F43" s="271"/>
      <c r="G43" s="271"/>
      <c r="H43" s="272"/>
      <c r="I43" s="262"/>
      <c r="J43" s="271"/>
      <c r="K43" s="262"/>
      <c r="L43" s="271"/>
      <c r="M43" s="271"/>
      <c r="N43" s="261">
        <f t="shared" si="19"/>
        <v>0</v>
      </c>
      <c r="O43" s="272"/>
      <c r="P43" s="261">
        <f t="shared" si="20"/>
        <v>0</v>
      </c>
      <c r="Q43" s="261"/>
      <c r="R43" s="261"/>
      <c r="S43" s="261"/>
      <c r="T43" s="261"/>
      <c r="U43" s="267"/>
      <c r="V43" s="266"/>
    </row>
    <row r="44" spans="1:22" ht="15.75" hidden="1">
      <c r="C44" s="62" t="s">
        <v>39</v>
      </c>
      <c r="D44" s="7">
        <f>SUM(D36:D43)</f>
        <v>0</v>
      </c>
      <c r="E44" s="7"/>
      <c r="F44" s="7"/>
      <c r="G44" s="7"/>
      <c r="H44" s="7">
        <f>(H36*E36)+(H37*E37)+(H38*E38)+(H39*E39)+(H40*E40)+(H41*E41)+(H42*E42)+(H43*E43)</f>
        <v>0</v>
      </c>
      <c r="I44" s="132">
        <f t="shared" ref="I44:N44" si="21">SUM(I36:I43)</f>
        <v>0</v>
      </c>
      <c r="J44" s="7">
        <f t="shared" si="21"/>
        <v>0</v>
      </c>
      <c r="K44" s="132">
        <f t="shared" si="21"/>
        <v>0</v>
      </c>
      <c r="L44" s="7">
        <f t="shared" si="21"/>
        <v>0</v>
      </c>
      <c r="M44" s="7">
        <f t="shared" si="21"/>
        <v>0</v>
      </c>
      <c r="N44" s="7">
        <f t="shared" si="21"/>
        <v>0</v>
      </c>
      <c r="O44" s="7">
        <f>(O36*N36)+(O37*N37)+(O38*N38)+(O39*N39)+(O40*N40)+(O41*N41)+(O42*N42)+(O43*N43)</f>
        <v>0</v>
      </c>
      <c r="P44" s="7">
        <f>SUM(P36:P43)</f>
        <v>0</v>
      </c>
      <c r="Q44" s="7"/>
      <c r="R44" s="7"/>
      <c r="S44" s="7"/>
      <c r="T44" s="7"/>
      <c r="U44" s="267"/>
      <c r="V44" s="22"/>
    </row>
    <row r="45" spans="1:22" ht="15.75">
      <c r="B45" s="273"/>
      <c r="C45" s="274"/>
      <c r="D45" s="275"/>
      <c r="E45" s="275"/>
      <c r="F45" s="275"/>
      <c r="G45" s="275"/>
      <c r="H45" s="275"/>
      <c r="I45" s="276"/>
      <c r="J45" s="275"/>
      <c r="K45" s="276"/>
      <c r="L45" s="275"/>
      <c r="M45" s="275"/>
      <c r="N45" s="275"/>
      <c r="O45" s="275"/>
      <c r="P45" s="275"/>
      <c r="Q45" s="275"/>
      <c r="R45" s="275"/>
      <c r="S45" s="275"/>
      <c r="T45" s="275"/>
      <c r="U45" s="275"/>
      <c r="V45" s="266"/>
    </row>
    <row r="46" spans="1:22" ht="51" customHeight="1">
      <c r="B46" s="62" t="s">
        <v>78</v>
      </c>
      <c r="C46" s="336" t="s">
        <v>79</v>
      </c>
      <c r="D46" s="337"/>
      <c r="E46" s="337"/>
      <c r="F46" s="337"/>
      <c r="G46" s="337"/>
      <c r="H46" s="337"/>
      <c r="I46" s="337"/>
      <c r="J46" s="337"/>
      <c r="K46" s="337"/>
      <c r="L46" s="337"/>
      <c r="M46" s="337"/>
      <c r="N46" s="337"/>
      <c r="O46" s="337"/>
      <c r="P46" s="337"/>
      <c r="Q46" s="337"/>
      <c r="R46" s="337"/>
      <c r="S46" s="337"/>
      <c r="T46" s="337"/>
      <c r="U46" s="343"/>
      <c r="V46" s="6"/>
    </row>
    <row r="47" spans="1:22" ht="51" customHeight="1">
      <c r="B47" s="62" t="s">
        <v>80</v>
      </c>
      <c r="C47" s="340" t="s">
        <v>81</v>
      </c>
      <c r="D47" s="341"/>
      <c r="E47" s="341"/>
      <c r="F47" s="341"/>
      <c r="G47" s="341"/>
      <c r="H47" s="341"/>
      <c r="I47" s="341"/>
      <c r="J47" s="341"/>
      <c r="K47" s="341"/>
      <c r="L47" s="341"/>
      <c r="M47" s="341"/>
      <c r="N47" s="341"/>
      <c r="O47" s="341"/>
      <c r="P47" s="341"/>
      <c r="Q47" s="341"/>
      <c r="R47" s="341"/>
      <c r="S47" s="341"/>
      <c r="T47" s="341"/>
      <c r="U47" s="342"/>
      <c r="V47" s="21"/>
    </row>
    <row r="48" spans="1:22" ht="94.5">
      <c r="B48" s="259" t="s">
        <v>82</v>
      </c>
      <c r="C48" s="260" t="s">
        <v>83</v>
      </c>
      <c r="D48" s="112">
        <v>100000</v>
      </c>
      <c r="E48" s="112"/>
      <c r="F48" s="112"/>
      <c r="G48" s="261">
        <f t="shared" ref="G48:G55" si="22">SUM(D48:F48)</f>
        <v>100000</v>
      </c>
      <c r="H48" s="264">
        <v>0.25</v>
      </c>
      <c r="I48" s="116">
        <v>80200.239999999991</v>
      </c>
      <c r="J48" s="113">
        <f t="shared" ref="J48:J54" si="23">+H48*I48</f>
        <v>20050.059999999998</v>
      </c>
      <c r="K48" s="262"/>
      <c r="L48" s="263"/>
      <c r="M48" s="263"/>
      <c r="N48" s="261">
        <f t="shared" ref="N48:N55" si="24">SUM(K48:M48)</f>
        <v>0</v>
      </c>
      <c r="O48" s="264"/>
      <c r="P48" s="261">
        <f t="shared" ref="P48:P55" si="25">+G48+N48</f>
        <v>100000</v>
      </c>
      <c r="Q48" s="116"/>
      <c r="R48" s="116">
        <f>+O48*Q48</f>
        <v>0</v>
      </c>
      <c r="S48" s="116">
        <f t="shared" ref="S48:S55" si="26">+Q48+I48</f>
        <v>80200.239999999991</v>
      </c>
      <c r="T48" s="261"/>
      <c r="U48" s="265"/>
      <c r="V48" s="266"/>
    </row>
    <row r="49" spans="1:22" ht="189">
      <c r="B49" s="259" t="s">
        <v>84</v>
      </c>
      <c r="C49" s="268" t="s">
        <v>85</v>
      </c>
      <c r="D49" s="263">
        <v>100000</v>
      </c>
      <c r="E49" s="177"/>
      <c r="F49" s="177"/>
      <c r="G49" s="261">
        <f t="shared" si="22"/>
        <v>100000</v>
      </c>
      <c r="H49" s="264">
        <v>0.4</v>
      </c>
      <c r="I49" s="116">
        <v>98076.39</v>
      </c>
      <c r="J49" s="113">
        <f t="shared" si="23"/>
        <v>39230.556000000004</v>
      </c>
      <c r="K49" s="262"/>
      <c r="L49" s="263"/>
      <c r="M49" s="263"/>
      <c r="N49" s="261">
        <f t="shared" si="24"/>
        <v>0</v>
      </c>
      <c r="O49" s="264"/>
      <c r="P49" s="261">
        <f t="shared" si="25"/>
        <v>100000</v>
      </c>
      <c r="Q49" s="116"/>
      <c r="R49" s="116">
        <f>+O49*Q49</f>
        <v>0</v>
      </c>
      <c r="S49" s="116">
        <f t="shared" si="26"/>
        <v>98076.39</v>
      </c>
      <c r="T49" s="261"/>
      <c r="U49" s="265"/>
      <c r="V49" s="266"/>
    </row>
    <row r="50" spans="1:22" ht="60">
      <c r="B50" s="259" t="s">
        <v>86</v>
      </c>
      <c r="C50" s="165" t="s">
        <v>87</v>
      </c>
      <c r="D50" s="112"/>
      <c r="E50" s="112">
        <v>0</v>
      </c>
      <c r="F50" s="112"/>
      <c r="G50" s="261">
        <f t="shared" si="22"/>
        <v>0</v>
      </c>
      <c r="H50" s="264"/>
      <c r="I50" s="116"/>
      <c r="J50" s="113">
        <f t="shared" si="23"/>
        <v>0</v>
      </c>
      <c r="K50" s="262"/>
      <c r="L50" s="263"/>
      <c r="M50" s="263"/>
      <c r="N50" s="261">
        <f t="shared" si="24"/>
        <v>0</v>
      </c>
      <c r="O50" s="264"/>
      <c r="P50" s="261">
        <f t="shared" si="25"/>
        <v>0</v>
      </c>
      <c r="Q50" s="116"/>
      <c r="R50" s="116">
        <f t="shared" ref="R50:R51" si="27">+O50*Q50</f>
        <v>0</v>
      </c>
      <c r="S50" s="116">
        <f t="shared" si="26"/>
        <v>0</v>
      </c>
      <c r="T50" s="261"/>
      <c r="U50" s="265"/>
      <c r="V50" s="266"/>
    </row>
    <row r="51" spans="1:22" ht="75">
      <c r="B51" s="129" t="s">
        <v>88</v>
      </c>
      <c r="C51" s="205" t="s">
        <v>89</v>
      </c>
      <c r="D51" s="263">
        <v>60000</v>
      </c>
      <c r="E51" s="269"/>
      <c r="F51" s="269"/>
      <c r="G51" s="261">
        <f t="shared" si="22"/>
        <v>60000</v>
      </c>
      <c r="H51" s="264">
        <v>0.4</v>
      </c>
      <c r="I51" s="116">
        <v>47889.93</v>
      </c>
      <c r="J51" s="113">
        <f t="shared" si="23"/>
        <v>19155.972000000002</v>
      </c>
      <c r="K51" s="126"/>
      <c r="L51" s="131"/>
      <c r="M51" s="131"/>
      <c r="N51" s="134">
        <f t="shared" si="24"/>
        <v>0</v>
      </c>
      <c r="O51" s="149"/>
      <c r="P51" s="261">
        <f t="shared" si="25"/>
        <v>60000</v>
      </c>
      <c r="Q51" s="116"/>
      <c r="R51" s="116">
        <f t="shared" si="27"/>
        <v>0</v>
      </c>
      <c r="S51" s="116">
        <f t="shared" si="26"/>
        <v>47889.93</v>
      </c>
      <c r="T51" s="261"/>
      <c r="U51" s="265"/>
      <c r="V51" s="266"/>
    </row>
    <row r="52" spans="1:22" ht="188.25" customHeight="1">
      <c r="B52" s="166" t="s">
        <v>90</v>
      </c>
      <c r="C52" s="130" t="s">
        <v>91</v>
      </c>
      <c r="D52" s="263">
        <v>50000</v>
      </c>
      <c r="E52" s="269">
        <v>20000</v>
      </c>
      <c r="F52" s="269"/>
      <c r="G52" s="261">
        <f t="shared" si="22"/>
        <v>70000</v>
      </c>
      <c r="H52" s="264">
        <v>0.35</v>
      </c>
      <c r="I52" s="116">
        <v>47366.62</v>
      </c>
      <c r="J52" s="113">
        <f t="shared" si="23"/>
        <v>16578.316999999999</v>
      </c>
      <c r="K52" s="126">
        <v>70000</v>
      </c>
      <c r="L52" s="153"/>
      <c r="M52" s="131"/>
      <c r="N52" s="134">
        <f t="shared" si="24"/>
        <v>70000</v>
      </c>
      <c r="O52" s="149">
        <v>0.35</v>
      </c>
      <c r="P52" s="261">
        <f t="shared" si="25"/>
        <v>140000</v>
      </c>
      <c r="Q52" s="116">
        <f>95687.55+35600.69+7200.02+4576.88</f>
        <v>143065.13999999998</v>
      </c>
      <c r="R52" s="116">
        <f>+O52*Q52</f>
        <v>50072.798999999992</v>
      </c>
      <c r="S52" s="116">
        <f t="shared" si="26"/>
        <v>190431.75999999998</v>
      </c>
      <c r="T52" s="261"/>
      <c r="U52" s="265"/>
      <c r="V52" s="266"/>
    </row>
    <row r="53" spans="1:22" ht="157.5">
      <c r="B53" s="166" t="s">
        <v>92</v>
      </c>
      <c r="C53" s="130" t="s">
        <v>93</v>
      </c>
      <c r="D53" s="131"/>
      <c r="E53" s="156"/>
      <c r="F53" s="156"/>
      <c r="G53" s="261">
        <f t="shared" si="22"/>
        <v>0</v>
      </c>
      <c r="H53" s="150"/>
      <c r="I53" s="116"/>
      <c r="J53" s="113">
        <f t="shared" si="23"/>
        <v>0</v>
      </c>
      <c r="K53" s="126">
        <v>50000</v>
      </c>
      <c r="L53" s="153"/>
      <c r="M53" s="131"/>
      <c r="N53" s="134">
        <f t="shared" si="24"/>
        <v>50000</v>
      </c>
      <c r="O53" s="150">
        <v>0.5</v>
      </c>
      <c r="P53" s="261">
        <f t="shared" si="25"/>
        <v>50000</v>
      </c>
      <c r="Q53" s="116">
        <f>28333.6+9919.7+7241.4</f>
        <v>45494.700000000004</v>
      </c>
      <c r="R53" s="116">
        <f>+O53*Q53</f>
        <v>22747.350000000002</v>
      </c>
      <c r="S53" s="116">
        <f t="shared" si="26"/>
        <v>45494.700000000004</v>
      </c>
      <c r="T53" s="261"/>
      <c r="U53" s="265"/>
      <c r="V53" s="266"/>
    </row>
    <row r="54" spans="1:22" ht="222" customHeight="1">
      <c r="A54" s="17"/>
      <c r="B54" s="167" t="s">
        <v>94</v>
      </c>
      <c r="C54" s="152" t="s">
        <v>95</v>
      </c>
      <c r="D54" s="128"/>
      <c r="E54" s="156"/>
      <c r="F54" s="156"/>
      <c r="G54" s="261">
        <f t="shared" si="22"/>
        <v>0</v>
      </c>
      <c r="H54" s="151"/>
      <c r="I54" s="116"/>
      <c r="J54" s="113">
        <f t="shared" si="23"/>
        <v>0</v>
      </c>
      <c r="K54" s="126">
        <v>10000</v>
      </c>
      <c r="L54" s="168"/>
      <c r="M54" s="128"/>
      <c r="N54" s="134">
        <f t="shared" si="24"/>
        <v>10000</v>
      </c>
      <c r="O54" s="151">
        <v>0.5</v>
      </c>
      <c r="P54" s="261">
        <f t="shared" si="25"/>
        <v>10000</v>
      </c>
      <c r="Q54" s="116">
        <f>11752.07+1551.88</f>
        <v>13303.95</v>
      </c>
      <c r="R54" s="116">
        <f>+O54*Q54</f>
        <v>6651.9750000000004</v>
      </c>
      <c r="S54" s="116">
        <f t="shared" si="26"/>
        <v>13303.95</v>
      </c>
      <c r="T54" s="261"/>
      <c r="U54" s="267"/>
      <c r="V54" s="266"/>
    </row>
    <row r="55" spans="1:22" s="17" customFormat="1" ht="73.5" customHeight="1">
      <c r="B55" s="167" t="s">
        <v>96</v>
      </c>
      <c r="C55" s="152" t="s">
        <v>97</v>
      </c>
      <c r="D55" s="128"/>
      <c r="E55" s="156"/>
      <c r="F55" s="156"/>
      <c r="G55" s="261">
        <f t="shared" si="22"/>
        <v>0</v>
      </c>
      <c r="H55" s="151"/>
      <c r="I55" s="109"/>
      <c r="J55" s="113">
        <f t="shared" ref="J55" si="28">+H55*I55</f>
        <v>0</v>
      </c>
      <c r="K55" s="126">
        <v>52000</v>
      </c>
      <c r="L55" s="168"/>
      <c r="M55" s="128"/>
      <c r="N55" s="134">
        <f t="shared" si="24"/>
        <v>52000</v>
      </c>
      <c r="O55" s="151">
        <v>0.4</v>
      </c>
      <c r="P55" s="261">
        <f t="shared" si="25"/>
        <v>52000</v>
      </c>
      <c r="Q55" s="116">
        <f>40931.82+14180.64+223.61</f>
        <v>55336.07</v>
      </c>
      <c r="R55" s="116">
        <f>+O55*Q55</f>
        <v>22134.428</v>
      </c>
      <c r="S55" s="116">
        <f t="shared" si="26"/>
        <v>55336.07</v>
      </c>
      <c r="T55" s="261"/>
      <c r="U55" s="267"/>
      <c r="V55" s="266"/>
    </row>
    <row r="56" spans="1:22" s="17" customFormat="1" ht="15.75">
      <c r="A56" s="16"/>
      <c r="B56" s="160"/>
      <c r="C56" s="161" t="s">
        <v>39</v>
      </c>
      <c r="D56" s="127">
        <f>SUM(D48:D55)</f>
        <v>310000</v>
      </c>
      <c r="E56" s="127">
        <f t="shared" ref="E56:G56" si="29">SUM(E48:E55)</f>
        <v>20000</v>
      </c>
      <c r="F56" s="127">
        <f t="shared" si="29"/>
        <v>0</v>
      </c>
      <c r="G56" s="127">
        <f t="shared" si="29"/>
        <v>330000</v>
      </c>
      <c r="H56" s="127">
        <f>(H52*I52)+(H53*I53)+(H54*I54)+(H55*I55)+(I51*H51)+(I50*H50)+(I49*H49)+(I48*H48)</f>
        <v>95014.904999999999</v>
      </c>
      <c r="I56" s="109">
        <f t="shared" ref="I56:N56" si="30">SUM(I48:I55)</f>
        <v>273533.18</v>
      </c>
      <c r="J56" s="7">
        <f t="shared" si="30"/>
        <v>95014.904999999999</v>
      </c>
      <c r="K56" s="233">
        <f t="shared" si="30"/>
        <v>182000</v>
      </c>
      <c r="L56" s="127">
        <f t="shared" si="30"/>
        <v>0</v>
      </c>
      <c r="M56" s="127">
        <f t="shared" si="30"/>
        <v>0</v>
      </c>
      <c r="N56" s="169">
        <f t="shared" si="30"/>
        <v>182000</v>
      </c>
      <c r="O56" s="127">
        <f>(O48*Q48)+(O49*Q49)+(O50*Q50)+(O51*Q51)+(O52*Q52)+(O53*Q53)+(O54*Q54)+(O55*Q55)</f>
        <v>101606.552</v>
      </c>
      <c r="P56" s="169">
        <f>SUM(P48:P55)</f>
        <v>512000</v>
      </c>
      <c r="Q56" s="169">
        <f>SUM(Q48:Q55)</f>
        <v>257199.86000000002</v>
      </c>
      <c r="R56" s="169">
        <f>SUM(R48:R55)</f>
        <v>101606.552</v>
      </c>
      <c r="S56" s="169">
        <f>SUM(S48:S55)</f>
        <v>530733.03999999992</v>
      </c>
      <c r="T56" s="169"/>
      <c r="U56" s="267"/>
      <c r="V56" s="22"/>
    </row>
    <row r="57" spans="1:22" ht="30.95" customHeight="1">
      <c r="B57" s="62" t="s">
        <v>98</v>
      </c>
      <c r="C57" s="340" t="s">
        <v>99</v>
      </c>
      <c r="D57" s="341"/>
      <c r="E57" s="341"/>
      <c r="F57" s="341"/>
      <c r="G57" s="341"/>
      <c r="H57" s="341"/>
      <c r="I57" s="341"/>
      <c r="J57" s="341"/>
      <c r="K57" s="341"/>
      <c r="L57" s="341"/>
      <c r="M57" s="341"/>
      <c r="N57" s="341"/>
      <c r="O57" s="341"/>
      <c r="P57" s="341"/>
      <c r="Q57" s="341"/>
      <c r="R57" s="341"/>
      <c r="S57" s="341"/>
      <c r="T57" s="341"/>
      <c r="U57" s="342"/>
      <c r="V57" s="21"/>
    </row>
    <row r="58" spans="1:22" ht="126">
      <c r="B58" s="259" t="s">
        <v>100</v>
      </c>
      <c r="C58" s="268" t="s">
        <v>101</v>
      </c>
      <c r="D58" s="263">
        <v>197782</v>
      </c>
      <c r="E58" s="177"/>
      <c r="F58" s="177">
        <v>125000</v>
      </c>
      <c r="G58" s="261">
        <f t="shared" ref="G58:G65" si="31">SUM(D58:F58)</f>
        <v>322782</v>
      </c>
      <c r="H58" s="264">
        <v>0.5</v>
      </c>
      <c r="I58" s="116">
        <f>186483.37+67803.98-1628+35147.79</f>
        <v>287807.13999999996</v>
      </c>
      <c r="J58" s="113">
        <f>+H58*I58</f>
        <v>143903.56999999998</v>
      </c>
      <c r="K58" s="262"/>
      <c r="L58" s="263"/>
      <c r="M58" s="263"/>
      <c r="N58" s="261">
        <f t="shared" ref="N58:N65" si="32">SUM(K58:M58)</f>
        <v>0</v>
      </c>
      <c r="O58" s="264"/>
      <c r="P58" s="261">
        <f t="shared" ref="P58:P65" si="33">+G58+N58</f>
        <v>322782</v>
      </c>
      <c r="Q58" s="116"/>
      <c r="R58" s="116">
        <f>+O58*Q58</f>
        <v>0</v>
      </c>
      <c r="S58" s="116">
        <f t="shared" ref="S58:S65" si="34">+Q58+I58</f>
        <v>287807.13999999996</v>
      </c>
      <c r="T58" s="261"/>
      <c r="U58" s="265"/>
      <c r="V58" s="266"/>
    </row>
    <row r="59" spans="1:22" ht="173.25">
      <c r="B59" s="259" t="s">
        <v>102</v>
      </c>
      <c r="C59" s="268" t="s">
        <v>103</v>
      </c>
      <c r="D59" s="263">
        <v>70000</v>
      </c>
      <c r="E59" s="177"/>
      <c r="F59" s="177"/>
      <c r="G59" s="261">
        <f t="shared" si="31"/>
        <v>70000</v>
      </c>
      <c r="H59" s="264">
        <v>0.4</v>
      </c>
      <c r="I59" s="116">
        <v>67927.470000000016</v>
      </c>
      <c r="J59" s="113">
        <f t="shared" ref="J59:J65" si="35">+H59*I59</f>
        <v>27170.988000000008</v>
      </c>
      <c r="K59" s="262"/>
      <c r="L59" s="263"/>
      <c r="M59" s="263"/>
      <c r="N59" s="261">
        <f t="shared" si="32"/>
        <v>0</v>
      </c>
      <c r="O59" s="264"/>
      <c r="P59" s="261">
        <f t="shared" si="33"/>
        <v>70000</v>
      </c>
      <c r="Q59" s="116"/>
      <c r="R59" s="116">
        <f>+O59*Q59</f>
        <v>0</v>
      </c>
      <c r="S59" s="116">
        <f t="shared" si="34"/>
        <v>67927.470000000016</v>
      </c>
      <c r="T59" s="261"/>
      <c r="U59" s="265"/>
      <c r="V59" s="266"/>
    </row>
    <row r="60" spans="1:22" ht="157.5">
      <c r="B60" s="117" t="s">
        <v>104</v>
      </c>
      <c r="C60" s="162" t="s">
        <v>105</v>
      </c>
      <c r="D60" s="131"/>
      <c r="E60" s="156"/>
      <c r="F60" s="156"/>
      <c r="G60" s="261">
        <f t="shared" si="31"/>
        <v>0</v>
      </c>
      <c r="H60" s="150"/>
      <c r="I60" s="116"/>
      <c r="J60" s="113">
        <f t="shared" si="35"/>
        <v>0</v>
      </c>
      <c r="K60" s="126">
        <v>10000</v>
      </c>
      <c r="L60" s="148">
        <v>2500</v>
      </c>
      <c r="M60" s="131"/>
      <c r="N60" s="134">
        <f t="shared" si="32"/>
        <v>12500</v>
      </c>
      <c r="O60" s="150">
        <v>0.5</v>
      </c>
      <c r="P60" s="261">
        <f t="shared" si="33"/>
        <v>12500</v>
      </c>
      <c r="Q60" s="116">
        <v>4000</v>
      </c>
      <c r="R60" s="116">
        <f>+O60*Q60</f>
        <v>2000</v>
      </c>
      <c r="S60" s="116">
        <f t="shared" si="34"/>
        <v>4000</v>
      </c>
      <c r="T60" s="261"/>
      <c r="U60" s="265"/>
      <c r="V60" s="266"/>
    </row>
    <row r="61" spans="1:22" ht="85.5" customHeight="1">
      <c r="B61" s="117" t="s">
        <v>106</v>
      </c>
      <c r="C61" s="130" t="s">
        <v>107</v>
      </c>
      <c r="D61" s="131"/>
      <c r="E61" s="156"/>
      <c r="F61" s="156"/>
      <c r="G61" s="261">
        <f t="shared" si="31"/>
        <v>0</v>
      </c>
      <c r="H61" s="150"/>
      <c r="I61" s="116"/>
      <c r="J61" s="113">
        <f t="shared" si="35"/>
        <v>0</v>
      </c>
      <c r="K61" s="126">
        <v>10000</v>
      </c>
      <c r="L61" s="131"/>
      <c r="M61" s="131"/>
      <c r="N61" s="134">
        <f t="shared" si="32"/>
        <v>10000</v>
      </c>
      <c r="O61" s="150">
        <v>0.5</v>
      </c>
      <c r="P61" s="261">
        <f t="shared" si="33"/>
        <v>10000</v>
      </c>
      <c r="Q61" s="116">
        <f>2443.66+20117.32+11948.76+2343.25</f>
        <v>36852.99</v>
      </c>
      <c r="R61" s="116">
        <f t="shared" ref="R61:R65" si="36">+O61*Q61</f>
        <v>18426.494999999999</v>
      </c>
      <c r="S61" s="116">
        <f t="shared" si="34"/>
        <v>36852.99</v>
      </c>
      <c r="T61" s="261"/>
      <c r="U61" s="265"/>
      <c r="V61" s="266"/>
    </row>
    <row r="62" spans="1:22" ht="110.25">
      <c r="B62" s="117" t="s">
        <v>108</v>
      </c>
      <c r="C62" s="162" t="s">
        <v>109</v>
      </c>
      <c r="D62" s="131"/>
      <c r="E62" s="156"/>
      <c r="F62" s="156"/>
      <c r="G62" s="261">
        <f t="shared" si="31"/>
        <v>0</v>
      </c>
      <c r="H62" s="150"/>
      <c r="I62" s="116"/>
      <c r="J62" s="113">
        <f t="shared" si="35"/>
        <v>0</v>
      </c>
      <c r="K62" s="126"/>
      <c r="L62" s="148">
        <v>2500</v>
      </c>
      <c r="M62" s="131"/>
      <c r="N62" s="134">
        <f t="shared" si="32"/>
        <v>2500</v>
      </c>
      <c r="O62" s="150">
        <v>0.5</v>
      </c>
      <c r="P62" s="261">
        <f t="shared" si="33"/>
        <v>2500</v>
      </c>
      <c r="Q62" s="116">
        <v>4000</v>
      </c>
      <c r="R62" s="116">
        <f t="shared" si="36"/>
        <v>2000</v>
      </c>
      <c r="S62" s="116">
        <f t="shared" si="34"/>
        <v>4000</v>
      </c>
      <c r="T62" s="261"/>
      <c r="U62" s="265"/>
      <c r="V62" s="266"/>
    </row>
    <row r="63" spans="1:22" ht="110.25">
      <c r="B63" s="117" t="s">
        <v>110</v>
      </c>
      <c r="C63" s="162" t="s">
        <v>111</v>
      </c>
      <c r="D63" s="131"/>
      <c r="E63" s="156"/>
      <c r="F63" s="156"/>
      <c r="G63" s="261">
        <f t="shared" si="31"/>
        <v>0</v>
      </c>
      <c r="H63" s="150"/>
      <c r="I63" s="116"/>
      <c r="J63" s="113">
        <f t="shared" si="35"/>
        <v>0</v>
      </c>
      <c r="K63" s="126">
        <v>40000</v>
      </c>
      <c r="L63" s="148">
        <v>3000</v>
      </c>
      <c r="M63" s="131"/>
      <c r="N63" s="134">
        <f t="shared" si="32"/>
        <v>43000</v>
      </c>
      <c r="O63" s="150">
        <v>0.5</v>
      </c>
      <c r="P63" s="261">
        <f t="shared" si="33"/>
        <v>43000</v>
      </c>
      <c r="Q63" s="116">
        <f>5852.6+16977.15+26755.35+3415.47</f>
        <v>53000.57</v>
      </c>
      <c r="R63" s="116">
        <f t="shared" si="36"/>
        <v>26500.285</v>
      </c>
      <c r="S63" s="116">
        <f t="shared" si="34"/>
        <v>53000.57</v>
      </c>
      <c r="T63" s="261"/>
      <c r="U63" s="265"/>
      <c r="V63" s="266"/>
    </row>
    <row r="64" spans="1:22" ht="63">
      <c r="B64" s="117" t="s">
        <v>112</v>
      </c>
      <c r="C64" s="162" t="s">
        <v>113</v>
      </c>
      <c r="D64" s="131"/>
      <c r="E64" s="156"/>
      <c r="F64" s="156"/>
      <c r="G64" s="261">
        <v>0</v>
      </c>
      <c r="H64" s="150"/>
      <c r="I64" s="116"/>
      <c r="J64" s="113">
        <f t="shared" si="35"/>
        <v>0</v>
      </c>
      <c r="K64" s="126">
        <v>5000</v>
      </c>
      <c r="L64" s="148"/>
      <c r="M64" s="131"/>
      <c r="N64" s="134">
        <v>5000</v>
      </c>
      <c r="O64" s="150">
        <v>0.5</v>
      </c>
      <c r="P64" s="261">
        <f t="shared" si="33"/>
        <v>5000</v>
      </c>
      <c r="Q64" s="116">
        <v>2711.17</v>
      </c>
      <c r="R64" s="116">
        <f t="shared" si="36"/>
        <v>1355.585</v>
      </c>
      <c r="S64" s="116">
        <f t="shared" si="34"/>
        <v>2711.17</v>
      </c>
      <c r="T64" s="261"/>
      <c r="U64" s="265"/>
      <c r="V64" s="266"/>
    </row>
    <row r="65" spans="1:22" ht="85.5" customHeight="1">
      <c r="B65" s="117" t="s">
        <v>114</v>
      </c>
      <c r="C65" s="130" t="s">
        <v>115</v>
      </c>
      <c r="D65" s="126"/>
      <c r="E65" s="170"/>
      <c r="F65" s="170"/>
      <c r="G65" s="261">
        <f t="shared" si="31"/>
        <v>0</v>
      </c>
      <c r="H65" s="154"/>
      <c r="I65" s="116"/>
      <c r="J65" s="113">
        <f t="shared" si="35"/>
        <v>0</v>
      </c>
      <c r="K65" s="126">
        <v>10000</v>
      </c>
      <c r="L65" s="126"/>
      <c r="M65" s="126"/>
      <c r="N65" s="134">
        <f t="shared" si="32"/>
        <v>10000</v>
      </c>
      <c r="O65" s="154">
        <v>0.5</v>
      </c>
      <c r="P65" s="261">
        <f t="shared" si="33"/>
        <v>10000</v>
      </c>
      <c r="Q65" s="116"/>
      <c r="R65" s="116">
        <f t="shared" si="36"/>
        <v>0</v>
      </c>
      <c r="S65" s="116">
        <f t="shared" si="34"/>
        <v>0</v>
      </c>
      <c r="T65" s="261"/>
      <c r="U65" s="277"/>
      <c r="V65" s="266"/>
    </row>
    <row r="66" spans="1:22" ht="15.75">
      <c r="C66" s="62" t="s">
        <v>39</v>
      </c>
      <c r="D66" s="10">
        <f>SUM(D58:D65)</f>
        <v>267782</v>
      </c>
      <c r="E66" s="10">
        <f>SUM(E58:E65)</f>
        <v>0</v>
      </c>
      <c r="F66" s="10">
        <f>SUM(F58:F65)</f>
        <v>125000</v>
      </c>
      <c r="G66" s="10">
        <f>SUM(G58:G65)</f>
        <v>392782</v>
      </c>
      <c r="H66" s="127">
        <f>(H62*I62)+(H63*I63)+(H64*I64)+(H65*I65)+(I61*H61)+(I60*H60)+(I59*H59)+(I58*H58)</f>
        <v>171074.55799999999</v>
      </c>
      <c r="I66" s="109">
        <f t="shared" ref="I66:N66" si="37">SUM(I58:I65)</f>
        <v>355734.61</v>
      </c>
      <c r="J66" s="171">
        <f>SUM(J58:J65)</f>
        <v>171074.55799999999</v>
      </c>
      <c r="K66" s="235">
        <f t="shared" si="37"/>
        <v>75000</v>
      </c>
      <c r="L66" s="10">
        <f t="shared" si="37"/>
        <v>8000</v>
      </c>
      <c r="M66" s="10">
        <f t="shared" si="37"/>
        <v>0</v>
      </c>
      <c r="N66" s="10">
        <f t="shared" si="37"/>
        <v>83000</v>
      </c>
      <c r="O66" s="223">
        <f>(O65*Q65)+(O60*Q60)+(Q58*O58)+(Q59*O59)+(Q61*O61)+(Q62*O62)+(Q63*O63)+(Q64*O64)</f>
        <v>50282.364999999998</v>
      </c>
      <c r="P66" s="10">
        <f>SUM(P58:P65)</f>
        <v>475782</v>
      </c>
      <c r="Q66" s="10">
        <f>SUM(Q58:Q65)</f>
        <v>100564.73</v>
      </c>
      <c r="R66" s="10">
        <f>SUM(R58:R65)</f>
        <v>50282.364999999998</v>
      </c>
      <c r="S66" s="10">
        <f>SUM(S58:S65)</f>
        <v>456299.33999999997</v>
      </c>
      <c r="T66" s="10"/>
      <c r="U66" s="267"/>
      <c r="V66" s="22"/>
    </row>
    <row r="67" spans="1:22" ht="26.1" customHeight="1">
      <c r="B67" s="62" t="s">
        <v>116</v>
      </c>
      <c r="C67" s="340" t="s">
        <v>117</v>
      </c>
      <c r="D67" s="341"/>
      <c r="E67" s="341"/>
      <c r="F67" s="341"/>
      <c r="G67" s="341"/>
      <c r="H67" s="341"/>
      <c r="I67" s="341"/>
      <c r="J67" s="341"/>
      <c r="K67" s="341"/>
      <c r="L67" s="341"/>
      <c r="M67" s="341"/>
      <c r="N67" s="341"/>
      <c r="O67" s="341"/>
      <c r="P67" s="341"/>
      <c r="Q67" s="341"/>
      <c r="R67" s="341"/>
      <c r="S67" s="341"/>
      <c r="T67" s="341"/>
      <c r="U67" s="342"/>
      <c r="V67" s="21"/>
    </row>
    <row r="68" spans="1:22" ht="123.75">
      <c r="B68" s="259" t="s">
        <v>118</v>
      </c>
      <c r="C68" s="268" t="s">
        <v>119</v>
      </c>
      <c r="D68" s="125">
        <v>80000</v>
      </c>
      <c r="E68" s="262"/>
      <c r="F68" s="262"/>
      <c r="G68" s="261">
        <f t="shared" ref="G68:G73" si="38">SUM(D68:F68)</f>
        <v>80000</v>
      </c>
      <c r="H68" s="264">
        <v>0.4</v>
      </c>
      <c r="I68" s="116">
        <v>55207.14</v>
      </c>
      <c r="J68" s="113">
        <f>+H68*I68</f>
        <v>22082.856</v>
      </c>
      <c r="K68" s="262"/>
      <c r="L68" s="263"/>
      <c r="M68" s="263"/>
      <c r="N68" s="261">
        <f t="shared" ref="N68:N73" si="39">SUM(K68:M68)</f>
        <v>0</v>
      </c>
      <c r="O68" s="264"/>
      <c r="P68" s="261">
        <f t="shared" ref="P68:P73" si="40">+G68+N68</f>
        <v>80000</v>
      </c>
      <c r="Q68" s="116"/>
      <c r="R68" s="116">
        <f t="shared" ref="R68:R72" si="41">+O68*Q68</f>
        <v>0</v>
      </c>
      <c r="S68" s="116">
        <f t="shared" ref="S68:S73" si="42">+Q68+I68</f>
        <v>55207.14</v>
      </c>
      <c r="T68" s="261"/>
      <c r="U68" s="265"/>
      <c r="V68" s="266"/>
    </row>
    <row r="69" spans="1:22" ht="93">
      <c r="B69" s="259" t="s">
        <v>120</v>
      </c>
      <c r="C69" s="268" t="s">
        <v>121</v>
      </c>
      <c r="D69" s="125">
        <v>10000</v>
      </c>
      <c r="E69" s="262"/>
      <c r="F69" s="262"/>
      <c r="G69" s="261">
        <f t="shared" si="38"/>
        <v>10000</v>
      </c>
      <c r="H69" s="264">
        <v>0.15</v>
      </c>
      <c r="I69" s="116">
        <v>6475</v>
      </c>
      <c r="J69" s="113">
        <f>+H69*I69</f>
        <v>971.25</v>
      </c>
      <c r="K69" s="262"/>
      <c r="L69" s="263"/>
      <c r="M69" s="263"/>
      <c r="N69" s="261">
        <f t="shared" si="39"/>
        <v>0</v>
      </c>
      <c r="O69" s="264"/>
      <c r="P69" s="261">
        <f t="shared" si="40"/>
        <v>10000</v>
      </c>
      <c r="Q69" s="116"/>
      <c r="R69" s="116">
        <f t="shared" si="41"/>
        <v>0</v>
      </c>
      <c r="S69" s="116">
        <f t="shared" si="42"/>
        <v>6475</v>
      </c>
      <c r="T69" s="261"/>
      <c r="U69" s="265"/>
      <c r="V69" s="266"/>
    </row>
    <row r="70" spans="1:22" ht="80.099999999999994" customHeight="1">
      <c r="B70" s="117" t="s">
        <v>122</v>
      </c>
      <c r="C70" s="165" t="s">
        <v>123</v>
      </c>
      <c r="D70" s="263"/>
      <c r="E70" s="178">
        <v>0</v>
      </c>
      <c r="F70" s="178"/>
      <c r="G70" s="261">
        <f t="shared" si="38"/>
        <v>0</v>
      </c>
      <c r="H70" s="150"/>
      <c r="I70" s="116"/>
      <c r="J70" s="113">
        <f t="shared" ref="J70:J73" si="43">+H70*I70</f>
        <v>0</v>
      </c>
      <c r="K70" s="126"/>
      <c r="L70" s="131"/>
      <c r="M70" s="131"/>
      <c r="N70" s="134">
        <f t="shared" si="39"/>
        <v>0</v>
      </c>
      <c r="O70" s="150"/>
      <c r="P70" s="261">
        <f t="shared" si="40"/>
        <v>0</v>
      </c>
      <c r="Q70" s="116"/>
      <c r="R70" s="116">
        <f t="shared" si="41"/>
        <v>0</v>
      </c>
      <c r="S70" s="116">
        <f t="shared" si="42"/>
        <v>0</v>
      </c>
      <c r="T70" s="261"/>
      <c r="U70" s="265"/>
      <c r="V70" s="266"/>
    </row>
    <row r="71" spans="1:22" ht="27.6" customHeight="1">
      <c r="A71" s="17"/>
      <c r="B71" s="259" t="s">
        <v>124</v>
      </c>
      <c r="C71" s="165" t="s">
        <v>125</v>
      </c>
      <c r="D71" s="263"/>
      <c r="E71" s="278">
        <v>0</v>
      </c>
      <c r="F71" s="278"/>
      <c r="G71" s="261">
        <f t="shared" si="38"/>
        <v>0</v>
      </c>
      <c r="H71" s="264"/>
      <c r="I71" s="116"/>
      <c r="J71" s="113">
        <f t="shared" si="43"/>
        <v>0</v>
      </c>
      <c r="K71" s="262"/>
      <c r="L71" s="263"/>
      <c r="M71" s="263"/>
      <c r="N71" s="261">
        <f t="shared" si="39"/>
        <v>0</v>
      </c>
      <c r="O71" s="264"/>
      <c r="P71" s="261">
        <f t="shared" si="40"/>
        <v>0</v>
      </c>
      <c r="Q71" s="116"/>
      <c r="R71" s="116">
        <f t="shared" si="41"/>
        <v>0</v>
      </c>
      <c r="S71" s="116">
        <f t="shared" si="42"/>
        <v>0</v>
      </c>
      <c r="T71" s="261"/>
      <c r="U71" s="265"/>
      <c r="V71" s="266"/>
    </row>
    <row r="72" spans="1:22" s="17" customFormat="1" ht="60">
      <c r="A72" s="16"/>
      <c r="B72" s="259" t="s">
        <v>126</v>
      </c>
      <c r="C72" s="165" t="s">
        <v>127</v>
      </c>
      <c r="D72" s="263"/>
      <c r="E72" s="278">
        <v>0</v>
      </c>
      <c r="F72" s="278"/>
      <c r="G72" s="261">
        <f t="shared" si="38"/>
        <v>0</v>
      </c>
      <c r="H72" s="264"/>
      <c r="I72" s="116"/>
      <c r="J72" s="113">
        <f t="shared" si="43"/>
        <v>0</v>
      </c>
      <c r="K72" s="262"/>
      <c r="L72" s="263"/>
      <c r="M72" s="263"/>
      <c r="N72" s="261">
        <f t="shared" si="39"/>
        <v>0</v>
      </c>
      <c r="O72" s="264"/>
      <c r="P72" s="261">
        <f t="shared" si="40"/>
        <v>0</v>
      </c>
      <c r="Q72" s="116"/>
      <c r="R72" s="116">
        <f t="shared" si="41"/>
        <v>0</v>
      </c>
      <c r="S72" s="116">
        <f t="shared" si="42"/>
        <v>0</v>
      </c>
      <c r="T72" s="261"/>
      <c r="U72" s="265"/>
      <c r="V72" s="266"/>
    </row>
    <row r="73" spans="1:22" ht="110.25">
      <c r="B73" s="259" t="s">
        <v>128</v>
      </c>
      <c r="C73" s="130" t="s">
        <v>129</v>
      </c>
      <c r="D73" s="131"/>
      <c r="E73" s="170"/>
      <c r="F73" s="170"/>
      <c r="G73" s="261">
        <f t="shared" si="38"/>
        <v>0</v>
      </c>
      <c r="H73" s="150"/>
      <c r="I73" s="116"/>
      <c r="J73" s="113">
        <f t="shared" si="43"/>
        <v>0</v>
      </c>
      <c r="K73" s="126">
        <v>15000</v>
      </c>
      <c r="L73" s="263"/>
      <c r="M73" s="263"/>
      <c r="N73" s="261">
        <f t="shared" si="39"/>
        <v>15000</v>
      </c>
      <c r="O73" s="150">
        <v>0.5</v>
      </c>
      <c r="P73" s="261">
        <f t="shared" si="40"/>
        <v>15000</v>
      </c>
      <c r="Q73" s="116"/>
      <c r="R73" s="116">
        <f>+O73*Q73</f>
        <v>0</v>
      </c>
      <c r="S73" s="116">
        <f t="shared" si="42"/>
        <v>0</v>
      </c>
      <c r="T73" s="261"/>
      <c r="U73" s="265"/>
      <c r="V73" s="266"/>
    </row>
    <row r="74" spans="1:22" ht="15.75">
      <c r="C74" s="62" t="s">
        <v>39</v>
      </c>
      <c r="D74" s="7">
        <f>SUM(D68:D73)</f>
        <v>90000</v>
      </c>
      <c r="E74" s="7">
        <f t="shared" ref="E74:G74" si="44">SUM(E68:E73)</f>
        <v>0</v>
      </c>
      <c r="F74" s="7">
        <f t="shared" si="44"/>
        <v>0</v>
      </c>
      <c r="G74" s="7">
        <f t="shared" si="44"/>
        <v>90000</v>
      </c>
      <c r="H74" s="7">
        <f>(I72*H72)+(I73*H73)+(I71*H71)+(I70*H70)+(I69*H69)+(I68*H68)</f>
        <v>23054.106</v>
      </c>
      <c r="I74" s="109">
        <f t="shared" ref="I74:N74" si="45">SUM(I68:I73)</f>
        <v>61682.14</v>
      </c>
      <c r="J74" s="171">
        <f>SUM(J68:J73)</f>
        <v>23054.106</v>
      </c>
      <c r="K74" s="137">
        <f t="shared" si="45"/>
        <v>15000</v>
      </c>
      <c r="L74" s="171">
        <f t="shared" si="45"/>
        <v>0</v>
      </c>
      <c r="M74" s="171">
        <f t="shared" si="45"/>
        <v>0</v>
      </c>
      <c r="N74" s="171">
        <f t="shared" si="45"/>
        <v>15000</v>
      </c>
      <c r="O74" s="7">
        <f>(O68*Q68)+(O69*Q69)+(O70*Q70)+(O71*Q71)+(O72*Q72)+(O73*Q73)</f>
        <v>0</v>
      </c>
      <c r="P74" s="7">
        <f>SUM(P68:P73)</f>
        <v>105000</v>
      </c>
      <c r="Q74" s="7">
        <f>SUM(Q68:Q73)</f>
        <v>0</v>
      </c>
      <c r="R74" s="7">
        <f>SUM(R68:R73)</f>
        <v>0</v>
      </c>
      <c r="S74" s="7">
        <f>SUM(S68:S73)</f>
        <v>61682.14</v>
      </c>
      <c r="T74" s="7"/>
      <c r="U74" s="267"/>
      <c r="V74" s="22"/>
    </row>
    <row r="75" spans="1:22" ht="51" hidden="1" customHeight="1">
      <c r="B75" s="62" t="s">
        <v>130</v>
      </c>
      <c r="C75" s="340"/>
      <c r="D75" s="341"/>
      <c r="E75" s="341"/>
      <c r="F75" s="341"/>
      <c r="G75" s="341"/>
      <c r="H75" s="341"/>
      <c r="I75" s="341"/>
      <c r="J75" s="341"/>
      <c r="K75" s="341"/>
      <c r="L75" s="341"/>
      <c r="M75" s="341"/>
      <c r="N75" s="341"/>
      <c r="O75" s="341"/>
      <c r="P75" s="341"/>
      <c r="Q75" s="341"/>
      <c r="R75" s="341"/>
      <c r="S75" s="341"/>
      <c r="T75" s="341"/>
      <c r="U75" s="342"/>
      <c r="V75" s="21"/>
    </row>
    <row r="76" spans="1:22" ht="15.75" hidden="1">
      <c r="B76" s="259" t="s">
        <v>131</v>
      </c>
      <c r="C76" s="268"/>
      <c r="D76" s="263"/>
      <c r="E76" s="263"/>
      <c r="F76" s="263"/>
      <c r="G76" s="263"/>
      <c r="H76" s="264"/>
      <c r="I76" s="262"/>
      <c r="J76" s="263"/>
      <c r="K76" s="262"/>
      <c r="L76" s="263"/>
      <c r="M76" s="263"/>
      <c r="N76" s="261">
        <f t="shared" ref="N76:N83" si="46">SUM(K76:M76)</f>
        <v>0</v>
      </c>
      <c r="O76" s="264"/>
      <c r="P76" s="261">
        <f t="shared" ref="P76:P83" si="47">SUM(N76:O76)</f>
        <v>0</v>
      </c>
      <c r="Q76" s="261"/>
      <c r="R76" s="261"/>
      <c r="S76" s="261"/>
      <c r="T76" s="261"/>
      <c r="U76" s="265"/>
      <c r="V76" s="266"/>
    </row>
    <row r="77" spans="1:22" ht="15.75" hidden="1">
      <c r="B77" s="259" t="s">
        <v>132</v>
      </c>
      <c r="C77" s="268"/>
      <c r="D77" s="263"/>
      <c r="E77" s="263"/>
      <c r="F77" s="263"/>
      <c r="G77" s="263"/>
      <c r="H77" s="264"/>
      <c r="I77" s="262"/>
      <c r="J77" s="263"/>
      <c r="K77" s="262"/>
      <c r="L77" s="263"/>
      <c r="M77" s="263"/>
      <c r="N77" s="261">
        <f t="shared" si="46"/>
        <v>0</v>
      </c>
      <c r="O77" s="264"/>
      <c r="P77" s="261">
        <f t="shared" si="47"/>
        <v>0</v>
      </c>
      <c r="Q77" s="261"/>
      <c r="R77" s="261"/>
      <c r="S77" s="261"/>
      <c r="T77" s="261"/>
      <c r="U77" s="265"/>
      <c r="V77" s="266"/>
    </row>
    <row r="78" spans="1:22" ht="15.75" hidden="1">
      <c r="B78" s="259" t="s">
        <v>133</v>
      </c>
      <c r="C78" s="268"/>
      <c r="D78" s="263"/>
      <c r="E78" s="263"/>
      <c r="F78" s="263"/>
      <c r="G78" s="263"/>
      <c r="H78" s="264"/>
      <c r="I78" s="262"/>
      <c r="J78" s="263"/>
      <c r="K78" s="262"/>
      <c r="L78" s="263"/>
      <c r="M78" s="263"/>
      <c r="N78" s="261">
        <f t="shared" si="46"/>
        <v>0</v>
      </c>
      <c r="O78" s="264"/>
      <c r="P78" s="261">
        <f t="shared" si="47"/>
        <v>0</v>
      </c>
      <c r="Q78" s="261"/>
      <c r="R78" s="261"/>
      <c r="S78" s="261"/>
      <c r="T78" s="261"/>
      <c r="U78" s="265"/>
      <c r="V78" s="266"/>
    </row>
    <row r="79" spans="1:22" ht="15.75" hidden="1">
      <c r="B79" s="259" t="s">
        <v>134</v>
      </c>
      <c r="C79" s="268"/>
      <c r="D79" s="263"/>
      <c r="E79" s="263"/>
      <c r="F79" s="263"/>
      <c r="G79" s="263"/>
      <c r="H79" s="264"/>
      <c r="I79" s="262"/>
      <c r="J79" s="263"/>
      <c r="K79" s="262"/>
      <c r="L79" s="263"/>
      <c r="M79" s="263"/>
      <c r="N79" s="261">
        <f t="shared" si="46"/>
        <v>0</v>
      </c>
      <c r="O79" s="264"/>
      <c r="P79" s="261">
        <f t="shared" si="47"/>
        <v>0</v>
      </c>
      <c r="Q79" s="261"/>
      <c r="R79" s="261"/>
      <c r="S79" s="261"/>
      <c r="T79" s="261"/>
      <c r="U79" s="265"/>
      <c r="V79" s="266"/>
    </row>
    <row r="80" spans="1:22" ht="15.75" hidden="1">
      <c r="B80" s="259" t="s">
        <v>135</v>
      </c>
      <c r="C80" s="268"/>
      <c r="D80" s="263"/>
      <c r="E80" s="263"/>
      <c r="F80" s="263"/>
      <c r="G80" s="263"/>
      <c r="H80" s="264"/>
      <c r="I80" s="262"/>
      <c r="J80" s="263"/>
      <c r="K80" s="262"/>
      <c r="L80" s="263"/>
      <c r="M80" s="263"/>
      <c r="N80" s="261">
        <f t="shared" si="46"/>
        <v>0</v>
      </c>
      <c r="O80" s="264"/>
      <c r="P80" s="261">
        <f t="shared" si="47"/>
        <v>0</v>
      </c>
      <c r="Q80" s="261"/>
      <c r="R80" s="261"/>
      <c r="S80" s="261"/>
      <c r="T80" s="261"/>
      <c r="U80" s="265"/>
      <c r="V80" s="266"/>
    </row>
    <row r="81" spans="2:22" ht="15.75" hidden="1">
      <c r="B81" s="259" t="s">
        <v>136</v>
      </c>
      <c r="C81" s="268"/>
      <c r="D81" s="263"/>
      <c r="E81" s="263"/>
      <c r="F81" s="263"/>
      <c r="G81" s="263"/>
      <c r="H81" s="264"/>
      <c r="I81" s="262"/>
      <c r="J81" s="263"/>
      <c r="K81" s="262"/>
      <c r="L81" s="263"/>
      <c r="M81" s="263"/>
      <c r="N81" s="261">
        <f t="shared" si="46"/>
        <v>0</v>
      </c>
      <c r="O81" s="264"/>
      <c r="P81" s="261">
        <f t="shared" si="47"/>
        <v>0</v>
      </c>
      <c r="Q81" s="261"/>
      <c r="R81" s="261"/>
      <c r="S81" s="261"/>
      <c r="T81" s="261"/>
      <c r="U81" s="265"/>
      <c r="V81" s="266"/>
    </row>
    <row r="82" spans="2:22" ht="15.75" hidden="1">
      <c r="B82" s="259" t="s">
        <v>137</v>
      </c>
      <c r="C82" s="270"/>
      <c r="D82" s="271"/>
      <c r="E82" s="271"/>
      <c r="F82" s="271"/>
      <c r="G82" s="271"/>
      <c r="H82" s="272"/>
      <c r="I82" s="262"/>
      <c r="J82" s="271"/>
      <c r="K82" s="262"/>
      <c r="L82" s="271"/>
      <c r="M82" s="271"/>
      <c r="N82" s="261">
        <f t="shared" si="46"/>
        <v>0</v>
      </c>
      <c r="O82" s="272"/>
      <c r="P82" s="261">
        <f t="shared" si="47"/>
        <v>0</v>
      </c>
      <c r="Q82" s="261"/>
      <c r="R82" s="261"/>
      <c r="S82" s="261"/>
      <c r="T82" s="261"/>
      <c r="U82" s="267"/>
      <c r="V82" s="266"/>
    </row>
    <row r="83" spans="2:22" ht="15.75" hidden="1">
      <c r="B83" s="259" t="s">
        <v>138</v>
      </c>
      <c r="C83" s="270"/>
      <c r="D83" s="271"/>
      <c r="E83" s="271"/>
      <c r="F83" s="271"/>
      <c r="G83" s="271"/>
      <c r="H83" s="272"/>
      <c r="I83" s="262"/>
      <c r="J83" s="271"/>
      <c r="K83" s="262"/>
      <c r="L83" s="271"/>
      <c r="M83" s="271"/>
      <c r="N83" s="261">
        <f t="shared" si="46"/>
        <v>0</v>
      </c>
      <c r="O83" s="272"/>
      <c r="P83" s="261">
        <f t="shared" si="47"/>
        <v>0</v>
      </c>
      <c r="Q83" s="261"/>
      <c r="R83" s="261"/>
      <c r="S83" s="261"/>
      <c r="T83" s="261"/>
      <c r="U83" s="267"/>
      <c r="V83" s="266"/>
    </row>
    <row r="84" spans="2:22" ht="15.75" hidden="1">
      <c r="C84" s="62" t="s">
        <v>39</v>
      </c>
      <c r="D84" s="7">
        <f>SUM(D76:D83)</f>
        <v>0</v>
      </c>
      <c r="E84" s="7"/>
      <c r="F84" s="7"/>
      <c r="G84" s="7"/>
      <c r="H84" s="7">
        <f>(H76*E76)+(H77*E77)+(H78*E78)+(H79*E79)+(H80*E80)+(H81*E81)+(H82*E82)+(H83*E83)</f>
        <v>0</v>
      </c>
      <c r="I84" s="137">
        <f t="shared" ref="I84:N84" si="48">SUM(I76:I83)</f>
        <v>0</v>
      </c>
      <c r="J84" s="171">
        <f t="shared" si="48"/>
        <v>0</v>
      </c>
      <c r="K84" s="132">
        <f t="shared" si="48"/>
        <v>0</v>
      </c>
      <c r="L84" s="7">
        <f t="shared" si="48"/>
        <v>0</v>
      </c>
      <c r="M84" s="7">
        <f t="shared" si="48"/>
        <v>0</v>
      </c>
      <c r="N84" s="7">
        <f t="shared" si="48"/>
        <v>0</v>
      </c>
      <c r="O84" s="7">
        <f>(O76*N76)+(O77*N77)+(O78*N78)+(O79*N79)+(O80*N80)+(O81*N81)+(O82*N82)+(O83*N83)</f>
        <v>0</v>
      </c>
      <c r="P84" s="7">
        <f>SUM(P76:P83)</f>
        <v>0</v>
      </c>
      <c r="Q84" s="7"/>
      <c r="R84" s="7"/>
      <c r="S84" s="7"/>
      <c r="T84" s="7"/>
      <c r="U84" s="267"/>
      <c r="V84" s="22"/>
    </row>
    <row r="85" spans="2:22" ht="15.75" customHeight="1">
      <c r="B85" s="3"/>
      <c r="C85" s="273"/>
      <c r="D85" s="279"/>
      <c r="E85" s="279"/>
      <c r="F85" s="279"/>
      <c r="G85" s="279"/>
      <c r="H85" s="279"/>
      <c r="I85" s="280"/>
      <c r="J85" s="279"/>
      <c r="K85" s="280"/>
      <c r="L85" s="279"/>
      <c r="M85" s="279"/>
      <c r="N85" s="279"/>
      <c r="O85" s="279"/>
      <c r="P85" s="279"/>
      <c r="Q85" s="279"/>
      <c r="R85" s="279"/>
      <c r="S85" s="279"/>
      <c r="T85" s="279"/>
      <c r="U85" s="273"/>
      <c r="V85" s="1"/>
    </row>
    <row r="86" spans="2:22" ht="30.95" customHeight="1">
      <c r="B86" s="62" t="s">
        <v>139</v>
      </c>
      <c r="C86" s="336" t="s">
        <v>140</v>
      </c>
      <c r="D86" s="337"/>
      <c r="E86" s="337"/>
      <c r="F86" s="337"/>
      <c r="G86" s="337"/>
      <c r="H86" s="337"/>
      <c r="I86" s="337"/>
      <c r="J86" s="337"/>
      <c r="K86" s="337"/>
      <c r="L86" s="337"/>
      <c r="M86" s="337"/>
      <c r="N86" s="337"/>
      <c r="O86" s="337"/>
      <c r="P86" s="337"/>
      <c r="Q86" s="337"/>
      <c r="R86" s="337"/>
      <c r="S86" s="337"/>
      <c r="T86" s="337"/>
      <c r="U86" s="343"/>
      <c r="V86" s="6"/>
    </row>
    <row r="87" spans="2:22" ht="25.5" customHeight="1">
      <c r="B87" s="62" t="s">
        <v>141</v>
      </c>
      <c r="C87" s="340" t="s">
        <v>142</v>
      </c>
      <c r="D87" s="341"/>
      <c r="E87" s="341"/>
      <c r="F87" s="341"/>
      <c r="G87" s="341"/>
      <c r="H87" s="341"/>
      <c r="I87" s="341"/>
      <c r="J87" s="341"/>
      <c r="K87" s="341"/>
      <c r="L87" s="341"/>
      <c r="M87" s="341"/>
      <c r="N87" s="341"/>
      <c r="O87" s="341"/>
      <c r="P87" s="341"/>
      <c r="Q87" s="341"/>
      <c r="R87" s="341"/>
      <c r="S87" s="341"/>
      <c r="T87" s="341"/>
      <c r="U87" s="342"/>
      <c r="V87" s="21"/>
    </row>
    <row r="88" spans="2:22" ht="110.25">
      <c r="B88" s="259" t="s">
        <v>143</v>
      </c>
      <c r="C88" s="130" t="s">
        <v>144</v>
      </c>
      <c r="D88" s="131"/>
      <c r="E88" s="170"/>
      <c r="F88" s="170"/>
      <c r="G88" s="261">
        <f t="shared" ref="G88:G92" si="49">SUM(D88:F88)</f>
        <v>0</v>
      </c>
      <c r="H88" s="150"/>
      <c r="I88" s="116"/>
      <c r="J88" s="113">
        <f t="shared" ref="J88:J91" si="50">+H88*I88</f>
        <v>0</v>
      </c>
      <c r="K88" s="126"/>
      <c r="L88" s="131"/>
      <c r="M88" s="131">
        <v>45000</v>
      </c>
      <c r="N88" s="134">
        <f t="shared" ref="N88:N92" si="51">SUM(K88:M88)</f>
        <v>45000</v>
      </c>
      <c r="O88" s="150">
        <v>0.3</v>
      </c>
      <c r="P88" s="261">
        <f t="shared" ref="P88:P92" si="52">+G88+N88</f>
        <v>45000</v>
      </c>
      <c r="Q88" s="116">
        <v>45000</v>
      </c>
      <c r="R88" s="116">
        <f>+O88*Q88</f>
        <v>13500</v>
      </c>
      <c r="S88" s="116">
        <f t="shared" ref="S88:S92" si="53">+Q88+I88</f>
        <v>45000</v>
      </c>
      <c r="T88" s="261"/>
      <c r="U88" s="265"/>
      <c r="V88" s="266"/>
    </row>
    <row r="89" spans="2:22" ht="63">
      <c r="B89" s="259" t="s">
        <v>145</v>
      </c>
      <c r="C89" s="130" t="s">
        <v>146</v>
      </c>
      <c r="D89" s="131"/>
      <c r="E89" s="170"/>
      <c r="F89" s="170"/>
      <c r="G89" s="261">
        <f t="shared" si="49"/>
        <v>0</v>
      </c>
      <c r="H89" s="150"/>
      <c r="I89" s="116"/>
      <c r="J89" s="113">
        <f t="shared" si="50"/>
        <v>0</v>
      </c>
      <c r="K89" s="126"/>
      <c r="L89" s="131"/>
      <c r="M89" s="131">
        <v>50000</v>
      </c>
      <c r="N89" s="134">
        <f t="shared" si="51"/>
        <v>50000</v>
      </c>
      <c r="O89" s="150">
        <v>0.3</v>
      </c>
      <c r="P89" s="261">
        <f t="shared" si="52"/>
        <v>50000</v>
      </c>
      <c r="Q89" s="116">
        <v>50000</v>
      </c>
      <c r="R89" s="116">
        <f t="shared" ref="R89:R91" si="54">+O89*Q89</f>
        <v>15000</v>
      </c>
      <c r="S89" s="116">
        <f t="shared" si="53"/>
        <v>50000</v>
      </c>
      <c r="T89" s="261"/>
      <c r="U89" s="265"/>
      <c r="V89" s="266"/>
    </row>
    <row r="90" spans="2:22" ht="78.75">
      <c r="B90" s="259" t="s">
        <v>147</v>
      </c>
      <c r="C90" s="130" t="s">
        <v>148</v>
      </c>
      <c r="D90" s="131"/>
      <c r="E90" s="170"/>
      <c r="F90" s="170"/>
      <c r="G90" s="261">
        <f t="shared" si="49"/>
        <v>0</v>
      </c>
      <c r="H90" s="150"/>
      <c r="I90" s="116"/>
      <c r="J90" s="113">
        <f t="shared" si="50"/>
        <v>0</v>
      </c>
      <c r="K90" s="126"/>
      <c r="L90" s="131"/>
      <c r="M90" s="131">
        <v>40000</v>
      </c>
      <c r="N90" s="134">
        <f t="shared" si="51"/>
        <v>40000</v>
      </c>
      <c r="O90" s="150">
        <v>0.3</v>
      </c>
      <c r="P90" s="261">
        <f t="shared" si="52"/>
        <v>40000</v>
      </c>
      <c r="Q90" s="116">
        <v>10913.39</v>
      </c>
      <c r="R90" s="116">
        <f t="shared" si="54"/>
        <v>3274.0169999999998</v>
      </c>
      <c r="S90" s="116">
        <f t="shared" si="53"/>
        <v>10913.39</v>
      </c>
      <c r="T90" s="261"/>
      <c r="U90" s="265"/>
      <c r="V90" s="266"/>
    </row>
    <row r="91" spans="2:22" ht="94.5">
      <c r="B91" s="259" t="s">
        <v>149</v>
      </c>
      <c r="C91" s="130" t="s">
        <v>150</v>
      </c>
      <c r="D91" s="131"/>
      <c r="E91" s="170"/>
      <c r="F91" s="170"/>
      <c r="G91" s="261">
        <f t="shared" si="49"/>
        <v>0</v>
      </c>
      <c r="H91" s="150"/>
      <c r="I91" s="116"/>
      <c r="J91" s="113">
        <f t="shared" si="50"/>
        <v>0</v>
      </c>
      <c r="K91" s="126"/>
      <c r="L91" s="131"/>
      <c r="M91" s="131">
        <v>50000</v>
      </c>
      <c r="N91" s="134">
        <f t="shared" si="51"/>
        <v>50000</v>
      </c>
      <c r="O91" s="150">
        <v>0.5</v>
      </c>
      <c r="P91" s="261">
        <f t="shared" si="52"/>
        <v>50000</v>
      </c>
      <c r="Q91" s="116">
        <v>25000</v>
      </c>
      <c r="R91" s="116">
        <f t="shared" si="54"/>
        <v>12500</v>
      </c>
      <c r="S91" s="116">
        <f t="shared" si="53"/>
        <v>25000</v>
      </c>
      <c r="T91" s="261"/>
      <c r="U91" s="265"/>
      <c r="V91" s="266"/>
    </row>
    <row r="92" spans="2:22" ht="94.5">
      <c r="B92" s="259" t="s">
        <v>151</v>
      </c>
      <c r="C92" s="130" t="s">
        <v>152</v>
      </c>
      <c r="D92" s="131"/>
      <c r="E92" s="170"/>
      <c r="F92" s="170"/>
      <c r="G92" s="261">
        <f t="shared" si="49"/>
        <v>0</v>
      </c>
      <c r="H92" s="150"/>
      <c r="I92" s="116"/>
      <c r="J92" s="113">
        <f>+H92*I92</f>
        <v>0</v>
      </c>
      <c r="K92" s="126"/>
      <c r="L92" s="131"/>
      <c r="M92" s="131">
        <v>20000</v>
      </c>
      <c r="N92" s="134">
        <f t="shared" si="51"/>
        <v>20000</v>
      </c>
      <c r="O92" s="150">
        <v>0.5</v>
      </c>
      <c r="P92" s="261">
        <f t="shared" si="52"/>
        <v>20000</v>
      </c>
      <c r="Q92" s="116">
        <f>4356.1+19357.51</f>
        <v>23713.61</v>
      </c>
      <c r="R92" s="116">
        <f>+O92*Q92</f>
        <v>11856.805</v>
      </c>
      <c r="S92" s="116">
        <f t="shared" si="53"/>
        <v>23713.61</v>
      </c>
      <c r="T92" s="261"/>
      <c r="U92" s="265"/>
      <c r="V92" s="266"/>
    </row>
    <row r="93" spans="2:22" ht="15.75">
      <c r="C93" s="161" t="s">
        <v>39</v>
      </c>
      <c r="D93" s="127">
        <f>SUM(D88:D92)</f>
        <v>0</v>
      </c>
      <c r="E93" s="127"/>
      <c r="F93" s="127"/>
      <c r="G93" s="127"/>
      <c r="H93" s="7">
        <f>(I91*H91)+(I92*H92)+(I90*H90)+(I89*H89)+(I88*H88)</f>
        <v>0</v>
      </c>
      <c r="I93" s="109">
        <f t="shared" ref="I93:N93" si="55">SUM(I88:I92)</f>
        <v>0</v>
      </c>
      <c r="J93" s="172">
        <f>SUM(J88:J92)</f>
        <v>0</v>
      </c>
      <c r="K93" s="233">
        <f t="shared" si="55"/>
        <v>0</v>
      </c>
      <c r="L93" s="127">
        <f t="shared" si="55"/>
        <v>0</v>
      </c>
      <c r="M93" s="127">
        <f t="shared" si="55"/>
        <v>205000</v>
      </c>
      <c r="N93" s="169">
        <f t="shared" si="55"/>
        <v>205000</v>
      </c>
      <c r="O93" s="127">
        <f>(O88*Q88)+(O89*Q89)+(O90*Q90)+(O91*Q91)+(O92*Q92)</f>
        <v>56130.822</v>
      </c>
      <c r="P93" s="169">
        <f>SUM(P88:P92)</f>
        <v>205000</v>
      </c>
      <c r="Q93" s="169">
        <f>SUM(Q88:Q92)</f>
        <v>154627</v>
      </c>
      <c r="R93" s="169">
        <f>SUM(R88:R92)</f>
        <v>56130.822</v>
      </c>
      <c r="S93" s="169">
        <f>SUM(S88:S92)</f>
        <v>154627</v>
      </c>
      <c r="T93" s="169"/>
      <c r="U93" s="267"/>
      <c r="V93" s="22"/>
    </row>
    <row r="94" spans="2:22" ht="31.5" customHeight="1">
      <c r="B94" s="62" t="s">
        <v>153</v>
      </c>
      <c r="C94" s="340" t="s">
        <v>154</v>
      </c>
      <c r="D94" s="341"/>
      <c r="E94" s="341"/>
      <c r="F94" s="341"/>
      <c r="G94" s="341"/>
      <c r="H94" s="341"/>
      <c r="I94" s="341"/>
      <c r="J94" s="341"/>
      <c r="K94" s="341"/>
      <c r="L94" s="341"/>
      <c r="M94" s="341"/>
      <c r="N94" s="341"/>
      <c r="O94" s="341"/>
      <c r="P94" s="341"/>
      <c r="Q94" s="341"/>
      <c r="R94" s="341"/>
      <c r="S94" s="341"/>
      <c r="T94" s="341"/>
      <c r="U94" s="342"/>
      <c r="V94" s="21"/>
    </row>
    <row r="95" spans="2:22" ht="126">
      <c r="B95" s="259" t="s">
        <v>155</v>
      </c>
      <c r="C95" s="130" t="s">
        <v>156</v>
      </c>
      <c r="D95" s="131"/>
      <c r="E95" s="170"/>
      <c r="F95" s="170"/>
      <c r="G95" s="261">
        <f t="shared" ref="G95:G98" si="56">SUM(D95:F95)</f>
        <v>0</v>
      </c>
      <c r="H95" s="150"/>
      <c r="I95" s="116"/>
      <c r="J95" s="113">
        <f t="shared" ref="J95:J98" si="57">+H95*I95</f>
        <v>0</v>
      </c>
      <c r="K95" s="126"/>
      <c r="L95" s="131"/>
      <c r="M95" s="131">
        <v>40000</v>
      </c>
      <c r="N95" s="134">
        <f t="shared" ref="N95:N98" si="58">SUM(K95:M95)</f>
        <v>40000</v>
      </c>
      <c r="O95" s="150">
        <v>0.5</v>
      </c>
      <c r="P95" s="261">
        <f t="shared" ref="P95:P98" si="59">+G95+N95</f>
        <v>40000</v>
      </c>
      <c r="Q95" s="116"/>
      <c r="R95" s="116">
        <f t="shared" ref="R95:R98" si="60">+O95*Q95</f>
        <v>0</v>
      </c>
      <c r="S95" s="116">
        <f t="shared" ref="S95:S98" si="61">+Q95+I95</f>
        <v>0</v>
      </c>
      <c r="T95" s="261"/>
      <c r="U95" s="265"/>
      <c r="V95" s="266"/>
    </row>
    <row r="96" spans="2:22" ht="110.25">
      <c r="B96" s="259" t="s">
        <v>157</v>
      </c>
      <c r="C96" s="130" t="s">
        <v>158</v>
      </c>
      <c r="D96" s="131"/>
      <c r="E96" s="170"/>
      <c r="F96" s="170"/>
      <c r="G96" s="261">
        <f t="shared" si="56"/>
        <v>0</v>
      </c>
      <c r="H96" s="150"/>
      <c r="I96" s="116"/>
      <c r="J96" s="113">
        <f t="shared" si="57"/>
        <v>0</v>
      </c>
      <c r="K96" s="126"/>
      <c r="L96" s="131"/>
      <c r="M96" s="131">
        <v>35000</v>
      </c>
      <c r="N96" s="134">
        <f t="shared" si="58"/>
        <v>35000</v>
      </c>
      <c r="O96" s="150">
        <v>0.3</v>
      </c>
      <c r="P96" s="261">
        <f t="shared" si="59"/>
        <v>35000</v>
      </c>
      <c r="Q96" s="116">
        <v>30195.490000000005</v>
      </c>
      <c r="R96" s="116">
        <f t="shared" si="60"/>
        <v>9058.6470000000008</v>
      </c>
      <c r="S96" s="116">
        <f>+Q96+I96</f>
        <v>30195.490000000005</v>
      </c>
      <c r="T96" s="261"/>
      <c r="U96" s="265"/>
      <c r="V96" s="266"/>
    </row>
    <row r="97" spans="2:22" ht="94.5">
      <c r="B97" s="259" t="s">
        <v>159</v>
      </c>
      <c r="C97" s="130" t="s">
        <v>160</v>
      </c>
      <c r="D97" s="131"/>
      <c r="E97" s="170"/>
      <c r="F97" s="170"/>
      <c r="G97" s="261">
        <f t="shared" si="56"/>
        <v>0</v>
      </c>
      <c r="H97" s="150"/>
      <c r="I97" s="116"/>
      <c r="J97" s="113">
        <f t="shared" si="57"/>
        <v>0</v>
      </c>
      <c r="K97" s="126"/>
      <c r="L97" s="131"/>
      <c r="M97" s="131">
        <v>40000</v>
      </c>
      <c r="N97" s="134">
        <f t="shared" si="58"/>
        <v>40000</v>
      </c>
      <c r="O97" s="150">
        <v>0.5</v>
      </c>
      <c r="P97" s="261">
        <f t="shared" si="59"/>
        <v>40000</v>
      </c>
      <c r="Q97" s="116">
        <v>17715.84</v>
      </c>
      <c r="R97" s="116">
        <f t="shared" si="60"/>
        <v>8857.92</v>
      </c>
      <c r="S97" s="116">
        <f t="shared" si="61"/>
        <v>17715.84</v>
      </c>
      <c r="T97" s="261"/>
      <c r="U97" s="265"/>
      <c r="V97" s="266"/>
    </row>
    <row r="98" spans="2:22" ht="94.5">
      <c r="B98" s="259" t="s">
        <v>161</v>
      </c>
      <c r="C98" s="130" t="s">
        <v>162</v>
      </c>
      <c r="D98" s="131"/>
      <c r="E98" s="170"/>
      <c r="F98" s="170"/>
      <c r="G98" s="261">
        <f t="shared" si="56"/>
        <v>0</v>
      </c>
      <c r="H98" s="150"/>
      <c r="I98" s="116"/>
      <c r="J98" s="113">
        <f t="shared" si="57"/>
        <v>0</v>
      </c>
      <c r="K98" s="126"/>
      <c r="L98" s="131"/>
      <c r="M98" s="131">
        <v>70000</v>
      </c>
      <c r="N98" s="134">
        <f t="shared" si="58"/>
        <v>70000</v>
      </c>
      <c r="O98" s="150">
        <v>0.5</v>
      </c>
      <c r="P98" s="261">
        <f t="shared" si="59"/>
        <v>70000</v>
      </c>
      <c r="Q98" s="116">
        <v>52663.08</v>
      </c>
      <c r="R98" s="116">
        <f t="shared" si="60"/>
        <v>26331.54</v>
      </c>
      <c r="S98" s="116">
        <f t="shared" si="61"/>
        <v>52663.08</v>
      </c>
      <c r="T98" s="261"/>
      <c r="U98" s="265"/>
      <c r="V98" s="266"/>
    </row>
    <row r="99" spans="2:22" ht="15.75">
      <c r="C99" s="161" t="s">
        <v>39</v>
      </c>
      <c r="D99" s="169">
        <f>SUM(D95:D98)</f>
        <v>0</v>
      </c>
      <c r="E99" s="169"/>
      <c r="F99" s="169"/>
      <c r="G99" s="169"/>
      <c r="H99" s="7">
        <f>(I97*H97)+(I98*H98)+(I96*H96)+(I95*H95)</f>
        <v>0</v>
      </c>
      <c r="I99" s="109">
        <f t="shared" ref="I99:N99" si="62">SUM(I95:I98)</f>
        <v>0</v>
      </c>
      <c r="J99" s="172">
        <f>SUM(J95:J98)</f>
        <v>0</v>
      </c>
      <c r="K99" s="236">
        <f t="shared" si="62"/>
        <v>0</v>
      </c>
      <c r="L99" s="169">
        <f t="shared" si="62"/>
        <v>0</v>
      </c>
      <c r="M99" s="169">
        <f t="shared" si="62"/>
        <v>185000</v>
      </c>
      <c r="N99" s="169">
        <f t="shared" si="62"/>
        <v>185000</v>
      </c>
      <c r="O99" s="127">
        <f>(O95*Q95)+(O96*Q96)+(O97*Q97)+(O98*Q98)</f>
        <v>44248.107000000004</v>
      </c>
      <c r="P99" s="169">
        <f>SUM(P95:P98)</f>
        <v>185000</v>
      </c>
      <c r="Q99" s="209">
        <f>SUM(Q95:Q98)</f>
        <v>100574.41</v>
      </c>
      <c r="R99" s="209">
        <f>SUM(R95:R98)</f>
        <v>44248.107000000004</v>
      </c>
      <c r="S99" s="209">
        <f>SUM(S95:S98)</f>
        <v>100574.41</v>
      </c>
      <c r="T99" s="169"/>
      <c r="U99" s="267"/>
      <c r="V99" s="22"/>
    </row>
    <row r="100" spans="2:22" ht="23.1" customHeight="1">
      <c r="B100" s="62" t="s">
        <v>163</v>
      </c>
      <c r="C100" s="344" t="s">
        <v>164</v>
      </c>
      <c r="D100" s="345"/>
      <c r="E100" s="345"/>
      <c r="F100" s="345"/>
      <c r="G100" s="345"/>
      <c r="H100" s="345"/>
      <c r="I100" s="345"/>
      <c r="J100" s="345"/>
      <c r="K100" s="345"/>
      <c r="L100" s="345"/>
      <c r="M100" s="345"/>
      <c r="N100" s="345"/>
      <c r="O100" s="345"/>
      <c r="P100" s="345"/>
      <c r="Q100" s="345"/>
      <c r="R100" s="345"/>
      <c r="S100" s="345"/>
      <c r="T100" s="345"/>
      <c r="U100" s="346"/>
      <c r="V100" s="21"/>
    </row>
    <row r="101" spans="2:22" ht="94.5">
      <c r="B101" s="259" t="s">
        <v>165</v>
      </c>
      <c r="C101" s="130" t="s">
        <v>166</v>
      </c>
      <c r="D101" s="131"/>
      <c r="E101" s="170"/>
      <c r="F101" s="170"/>
      <c r="G101" s="261">
        <f t="shared" ref="G101:G104" si="63">SUM(D101:F101)</f>
        <v>0</v>
      </c>
      <c r="H101" s="150"/>
      <c r="I101" s="116"/>
      <c r="J101" s="113">
        <f t="shared" ref="J101:J104" si="64">+H101*I101</f>
        <v>0</v>
      </c>
      <c r="K101" s="126"/>
      <c r="L101" s="131"/>
      <c r="M101" s="131">
        <v>25000</v>
      </c>
      <c r="N101" s="134">
        <f t="shared" ref="N101:N108" si="65">SUM(K101:M101)</f>
        <v>25000</v>
      </c>
      <c r="O101" s="150">
        <v>0.5</v>
      </c>
      <c r="P101" s="261">
        <f t="shared" ref="P101:P104" si="66">+G101+N101</f>
        <v>25000</v>
      </c>
      <c r="Q101" s="116">
        <v>21496.65</v>
      </c>
      <c r="R101" s="116">
        <f t="shared" ref="R101:R103" si="67">+O101*Q101</f>
        <v>10748.325000000001</v>
      </c>
      <c r="S101" s="116">
        <f t="shared" ref="S101:S104" si="68">+Q101+I101</f>
        <v>21496.65</v>
      </c>
      <c r="T101" s="261"/>
      <c r="U101" s="265"/>
      <c r="V101" s="266"/>
    </row>
    <row r="102" spans="2:22" ht="94.5">
      <c r="B102" s="259" t="s">
        <v>167</v>
      </c>
      <c r="C102" s="130" t="s">
        <v>168</v>
      </c>
      <c r="D102" s="131"/>
      <c r="E102" s="170"/>
      <c r="F102" s="170"/>
      <c r="G102" s="261">
        <f t="shared" si="63"/>
        <v>0</v>
      </c>
      <c r="H102" s="150"/>
      <c r="I102" s="116"/>
      <c r="J102" s="113">
        <f t="shared" si="64"/>
        <v>0</v>
      </c>
      <c r="K102" s="126"/>
      <c r="L102" s="131"/>
      <c r="M102" s="131">
        <v>20000</v>
      </c>
      <c r="N102" s="134">
        <f t="shared" si="65"/>
        <v>20000</v>
      </c>
      <c r="O102" s="150">
        <v>0.2</v>
      </c>
      <c r="P102" s="261">
        <f t="shared" si="66"/>
        <v>20000</v>
      </c>
      <c r="Q102" s="116"/>
      <c r="R102" s="116">
        <f t="shared" si="67"/>
        <v>0</v>
      </c>
      <c r="S102" s="116">
        <f t="shared" si="68"/>
        <v>0</v>
      </c>
      <c r="T102" s="261"/>
      <c r="U102" s="265"/>
      <c r="V102" s="266"/>
    </row>
    <row r="103" spans="2:22" ht="94.5">
      <c r="B103" s="259" t="s">
        <v>169</v>
      </c>
      <c r="C103" s="130" t="s">
        <v>170</v>
      </c>
      <c r="D103" s="131"/>
      <c r="E103" s="170"/>
      <c r="F103" s="170"/>
      <c r="G103" s="261">
        <f t="shared" si="63"/>
        <v>0</v>
      </c>
      <c r="H103" s="150"/>
      <c r="I103" s="116"/>
      <c r="J103" s="113">
        <f t="shared" si="64"/>
        <v>0</v>
      </c>
      <c r="K103" s="126"/>
      <c r="L103" s="131"/>
      <c r="M103" s="131">
        <v>45000</v>
      </c>
      <c r="N103" s="134">
        <f t="shared" si="65"/>
        <v>45000</v>
      </c>
      <c r="O103" s="150">
        <v>0.5</v>
      </c>
      <c r="P103" s="261">
        <f t="shared" si="66"/>
        <v>45000</v>
      </c>
      <c r="Q103" s="116">
        <v>34567</v>
      </c>
      <c r="R103" s="116">
        <f t="shared" si="67"/>
        <v>17283.5</v>
      </c>
      <c r="S103" s="116">
        <f t="shared" si="68"/>
        <v>34567</v>
      </c>
      <c r="T103" s="261"/>
      <c r="U103" s="265"/>
      <c r="V103" s="266"/>
    </row>
    <row r="104" spans="2:22" ht="110.25">
      <c r="B104" s="259" t="s">
        <v>171</v>
      </c>
      <c r="C104" s="130" t="s">
        <v>172</v>
      </c>
      <c r="D104" s="131"/>
      <c r="E104" s="170"/>
      <c r="F104" s="170"/>
      <c r="G104" s="261">
        <f t="shared" si="63"/>
        <v>0</v>
      </c>
      <c r="H104" s="150"/>
      <c r="I104" s="116"/>
      <c r="J104" s="113">
        <f t="shared" si="64"/>
        <v>0</v>
      </c>
      <c r="K104" s="126"/>
      <c r="L104" s="131"/>
      <c r="M104" s="131">
        <v>40000</v>
      </c>
      <c r="N104" s="134">
        <f t="shared" si="65"/>
        <v>40000</v>
      </c>
      <c r="O104" s="150">
        <v>0.5</v>
      </c>
      <c r="P104" s="261">
        <f t="shared" si="66"/>
        <v>40000</v>
      </c>
      <c r="Q104" s="116">
        <f>4177.89+2969.25</f>
        <v>7147.14</v>
      </c>
      <c r="R104" s="116">
        <f>+O104*Q104</f>
        <v>3573.57</v>
      </c>
      <c r="S104" s="116">
        <f t="shared" si="68"/>
        <v>7147.14</v>
      </c>
      <c r="T104" s="261"/>
      <c r="U104" s="265"/>
      <c r="V104" s="266"/>
    </row>
    <row r="105" spans="2:22" ht="15.75" hidden="1">
      <c r="B105" s="259" t="s">
        <v>173</v>
      </c>
      <c r="C105" s="268"/>
      <c r="D105" s="263"/>
      <c r="E105" s="263"/>
      <c r="F105" s="263"/>
      <c r="G105" s="263"/>
      <c r="H105" s="264"/>
      <c r="I105" s="262"/>
      <c r="J105" s="263"/>
      <c r="K105" s="262"/>
      <c r="L105" s="263"/>
      <c r="M105" s="263"/>
      <c r="N105" s="261">
        <f t="shared" si="65"/>
        <v>0</v>
      </c>
      <c r="O105" s="264"/>
      <c r="P105" s="261">
        <f>SUM(N105:O105)</f>
        <v>0</v>
      </c>
      <c r="Q105" s="261"/>
      <c r="R105" s="261"/>
      <c r="S105" s="261"/>
      <c r="T105" s="261"/>
      <c r="U105" s="265"/>
      <c r="V105" s="266"/>
    </row>
    <row r="106" spans="2:22" ht="15.75" hidden="1">
      <c r="B106" s="259" t="s">
        <v>174</v>
      </c>
      <c r="C106" s="268"/>
      <c r="D106" s="263"/>
      <c r="E106" s="263"/>
      <c r="F106" s="263"/>
      <c r="G106" s="263"/>
      <c r="H106" s="264"/>
      <c r="I106" s="262"/>
      <c r="J106" s="263"/>
      <c r="K106" s="262"/>
      <c r="L106" s="263"/>
      <c r="M106" s="263"/>
      <c r="N106" s="261">
        <f t="shared" si="65"/>
        <v>0</v>
      </c>
      <c r="O106" s="264"/>
      <c r="P106" s="261">
        <f>SUM(N106:O106)</f>
        <v>0</v>
      </c>
      <c r="Q106" s="261"/>
      <c r="R106" s="261"/>
      <c r="S106" s="261"/>
      <c r="T106" s="261"/>
      <c r="U106" s="265"/>
      <c r="V106" s="266"/>
    </row>
    <row r="107" spans="2:22" ht="15.75" hidden="1">
      <c r="B107" s="259" t="s">
        <v>175</v>
      </c>
      <c r="C107" s="270"/>
      <c r="D107" s="271"/>
      <c r="E107" s="271"/>
      <c r="F107" s="271"/>
      <c r="G107" s="271"/>
      <c r="H107" s="272"/>
      <c r="I107" s="262"/>
      <c r="J107" s="271"/>
      <c r="K107" s="262"/>
      <c r="L107" s="271"/>
      <c r="M107" s="271"/>
      <c r="N107" s="261">
        <f t="shared" si="65"/>
        <v>0</v>
      </c>
      <c r="O107" s="272"/>
      <c r="P107" s="261">
        <f>SUM(N107:O107)</f>
        <v>0</v>
      </c>
      <c r="Q107" s="261"/>
      <c r="R107" s="261"/>
      <c r="S107" s="261"/>
      <c r="T107" s="261"/>
      <c r="U107" s="267"/>
      <c r="V107" s="266"/>
    </row>
    <row r="108" spans="2:22" ht="15.75" hidden="1">
      <c r="B108" s="259" t="s">
        <v>176</v>
      </c>
      <c r="C108" s="270"/>
      <c r="D108" s="271"/>
      <c r="E108" s="271"/>
      <c r="F108" s="271"/>
      <c r="G108" s="271"/>
      <c r="H108" s="272"/>
      <c r="I108" s="262"/>
      <c r="J108" s="271"/>
      <c r="K108" s="262"/>
      <c r="L108" s="271"/>
      <c r="M108" s="271"/>
      <c r="N108" s="261">
        <f t="shared" si="65"/>
        <v>0</v>
      </c>
      <c r="O108" s="272"/>
      <c r="P108" s="261">
        <f>SUM(N108:O108)</f>
        <v>0</v>
      </c>
      <c r="Q108" s="261"/>
      <c r="R108" s="261"/>
      <c r="S108" s="261"/>
      <c r="T108" s="261"/>
      <c r="U108" s="267"/>
      <c r="V108" s="266"/>
    </row>
    <row r="109" spans="2:22" ht="15.75">
      <c r="C109" s="62" t="s">
        <v>39</v>
      </c>
      <c r="D109" s="7">
        <f>SUM(D101:D108)</f>
        <v>0</v>
      </c>
      <c r="E109" s="7"/>
      <c r="F109" s="7"/>
      <c r="G109" s="7"/>
      <c r="H109" s="7">
        <f>(I104*H104)+(I103*H103)+(I102*H102)+(I101*H101)</f>
        <v>0</v>
      </c>
      <c r="I109" s="109">
        <f t="shared" ref="I109:N109" si="69">SUM(I101:I108)</f>
        <v>0</v>
      </c>
      <c r="J109" s="137">
        <f>SUM(J101:J108)</f>
        <v>0</v>
      </c>
      <c r="K109" s="137">
        <f t="shared" si="69"/>
        <v>0</v>
      </c>
      <c r="L109" s="137">
        <f t="shared" si="69"/>
        <v>0</v>
      </c>
      <c r="M109" s="137">
        <f t="shared" si="69"/>
        <v>130000</v>
      </c>
      <c r="N109" s="137">
        <f t="shared" si="69"/>
        <v>130000</v>
      </c>
      <c r="O109" s="7">
        <f>(O101*Q101)+(O102*Q102)+(O103*Q103)+(O104*Q104)+(O105*Q105)+(O106*Q106)+(O107*Q107)+(O108*Q108)</f>
        <v>31605.395</v>
      </c>
      <c r="P109" s="10">
        <f>SUM(P101:P108)</f>
        <v>130000</v>
      </c>
      <c r="Q109" s="209">
        <f>SUM(Q101:Q108)</f>
        <v>63210.79</v>
      </c>
      <c r="R109" s="209">
        <f>SUM(R101:R108)</f>
        <v>31605.395</v>
      </c>
      <c r="S109" s="209">
        <f>SUM(S101:S108)</f>
        <v>63210.79</v>
      </c>
      <c r="T109" s="10"/>
      <c r="U109" s="267"/>
      <c r="V109" s="22"/>
    </row>
    <row r="110" spans="2:22" ht="51" hidden="1" customHeight="1">
      <c r="B110" s="62" t="s">
        <v>177</v>
      </c>
      <c r="C110" s="340"/>
      <c r="D110" s="341"/>
      <c r="E110" s="341"/>
      <c r="F110" s="341"/>
      <c r="G110" s="341"/>
      <c r="H110" s="341"/>
      <c r="I110" s="341"/>
      <c r="J110" s="341"/>
      <c r="K110" s="341"/>
      <c r="L110" s="341"/>
      <c r="M110" s="341"/>
      <c r="N110" s="341"/>
      <c r="O110" s="341"/>
      <c r="P110" s="341"/>
      <c r="Q110" s="341"/>
      <c r="R110" s="341"/>
      <c r="S110" s="341"/>
      <c r="T110" s="341"/>
      <c r="U110" s="342"/>
      <c r="V110" s="21"/>
    </row>
    <row r="111" spans="2:22" ht="15.75" hidden="1">
      <c r="B111" s="259" t="s">
        <v>178</v>
      </c>
      <c r="C111" s="268"/>
      <c r="D111" s="263"/>
      <c r="E111" s="263"/>
      <c r="F111" s="263"/>
      <c r="G111" s="263"/>
      <c r="H111" s="264"/>
      <c r="I111" s="262"/>
      <c r="J111" s="263"/>
      <c r="K111" s="262"/>
      <c r="L111" s="263"/>
      <c r="M111" s="263"/>
      <c r="N111" s="261">
        <f t="shared" ref="N111:N118" si="70">SUM(K111:M111)</f>
        <v>0</v>
      </c>
      <c r="O111" s="264"/>
      <c r="P111" s="261">
        <f t="shared" ref="P111:P118" si="71">SUM(N111:O111)</f>
        <v>0</v>
      </c>
      <c r="Q111" s="261"/>
      <c r="R111" s="261"/>
      <c r="S111" s="261"/>
      <c r="T111" s="261"/>
      <c r="U111" s="265"/>
      <c r="V111" s="266"/>
    </row>
    <row r="112" spans="2:22" ht="15.75" hidden="1">
      <c r="B112" s="259" t="s">
        <v>179</v>
      </c>
      <c r="C112" s="268"/>
      <c r="D112" s="263"/>
      <c r="E112" s="263"/>
      <c r="F112" s="263"/>
      <c r="G112" s="263"/>
      <c r="H112" s="264"/>
      <c r="I112" s="262"/>
      <c r="J112" s="263"/>
      <c r="K112" s="262"/>
      <c r="L112" s="263"/>
      <c r="M112" s="263"/>
      <c r="N112" s="261">
        <f t="shared" si="70"/>
        <v>0</v>
      </c>
      <c r="O112" s="264"/>
      <c r="P112" s="261">
        <f t="shared" si="71"/>
        <v>0</v>
      </c>
      <c r="Q112" s="261"/>
      <c r="R112" s="261"/>
      <c r="S112" s="261"/>
      <c r="T112" s="261"/>
      <c r="U112" s="265"/>
      <c r="V112" s="266"/>
    </row>
    <row r="113" spans="2:22" ht="15.75" hidden="1">
      <c r="B113" s="259" t="s">
        <v>180</v>
      </c>
      <c r="C113" s="268"/>
      <c r="D113" s="263"/>
      <c r="E113" s="263"/>
      <c r="F113" s="263"/>
      <c r="G113" s="263"/>
      <c r="H113" s="264"/>
      <c r="I113" s="262"/>
      <c r="J113" s="263"/>
      <c r="K113" s="262"/>
      <c r="L113" s="263"/>
      <c r="M113" s="263"/>
      <c r="N113" s="261">
        <f t="shared" si="70"/>
        <v>0</v>
      </c>
      <c r="O113" s="264"/>
      <c r="P113" s="261">
        <f t="shared" si="71"/>
        <v>0</v>
      </c>
      <c r="Q113" s="261"/>
      <c r="R113" s="261"/>
      <c r="S113" s="261"/>
      <c r="T113" s="261"/>
      <c r="U113" s="265"/>
      <c r="V113" s="266"/>
    </row>
    <row r="114" spans="2:22" ht="15.75" hidden="1">
      <c r="B114" s="259" t="s">
        <v>181</v>
      </c>
      <c r="C114" s="268"/>
      <c r="D114" s="263"/>
      <c r="E114" s="263"/>
      <c r="F114" s="263"/>
      <c r="G114" s="263"/>
      <c r="H114" s="264"/>
      <c r="I114" s="262"/>
      <c r="J114" s="263"/>
      <c r="K114" s="262"/>
      <c r="L114" s="263"/>
      <c r="M114" s="263"/>
      <c r="N114" s="261">
        <f t="shared" si="70"/>
        <v>0</v>
      </c>
      <c r="O114" s="264"/>
      <c r="P114" s="261">
        <f t="shared" si="71"/>
        <v>0</v>
      </c>
      <c r="Q114" s="261"/>
      <c r="R114" s="261"/>
      <c r="S114" s="261"/>
      <c r="T114" s="261"/>
      <c r="U114" s="265"/>
      <c r="V114" s="266"/>
    </row>
    <row r="115" spans="2:22" ht="15.75" hidden="1">
      <c r="B115" s="259" t="s">
        <v>182</v>
      </c>
      <c r="C115" s="268"/>
      <c r="D115" s="263"/>
      <c r="E115" s="263"/>
      <c r="F115" s="263"/>
      <c r="G115" s="263"/>
      <c r="H115" s="264"/>
      <c r="I115" s="262"/>
      <c r="J115" s="263"/>
      <c r="K115" s="262"/>
      <c r="L115" s="263"/>
      <c r="M115" s="263"/>
      <c r="N115" s="261">
        <f t="shared" si="70"/>
        <v>0</v>
      </c>
      <c r="O115" s="264"/>
      <c r="P115" s="261">
        <f t="shared" si="71"/>
        <v>0</v>
      </c>
      <c r="Q115" s="261"/>
      <c r="R115" s="261"/>
      <c r="S115" s="261"/>
      <c r="T115" s="261"/>
      <c r="U115" s="265"/>
      <c r="V115" s="266"/>
    </row>
    <row r="116" spans="2:22" ht="15.75" hidden="1">
      <c r="B116" s="259" t="s">
        <v>183</v>
      </c>
      <c r="C116" s="268"/>
      <c r="D116" s="263"/>
      <c r="E116" s="263"/>
      <c r="F116" s="263"/>
      <c r="G116" s="263"/>
      <c r="H116" s="264"/>
      <c r="I116" s="262"/>
      <c r="J116" s="263"/>
      <c r="K116" s="262"/>
      <c r="L116" s="263"/>
      <c r="M116" s="263"/>
      <c r="N116" s="261">
        <f t="shared" si="70"/>
        <v>0</v>
      </c>
      <c r="O116" s="264"/>
      <c r="P116" s="261">
        <f t="shared" si="71"/>
        <v>0</v>
      </c>
      <c r="Q116" s="261"/>
      <c r="R116" s="261"/>
      <c r="S116" s="261"/>
      <c r="T116" s="261"/>
      <c r="U116" s="265"/>
      <c r="V116" s="266"/>
    </row>
    <row r="117" spans="2:22" ht="15.75" hidden="1">
      <c r="B117" s="259" t="s">
        <v>184</v>
      </c>
      <c r="C117" s="270"/>
      <c r="D117" s="271"/>
      <c r="E117" s="271"/>
      <c r="F117" s="271"/>
      <c r="G117" s="271"/>
      <c r="H117" s="272"/>
      <c r="I117" s="262"/>
      <c r="J117" s="271"/>
      <c r="K117" s="262"/>
      <c r="L117" s="271"/>
      <c r="M117" s="271"/>
      <c r="N117" s="261">
        <f t="shared" si="70"/>
        <v>0</v>
      </c>
      <c r="O117" s="272"/>
      <c r="P117" s="261">
        <f t="shared" si="71"/>
        <v>0</v>
      </c>
      <c r="Q117" s="261"/>
      <c r="R117" s="261"/>
      <c r="S117" s="261"/>
      <c r="T117" s="261"/>
      <c r="U117" s="267"/>
      <c r="V117" s="266"/>
    </row>
    <row r="118" spans="2:22" ht="15.75" hidden="1">
      <c r="B118" s="259" t="s">
        <v>185</v>
      </c>
      <c r="C118" s="270"/>
      <c r="D118" s="271"/>
      <c r="E118" s="271"/>
      <c r="F118" s="271"/>
      <c r="G118" s="271"/>
      <c r="H118" s="272"/>
      <c r="I118" s="262"/>
      <c r="J118" s="271"/>
      <c r="K118" s="262"/>
      <c r="L118" s="271"/>
      <c r="M118" s="271"/>
      <c r="N118" s="261">
        <f t="shared" si="70"/>
        <v>0</v>
      </c>
      <c r="O118" s="272"/>
      <c r="P118" s="261">
        <f t="shared" si="71"/>
        <v>0</v>
      </c>
      <c r="Q118" s="261"/>
      <c r="R118" s="261"/>
      <c r="S118" s="261"/>
      <c r="T118" s="261"/>
      <c r="U118" s="267"/>
      <c r="V118" s="266"/>
    </row>
    <row r="119" spans="2:22" ht="15.75" hidden="1">
      <c r="C119" s="62" t="s">
        <v>39</v>
      </c>
      <c r="D119" s="7">
        <f>SUM(D111:D118)</f>
        <v>0</v>
      </c>
      <c r="E119" s="7"/>
      <c r="F119" s="7"/>
      <c r="G119" s="7"/>
      <c r="H119" s="7">
        <f>(H111*E111)+(H112*E112)+(H113*E113)+(H114*E114)+(H115*E115)+(H116*E116)+(H117*E117)+(H118*E118)</f>
        <v>0</v>
      </c>
      <c r="I119" s="137">
        <f t="shared" ref="I119:N119" si="72">SUM(I111:I118)</f>
        <v>0</v>
      </c>
      <c r="J119" s="171">
        <f t="shared" si="72"/>
        <v>0</v>
      </c>
      <c r="K119" s="132">
        <f t="shared" si="72"/>
        <v>0</v>
      </c>
      <c r="L119" s="7">
        <f t="shared" si="72"/>
        <v>0</v>
      </c>
      <c r="M119" s="7">
        <f t="shared" si="72"/>
        <v>0</v>
      </c>
      <c r="N119" s="7">
        <f t="shared" si="72"/>
        <v>0</v>
      </c>
      <c r="O119" s="7">
        <f>(O111*N111)+(O112*N112)+(O113*N113)+(O114*N114)+(O115*N115)+(O116*N116)+(O117*N117)+(O118*N118)</f>
        <v>0</v>
      </c>
      <c r="P119" s="7">
        <f>SUM(P111:P118)</f>
        <v>0</v>
      </c>
      <c r="Q119" s="10"/>
      <c r="R119" s="10"/>
      <c r="S119" s="10"/>
      <c r="T119" s="10"/>
      <c r="U119" s="281"/>
      <c r="V119" s="22"/>
    </row>
    <row r="120" spans="2:22" ht="15.75" customHeight="1">
      <c r="B120" s="3"/>
      <c r="C120" s="273"/>
      <c r="D120" s="279"/>
      <c r="E120" s="279"/>
      <c r="F120" s="279"/>
      <c r="G120" s="279"/>
      <c r="H120" s="279"/>
      <c r="I120" s="280"/>
      <c r="J120" s="279"/>
      <c r="K120" s="280"/>
      <c r="L120" s="279"/>
      <c r="M120" s="279"/>
      <c r="N120" s="279"/>
      <c r="O120" s="279"/>
      <c r="P120" s="279"/>
      <c r="Q120" s="279"/>
      <c r="R120" s="279"/>
      <c r="S120" s="279"/>
      <c r="T120" s="279"/>
      <c r="U120" s="273"/>
      <c r="V120" s="1"/>
    </row>
    <row r="121" spans="2:22" ht="51" hidden="1" customHeight="1">
      <c r="B121" s="62" t="s">
        <v>186</v>
      </c>
      <c r="C121" s="336"/>
      <c r="D121" s="337"/>
      <c r="E121" s="337"/>
      <c r="F121" s="337"/>
      <c r="G121" s="337"/>
      <c r="H121" s="337"/>
      <c r="I121" s="337"/>
      <c r="J121" s="337"/>
      <c r="K121" s="337"/>
      <c r="L121" s="337"/>
      <c r="M121" s="337"/>
      <c r="N121" s="337"/>
      <c r="O121" s="337"/>
      <c r="P121" s="337"/>
      <c r="Q121" s="338"/>
      <c r="R121" s="338"/>
      <c r="S121" s="338"/>
      <c r="T121" s="338"/>
      <c r="U121" s="339"/>
      <c r="V121" s="6"/>
    </row>
    <row r="122" spans="2:22" ht="51" hidden="1" customHeight="1">
      <c r="B122" s="62" t="s">
        <v>187</v>
      </c>
      <c r="C122" s="340"/>
      <c r="D122" s="341"/>
      <c r="E122" s="341"/>
      <c r="F122" s="341"/>
      <c r="G122" s="341"/>
      <c r="H122" s="341"/>
      <c r="I122" s="341"/>
      <c r="J122" s="341"/>
      <c r="K122" s="341"/>
      <c r="L122" s="341"/>
      <c r="M122" s="341"/>
      <c r="N122" s="341"/>
      <c r="O122" s="341"/>
      <c r="P122" s="341"/>
      <c r="Q122" s="341"/>
      <c r="R122" s="341"/>
      <c r="S122" s="341"/>
      <c r="T122" s="341"/>
      <c r="U122" s="342"/>
      <c r="V122" s="21"/>
    </row>
    <row r="123" spans="2:22" ht="15.75" hidden="1">
      <c r="B123" s="259" t="s">
        <v>188</v>
      </c>
      <c r="C123" s="268"/>
      <c r="D123" s="263"/>
      <c r="E123" s="263"/>
      <c r="F123" s="263"/>
      <c r="G123" s="263"/>
      <c r="H123" s="264"/>
      <c r="I123" s="262"/>
      <c r="J123" s="263"/>
      <c r="K123" s="262"/>
      <c r="L123" s="263"/>
      <c r="M123" s="263"/>
      <c r="N123" s="261">
        <f t="shared" ref="N123:N130" si="73">SUM(K123:M123)</f>
        <v>0</v>
      </c>
      <c r="O123" s="264"/>
      <c r="P123" s="261">
        <f t="shared" ref="P123:P130" si="74">SUM(N123:O123)</f>
        <v>0</v>
      </c>
      <c r="Q123" s="261"/>
      <c r="R123" s="261"/>
      <c r="S123" s="261"/>
      <c r="T123" s="261"/>
      <c r="U123" s="265"/>
      <c r="V123" s="266"/>
    </row>
    <row r="124" spans="2:22" ht="15.75" hidden="1">
      <c r="B124" s="259" t="s">
        <v>189</v>
      </c>
      <c r="C124" s="268"/>
      <c r="D124" s="263"/>
      <c r="E124" s="263"/>
      <c r="F124" s="263"/>
      <c r="G124" s="263"/>
      <c r="H124" s="264"/>
      <c r="I124" s="262"/>
      <c r="J124" s="263"/>
      <c r="K124" s="262"/>
      <c r="L124" s="263"/>
      <c r="M124" s="263"/>
      <c r="N124" s="261">
        <f t="shared" si="73"/>
        <v>0</v>
      </c>
      <c r="O124" s="264"/>
      <c r="P124" s="261">
        <f t="shared" si="74"/>
        <v>0</v>
      </c>
      <c r="Q124" s="261"/>
      <c r="R124" s="261"/>
      <c r="S124" s="261"/>
      <c r="T124" s="261"/>
      <c r="U124" s="265"/>
      <c r="V124" s="266"/>
    </row>
    <row r="125" spans="2:22" ht="15.75" hidden="1">
      <c r="B125" s="259" t="s">
        <v>190</v>
      </c>
      <c r="C125" s="268"/>
      <c r="D125" s="263"/>
      <c r="E125" s="263"/>
      <c r="F125" s="263"/>
      <c r="G125" s="263"/>
      <c r="H125" s="264"/>
      <c r="I125" s="262"/>
      <c r="J125" s="263"/>
      <c r="K125" s="262"/>
      <c r="L125" s="263"/>
      <c r="M125" s="263"/>
      <c r="N125" s="261">
        <f t="shared" si="73"/>
        <v>0</v>
      </c>
      <c r="O125" s="264"/>
      <c r="P125" s="261">
        <f t="shared" si="74"/>
        <v>0</v>
      </c>
      <c r="Q125" s="261"/>
      <c r="R125" s="261"/>
      <c r="S125" s="261"/>
      <c r="T125" s="261"/>
      <c r="U125" s="265"/>
      <c r="V125" s="266"/>
    </row>
    <row r="126" spans="2:22" ht="15.75" hidden="1">
      <c r="B126" s="259" t="s">
        <v>191</v>
      </c>
      <c r="C126" s="268"/>
      <c r="D126" s="263"/>
      <c r="E126" s="263"/>
      <c r="F126" s="263"/>
      <c r="G126" s="263"/>
      <c r="H126" s="264"/>
      <c r="I126" s="262"/>
      <c r="J126" s="263"/>
      <c r="K126" s="262"/>
      <c r="L126" s="263"/>
      <c r="M126" s="263"/>
      <c r="N126" s="261">
        <f t="shared" si="73"/>
        <v>0</v>
      </c>
      <c r="O126" s="264"/>
      <c r="P126" s="261">
        <f t="shared" si="74"/>
        <v>0</v>
      </c>
      <c r="Q126" s="261"/>
      <c r="R126" s="261"/>
      <c r="S126" s="261"/>
      <c r="T126" s="261"/>
      <c r="U126" s="265"/>
      <c r="V126" s="266"/>
    </row>
    <row r="127" spans="2:22" ht="15.75" hidden="1">
      <c r="B127" s="259" t="s">
        <v>192</v>
      </c>
      <c r="C127" s="268"/>
      <c r="D127" s="263"/>
      <c r="E127" s="263"/>
      <c r="F127" s="263"/>
      <c r="G127" s="263"/>
      <c r="H127" s="264"/>
      <c r="I127" s="262"/>
      <c r="J127" s="263"/>
      <c r="K127" s="262"/>
      <c r="L127" s="263"/>
      <c r="M127" s="263"/>
      <c r="N127" s="261">
        <f t="shared" si="73"/>
        <v>0</v>
      </c>
      <c r="O127" s="264"/>
      <c r="P127" s="261">
        <f t="shared" si="74"/>
        <v>0</v>
      </c>
      <c r="Q127" s="261"/>
      <c r="R127" s="261"/>
      <c r="S127" s="261"/>
      <c r="T127" s="261"/>
      <c r="U127" s="265"/>
      <c r="V127" s="266"/>
    </row>
    <row r="128" spans="2:22" ht="15.75" hidden="1">
      <c r="B128" s="259" t="s">
        <v>193</v>
      </c>
      <c r="C128" s="268"/>
      <c r="D128" s="263"/>
      <c r="E128" s="263"/>
      <c r="F128" s="263"/>
      <c r="G128" s="263"/>
      <c r="H128" s="264"/>
      <c r="I128" s="262"/>
      <c r="J128" s="263"/>
      <c r="K128" s="262"/>
      <c r="L128" s="263"/>
      <c r="M128" s="263"/>
      <c r="N128" s="261">
        <f t="shared" si="73"/>
        <v>0</v>
      </c>
      <c r="O128" s="264"/>
      <c r="P128" s="261">
        <f t="shared" si="74"/>
        <v>0</v>
      </c>
      <c r="Q128" s="261"/>
      <c r="R128" s="261"/>
      <c r="S128" s="261"/>
      <c r="T128" s="261"/>
      <c r="U128" s="265"/>
      <c r="V128" s="266"/>
    </row>
    <row r="129" spans="2:22" ht="15.75" hidden="1">
      <c r="B129" s="259" t="s">
        <v>194</v>
      </c>
      <c r="C129" s="270"/>
      <c r="D129" s="271"/>
      <c r="E129" s="271"/>
      <c r="F129" s="271"/>
      <c r="G129" s="271"/>
      <c r="H129" s="272"/>
      <c r="I129" s="262"/>
      <c r="J129" s="271"/>
      <c r="K129" s="262"/>
      <c r="L129" s="271"/>
      <c r="M129" s="271"/>
      <c r="N129" s="261">
        <f t="shared" si="73"/>
        <v>0</v>
      </c>
      <c r="O129" s="272"/>
      <c r="P129" s="261">
        <f t="shared" si="74"/>
        <v>0</v>
      </c>
      <c r="Q129" s="261"/>
      <c r="R129" s="261"/>
      <c r="S129" s="261"/>
      <c r="T129" s="261"/>
      <c r="U129" s="267"/>
      <c r="V129" s="266"/>
    </row>
    <row r="130" spans="2:22" ht="15.75" hidden="1">
      <c r="B130" s="259" t="s">
        <v>195</v>
      </c>
      <c r="C130" s="270"/>
      <c r="D130" s="271"/>
      <c r="E130" s="271"/>
      <c r="F130" s="271"/>
      <c r="G130" s="271"/>
      <c r="H130" s="272"/>
      <c r="I130" s="262"/>
      <c r="J130" s="271"/>
      <c r="K130" s="262"/>
      <c r="L130" s="271"/>
      <c r="M130" s="271"/>
      <c r="N130" s="261">
        <f t="shared" si="73"/>
        <v>0</v>
      </c>
      <c r="O130" s="272"/>
      <c r="P130" s="261">
        <f t="shared" si="74"/>
        <v>0</v>
      </c>
      <c r="Q130" s="261"/>
      <c r="R130" s="261"/>
      <c r="S130" s="261"/>
      <c r="T130" s="261"/>
      <c r="U130" s="267"/>
      <c r="V130" s="266"/>
    </row>
    <row r="131" spans="2:22" ht="15.75" hidden="1">
      <c r="C131" s="62" t="s">
        <v>39</v>
      </c>
      <c r="D131" s="7">
        <f>SUM(D123:D130)</f>
        <v>0</v>
      </c>
      <c r="E131" s="7"/>
      <c r="F131" s="7"/>
      <c r="G131" s="7"/>
      <c r="H131" s="7">
        <f>(H123*E123)+(H124*E124)+(H125*E125)+(H126*E126)+(H127*E127)+(H128*E128)+(H129*E129)+(H130*E130)</f>
        <v>0</v>
      </c>
      <c r="I131" s="137">
        <f t="shared" ref="I131:N131" si="75">SUM(I123:I130)</f>
        <v>0</v>
      </c>
      <c r="J131" s="171">
        <f t="shared" si="75"/>
        <v>0</v>
      </c>
      <c r="K131" s="132">
        <f t="shared" si="75"/>
        <v>0</v>
      </c>
      <c r="L131" s="7">
        <f t="shared" si="75"/>
        <v>0</v>
      </c>
      <c r="M131" s="7">
        <f t="shared" si="75"/>
        <v>0</v>
      </c>
      <c r="N131" s="10">
        <f t="shared" si="75"/>
        <v>0</v>
      </c>
      <c r="O131" s="7">
        <f>(O123*N123)+(O124*N124)+(O125*N125)+(O126*N126)+(O127*N127)+(O128*N128)+(O129*N129)+(O130*N130)</f>
        <v>0</v>
      </c>
      <c r="P131" s="10">
        <f>SUM(P123:P130)</f>
        <v>0</v>
      </c>
      <c r="Q131" s="10"/>
      <c r="R131" s="10"/>
      <c r="S131" s="10"/>
      <c r="T131" s="10"/>
      <c r="U131" s="267"/>
      <c r="V131" s="22"/>
    </row>
    <row r="132" spans="2:22" ht="51" hidden="1" customHeight="1">
      <c r="B132" s="62" t="s">
        <v>196</v>
      </c>
      <c r="C132" s="340"/>
      <c r="D132" s="341"/>
      <c r="E132" s="341"/>
      <c r="F132" s="341"/>
      <c r="G132" s="341"/>
      <c r="H132" s="341"/>
      <c r="I132" s="341"/>
      <c r="J132" s="341"/>
      <c r="K132" s="341"/>
      <c r="L132" s="341"/>
      <c r="M132" s="341"/>
      <c r="N132" s="341"/>
      <c r="O132" s="341"/>
      <c r="P132" s="341"/>
      <c r="Q132" s="341"/>
      <c r="R132" s="341"/>
      <c r="S132" s="341"/>
      <c r="T132" s="341"/>
      <c r="U132" s="342"/>
      <c r="V132" s="21"/>
    </row>
    <row r="133" spans="2:22" ht="15.75" hidden="1">
      <c r="B133" s="259" t="s">
        <v>197</v>
      </c>
      <c r="C133" s="268"/>
      <c r="D133" s="263"/>
      <c r="E133" s="263"/>
      <c r="F133" s="263"/>
      <c r="G133" s="263"/>
      <c r="H133" s="264"/>
      <c r="I133" s="262"/>
      <c r="J133" s="263"/>
      <c r="K133" s="262"/>
      <c r="L133" s="263"/>
      <c r="M133" s="263"/>
      <c r="N133" s="261">
        <f t="shared" ref="N133:N140" si="76">SUM(K133:M133)</f>
        <v>0</v>
      </c>
      <c r="O133" s="264"/>
      <c r="P133" s="261">
        <f t="shared" ref="P133:P140" si="77">SUM(N133:O133)</f>
        <v>0</v>
      </c>
      <c r="Q133" s="261"/>
      <c r="R133" s="261"/>
      <c r="S133" s="261"/>
      <c r="T133" s="261"/>
      <c r="U133" s="265"/>
      <c r="V133" s="266"/>
    </row>
    <row r="134" spans="2:22" ht="15.75" hidden="1">
      <c r="B134" s="259" t="s">
        <v>198</v>
      </c>
      <c r="C134" s="268"/>
      <c r="D134" s="263"/>
      <c r="E134" s="263"/>
      <c r="F134" s="263"/>
      <c r="G134" s="263"/>
      <c r="H134" s="264"/>
      <c r="I134" s="262"/>
      <c r="J134" s="263"/>
      <c r="K134" s="262"/>
      <c r="L134" s="263"/>
      <c r="M134" s="263"/>
      <c r="N134" s="261">
        <f t="shared" si="76"/>
        <v>0</v>
      </c>
      <c r="O134" s="264"/>
      <c r="P134" s="261">
        <f t="shared" si="77"/>
        <v>0</v>
      </c>
      <c r="Q134" s="261"/>
      <c r="R134" s="261"/>
      <c r="S134" s="261"/>
      <c r="T134" s="261"/>
      <c r="U134" s="265"/>
      <c r="V134" s="266"/>
    </row>
    <row r="135" spans="2:22" ht="15.75" hidden="1">
      <c r="B135" s="259" t="s">
        <v>199</v>
      </c>
      <c r="C135" s="268"/>
      <c r="D135" s="263"/>
      <c r="E135" s="263"/>
      <c r="F135" s="263"/>
      <c r="G135" s="263"/>
      <c r="H135" s="264"/>
      <c r="I135" s="262"/>
      <c r="J135" s="263"/>
      <c r="K135" s="262"/>
      <c r="L135" s="263"/>
      <c r="M135" s="263"/>
      <c r="N135" s="261">
        <f t="shared" si="76"/>
        <v>0</v>
      </c>
      <c r="O135" s="264"/>
      <c r="P135" s="261">
        <f t="shared" si="77"/>
        <v>0</v>
      </c>
      <c r="Q135" s="261"/>
      <c r="R135" s="261"/>
      <c r="S135" s="261"/>
      <c r="T135" s="261"/>
      <c r="U135" s="265"/>
      <c r="V135" s="266"/>
    </row>
    <row r="136" spans="2:22" ht="15.75" hidden="1">
      <c r="B136" s="259" t="s">
        <v>200</v>
      </c>
      <c r="C136" s="268"/>
      <c r="D136" s="263"/>
      <c r="E136" s="263"/>
      <c r="F136" s="263"/>
      <c r="G136" s="263"/>
      <c r="H136" s="264"/>
      <c r="I136" s="262"/>
      <c r="J136" s="263"/>
      <c r="K136" s="262"/>
      <c r="L136" s="263"/>
      <c r="M136" s="263"/>
      <c r="N136" s="261">
        <f t="shared" si="76"/>
        <v>0</v>
      </c>
      <c r="O136" s="264"/>
      <c r="P136" s="261">
        <f t="shared" si="77"/>
        <v>0</v>
      </c>
      <c r="Q136" s="261"/>
      <c r="R136" s="261"/>
      <c r="S136" s="261"/>
      <c r="T136" s="261"/>
      <c r="U136" s="265"/>
      <c r="V136" s="266"/>
    </row>
    <row r="137" spans="2:22" ht="15.75" hidden="1">
      <c r="B137" s="259" t="s">
        <v>201</v>
      </c>
      <c r="C137" s="268"/>
      <c r="D137" s="263"/>
      <c r="E137" s="263"/>
      <c r="F137" s="263"/>
      <c r="G137" s="263"/>
      <c r="H137" s="264"/>
      <c r="I137" s="262"/>
      <c r="J137" s="263"/>
      <c r="K137" s="262"/>
      <c r="L137" s="263"/>
      <c r="M137" s="263"/>
      <c r="N137" s="261">
        <f t="shared" si="76"/>
        <v>0</v>
      </c>
      <c r="O137" s="264"/>
      <c r="P137" s="261">
        <f t="shared" si="77"/>
        <v>0</v>
      </c>
      <c r="Q137" s="261"/>
      <c r="R137" s="261"/>
      <c r="S137" s="261"/>
      <c r="T137" s="261"/>
      <c r="U137" s="265"/>
      <c r="V137" s="266"/>
    </row>
    <row r="138" spans="2:22" ht="15.75" hidden="1">
      <c r="B138" s="259" t="s">
        <v>202</v>
      </c>
      <c r="C138" s="268"/>
      <c r="D138" s="263"/>
      <c r="E138" s="263"/>
      <c r="F138" s="263"/>
      <c r="G138" s="263"/>
      <c r="H138" s="264"/>
      <c r="I138" s="262"/>
      <c r="J138" s="263"/>
      <c r="K138" s="262"/>
      <c r="L138" s="263"/>
      <c r="M138" s="263"/>
      <c r="N138" s="261">
        <f t="shared" si="76"/>
        <v>0</v>
      </c>
      <c r="O138" s="264"/>
      <c r="P138" s="261">
        <f t="shared" si="77"/>
        <v>0</v>
      </c>
      <c r="Q138" s="261"/>
      <c r="R138" s="261"/>
      <c r="S138" s="261"/>
      <c r="T138" s="261"/>
      <c r="U138" s="265"/>
      <c r="V138" s="266"/>
    </row>
    <row r="139" spans="2:22" ht="15.75" hidden="1">
      <c r="B139" s="259" t="s">
        <v>203</v>
      </c>
      <c r="C139" s="270"/>
      <c r="D139" s="271"/>
      <c r="E139" s="271"/>
      <c r="F139" s="271"/>
      <c r="G139" s="271"/>
      <c r="H139" s="272"/>
      <c r="I139" s="262"/>
      <c r="J139" s="271"/>
      <c r="K139" s="262"/>
      <c r="L139" s="271"/>
      <c r="M139" s="271"/>
      <c r="N139" s="261">
        <f t="shared" si="76"/>
        <v>0</v>
      </c>
      <c r="O139" s="272"/>
      <c r="P139" s="261">
        <f t="shared" si="77"/>
        <v>0</v>
      </c>
      <c r="Q139" s="261"/>
      <c r="R139" s="261"/>
      <c r="S139" s="261"/>
      <c r="T139" s="261"/>
      <c r="U139" s="267"/>
      <c r="V139" s="266"/>
    </row>
    <row r="140" spans="2:22" ht="15.75" hidden="1">
      <c r="B140" s="259" t="s">
        <v>204</v>
      </c>
      <c r="C140" s="270"/>
      <c r="D140" s="271"/>
      <c r="E140" s="271"/>
      <c r="F140" s="271"/>
      <c r="G140" s="271"/>
      <c r="H140" s="272"/>
      <c r="I140" s="262"/>
      <c r="J140" s="271"/>
      <c r="K140" s="262"/>
      <c r="L140" s="271"/>
      <c r="M140" s="271"/>
      <c r="N140" s="261">
        <f t="shared" si="76"/>
        <v>0</v>
      </c>
      <c r="O140" s="272"/>
      <c r="P140" s="261">
        <f t="shared" si="77"/>
        <v>0</v>
      </c>
      <c r="Q140" s="261"/>
      <c r="R140" s="261"/>
      <c r="S140" s="261"/>
      <c r="T140" s="261"/>
      <c r="U140" s="267"/>
      <c r="V140" s="266"/>
    </row>
    <row r="141" spans="2:22" ht="15.75" hidden="1">
      <c r="C141" s="62" t="s">
        <v>39</v>
      </c>
      <c r="D141" s="10">
        <f>SUM(D133:D140)</f>
        <v>0</v>
      </c>
      <c r="E141" s="10"/>
      <c r="F141" s="10"/>
      <c r="G141" s="10"/>
      <c r="H141" s="7">
        <f>(H133*E133)+(H134*E134)+(H135*E135)+(H136*E136)+(H137*E137)+(H138*E138)+(H139*E139)+(H140*E140)</f>
        <v>0</v>
      </c>
      <c r="I141" s="137">
        <f t="shared" ref="I141:N141" si="78">SUM(I133:I140)</f>
        <v>0</v>
      </c>
      <c r="J141" s="171">
        <f t="shared" si="78"/>
        <v>0</v>
      </c>
      <c r="K141" s="235">
        <f t="shared" si="78"/>
        <v>0</v>
      </c>
      <c r="L141" s="10">
        <f t="shared" si="78"/>
        <v>0</v>
      </c>
      <c r="M141" s="10">
        <f t="shared" si="78"/>
        <v>0</v>
      </c>
      <c r="N141" s="10">
        <f t="shared" si="78"/>
        <v>0</v>
      </c>
      <c r="O141" s="7">
        <f>(O133*N133)+(O134*N134)+(O135*N135)+(O136*N136)+(O137*N137)+(O138*N138)+(O139*N139)+(O140*N140)</f>
        <v>0</v>
      </c>
      <c r="P141" s="10">
        <f>SUM(P133:P140)</f>
        <v>0</v>
      </c>
      <c r="Q141" s="10"/>
      <c r="R141" s="10"/>
      <c r="S141" s="10"/>
      <c r="T141" s="10"/>
      <c r="U141" s="267"/>
      <c r="V141" s="22"/>
    </row>
    <row r="142" spans="2:22" ht="51" hidden="1" customHeight="1">
      <c r="B142" s="62" t="s">
        <v>205</v>
      </c>
      <c r="C142" s="340"/>
      <c r="D142" s="341"/>
      <c r="E142" s="341"/>
      <c r="F142" s="341"/>
      <c r="G142" s="341"/>
      <c r="H142" s="341"/>
      <c r="I142" s="341"/>
      <c r="J142" s="341"/>
      <c r="K142" s="341"/>
      <c r="L142" s="341"/>
      <c r="M142" s="341"/>
      <c r="N142" s="341"/>
      <c r="O142" s="341"/>
      <c r="P142" s="341"/>
      <c r="Q142" s="341"/>
      <c r="R142" s="341"/>
      <c r="S142" s="341"/>
      <c r="T142" s="341"/>
      <c r="U142" s="342"/>
      <c r="V142" s="21"/>
    </row>
    <row r="143" spans="2:22" ht="15.75" hidden="1">
      <c r="B143" s="259" t="s">
        <v>206</v>
      </c>
      <c r="C143" s="268"/>
      <c r="D143" s="263"/>
      <c r="E143" s="263"/>
      <c r="F143" s="263"/>
      <c r="G143" s="263"/>
      <c r="H143" s="264"/>
      <c r="I143" s="262"/>
      <c r="J143" s="263"/>
      <c r="K143" s="262"/>
      <c r="L143" s="263"/>
      <c r="M143" s="263"/>
      <c r="N143" s="261">
        <f t="shared" ref="N143:N150" si="79">SUM(K143:M143)</f>
        <v>0</v>
      </c>
      <c r="O143" s="264"/>
      <c r="P143" s="261">
        <f t="shared" ref="P143:P150" si="80">SUM(N143:O143)</f>
        <v>0</v>
      </c>
      <c r="Q143" s="261"/>
      <c r="R143" s="261"/>
      <c r="S143" s="261"/>
      <c r="T143" s="261"/>
      <c r="U143" s="265"/>
      <c r="V143" s="266"/>
    </row>
    <row r="144" spans="2:22" ht="15.75" hidden="1">
      <c r="B144" s="259" t="s">
        <v>207</v>
      </c>
      <c r="C144" s="268"/>
      <c r="D144" s="263"/>
      <c r="E144" s="263"/>
      <c r="F144" s="263"/>
      <c r="G144" s="263"/>
      <c r="H144" s="264"/>
      <c r="I144" s="262"/>
      <c r="J144" s="263"/>
      <c r="K144" s="262"/>
      <c r="L144" s="263"/>
      <c r="M144" s="263"/>
      <c r="N144" s="261">
        <f t="shared" si="79"/>
        <v>0</v>
      </c>
      <c r="O144" s="264"/>
      <c r="P144" s="261">
        <f t="shared" si="80"/>
        <v>0</v>
      </c>
      <c r="Q144" s="261"/>
      <c r="R144" s="261"/>
      <c r="S144" s="261"/>
      <c r="T144" s="261"/>
      <c r="U144" s="265"/>
      <c r="V144" s="266"/>
    </row>
    <row r="145" spans="2:22" ht="15.75" hidden="1">
      <c r="B145" s="259" t="s">
        <v>208</v>
      </c>
      <c r="C145" s="268"/>
      <c r="D145" s="263"/>
      <c r="E145" s="263"/>
      <c r="F145" s="263"/>
      <c r="G145" s="263"/>
      <c r="H145" s="264"/>
      <c r="I145" s="262"/>
      <c r="J145" s="263"/>
      <c r="K145" s="262"/>
      <c r="L145" s="263"/>
      <c r="M145" s="263"/>
      <c r="N145" s="261">
        <f t="shared" si="79"/>
        <v>0</v>
      </c>
      <c r="O145" s="264"/>
      <c r="P145" s="261">
        <f t="shared" si="80"/>
        <v>0</v>
      </c>
      <c r="Q145" s="261"/>
      <c r="R145" s="261"/>
      <c r="S145" s="261"/>
      <c r="T145" s="261"/>
      <c r="U145" s="265"/>
      <c r="V145" s="266"/>
    </row>
    <row r="146" spans="2:22" ht="15.75" hidden="1">
      <c r="B146" s="259" t="s">
        <v>209</v>
      </c>
      <c r="C146" s="268"/>
      <c r="D146" s="263"/>
      <c r="E146" s="263"/>
      <c r="F146" s="263"/>
      <c r="G146" s="263"/>
      <c r="H146" s="264"/>
      <c r="I146" s="262"/>
      <c r="J146" s="263"/>
      <c r="K146" s="262"/>
      <c r="L146" s="263"/>
      <c r="M146" s="263"/>
      <c r="N146" s="261">
        <f t="shared" si="79"/>
        <v>0</v>
      </c>
      <c r="O146" s="264"/>
      <c r="P146" s="261">
        <f t="shared" si="80"/>
        <v>0</v>
      </c>
      <c r="Q146" s="261"/>
      <c r="R146" s="261"/>
      <c r="S146" s="261"/>
      <c r="T146" s="261"/>
      <c r="U146" s="265"/>
      <c r="V146" s="266"/>
    </row>
    <row r="147" spans="2:22" ht="15.75" hidden="1">
      <c r="B147" s="259" t="s">
        <v>210</v>
      </c>
      <c r="C147" s="268"/>
      <c r="D147" s="263"/>
      <c r="E147" s="263"/>
      <c r="F147" s="263"/>
      <c r="G147" s="263"/>
      <c r="H147" s="264"/>
      <c r="I147" s="262"/>
      <c r="J147" s="263"/>
      <c r="K147" s="262"/>
      <c r="L147" s="263"/>
      <c r="M147" s="263"/>
      <c r="N147" s="261">
        <f t="shared" si="79"/>
        <v>0</v>
      </c>
      <c r="O147" s="264"/>
      <c r="P147" s="261">
        <f t="shared" si="80"/>
        <v>0</v>
      </c>
      <c r="Q147" s="261"/>
      <c r="R147" s="261"/>
      <c r="S147" s="261"/>
      <c r="T147" s="261"/>
      <c r="U147" s="265"/>
      <c r="V147" s="266"/>
    </row>
    <row r="148" spans="2:22" ht="15.75" hidden="1">
      <c r="B148" s="259" t="s">
        <v>211</v>
      </c>
      <c r="C148" s="268"/>
      <c r="D148" s="263"/>
      <c r="E148" s="263"/>
      <c r="F148" s="263"/>
      <c r="G148" s="263"/>
      <c r="H148" s="264"/>
      <c r="I148" s="262"/>
      <c r="J148" s="263"/>
      <c r="K148" s="262"/>
      <c r="L148" s="263"/>
      <c r="M148" s="263"/>
      <c r="N148" s="261">
        <f t="shared" si="79"/>
        <v>0</v>
      </c>
      <c r="O148" s="264"/>
      <c r="P148" s="261">
        <f t="shared" si="80"/>
        <v>0</v>
      </c>
      <c r="Q148" s="261"/>
      <c r="R148" s="261"/>
      <c r="S148" s="261"/>
      <c r="T148" s="261"/>
      <c r="U148" s="265"/>
      <c r="V148" s="266"/>
    </row>
    <row r="149" spans="2:22" ht="15.75" hidden="1">
      <c r="B149" s="259" t="s">
        <v>212</v>
      </c>
      <c r="C149" s="270"/>
      <c r="D149" s="271"/>
      <c r="E149" s="271"/>
      <c r="F149" s="271"/>
      <c r="G149" s="271"/>
      <c r="H149" s="272"/>
      <c r="I149" s="262"/>
      <c r="J149" s="271"/>
      <c r="K149" s="262"/>
      <c r="L149" s="271"/>
      <c r="M149" s="271"/>
      <c r="N149" s="261">
        <f t="shared" si="79"/>
        <v>0</v>
      </c>
      <c r="O149" s="272"/>
      <c r="P149" s="261">
        <f t="shared" si="80"/>
        <v>0</v>
      </c>
      <c r="Q149" s="261"/>
      <c r="R149" s="261"/>
      <c r="S149" s="261"/>
      <c r="T149" s="261"/>
      <c r="U149" s="267"/>
      <c r="V149" s="266"/>
    </row>
    <row r="150" spans="2:22" ht="15.75" hidden="1">
      <c r="B150" s="259" t="s">
        <v>213</v>
      </c>
      <c r="C150" s="270"/>
      <c r="D150" s="271"/>
      <c r="E150" s="271"/>
      <c r="F150" s="271"/>
      <c r="G150" s="271"/>
      <c r="H150" s="272"/>
      <c r="I150" s="262"/>
      <c r="J150" s="271"/>
      <c r="K150" s="262"/>
      <c r="L150" s="271"/>
      <c r="M150" s="271"/>
      <c r="N150" s="261">
        <f t="shared" si="79"/>
        <v>0</v>
      </c>
      <c r="O150" s="272"/>
      <c r="P150" s="261">
        <f t="shared" si="80"/>
        <v>0</v>
      </c>
      <c r="Q150" s="261"/>
      <c r="R150" s="261"/>
      <c r="S150" s="261"/>
      <c r="T150" s="261"/>
      <c r="U150" s="267"/>
      <c r="V150" s="266"/>
    </row>
    <row r="151" spans="2:22" ht="15.75" hidden="1">
      <c r="C151" s="62" t="s">
        <v>39</v>
      </c>
      <c r="D151" s="10">
        <f>SUM(D143:D150)</f>
        <v>0</v>
      </c>
      <c r="E151" s="10"/>
      <c r="F151" s="10"/>
      <c r="G151" s="10"/>
      <c r="H151" s="7">
        <f>(H143*E143)+(H144*E144)+(H145*E145)+(H146*E146)+(H147*E147)+(H148*E148)+(H149*E149)+(H150*E150)</f>
        <v>0</v>
      </c>
      <c r="I151" s="137">
        <f t="shared" ref="I151:N151" si="81">SUM(I143:I150)</f>
        <v>0</v>
      </c>
      <c r="J151" s="171">
        <f t="shared" si="81"/>
        <v>0</v>
      </c>
      <c r="K151" s="235">
        <f t="shared" si="81"/>
        <v>0</v>
      </c>
      <c r="L151" s="10">
        <f t="shared" si="81"/>
        <v>0</v>
      </c>
      <c r="M151" s="10">
        <f t="shared" si="81"/>
        <v>0</v>
      </c>
      <c r="N151" s="10">
        <f t="shared" si="81"/>
        <v>0</v>
      </c>
      <c r="O151" s="7">
        <f>(O143*N143)+(O144*N144)+(O145*N145)+(O146*N146)+(O147*N147)+(O148*N148)+(O149*N149)+(O150*N150)</f>
        <v>0</v>
      </c>
      <c r="P151" s="10">
        <f>SUM(P143:P150)</f>
        <v>0</v>
      </c>
      <c r="Q151" s="10"/>
      <c r="R151" s="10"/>
      <c r="S151" s="10"/>
      <c r="T151" s="10"/>
      <c r="U151" s="267"/>
      <c r="V151" s="22"/>
    </row>
    <row r="152" spans="2:22" ht="51" hidden="1" customHeight="1">
      <c r="B152" s="62" t="s">
        <v>214</v>
      </c>
      <c r="C152" s="340"/>
      <c r="D152" s="341"/>
      <c r="E152" s="341"/>
      <c r="F152" s="341"/>
      <c r="G152" s="341"/>
      <c r="H152" s="341"/>
      <c r="I152" s="341"/>
      <c r="J152" s="341"/>
      <c r="K152" s="341"/>
      <c r="L152" s="341"/>
      <c r="M152" s="341"/>
      <c r="N152" s="341"/>
      <c r="O152" s="341"/>
      <c r="P152" s="341"/>
      <c r="Q152" s="341"/>
      <c r="R152" s="341"/>
      <c r="S152" s="341"/>
      <c r="T152" s="341"/>
      <c r="U152" s="342"/>
      <c r="V152" s="21"/>
    </row>
    <row r="153" spans="2:22" ht="15.75" hidden="1">
      <c r="B153" s="259" t="s">
        <v>215</v>
      </c>
      <c r="C153" s="268"/>
      <c r="D153" s="263"/>
      <c r="E153" s="263"/>
      <c r="F153" s="263"/>
      <c r="G153" s="263"/>
      <c r="H153" s="264"/>
      <c r="I153" s="262"/>
      <c r="J153" s="263"/>
      <c r="K153" s="262"/>
      <c r="L153" s="263"/>
      <c r="M153" s="263"/>
      <c r="N153" s="261">
        <f t="shared" ref="N153:N160" si="82">SUM(K153:M153)</f>
        <v>0</v>
      </c>
      <c r="O153" s="264"/>
      <c r="P153" s="261">
        <f t="shared" ref="P153:P160" si="83">SUM(N153:O153)</f>
        <v>0</v>
      </c>
      <c r="Q153" s="261"/>
      <c r="R153" s="261"/>
      <c r="S153" s="261"/>
      <c r="T153" s="261"/>
      <c r="U153" s="265"/>
      <c r="V153" s="266"/>
    </row>
    <row r="154" spans="2:22" ht="15.75" hidden="1">
      <c r="B154" s="259" t="s">
        <v>216</v>
      </c>
      <c r="C154" s="268"/>
      <c r="D154" s="263"/>
      <c r="E154" s="263"/>
      <c r="F154" s="263"/>
      <c r="G154" s="263"/>
      <c r="H154" s="264"/>
      <c r="I154" s="262"/>
      <c r="J154" s="263"/>
      <c r="K154" s="262"/>
      <c r="L154" s="263"/>
      <c r="M154" s="263"/>
      <c r="N154" s="261">
        <f t="shared" si="82"/>
        <v>0</v>
      </c>
      <c r="O154" s="264"/>
      <c r="P154" s="261">
        <f t="shared" si="83"/>
        <v>0</v>
      </c>
      <c r="Q154" s="261"/>
      <c r="R154" s="261"/>
      <c r="S154" s="261"/>
      <c r="T154" s="261"/>
      <c r="U154" s="265"/>
      <c r="V154" s="266"/>
    </row>
    <row r="155" spans="2:22" ht="15.75" hidden="1">
      <c r="B155" s="259" t="s">
        <v>217</v>
      </c>
      <c r="C155" s="268"/>
      <c r="D155" s="263"/>
      <c r="E155" s="263"/>
      <c r="F155" s="263"/>
      <c r="G155" s="263"/>
      <c r="H155" s="264"/>
      <c r="I155" s="262"/>
      <c r="J155" s="263"/>
      <c r="K155" s="262"/>
      <c r="L155" s="263"/>
      <c r="M155" s="263"/>
      <c r="N155" s="261">
        <f t="shared" si="82"/>
        <v>0</v>
      </c>
      <c r="O155" s="264"/>
      <c r="P155" s="261">
        <f t="shared" si="83"/>
        <v>0</v>
      </c>
      <c r="Q155" s="261"/>
      <c r="R155" s="261"/>
      <c r="S155" s="261"/>
      <c r="T155" s="261"/>
      <c r="U155" s="265"/>
      <c r="V155" s="266"/>
    </row>
    <row r="156" spans="2:22" ht="15.75" hidden="1">
      <c r="B156" s="259" t="s">
        <v>218</v>
      </c>
      <c r="C156" s="268"/>
      <c r="D156" s="263"/>
      <c r="E156" s="263"/>
      <c r="F156" s="263"/>
      <c r="G156" s="263"/>
      <c r="H156" s="264"/>
      <c r="I156" s="262"/>
      <c r="J156" s="263"/>
      <c r="K156" s="262"/>
      <c r="L156" s="263"/>
      <c r="M156" s="263"/>
      <c r="N156" s="261">
        <f t="shared" si="82"/>
        <v>0</v>
      </c>
      <c r="O156" s="264"/>
      <c r="P156" s="261">
        <f t="shared" si="83"/>
        <v>0</v>
      </c>
      <c r="Q156" s="261"/>
      <c r="R156" s="261"/>
      <c r="S156" s="261"/>
      <c r="T156" s="261"/>
      <c r="U156" s="265"/>
      <c r="V156" s="266"/>
    </row>
    <row r="157" spans="2:22" ht="15.75" hidden="1">
      <c r="B157" s="259" t="s">
        <v>219</v>
      </c>
      <c r="C157" s="268"/>
      <c r="D157" s="263"/>
      <c r="E157" s="263"/>
      <c r="F157" s="263"/>
      <c r="G157" s="263"/>
      <c r="H157" s="264"/>
      <c r="I157" s="262"/>
      <c r="J157" s="263"/>
      <c r="K157" s="262"/>
      <c r="L157" s="263"/>
      <c r="M157" s="263"/>
      <c r="N157" s="261">
        <f t="shared" si="82"/>
        <v>0</v>
      </c>
      <c r="O157" s="264"/>
      <c r="P157" s="261">
        <f t="shared" si="83"/>
        <v>0</v>
      </c>
      <c r="Q157" s="261"/>
      <c r="R157" s="261"/>
      <c r="S157" s="261"/>
      <c r="T157" s="261"/>
      <c r="U157" s="265"/>
      <c r="V157" s="266"/>
    </row>
    <row r="158" spans="2:22" ht="15.75" hidden="1">
      <c r="B158" s="259" t="s">
        <v>220</v>
      </c>
      <c r="C158" s="268"/>
      <c r="D158" s="263"/>
      <c r="E158" s="263"/>
      <c r="F158" s="263"/>
      <c r="G158" s="263"/>
      <c r="H158" s="264"/>
      <c r="I158" s="262"/>
      <c r="J158" s="263"/>
      <c r="K158" s="262"/>
      <c r="L158" s="263"/>
      <c r="M158" s="263"/>
      <c r="N158" s="261">
        <f t="shared" si="82"/>
        <v>0</v>
      </c>
      <c r="O158" s="264"/>
      <c r="P158" s="261">
        <f t="shared" si="83"/>
        <v>0</v>
      </c>
      <c r="Q158" s="261"/>
      <c r="R158" s="261"/>
      <c r="S158" s="261"/>
      <c r="T158" s="261"/>
      <c r="U158" s="265"/>
      <c r="V158" s="266"/>
    </row>
    <row r="159" spans="2:22" ht="15.75" hidden="1">
      <c r="B159" s="259" t="s">
        <v>221</v>
      </c>
      <c r="C159" s="270"/>
      <c r="D159" s="271"/>
      <c r="E159" s="271"/>
      <c r="F159" s="271"/>
      <c r="G159" s="271"/>
      <c r="H159" s="272"/>
      <c r="I159" s="262"/>
      <c r="J159" s="271"/>
      <c r="K159" s="262"/>
      <c r="L159" s="271"/>
      <c r="M159" s="271"/>
      <c r="N159" s="261">
        <f t="shared" si="82"/>
        <v>0</v>
      </c>
      <c r="O159" s="272"/>
      <c r="P159" s="261">
        <f t="shared" si="83"/>
        <v>0</v>
      </c>
      <c r="Q159" s="261"/>
      <c r="R159" s="261"/>
      <c r="S159" s="261"/>
      <c r="T159" s="261"/>
      <c r="U159" s="267"/>
      <c r="V159" s="266"/>
    </row>
    <row r="160" spans="2:22" ht="15.75" hidden="1">
      <c r="B160" s="259" t="s">
        <v>222</v>
      </c>
      <c r="C160" s="270"/>
      <c r="D160" s="271"/>
      <c r="E160" s="271"/>
      <c r="F160" s="271"/>
      <c r="G160" s="271"/>
      <c r="H160" s="272"/>
      <c r="I160" s="262"/>
      <c r="J160" s="271"/>
      <c r="K160" s="262"/>
      <c r="L160" s="271"/>
      <c r="M160" s="271"/>
      <c r="N160" s="261">
        <f t="shared" si="82"/>
        <v>0</v>
      </c>
      <c r="O160" s="272"/>
      <c r="P160" s="261">
        <f t="shared" si="83"/>
        <v>0</v>
      </c>
      <c r="Q160" s="261"/>
      <c r="R160" s="261"/>
      <c r="S160" s="261"/>
      <c r="T160" s="261"/>
      <c r="U160" s="267"/>
      <c r="V160" s="266"/>
    </row>
    <row r="161" spans="2:22" ht="15.75" hidden="1">
      <c r="C161" s="62" t="s">
        <v>39</v>
      </c>
      <c r="D161" s="7">
        <f>SUM(D153:D160)</f>
        <v>0</v>
      </c>
      <c r="E161" s="7"/>
      <c r="F161" s="7"/>
      <c r="G161" s="7"/>
      <c r="H161" s="7">
        <f>(H153*E153)+(H154*E154)+(H155*E155)+(H156*E156)+(H157*E157)+(H158*E158)+(H159*E159)+(H160*E160)</f>
        <v>0</v>
      </c>
      <c r="I161" s="137">
        <f t="shared" ref="I161:N161" si="84">SUM(I153:I160)</f>
        <v>0</v>
      </c>
      <c r="J161" s="171">
        <f t="shared" si="84"/>
        <v>0</v>
      </c>
      <c r="K161" s="132">
        <f t="shared" si="84"/>
        <v>0</v>
      </c>
      <c r="L161" s="7">
        <f t="shared" si="84"/>
        <v>0</v>
      </c>
      <c r="M161" s="7">
        <f t="shared" si="84"/>
        <v>0</v>
      </c>
      <c r="N161" s="7">
        <f t="shared" si="84"/>
        <v>0</v>
      </c>
      <c r="O161" s="7">
        <f>(O153*N153)+(O154*N154)+(O155*N155)+(O156*N156)+(O157*N157)+(O158*N158)+(O159*N159)+(O160*N160)</f>
        <v>0</v>
      </c>
      <c r="P161" s="7">
        <f>SUM(P153:P160)</f>
        <v>0</v>
      </c>
      <c r="Q161" s="10"/>
      <c r="R161" s="10"/>
      <c r="S161" s="10"/>
      <c r="T161" s="10"/>
      <c r="U161" s="281"/>
      <c r="V161" s="22"/>
    </row>
    <row r="162" spans="2:22" ht="15.75" customHeight="1">
      <c r="B162" s="3"/>
      <c r="C162" s="273"/>
      <c r="D162" s="279"/>
      <c r="E162" s="279"/>
      <c r="F162" s="279"/>
      <c r="G162" s="279"/>
      <c r="H162" s="279"/>
      <c r="I162" s="280"/>
      <c r="J162" s="279"/>
      <c r="K162" s="280"/>
      <c r="L162" s="279"/>
      <c r="M162" s="279"/>
      <c r="N162" s="279"/>
      <c r="O162" s="279"/>
      <c r="P162" s="279"/>
      <c r="Q162" s="279"/>
      <c r="R162" s="279"/>
      <c r="S162" s="279"/>
      <c r="T162" s="279"/>
      <c r="U162" s="273"/>
      <c r="V162" s="1"/>
    </row>
    <row r="163" spans="2:22" ht="15.75" customHeight="1">
      <c r="B163" s="3"/>
      <c r="C163" s="273"/>
      <c r="D163" s="279"/>
      <c r="E163" s="279"/>
      <c r="F163" s="279"/>
      <c r="G163" s="279"/>
      <c r="H163" s="279"/>
      <c r="I163" s="280"/>
      <c r="J163" s="279"/>
      <c r="K163" s="280"/>
      <c r="L163" s="279"/>
      <c r="M163" s="279"/>
      <c r="N163" s="279"/>
      <c r="O163" s="279"/>
      <c r="P163" s="279"/>
      <c r="Q163" s="279"/>
      <c r="R163" s="279"/>
      <c r="S163" s="279"/>
      <c r="T163" s="279"/>
      <c r="U163" s="273"/>
      <c r="V163" s="1"/>
    </row>
    <row r="164" spans="2:22" ht="63.75" customHeight="1">
      <c r="B164" s="62" t="s">
        <v>223</v>
      </c>
      <c r="C164" s="173"/>
      <c r="D164" s="282">
        <v>474000</v>
      </c>
      <c r="E164" s="283">
        <v>55000</v>
      </c>
      <c r="F164" s="283">
        <v>30000</v>
      </c>
      <c r="G164" s="261">
        <f t="shared" ref="G164:G167" si="85">SUM(D164:F164)</f>
        <v>559000</v>
      </c>
      <c r="H164" s="264"/>
      <c r="I164" s="135">
        <v>456498.55</v>
      </c>
      <c r="J164" s="113">
        <f>+H164*I164</f>
        <v>0</v>
      </c>
      <c r="K164" s="237">
        <v>712000</v>
      </c>
      <c r="L164" s="136">
        <v>83000</v>
      </c>
      <c r="M164" s="136">
        <v>120000</v>
      </c>
      <c r="N164" s="174">
        <f>SUM(K164:M164)</f>
        <v>915000</v>
      </c>
      <c r="O164" s="284">
        <v>0.3</v>
      </c>
      <c r="P164" s="261">
        <f t="shared" ref="P164:P167" si="86">+G164+N164</f>
        <v>1474000</v>
      </c>
      <c r="Q164" s="135">
        <f>3868.36+57780+11603.37+15415.63+16587.25+35407.72+162231.81+18000+16477.14+44112.17-2245.01+93465.52+40000+14523.03+36000+118714.18+163117.99+29622.44</f>
        <v>874681.59999999986</v>
      </c>
      <c r="R164" s="116">
        <f>+O164*Q164</f>
        <v>262404.47999999992</v>
      </c>
      <c r="S164" s="116">
        <f t="shared" ref="S164:S167" si="87">+Q164+I164</f>
        <v>1331180.1499999999</v>
      </c>
      <c r="T164" s="261"/>
      <c r="U164" s="285"/>
      <c r="V164" s="266"/>
    </row>
    <row r="165" spans="2:22" ht="141" customHeight="1">
      <c r="B165" s="62" t="s">
        <v>224</v>
      </c>
      <c r="C165" s="286" t="s">
        <v>225</v>
      </c>
      <c r="D165" s="282">
        <v>56776.92</v>
      </c>
      <c r="E165" s="282">
        <v>3600</v>
      </c>
      <c r="F165" s="282">
        <v>7500</v>
      </c>
      <c r="G165" s="261">
        <f t="shared" si="85"/>
        <v>67876.92</v>
      </c>
      <c r="H165" s="264">
        <f>+J165/G165</f>
        <v>0</v>
      </c>
      <c r="I165" s="135">
        <v>63498.81</v>
      </c>
      <c r="J165" s="287"/>
      <c r="K165" s="237">
        <v>57000</v>
      </c>
      <c r="L165" s="136">
        <v>36000</v>
      </c>
      <c r="M165" s="136">
        <v>10000</v>
      </c>
      <c r="N165" s="174">
        <f>SUM(K165:M165)</f>
        <v>103000</v>
      </c>
      <c r="O165" s="284"/>
      <c r="P165" s="261">
        <f t="shared" si="86"/>
        <v>170876.91999999998</v>
      </c>
      <c r="Q165" s="135">
        <f>1728.39+774.13+2844.74+1552.86+2202.38+5739.43+1737.38+738.79+1128.79+5345.5+350.55+858.15+738.79-3600+29750+3945.38+2069.92</f>
        <v>57905.18</v>
      </c>
      <c r="R165" s="116">
        <f t="shared" ref="R165:R167" si="88">+O165*Q165</f>
        <v>0</v>
      </c>
      <c r="S165" s="116">
        <f t="shared" si="87"/>
        <v>121403.98999999999</v>
      </c>
      <c r="T165" s="261"/>
      <c r="U165" s="175"/>
      <c r="V165" s="266"/>
    </row>
    <row r="166" spans="2:22" ht="57" customHeight="1">
      <c r="B166" s="62" t="s">
        <v>226</v>
      </c>
      <c r="C166" s="288" t="s">
        <v>227</v>
      </c>
      <c r="D166" s="282">
        <v>55000</v>
      </c>
      <c r="E166" s="282">
        <v>8000</v>
      </c>
      <c r="F166" s="282">
        <v>8000</v>
      </c>
      <c r="G166" s="261">
        <f t="shared" si="85"/>
        <v>71000</v>
      </c>
      <c r="H166" s="264">
        <v>0.5</v>
      </c>
      <c r="I166" s="135">
        <v>67249.599999999991</v>
      </c>
      <c r="J166" s="113">
        <f>+H166*I166</f>
        <v>33624.799999999996</v>
      </c>
      <c r="K166" s="237">
        <v>73000</v>
      </c>
      <c r="L166" s="136">
        <v>20000</v>
      </c>
      <c r="M166" s="136">
        <v>0</v>
      </c>
      <c r="N166" s="174">
        <f>SUM(K166:M166)</f>
        <v>93000</v>
      </c>
      <c r="O166" s="284">
        <v>0.5</v>
      </c>
      <c r="P166" s="261">
        <f t="shared" si="86"/>
        <v>164000</v>
      </c>
      <c r="Q166" s="123"/>
      <c r="R166" s="116">
        <f t="shared" si="88"/>
        <v>0</v>
      </c>
      <c r="S166" s="116">
        <f t="shared" si="87"/>
        <v>67249.599999999991</v>
      </c>
      <c r="T166" s="261"/>
      <c r="U166" s="285"/>
      <c r="V166" s="266"/>
    </row>
    <row r="167" spans="2:22" ht="65.25" customHeight="1">
      <c r="B167" s="77" t="s">
        <v>228</v>
      </c>
      <c r="C167" s="288" t="s">
        <v>229</v>
      </c>
      <c r="D167" s="282">
        <v>40000</v>
      </c>
      <c r="E167" s="282"/>
      <c r="F167" s="282"/>
      <c r="G167" s="261">
        <f t="shared" si="85"/>
        <v>40000</v>
      </c>
      <c r="H167" s="284"/>
      <c r="I167" s="289"/>
      <c r="J167" s="113">
        <f>+H167*I167</f>
        <v>0</v>
      </c>
      <c r="K167" s="237">
        <v>50000</v>
      </c>
      <c r="L167" s="136">
        <v>0</v>
      </c>
      <c r="M167" s="136">
        <v>0</v>
      </c>
      <c r="N167" s="174">
        <f>SUM(K167:M167)</f>
        <v>50000</v>
      </c>
      <c r="O167" s="284"/>
      <c r="P167" s="261">
        <f t="shared" si="86"/>
        <v>90000</v>
      </c>
      <c r="Q167" s="116">
        <v>36378.93</v>
      </c>
      <c r="R167" s="116">
        <f t="shared" si="88"/>
        <v>0</v>
      </c>
      <c r="S167" s="116">
        <f t="shared" si="87"/>
        <v>36378.93</v>
      </c>
      <c r="T167" s="261"/>
      <c r="U167" s="285"/>
      <c r="V167" s="266"/>
    </row>
    <row r="168" spans="2:22" ht="21.75" customHeight="1">
      <c r="B168" s="3"/>
      <c r="C168" s="78" t="s">
        <v>230</v>
      </c>
      <c r="D168" s="81">
        <f>SUM(D164:D167)</f>
        <v>625776.92000000004</v>
      </c>
      <c r="E168" s="81">
        <f>E164+E165+E166+E167</f>
        <v>66600</v>
      </c>
      <c r="F168" s="81">
        <f>F164+F165+F166+F167</f>
        <v>45500</v>
      </c>
      <c r="G168" s="81">
        <f>G164+G165+G166+G167</f>
        <v>737876.92</v>
      </c>
      <c r="H168" s="7">
        <f>(I164*H164)+(I165*H165)+(I166*H166)+(I167*H167)</f>
        <v>33624.799999999996</v>
      </c>
      <c r="I168" s="109">
        <f>SUM(I164:I167)</f>
        <v>587246.96</v>
      </c>
      <c r="J168" s="171">
        <f>SUM(J164:J167)</f>
        <v>33624.799999999996</v>
      </c>
      <c r="K168" s="238">
        <f t="shared" ref="K168:M168" si="89">SUM(K164:K167)</f>
        <v>892000</v>
      </c>
      <c r="L168" s="81">
        <f t="shared" si="89"/>
        <v>139000</v>
      </c>
      <c r="M168" s="81">
        <f t="shared" si="89"/>
        <v>130000</v>
      </c>
      <c r="N168" s="81">
        <f>SUM(N164:N167)</f>
        <v>1161000</v>
      </c>
      <c r="O168" s="7">
        <f>(O164*Q164)+(O165*Q165)+(O166*Q166)+(O167*Q167)</f>
        <v>262404.47999999992</v>
      </c>
      <c r="P168" s="81">
        <f>SUM(P164:P167)</f>
        <v>1898876.92</v>
      </c>
      <c r="Q168" s="209">
        <f>SUM(Q164:Q167)</f>
        <v>968965.71</v>
      </c>
      <c r="R168" s="209">
        <f>SUM(R164:R167)</f>
        <v>262404.47999999992</v>
      </c>
      <c r="S168" s="209">
        <f>SUM(S164:S167)</f>
        <v>1556212.67</v>
      </c>
      <c r="T168" s="81"/>
      <c r="U168" s="286"/>
      <c r="V168" s="5"/>
    </row>
    <row r="169" spans="2:22" ht="15.75" customHeight="1">
      <c r="B169" s="3"/>
      <c r="C169" s="273"/>
      <c r="D169" s="279"/>
      <c r="E169" s="279"/>
      <c r="F169" s="279"/>
      <c r="G169" s="279"/>
      <c r="H169" s="279"/>
      <c r="I169" s="280"/>
      <c r="J169" s="279"/>
      <c r="K169" s="280"/>
      <c r="L169" s="279"/>
      <c r="M169" s="279"/>
      <c r="N169" s="279"/>
      <c r="O169" s="279"/>
      <c r="P169" s="279"/>
      <c r="Q169" s="279"/>
      <c r="R169" s="279"/>
      <c r="S169" s="279"/>
      <c r="T169" s="279"/>
      <c r="U169" s="273"/>
      <c r="V169" s="5"/>
    </row>
    <row r="170" spans="2:22" ht="15.75" customHeight="1">
      <c r="B170" s="3"/>
      <c r="C170" s="273"/>
      <c r="D170" s="279"/>
      <c r="E170" s="279"/>
      <c r="F170" s="279"/>
      <c r="G170" s="279"/>
      <c r="H170" s="279"/>
      <c r="I170" s="280"/>
      <c r="J170" s="279"/>
      <c r="K170" s="280"/>
      <c r="L170" s="279"/>
      <c r="M170" s="279"/>
      <c r="N170" s="279"/>
      <c r="O170" s="279"/>
      <c r="P170" s="279"/>
      <c r="Q170" s="279"/>
      <c r="R170" s="279"/>
      <c r="S170" s="279"/>
      <c r="T170" s="279"/>
      <c r="U170" s="273"/>
      <c r="V170" s="5"/>
    </row>
    <row r="171" spans="2:22" ht="33.75" customHeight="1">
      <c r="B171" s="3"/>
      <c r="C171" s="273"/>
      <c r="D171" s="279"/>
      <c r="E171" s="279"/>
      <c r="F171" s="279"/>
      <c r="G171" s="279"/>
      <c r="I171" s="290">
        <f>SUM(I15,I24,I34,I56,I66,I74,I93,I99,I109,I168)*0.07</f>
        <v>107918.0466</v>
      </c>
      <c r="J171" s="279"/>
      <c r="K171" s="280"/>
      <c r="L171" s="279"/>
      <c r="M171" s="279"/>
      <c r="N171" s="279"/>
      <c r="O171" s="279"/>
      <c r="P171" s="279"/>
      <c r="Q171" s="290">
        <f>SUM(Q15,Q24,Q34,Q56,Q66,Q74,Q93,Q99,Q109,Q168)*0.07</f>
        <v>148055.80232328508</v>
      </c>
      <c r="R171" s="290"/>
      <c r="S171" s="290">
        <f>+'2a) By Category Phase I+ II'!H130</f>
        <v>255973.84892328506</v>
      </c>
      <c r="T171" s="279"/>
      <c r="U171" s="273"/>
      <c r="V171" s="5"/>
    </row>
    <row r="172" spans="2:22" ht="50.25" customHeight="1" thickBot="1">
      <c r="B172" s="3"/>
      <c r="C172" s="273"/>
      <c r="D172" s="279"/>
      <c r="E172" s="279"/>
      <c r="F172" s="279"/>
      <c r="G172" s="279"/>
      <c r="J172" s="279"/>
      <c r="K172" s="280"/>
      <c r="L172" s="279"/>
      <c r="M172" s="279"/>
      <c r="N172" s="279"/>
      <c r="O172" s="279"/>
      <c r="P172" s="279"/>
      <c r="Q172" s="279"/>
      <c r="R172" s="279"/>
      <c r="S172" s="279"/>
      <c r="T172" s="279"/>
      <c r="U172" s="273"/>
      <c r="V172" s="5"/>
    </row>
    <row r="173" spans="2:22" ht="51.75" customHeight="1" thickBot="1">
      <c r="B173" s="198" t="s">
        <v>231</v>
      </c>
      <c r="C173" s="199"/>
      <c r="D173" s="199"/>
      <c r="E173" s="199"/>
      <c r="F173" s="200"/>
      <c r="J173" s="279"/>
      <c r="V173" s="219"/>
    </row>
    <row r="174" spans="2:22" ht="34.5" customHeight="1">
      <c r="B174" s="291"/>
      <c r="C174" s="351" t="s">
        <v>13</v>
      </c>
      <c r="D174" s="351" t="s">
        <v>7</v>
      </c>
      <c r="E174" s="351" t="s">
        <v>232</v>
      </c>
      <c r="F174" s="196" t="s">
        <v>9</v>
      </c>
      <c r="H174" s="206" t="s">
        <v>233</v>
      </c>
      <c r="I174" s="110">
        <f>SUM(I15,I24,I34,I56,I66,I74,I93,I99,I109,I168)+I171</f>
        <v>1649604.4265999999</v>
      </c>
      <c r="J174" s="279"/>
      <c r="P174" s="206" t="s">
        <v>234</v>
      </c>
      <c r="Q174" s="110">
        <f>SUM(Q15,Q24,Q34,Q56,Q66,Q74,Q93,Q99,Q109,Q168)+Q171</f>
        <v>2263138.6926559289</v>
      </c>
      <c r="R174" s="226"/>
      <c r="S174" s="206" t="s">
        <v>235</v>
      </c>
      <c r="T174" s="110">
        <f>SUM(S15,S24,S34,S56,S66,S74,S93,S99,S109,S168)+S171</f>
        <v>3912743.1192559288</v>
      </c>
    </row>
    <row r="175" spans="2:22" ht="45" customHeight="1" thickBot="1">
      <c r="B175" s="292"/>
      <c r="C175" s="352"/>
      <c r="D175" s="352"/>
      <c r="E175" s="352"/>
      <c r="F175" s="197"/>
      <c r="H175" s="207" t="s">
        <v>236</v>
      </c>
      <c r="I175" s="111">
        <f>I174/F178</f>
        <v>0.82480219498939122</v>
      </c>
      <c r="J175" s="279"/>
      <c r="K175" s="251"/>
      <c r="P175" s="207" t="s">
        <v>236</v>
      </c>
      <c r="Q175" s="210">
        <f>Q174/N194</f>
        <v>0.90156985947683033</v>
      </c>
      <c r="R175" s="227"/>
      <c r="S175" s="207" t="s">
        <v>236</v>
      </c>
      <c r="T175" s="210">
        <f>T174/(+N194+F178)</f>
        <v>0.86752820943051034</v>
      </c>
    </row>
    <row r="176" spans="2:22" s="17" customFormat="1" ht="49.5" customHeight="1">
      <c r="B176" s="293" t="s">
        <v>237</v>
      </c>
      <c r="C176" s="294">
        <f>SUM(D15,D24,D34,D56,D66,D74,D93,D99,D109,D168)</f>
        <v>1572058.92</v>
      </c>
      <c r="D176" s="294">
        <f>SUM(E15,E24,E34,E56,E66,E74,E93,E99,E109,E168)</f>
        <v>126600</v>
      </c>
      <c r="E176" s="294">
        <f>SUM(F15,F24,F34,F56,F66,F74,F93,F99,F109,F168)</f>
        <v>170500</v>
      </c>
      <c r="F176" s="295">
        <f>SUM(C176:E176)</f>
        <v>1869158.92</v>
      </c>
      <c r="J176" s="101"/>
      <c r="K176" s="16"/>
    </row>
    <row r="177" spans="2:22" ht="48" thickBot="1">
      <c r="B177" s="293" t="s">
        <v>238</v>
      </c>
      <c r="C177" s="294">
        <f>C176*0.07</f>
        <v>110044.1244</v>
      </c>
      <c r="D177" s="294">
        <f>D176*0.07</f>
        <v>8862</v>
      </c>
      <c r="E177" s="294">
        <f>E176*0.07</f>
        <v>11935.000000000002</v>
      </c>
      <c r="F177" s="295">
        <f>F176*0.07</f>
        <v>130841.1244</v>
      </c>
      <c r="Q177" s="124"/>
      <c r="R177" s="124"/>
      <c r="S177" s="224"/>
      <c r="T177" s="230"/>
    </row>
    <row r="178" spans="2:22" ht="33" customHeight="1" thickBot="1">
      <c r="B178" s="4" t="s">
        <v>9</v>
      </c>
      <c r="C178" s="67">
        <f>SUM(C176:C177)</f>
        <v>1682103.0444</v>
      </c>
      <c r="D178" s="67">
        <f>SUM(D176:D177)</f>
        <v>135462</v>
      </c>
      <c r="E178" s="67">
        <f>SUM(E176:E177)</f>
        <v>182435</v>
      </c>
      <c r="F178" s="76">
        <f>SUM(F176:F177)</f>
        <v>2000000.0444</v>
      </c>
      <c r="J178" s="198" t="s">
        <v>239</v>
      </c>
      <c r="K178" s="239"/>
      <c r="L178" s="199"/>
      <c r="M178" s="199"/>
      <c r="N178" s="211"/>
      <c r="O178" s="180" t="s">
        <v>240</v>
      </c>
      <c r="P178" s="181"/>
      <c r="S178" s="124"/>
    </row>
    <row r="179" spans="2:22" ht="33" customHeight="1" thickTop="1" thickBot="1">
      <c r="B179" s="212"/>
      <c r="C179" s="213"/>
      <c r="D179" s="213"/>
      <c r="E179" s="213"/>
      <c r="F179" s="213"/>
      <c r="J179" s="353"/>
      <c r="K179" s="240" t="s">
        <v>13</v>
      </c>
      <c r="L179" s="105" t="s">
        <v>14</v>
      </c>
      <c r="M179" s="105" t="s">
        <v>15</v>
      </c>
      <c r="N179" s="196" t="s">
        <v>9</v>
      </c>
      <c r="O179" s="138" t="s">
        <v>13</v>
      </c>
      <c r="P179" s="182">
        <f>SUM(K182,C176)</f>
        <v>3021058.92</v>
      </c>
      <c r="S179" s="230"/>
      <c r="T179" s="124"/>
    </row>
    <row r="180" spans="2:22" ht="26.25" customHeight="1" thickBot="1">
      <c r="J180" s="354"/>
      <c r="K180" s="241"/>
      <c r="L180" s="195"/>
      <c r="M180" s="195"/>
      <c r="N180" s="197"/>
      <c r="O180" s="139" t="s">
        <v>14</v>
      </c>
      <c r="P180" s="140">
        <f>SUM(L182,D176)</f>
        <v>373600</v>
      </c>
      <c r="Q180" s="208"/>
      <c r="R180" s="208"/>
      <c r="S180" s="208"/>
      <c r="T180" s="214"/>
      <c r="V180" s="5"/>
    </row>
    <row r="181" spans="2:22" ht="27.75" customHeight="1" thickBot="1">
      <c r="J181" s="355"/>
      <c r="O181" s="139" t="s">
        <v>15</v>
      </c>
      <c r="P181" s="140">
        <f>SUM(M182)</f>
        <v>650000</v>
      </c>
      <c r="Q181" s="208"/>
      <c r="R181" s="208"/>
      <c r="S181" s="208"/>
      <c r="T181" s="208"/>
      <c r="V181" s="5"/>
    </row>
    <row r="182" spans="2:22" ht="72" customHeight="1" thickBot="1">
      <c r="B182" s="190" t="s">
        <v>241</v>
      </c>
      <c r="C182" s="191"/>
      <c r="D182" s="191"/>
      <c r="E182" s="191"/>
      <c r="F182" s="191"/>
      <c r="G182" s="192"/>
      <c r="J182" s="293" t="s">
        <v>237</v>
      </c>
      <c r="K182" s="296">
        <f>SUM(K15,K24,K34,K56,K66,K74,K93,K99,K109,K168)</f>
        <v>1449000</v>
      </c>
      <c r="L182" s="294">
        <f>SUM(L15,L24,L34,L56,L66,L74,L93,L99,L109,L168)</f>
        <v>247000</v>
      </c>
      <c r="M182" s="294">
        <f>SUM(M15,M24,M34,M56,M66,M74,M93,M99,M109,M168)</f>
        <v>650000</v>
      </c>
      <c r="N182" s="295">
        <f>SUM(K182:M182)</f>
        <v>2346000</v>
      </c>
      <c r="O182" s="139" t="s">
        <v>242</v>
      </c>
      <c r="P182" s="140">
        <f>SUM(E176)</f>
        <v>170500</v>
      </c>
      <c r="Q182" s="208"/>
      <c r="R182" s="208"/>
      <c r="S182" s="208"/>
      <c r="T182" s="208"/>
      <c r="V182" s="5"/>
    </row>
    <row r="183" spans="2:22" ht="29.25" customHeight="1" thickBot="1">
      <c r="B183" s="63"/>
      <c r="C183" s="351" t="s">
        <v>13</v>
      </c>
      <c r="D183" s="351" t="s">
        <v>7</v>
      </c>
      <c r="E183" s="351" t="s">
        <v>232</v>
      </c>
      <c r="F183" s="104" t="s">
        <v>9</v>
      </c>
      <c r="G183" s="193" t="s">
        <v>243</v>
      </c>
      <c r="J183" s="293" t="s">
        <v>238</v>
      </c>
      <c r="K183" s="296">
        <f>K182*0.07</f>
        <v>101430.00000000001</v>
      </c>
      <c r="L183" s="294">
        <f>L182*0.07</f>
        <v>17290</v>
      </c>
      <c r="M183" s="294">
        <f>M182*0.07</f>
        <v>45500.000000000007</v>
      </c>
      <c r="N183" s="295">
        <f>N182*0.07</f>
        <v>164220.00000000003</v>
      </c>
      <c r="O183" s="139" t="s">
        <v>244</v>
      </c>
      <c r="P183" s="140">
        <f>SUM(N183,F177)</f>
        <v>295061.12440000003</v>
      </c>
      <c r="Q183" s="208"/>
      <c r="R183" s="208"/>
      <c r="S183" s="208"/>
      <c r="T183" s="208"/>
      <c r="V183" s="297"/>
    </row>
    <row r="184" spans="2:22" ht="35.450000000000003" customHeight="1" thickBot="1">
      <c r="B184" s="63"/>
      <c r="C184" s="352"/>
      <c r="D184" s="352"/>
      <c r="E184" s="352"/>
      <c r="F184" s="189"/>
      <c r="G184" s="194"/>
      <c r="J184" s="4" t="s">
        <v>9</v>
      </c>
      <c r="K184" s="242">
        <f>SUM(K182:K183)</f>
        <v>1550430</v>
      </c>
      <c r="L184" s="67">
        <f>SUM(L182:L183)</f>
        <v>264290</v>
      </c>
      <c r="M184" s="67">
        <f>SUM(M182:M183)</f>
        <v>695500</v>
      </c>
      <c r="N184" s="76">
        <f>SUM(N182:N183)</f>
        <v>2510220</v>
      </c>
      <c r="O184" s="142" t="s">
        <v>9</v>
      </c>
      <c r="P184" s="143">
        <f>SUM(P179:P183)</f>
        <v>4510220.0444</v>
      </c>
      <c r="Q184" s="208"/>
      <c r="R184" s="208"/>
      <c r="S184" s="208"/>
      <c r="T184" s="208"/>
    </row>
    <row r="185" spans="2:22" ht="43.5" customHeight="1">
      <c r="B185" s="11" t="s">
        <v>245</v>
      </c>
      <c r="C185" s="65">
        <f>$C$178*G185</f>
        <v>841051.52220000001</v>
      </c>
      <c r="D185" s="65">
        <f>+G185*D178</f>
        <v>67731</v>
      </c>
      <c r="E185" s="65">
        <f>+G185*E178</f>
        <v>91217.5</v>
      </c>
      <c r="F185" s="66">
        <f>SUM(C185:E185)</f>
        <v>1000000.0222</v>
      </c>
      <c r="G185" s="85">
        <v>0.5</v>
      </c>
      <c r="Q185" s="208"/>
      <c r="R185" s="208"/>
      <c r="S185" s="208"/>
      <c r="T185" s="208"/>
    </row>
    <row r="186" spans="2:22" ht="42" customHeight="1">
      <c r="B186" s="79" t="s">
        <v>246</v>
      </c>
      <c r="C186" s="65">
        <f>$C$178*G186</f>
        <v>504630.91331999999</v>
      </c>
      <c r="D186" s="66">
        <f>+G186*D178</f>
        <v>40638.6</v>
      </c>
      <c r="E186" s="66">
        <f>+G186*E178</f>
        <v>54730.5</v>
      </c>
      <c r="F186" s="80">
        <f>SUM(C186:E186)</f>
        <v>600000.01332000003</v>
      </c>
      <c r="G186" s="86">
        <v>0.3</v>
      </c>
      <c r="L186" s="224"/>
      <c r="Q186" s="208"/>
      <c r="R186" s="208"/>
      <c r="S186" s="208"/>
      <c r="T186" s="208"/>
    </row>
    <row r="187" spans="2:22" ht="51.75" customHeight="1" thickBot="1">
      <c r="B187" s="79" t="s">
        <v>247</v>
      </c>
      <c r="C187" s="65">
        <f>$C$178*G187</f>
        <v>336420.60888000001</v>
      </c>
      <c r="D187" s="66">
        <f>+G187*D178</f>
        <v>27092.400000000001</v>
      </c>
      <c r="E187" s="66">
        <f>+G187*E178</f>
        <v>36487</v>
      </c>
      <c r="F187" s="80">
        <f>SUM(C187:E187)</f>
        <v>400000.00888000004</v>
      </c>
      <c r="G187" s="87">
        <v>0.2</v>
      </c>
      <c r="Q187" s="208"/>
      <c r="R187" s="208"/>
      <c r="S187" s="208"/>
      <c r="T187" s="208"/>
    </row>
    <row r="188" spans="2:22" ht="29.25" customHeight="1" thickBot="1">
      <c r="B188" s="4" t="s">
        <v>248</v>
      </c>
      <c r="C188" s="67">
        <f>SUM(C185:C187)</f>
        <v>1682103.0444</v>
      </c>
      <c r="D188" s="67">
        <f>SUM(D185:D187)</f>
        <v>135462</v>
      </c>
      <c r="E188" s="67">
        <f>SUM(E185:E187)</f>
        <v>182435</v>
      </c>
      <c r="F188" s="67">
        <f>SUM(F185:F187)</f>
        <v>2000000.0444</v>
      </c>
      <c r="G188" s="68">
        <f>SUM(G185:G187)</f>
        <v>1</v>
      </c>
      <c r="J188" s="356" t="s">
        <v>249</v>
      </c>
      <c r="K188" s="357"/>
      <c r="L188" s="357"/>
      <c r="M188" s="357"/>
      <c r="N188" s="357"/>
      <c r="O188" s="358"/>
      <c r="Q188" s="208"/>
      <c r="R188" s="208"/>
      <c r="S188" s="208"/>
      <c r="T188" s="208"/>
    </row>
    <row r="189" spans="2:22" ht="33.75" customHeight="1">
      <c r="J189" s="63"/>
      <c r="K189" s="243" t="s">
        <v>13</v>
      </c>
      <c r="L189" s="187" t="s">
        <v>14</v>
      </c>
      <c r="M189" s="187" t="s">
        <v>15</v>
      </c>
      <c r="N189" s="104" t="s">
        <v>9</v>
      </c>
      <c r="O189" s="193" t="s">
        <v>243</v>
      </c>
    </row>
    <row r="190" spans="2:22" ht="15.75">
      <c r="J190" s="63"/>
      <c r="K190" s="244"/>
      <c r="L190" s="188"/>
      <c r="M190" s="188"/>
      <c r="N190" s="189"/>
      <c r="O190" s="194"/>
    </row>
    <row r="191" spans="2:22" ht="42.75" customHeight="1" thickBot="1">
      <c r="C191" s="359" t="s">
        <v>250</v>
      </c>
      <c r="D191" s="359"/>
      <c r="J191" s="79" t="s">
        <v>251</v>
      </c>
      <c r="K191" s="238">
        <f>$K$184*O191</f>
        <v>930258</v>
      </c>
      <c r="L191" s="66">
        <f>$L$184*O191</f>
        <v>158574</v>
      </c>
      <c r="M191" s="66">
        <f>$M$184*O191</f>
        <v>417300</v>
      </c>
      <c r="N191" s="66">
        <f>SUM(K191:M191)</f>
        <v>1506132</v>
      </c>
      <c r="O191" s="85">
        <v>0.6</v>
      </c>
    </row>
    <row r="192" spans="2:22" ht="30" customHeight="1">
      <c r="C192" s="69" t="s">
        <v>252</v>
      </c>
      <c r="D192" s="70">
        <f>SUM(H168,H109,H99,H93,H74,H66,H56,H34,H24,H15)*1.07</f>
        <v>426790.8636199999</v>
      </c>
      <c r="J192" s="79" t="s">
        <v>253</v>
      </c>
      <c r="K192" s="238">
        <f>$K$184*O192</f>
        <v>620172</v>
      </c>
      <c r="L192" s="66">
        <f>$L$184*O192</f>
        <v>105716</v>
      </c>
      <c r="M192" s="66">
        <f>$M$184*O192</f>
        <v>278200</v>
      </c>
      <c r="N192" s="80">
        <f>SUM(K192:M192)</f>
        <v>1004088</v>
      </c>
      <c r="O192" s="86">
        <v>0.4</v>
      </c>
      <c r="R192" s="224"/>
    </row>
    <row r="193" spans="3:18" ht="15.75">
      <c r="C193" s="71" t="s">
        <v>254</v>
      </c>
      <c r="D193" s="100">
        <f>D192/F178</f>
        <v>0.21339542707262146</v>
      </c>
      <c r="J193" s="79" t="s">
        <v>255</v>
      </c>
      <c r="K193" s="238">
        <f>$D$94*O193</f>
        <v>0</v>
      </c>
      <c r="L193" s="66">
        <f>$E$94*O193</f>
        <v>0</v>
      </c>
      <c r="M193" s="66">
        <f>$H$94*O193</f>
        <v>0</v>
      </c>
      <c r="N193" s="80">
        <f>SUM(K193:M193)</f>
        <v>0</v>
      </c>
      <c r="O193" s="87">
        <v>0</v>
      </c>
    </row>
    <row r="194" spans="3:18" ht="32.450000000000003" customHeight="1" thickBot="1">
      <c r="C194" s="347"/>
      <c r="D194" s="348"/>
      <c r="J194" s="4" t="s">
        <v>248</v>
      </c>
      <c r="K194" s="242">
        <f>SUM(K191:K193)</f>
        <v>1550430</v>
      </c>
      <c r="L194" s="67">
        <f>SUM(L191:L193)</f>
        <v>264290</v>
      </c>
      <c r="M194" s="67">
        <f>SUM(M191:M193)</f>
        <v>695500</v>
      </c>
      <c r="N194" s="67">
        <f>SUM(N191:N193)</f>
        <v>2510220</v>
      </c>
      <c r="O194" s="68">
        <f>SUM(O191:O193)</f>
        <v>1</v>
      </c>
      <c r="R194" s="224"/>
    </row>
    <row r="195" spans="3:18" ht="30" customHeight="1">
      <c r="C195" s="71" t="s">
        <v>256</v>
      </c>
      <c r="D195" s="72">
        <f>SUM(D166:F167)*1.07</f>
        <v>118770</v>
      </c>
      <c r="J195" s="228"/>
      <c r="K195" s="229"/>
      <c r="L195" s="229"/>
      <c r="M195" s="225"/>
      <c r="N195" s="225"/>
      <c r="R195" s="225"/>
    </row>
    <row r="196" spans="3:18" ht="33.75" customHeight="1">
      <c r="C196" s="71" t="s">
        <v>257</v>
      </c>
      <c r="D196" s="100">
        <f>D195/F178</f>
        <v>5.9384998681653027E-2</v>
      </c>
    </row>
    <row r="197" spans="3:18" ht="47.1" customHeight="1" thickBot="1">
      <c r="C197" s="349" t="s">
        <v>258</v>
      </c>
      <c r="D197" s="350"/>
      <c r="J197" s="179" t="s">
        <v>259</v>
      </c>
      <c r="K197" s="179"/>
      <c r="M197" s="179" t="s">
        <v>260</v>
      </c>
      <c r="N197" s="179"/>
      <c r="O197" s="179"/>
    </row>
    <row r="198" spans="3:18" ht="45">
      <c r="J198" s="69" t="s">
        <v>252</v>
      </c>
      <c r="K198" s="245">
        <f ca="1">SUM(O15,O24,O34,O56,O66,O74,O93,O99,O109,O168)*1.07</f>
        <v>801863.92398344539</v>
      </c>
      <c r="M198" s="69" t="s">
        <v>261</v>
      </c>
      <c r="N198" s="144"/>
      <c r="O198" s="70">
        <f ca="1">SUM(+D192+K198)</f>
        <v>1228654.7876034454</v>
      </c>
      <c r="Q198" s="220"/>
    </row>
    <row r="199" spans="3:18" ht="15.75">
      <c r="J199" s="71" t="s">
        <v>254</v>
      </c>
      <c r="K199" s="246">
        <f ca="1">K198/N184</f>
        <v>0.31943970009937195</v>
      </c>
      <c r="M199" s="71" t="s">
        <v>254</v>
      </c>
      <c r="N199" s="145"/>
      <c r="O199" s="250">
        <f ca="1">O198/P184</f>
        <v>0.29826657164328224</v>
      </c>
    </row>
    <row r="200" spans="3:18">
      <c r="J200" s="183"/>
      <c r="K200" s="247"/>
      <c r="M200" s="183"/>
      <c r="N200" s="146"/>
      <c r="O200" s="184"/>
    </row>
    <row r="201" spans="3:18" ht="45">
      <c r="J201" s="71" t="s">
        <v>256</v>
      </c>
      <c r="K201" s="248">
        <f>SUM(K166:M167)*1.07</f>
        <v>153010</v>
      </c>
      <c r="M201" s="71" t="s">
        <v>262</v>
      </c>
      <c r="N201" s="145"/>
      <c r="O201" s="72">
        <f>SUM(+D195+K201)</f>
        <v>271780</v>
      </c>
    </row>
    <row r="202" spans="3:18" ht="15.75">
      <c r="J202" s="71" t="s">
        <v>257</v>
      </c>
      <c r="K202" s="246">
        <f>K201/N184</f>
        <v>6.0954816709292411E-2</v>
      </c>
      <c r="M202" s="71" t="s">
        <v>257</v>
      </c>
      <c r="N202" s="145"/>
      <c r="O202" s="100">
        <f>O201/P184</f>
        <v>6.0258700756174573E-2</v>
      </c>
    </row>
    <row r="203" spans="3:18" ht="158.25" customHeight="1" thickBot="1">
      <c r="J203" s="185" t="s">
        <v>258</v>
      </c>
      <c r="K203" s="249"/>
      <c r="M203" s="185" t="s">
        <v>263</v>
      </c>
      <c r="N203" s="147"/>
      <c r="O203" s="186"/>
    </row>
  </sheetData>
  <sheetProtection formatCells="0" formatColumns="0" formatRows="0"/>
  <mergeCells count="33">
    <mergeCell ref="C25:U25"/>
    <mergeCell ref="B1:L1"/>
    <mergeCell ref="B3:L3"/>
    <mergeCell ref="C7:U7"/>
    <mergeCell ref="C16:U16"/>
    <mergeCell ref="B2:M2"/>
    <mergeCell ref="C194:D194"/>
    <mergeCell ref="C197:D197"/>
    <mergeCell ref="D183:D184"/>
    <mergeCell ref="E183:E184"/>
    <mergeCell ref="C122:U122"/>
    <mergeCell ref="C132:U132"/>
    <mergeCell ref="C142:U142"/>
    <mergeCell ref="C152:U152"/>
    <mergeCell ref="C174:C175"/>
    <mergeCell ref="D174:D175"/>
    <mergeCell ref="E174:E175"/>
    <mergeCell ref="C183:C184"/>
    <mergeCell ref="J179:J181"/>
    <mergeCell ref="J188:O188"/>
    <mergeCell ref="C191:D191"/>
    <mergeCell ref="C121:U121"/>
    <mergeCell ref="C35:U35"/>
    <mergeCell ref="C46:U46"/>
    <mergeCell ref="C47:U47"/>
    <mergeCell ref="C57:U57"/>
    <mergeCell ref="C67:U67"/>
    <mergeCell ref="C75:U75"/>
    <mergeCell ref="C86:U86"/>
    <mergeCell ref="C87:U87"/>
    <mergeCell ref="C94:U94"/>
    <mergeCell ref="C100:U100"/>
    <mergeCell ref="C110:U110"/>
  </mergeCells>
  <conditionalFormatting sqref="D193">
    <cfRule type="cellIs" dxfId="23" priority="8" operator="lessThan">
      <formula>0.15</formula>
    </cfRule>
  </conditionalFormatting>
  <conditionalFormatting sqref="D196">
    <cfRule type="cellIs" dxfId="22" priority="7" operator="lessThan">
      <formula>0.05</formula>
    </cfRule>
  </conditionalFormatting>
  <conditionalFormatting sqref="G188">
    <cfRule type="cellIs" dxfId="21" priority="9" operator="greaterThan">
      <formula>1</formula>
    </cfRule>
  </conditionalFormatting>
  <conditionalFormatting sqref="K199">
    <cfRule type="cellIs" dxfId="20" priority="5" operator="lessThan">
      <formula>0.15</formula>
    </cfRule>
  </conditionalFormatting>
  <conditionalFormatting sqref="K202">
    <cfRule type="cellIs" dxfId="19" priority="4" operator="lessThan">
      <formula>0.05</formula>
    </cfRule>
  </conditionalFormatting>
  <conditionalFormatting sqref="O194">
    <cfRule type="cellIs" dxfId="18" priority="6" operator="greaterThan">
      <formula>1</formula>
    </cfRule>
  </conditionalFormatting>
  <conditionalFormatting sqref="O199">
    <cfRule type="cellIs" dxfId="17" priority="1" operator="lessThan">
      <formula>0.15</formula>
    </cfRule>
  </conditionalFormatting>
  <conditionalFormatting sqref="O202">
    <cfRule type="cellIs" dxfId="16" priority="2" operator="lessThan">
      <formula>0.05</formula>
    </cfRule>
  </conditionalFormatting>
  <dataValidations count="6">
    <dataValidation allowBlank="1" showInputMessage="1" showErrorMessage="1" prompt="Insert *text* description of Output here" sqref="C16 C25 C35 C47 C57 C67 C75 C87 C94 C100 C110 C122 C132 C142 C152 C7" xr:uid="{005BE0CE-BBC6-433A-86FE-16E98552B069}"/>
    <dataValidation allowBlank="1" showInputMessage="1" showErrorMessage="1" prompt="Insert *text* description of Activity here" sqref="C17 C26 C36 C48 C58 C68 C76 C88 C95 C101 C111 C123 C133 C143 C153 C8" xr:uid="{3E81B8B2-2450-4DBA-9CEB-4D375150F727}"/>
    <dataValidation allowBlank="1" showErrorMessage="1" prompt="% Towards Gender Equality and Women's Empowerment Must be Higher than 15%_x000a_" sqref="D195 K201 O201" xr:uid="{1D017A25-A6CD-4CBE-848A-D39EB1CBAB49}"/>
    <dataValidation allowBlank="1" showInputMessage="1" showErrorMessage="1" prompt="M&amp;E Budget Cannot be Less than 5%_x000a_" sqref="D196 K202 O202" xr:uid="{E00EB48A-7563-4FFE-9C5A-BC622A7C3008}"/>
    <dataValidation allowBlank="1" showInputMessage="1" showErrorMessage="1" prompt="% Towards Gender Equality and Women's Empowerment Must be Higher than 15%_x000a_" sqref="D193 K199 O199" xr:uid="{3D09043F-3A97-40B8-B307-7DEC2108E485}"/>
    <dataValidation allowBlank="1" showInputMessage="1" showErrorMessage="1" prompt="Insert *text* description of Outcome here" sqref="C121:U121 C86:U86 C46:U46 C6:U6" xr:uid="{4007B71E-8B96-4B94-BE9E-7AD894FAB942}"/>
  </dataValidations>
  <pageMargins left="0.7" right="0.7" top="0.75" bottom="0.75" header="0.3" footer="0.3"/>
  <pageSetup scale="74" orientation="landscape" r:id="rId1"/>
  <rowBreaks count="1" manualBreakCount="1">
    <brk id="57"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rgb="FFFFC000"/>
  </sheetPr>
  <dimension ref="B1:O168"/>
  <sheetViews>
    <sheetView showGridLines="0" showZeros="0" zoomScale="80" zoomScaleNormal="80" workbookViewId="0">
      <pane ySplit="5" topLeftCell="A125" activePane="bottomLeft" state="frozen"/>
      <selection pane="bottomLeft" activeCell="H131" sqref="H131"/>
    </sheetView>
  </sheetViews>
  <sheetFormatPr defaultColWidth="9.140625" defaultRowHeight="15.75"/>
  <cols>
    <col min="1" max="1" width="4.42578125" style="25" customWidth="1"/>
    <col min="2" max="2" width="3.140625" style="25" customWidth="1"/>
    <col min="3" max="3" width="51.42578125" style="25" customWidth="1"/>
    <col min="4" max="4" width="34.140625" style="26" customWidth="1"/>
    <col min="5" max="6" width="35" style="26" customWidth="1"/>
    <col min="7" max="7" width="36.42578125" style="26" customWidth="1"/>
    <col min="8" max="8" width="25.85546875" style="25" customWidth="1"/>
    <col min="9" max="9" width="21.42578125" style="25" customWidth="1"/>
    <col min="10" max="10" width="16.85546875" style="114" customWidth="1"/>
    <col min="11" max="11" width="19.42578125" style="25" customWidth="1"/>
    <col min="12" max="12" width="19" style="25" customWidth="1"/>
    <col min="13" max="13" width="26" style="25" customWidth="1"/>
    <col min="14" max="14" width="21.140625" style="25" customWidth="1"/>
    <col min="15" max="15" width="7" style="25" customWidth="1"/>
    <col min="16" max="16" width="24.140625" style="25" customWidth="1"/>
    <col min="17" max="17" width="26.42578125" style="25" customWidth="1"/>
    <col min="18" max="18" width="30.140625" style="25" customWidth="1"/>
    <col min="19" max="19" width="33" style="25" customWidth="1"/>
    <col min="20" max="21" width="22.85546875" style="25" customWidth="1"/>
    <col min="22" max="22" width="23.42578125" style="25" customWidth="1"/>
    <col min="23" max="23" width="32.140625" style="25" customWidth="1"/>
    <col min="24" max="24" width="9.140625" style="25"/>
    <col min="25" max="25" width="17.85546875" style="25" customWidth="1"/>
    <col min="26" max="26" width="26.42578125" style="25" customWidth="1"/>
    <col min="27" max="27" width="22.42578125" style="25" customWidth="1"/>
    <col min="28" max="28" width="29.85546875" style="25" customWidth="1"/>
    <col min="29" max="29" width="23.42578125" style="25" customWidth="1"/>
    <col min="30" max="30" width="18.42578125" style="25" customWidth="1"/>
    <col min="31" max="31" width="17.42578125" style="25" customWidth="1"/>
    <col min="32" max="32" width="25.140625" style="25" customWidth="1"/>
    <col min="33" max="16384" width="9.140625" style="25"/>
  </cols>
  <sheetData>
    <row r="1" spans="2:14" ht="31.5" customHeight="1">
      <c r="B1" s="298"/>
      <c r="C1" s="335" t="s">
        <v>0</v>
      </c>
      <c r="D1" s="335"/>
      <c r="E1" s="335"/>
      <c r="F1" s="335"/>
      <c r="G1" s="335"/>
      <c r="H1" s="14"/>
      <c r="I1" s="15"/>
      <c r="J1" s="119"/>
      <c r="K1" s="298"/>
      <c r="L1" s="298"/>
      <c r="M1" s="9"/>
      <c r="N1" s="2"/>
    </row>
    <row r="2" spans="2:14" ht="31.5" customHeight="1">
      <c r="B2" s="298"/>
      <c r="C2" s="364" t="s">
        <v>2</v>
      </c>
      <c r="D2" s="364"/>
      <c r="E2" s="364"/>
      <c r="F2" s="364"/>
      <c r="G2" s="364"/>
      <c r="H2" s="364"/>
      <c r="I2" s="364"/>
      <c r="J2" s="119"/>
      <c r="K2" s="298"/>
      <c r="L2" s="298"/>
      <c r="M2" s="9"/>
      <c r="N2" s="2"/>
    </row>
    <row r="3" spans="2:14" ht="39" customHeight="1">
      <c r="B3" s="298"/>
      <c r="C3" s="360" t="s">
        <v>264</v>
      </c>
      <c r="D3" s="360"/>
      <c r="E3" s="360"/>
      <c r="F3" s="215"/>
      <c r="G3" s="108"/>
      <c r="H3" s="298"/>
      <c r="I3" s="298"/>
      <c r="J3" s="299"/>
      <c r="K3" s="298"/>
      <c r="L3" s="298"/>
      <c r="M3" s="9"/>
      <c r="N3" s="2"/>
    </row>
    <row r="4" spans="2:14" ht="24" customHeight="1">
      <c r="B4" s="298"/>
      <c r="C4" s="20"/>
      <c r="D4" s="20"/>
      <c r="E4" s="20"/>
      <c r="F4" s="20"/>
      <c r="G4" s="20"/>
      <c r="H4" s="298"/>
      <c r="I4" s="298"/>
      <c r="J4" s="299"/>
      <c r="K4" s="298"/>
      <c r="L4" s="298"/>
      <c r="M4" s="9"/>
      <c r="N4" s="2"/>
    </row>
    <row r="5" spans="2:14" ht="35.25" customHeight="1">
      <c r="B5" s="298"/>
      <c r="C5" s="20"/>
      <c r="D5" s="105" t="str">
        <f>+'1c) Combined by budget activity'!D5</f>
        <v xml:space="preserve">
UNDP</v>
      </c>
      <c r="E5" s="105" t="str">
        <f>+'1c) Combined by budget activity'!E5</f>
        <v xml:space="preserve">
UNFPA</v>
      </c>
      <c r="F5" s="105" t="str">
        <f>+'1c) Combined by budget activity'!F5</f>
        <v xml:space="preserve">
WFP</v>
      </c>
      <c r="G5" s="105" t="str">
        <f>+'1c) Combined by budget activity'!M5</f>
        <v>UNESCO</v>
      </c>
      <c r="H5" s="104" t="s">
        <v>9</v>
      </c>
      <c r="I5" s="298"/>
      <c r="J5" s="299"/>
      <c r="K5" s="298"/>
      <c r="L5" s="298"/>
      <c r="M5" s="9"/>
      <c r="N5" s="2"/>
    </row>
    <row r="6" spans="2:14" ht="24" customHeight="1">
      <c r="B6" s="367" t="s">
        <v>265</v>
      </c>
      <c r="C6" s="368"/>
      <c r="D6" s="368"/>
      <c r="E6" s="368"/>
      <c r="F6" s="368"/>
      <c r="G6" s="368"/>
      <c r="H6" s="369"/>
      <c r="I6" s="298"/>
      <c r="J6" s="299"/>
      <c r="K6" s="298"/>
      <c r="L6" s="298"/>
      <c r="M6" s="9"/>
      <c r="N6" s="2"/>
    </row>
    <row r="7" spans="2:14" ht="22.5" customHeight="1">
      <c r="B7" s="298"/>
      <c r="C7" s="367" t="s">
        <v>266</v>
      </c>
      <c r="D7" s="368"/>
      <c r="E7" s="368"/>
      <c r="F7" s="368"/>
      <c r="G7" s="368"/>
      <c r="H7" s="369"/>
      <c r="I7" s="298"/>
      <c r="J7" s="299"/>
      <c r="K7" s="298"/>
      <c r="L7" s="298"/>
      <c r="M7" s="9"/>
      <c r="N7" s="2"/>
    </row>
    <row r="8" spans="2:14" ht="24.75" customHeight="1" thickBot="1">
      <c r="B8" s="298"/>
      <c r="C8" s="33" t="s">
        <v>267</v>
      </c>
      <c r="D8" s="34">
        <f>+'1c) Combined by budget activity'!D15+'1c) Combined by budget activity'!K15</f>
        <v>295000</v>
      </c>
      <c r="E8" s="34">
        <f>+'1c) Combined by budget activity'!E15+'1c) Combined by budget activity'!L15</f>
        <v>105000</v>
      </c>
      <c r="F8" s="34">
        <f>+'1c) Combined by budget activity'!F15</f>
        <v>0</v>
      </c>
      <c r="G8" s="34">
        <f>+'1c) Combined by budget activity'!M15</f>
        <v>0</v>
      </c>
      <c r="H8" s="35">
        <f>SUM(D8:G8)</f>
        <v>400000</v>
      </c>
      <c r="I8" s="298"/>
      <c r="J8" s="299"/>
      <c r="K8" s="298"/>
      <c r="L8" s="298"/>
      <c r="M8" s="9"/>
      <c r="N8" s="2"/>
    </row>
    <row r="9" spans="2:14" ht="21.75" customHeight="1">
      <c r="B9" s="298"/>
      <c r="C9" s="31" t="s">
        <v>268</v>
      </c>
      <c r="D9" s="216"/>
      <c r="E9" s="254"/>
      <c r="F9" s="300"/>
      <c r="G9" s="300"/>
      <c r="H9" s="32">
        <f t="shared" ref="H9:H16" si="0">SUM(D9:G9)</f>
        <v>0</v>
      </c>
      <c r="I9" s="298"/>
      <c r="J9" s="299"/>
      <c r="K9" s="298"/>
      <c r="L9" s="298"/>
      <c r="M9" s="298"/>
      <c r="N9" s="298"/>
    </row>
    <row r="10" spans="2:14">
      <c r="B10" s="298"/>
      <c r="C10" s="23" t="s">
        <v>269</v>
      </c>
      <c r="D10" s="217">
        <f>11147.17+35170.55+55679.05</f>
        <v>101996.77</v>
      </c>
      <c r="E10" s="255"/>
      <c r="F10" s="271"/>
      <c r="G10" s="271"/>
      <c r="H10" s="30">
        <f t="shared" si="0"/>
        <v>101996.77</v>
      </c>
      <c r="I10" s="301"/>
      <c r="J10" s="299"/>
      <c r="K10" s="298"/>
      <c r="L10" s="298"/>
      <c r="M10" s="298"/>
      <c r="N10" s="298"/>
    </row>
    <row r="11" spans="2:14" ht="15.75" customHeight="1">
      <c r="B11" s="298"/>
      <c r="C11" s="23" t="s">
        <v>270</v>
      </c>
      <c r="D11" s="302">
        <v>3951.12</v>
      </c>
      <c r="E11" s="256"/>
      <c r="F11" s="303"/>
      <c r="G11" s="303"/>
      <c r="H11" s="30">
        <f t="shared" si="0"/>
        <v>3951.12</v>
      </c>
      <c r="I11" s="301"/>
      <c r="J11" s="299"/>
      <c r="K11" s="298"/>
      <c r="L11" s="298"/>
      <c r="M11" s="298"/>
      <c r="N11" s="298"/>
    </row>
    <row r="12" spans="2:14">
      <c r="B12" s="298"/>
      <c r="C12" s="24" t="s">
        <v>271</v>
      </c>
      <c r="D12" s="303">
        <f>50850.88+14400.57+7870.89</f>
        <v>73122.34</v>
      </c>
      <c r="E12" s="256">
        <f>15000+18237.54</f>
        <v>33237.54</v>
      </c>
      <c r="F12" s="303"/>
      <c r="G12" s="303"/>
      <c r="H12" s="30">
        <f t="shared" si="0"/>
        <v>106359.88</v>
      </c>
      <c r="I12" s="298"/>
      <c r="J12" s="299"/>
      <c r="K12" s="298"/>
      <c r="L12" s="298"/>
      <c r="M12" s="298"/>
      <c r="N12" s="298"/>
    </row>
    <row r="13" spans="2:14">
      <c r="B13" s="298"/>
      <c r="C13" s="23" t="s">
        <v>272</v>
      </c>
      <c r="D13" s="303">
        <f>609.12+25894.53+1356.85</f>
        <v>27860.499999999996</v>
      </c>
      <c r="E13" s="256"/>
      <c r="F13" s="303"/>
      <c r="G13" s="303"/>
      <c r="H13" s="30">
        <f t="shared" si="0"/>
        <v>27860.499999999996</v>
      </c>
      <c r="I13" s="298"/>
      <c r="J13" s="299"/>
      <c r="K13" s="298"/>
      <c r="L13" s="298"/>
      <c r="M13" s="298"/>
      <c r="N13" s="298"/>
    </row>
    <row r="14" spans="2:14" ht="21.75" customHeight="1">
      <c r="B14" s="298"/>
      <c r="C14" s="23" t="s">
        <v>273</v>
      </c>
      <c r="D14" s="303">
        <v>103546.83749999999</v>
      </c>
      <c r="E14" s="256">
        <v>60000</v>
      </c>
      <c r="F14" s="303"/>
      <c r="G14" s="303"/>
      <c r="H14" s="30">
        <f t="shared" si="0"/>
        <v>163546.83749999999</v>
      </c>
      <c r="I14" s="301"/>
      <c r="J14" s="299"/>
      <c r="K14" s="298"/>
      <c r="L14" s="298"/>
      <c r="M14" s="298"/>
      <c r="N14" s="298"/>
    </row>
    <row r="15" spans="2:14" ht="21.75" customHeight="1">
      <c r="B15" s="298"/>
      <c r="C15" s="23" t="s">
        <v>274</v>
      </c>
      <c r="D15" s="217">
        <v>39921.199999999997</v>
      </c>
      <c r="E15" s="256"/>
      <c r="F15" s="303"/>
      <c r="G15" s="303"/>
      <c r="H15" s="30">
        <f t="shared" si="0"/>
        <v>39921.199999999997</v>
      </c>
      <c r="I15" s="299"/>
      <c r="J15" s="299"/>
      <c r="K15" s="298"/>
      <c r="L15" s="298"/>
      <c r="M15" s="298"/>
      <c r="N15" s="298"/>
    </row>
    <row r="16" spans="2:14" ht="15.75" customHeight="1">
      <c r="B16" s="298"/>
      <c r="C16" s="27" t="s">
        <v>275</v>
      </c>
      <c r="D16" s="36">
        <f>SUM(D9:D15)</f>
        <v>350398.76750000002</v>
      </c>
      <c r="E16" s="36">
        <f>SUM(E9:E15)</f>
        <v>93237.540000000008</v>
      </c>
      <c r="F16" s="36"/>
      <c r="G16" s="36">
        <f>SUM(G9:G15)</f>
        <v>0</v>
      </c>
      <c r="H16" s="30">
        <f t="shared" si="0"/>
        <v>443636.3075</v>
      </c>
      <c r="I16" s="301"/>
      <c r="J16" s="299"/>
      <c r="K16" s="301"/>
      <c r="L16" s="298"/>
      <c r="M16" s="298"/>
      <c r="N16" s="298"/>
    </row>
    <row r="17" spans="3:11" s="26" customFormat="1">
      <c r="C17" s="37"/>
      <c r="D17" s="38"/>
      <c r="E17" s="38"/>
      <c r="F17" s="38"/>
      <c r="G17" s="38"/>
      <c r="H17" s="82"/>
      <c r="I17" s="304"/>
      <c r="J17" s="305"/>
      <c r="K17" s="306"/>
    </row>
    <row r="18" spans="3:11">
      <c r="C18" s="367" t="s">
        <v>276</v>
      </c>
      <c r="D18" s="368"/>
      <c r="E18" s="368"/>
      <c r="F18" s="368"/>
      <c r="G18" s="368"/>
      <c r="H18" s="369"/>
      <c r="I18" s="298"/>
      <c r="J18" s="299"/>
      <c r="K18" s="298"/>
    </row>
    <row r="19" spans="3:11" ht="27" customHeight="1" thickBot="1">
      <c r="C19" s="33" t="s">
        <v>267</v>
      </c>
      <c r="D19" s="34">
        <f>+'1c) Combined by budget activity'!D24+'1c) Combined by budget activity'!K24</f>
        <v>268500</v>
      </c>
      <c r="E19" s="34">
        <f>+'1c) Combined by budget activity'!E24+'1c) Combined by budget activity'!L24</f>
        <v>35000</v>
      </c>
      <c r="F19" s="34">
        <f>+'1c) Combined by budget activity'!F24+'1c) Combined by budget activity'!M24</f>
        <v>0</v>
      </c>
      <c r="G19" s="34">
        <f>+'1c) Combined by budget activity'!M24</f>
        <v>0</v>
      </c>
      <c r="H19" s="35">
        <f t="shared" ref="H19:H26" si="1">SUM(D19:G19)</f>
        <v>303500</v>
      </c>
      <c r="I19" s="298"/>
      <c r="J19" s="299"/>
      <c r="K19" s="298"/>
    </row>
    <row r="20" spans="3:11">
      <c r="C20" s="31" t="s">
        <v>268</v>
      </c>
      <c r="D20" s="302"/>
      <c r="E20" s="254"/>
      <c r="F20" s="300"/>
      <c r="G20" s="300"/>
      <c r="H20" s="32">
        <f t="shared" si="1"/>
        <v>0</v>
      </c>
      <c r="I20" s="298"/>
      <c r="J20" s="299"/>
      <c r="K20" s="298"/>
    </row>
    <row r="21" spans="3:11">
      <c r="C21" s="23" t="s">
        <v>269</v>
      </c>
      <c r="D21" s="303">
        <f>4536.42+9290.02+383.68+26.44+4767.13</f>
        <v>19003.690000000002</v>
      </c>
      <c r="E21" s="255"/>
      <c r="F21" s="271"/>
      <c r="G21" s="271"/>
      <c r="H21" s="30">
        <f t="shared" si="1"/>
        <v>19003.690000000002</v>
      </c>
      <c r="I21" s="298"/>
      <c r="J21" s="299"/>
      <c r="K21" s="298"/>
    </row>
    <row r="22" spans="3:11" ht="31.5">
      <c r="C22" s="23" t="s">
        <v>270</v>
      </c>
      <c r="D22" s="303"/>
      <c r="E22" s="256"/>
      <c r="F22" s="303"/>
      <c r="G22" s="303"/>
      <c r="H22" s="30">
        <f t="shared" si="1"/>
        <v>0</v>
      </c>
      <c r="I22" s="298"/>
      <c r="J22" s="299"/>
      <c r="K22" s="298"/>
    </row>
    <row r="23" spans="3:11">
      <c r="C23" s="24" t="s">
        <v>271</v>
      </c>
      <c r="D23" s="303">
        <f>29450.72+10505.2</f>
        <v>39955.919999999998</v>
      </c>
      <c r="E23" s="256">
        <v>10000</v>
      </c>
      <c r="F23" s="303"/>
      <c r="G23" s="303"/>
      <c r="H23" s="30">
        <f t="shared" si="1"/>
        <v>49955.92</v>
      </c>
      <c r="I23" s="298"/>
      <c r="J23" s="299"/>
      <c r="K23" s="298"/>
    </row>
    <row r="24" spans="3:11">
      <c r="C24" s="23" t="s">
        <v>272</v>
      </c>
      <c r="D24" s="303">
        <f>6659.74+178</f>
        <v>6837.74</v>
      </c>
      <c r="E24" s="256"/>
      <c r="F24" s="303"/>
      <c r="G24" s="303"/>
      <c r="H24" s="30">
        <f t="shared" si="1"/>
        <v>6837.74</v>
      </c>
      <c r="I24" s="298"/>
      <c r="J24" s="299"/>
      <c r="K24" s="298"/>
    </row>
    <row r="25" spans="3:11">
      <c r="C25" s="23" t="s">
        <v>273</v>
      </c>
      <c r="D25" s="303">
        <v>185755.53283264401</v>
      </c>
      <c r="E25" s="256">
        <v>15000</v>
      </c>
      <c r="F25" s="303"/>
      <c r="G25" s="303"/>
      <c r="H25" s="30">
        <f t="shared" si="1"/>
        <v>200755.53283264401</v>
      </c>
      <c r="I25" s="301"/>
      <c r="J25" s="299"/>
      <c r="K25" s="298"/>
    </row>
    <row r="26" spans="3:11">
      <c r="C26" s="23" t="s">
        <v>274</v>
      </c>
      <c r="D26" s="303">
        <f>8473.56+4767.13</f>
        <v>13240.689999999999</v>
      </c>
      <c r="E26" s="256"/>
      <c r="F26" s="303"/>
      <c r="G26" s="303"/>
      <c r="H26" s="30">
        <f t="shared" si="1"/>
        <v>13240.689999999999</v>
      </c>
      <c r="I26" s="298"/>
      <c r="J26" s="299"/>
      <c r="K26" s="298"/>
    </row>
    <row r="27" spans="3:11">
      <c r="C27" s="27" t="s">
        <v>275</v>
      </c>
      <c r="D27" s="36">
        <f>SUM(D20:D26)</f>
        <v>264793.57283264399</v>
      </c>
      <c r="E27" s="36">
        <f>SUM(E20:E26)</f>
        <v>25000</v>
      </c>
      <c r="F27" s="36"/>
      <c r="G27" s="36">
        <f>SUM(G20:G26)</f>
        <v>0</v>
      </c>
      <c r="H27" s="30">
        <f>SUM(D27:G27)</f>
        <v>289793.57283264399</v>
      </c>
      <c r="I27" s="301"/>
      <c r="J27" s="299"/>
      <c r="K27" s="301"/>
    </row>
    <row r="28" spans="3:11" s="26" customFormat="1">
      <c r="C28" s="37"/>
      <c r="D28" s="38"/>
      <c r="E28" s="38"/>
      <c r="F28" s="38"/>
      <c r="G28" s="38"/>
      <c r="H28" s="39"/>
      <c r="I28" s="306"/>
      <c r="J28" s="305"/>
      <c r="K28" s="307"/>
    </row>
    <row r="29" spans="3:11">
      <c r="C29" s="367" t="s">
        <v>277</v>
      </c>
      <c r="D29" s="368"/>
      <c r="E29" s="368"/>
      <c r="F29" s="368"/>
      <c r="G29" s="368"/>
      <c r="H29" s="369"/>
      <c r="I29" s="298"/>
      <c r="J29" s="299"/>
      <c r="K29" s="308"/>
    </row>
    <row r="30" spans="3:11" ht="21.75" customHeight="1" thickBot="1">
      <c r="C30" s="33" t="s">
        <v>267</v>
      </c>
      <c r="D30" s="34">
        <f>+'1c) Combined by budget activity'!D34</f>
        <v>0</v>
      </c>
      <c r="E30" s="34">
        <f>+'1c) Combined by budget activity'!E34</f>
        <v>0</v>
      </c>
      <c r="F30" s="34">
        <f>+'1c) Combined by budget activity'!F34</f>
        <v>0</v>
      </c>
      <c r="G30" s="34">
        <f>+'1c) Combined by budget activity'!M34</f>
        <v>0</v>
      </c>
      <c r="H30" s="35">
        <f>SUM(D30:G30)</f>
        <v>0</v>
      </c>
      <c r="I30" s="298"/>
      <c r="J30" s="299"/>
      <c r="K30" s="298"/>
    </row>
    <row r="31" spans="3:11">
      <c r="C31" s="31" t="s">
        <v>268</v>
      </c>
      <c r="D31" s="302"/>
      <c r="E31" s="218"/>
      <c r="F31" s="300"/>
      <c r="G31" s="300"/>
      <c r="H31" s="32">
        <f t="shared" ref="H31:H37" si="2">SUM(D31:G31)</f>
        <v>0</v>
      </c>
      <c r="I31" s="298"/>
      <c r="J31" s="299"/>
      <c r="K31" s="298"/>
    </row>
    <row r="32" spans="3:11" s="26" customFormat="1" ht="15.75" customHeight="1">
      <c r="C32" s="23" t="s">
        <v>269</v>
      </c>
      <c r="D32" s="303"/>
      <c r="E32" s="113"/>
      <c r="F32" s="271"/>
      <c r="G32" s="271"/>
      <c r="H32" s="30">
        <f t="shared" si="2"/>
        <v>0</v>
      </c>
      <c r="I32" s="306"/>
      <c r="J32" s="305"/>
      <c r="K32" s="306"/>
    </row>
    <row r="33" spans="2:14" s="26" customFormat="1" ht="31.5">
      <c r="B33" s="306"/>
      <c r="C33" s="23" t="s">
        <v>270</v>
      </c>
      <c r="D33" s="303"/>
      <c r="E33" s="217"/>
      <c r="F33" s="303"/>
      <c r="G33" s="303"/>
      <c r="H33" s="30">
        <f t="shared" si="2"/>
        <v>0</v>
      </c>
      <c r="I33" s="306"/>
      <c r="J33" s="305"/>
      <c r="K33" s="306"/>
      <c r="L33" s="306"/>
      <c r="M33" s="306"/>
      <c r="N33" s="306"/>
    </row>
    <row r="34" spans="2:14" s="26" customFormat="1">
      <c r="B34" s="306"/>
      <c r="C34" s="24" t="s">
        <v>271</v>
      </c>
      <c r="D34" s="303"/>
      <c r="E34" s="217"/>
      <c r="F34" s="303"/>
      <c r="G34" s="303"/>
      <c r="H34" s="30">
        <f t="shared" si="2"/>
        <v>0</v>
      </c>
      <c r="I34" s="306"/>
      <c r="J34" s="305"/>
      <c r="K34" s="306"/>
      <c r="L34" s="306"/>
      <c r="M34" s="306"/>
      <c r="N34" s="306"/>
    </row>
    <row r="35" spans="2:14">
      <c r="B35" s="298"/>
      <c r="C35" s="23" t="s">
        <v>272</v>
      </c>
      <c r="D35" s="303"/>
      <c r="E35" s="217"/>
      <c r="F35" s="303"/>
      <c r="G35" s="303"/>
      <c r="H35" s="30">
        <f t="shared" si="2"/>
        <v>0</v>
      </c>
      <c r="I35" s="298"/>
      <c r="J35" s="299"/>
      <c r="K35" s="298"/>
      <c r="L35" s="298"/>
      <c r="M35" s="298"/>
      <c r="N35" s="298"/>
    </row>
    <row r="36" spans="2:14">
      <c r="B36" s="298"/>
      <c r="C36" s="23" t="s">
        <v>273</v>
      </c>
      <c r="D36" s="303"/>
      <c r="E36" s="303"/>
      <c r="F36" s="303"/>
      <c r="G36" s="303"/>
      <c r="H36" s="30">
        <f t="shared" si="2"/>
        <v>0</v>
      </c>
      <c r="I36" s="298"/>
      <c r="J36" s="299"/>
      <c r="K36" s="298"/>
      <c r="L36" s="298"/>
      <c r="M36" s="298"/>
      <c r="N36" s="298"/>
    </row>
    <row r="37" spans="2:14">
      <c r="B37" s="298"/>
      <c r="C37" s="23" t="s">
        <v>274</v>
      </c>
      <c r="D37" s="303"/>
      <c r="E37" s="303"/>
      <c r="F37" s="303"/>
      <c r="G37" s="303"/>
      <c r="H37" s="30">
        <f t="shared" si="2"/>
        <v>0</v>
      </c>
      <c r="I37" s="298"/>
      <c r="J37" s="299"/>
      <c r="K37" s="298"/>
      <c r="L37" s="298"/>
      <c r="M37" s="298"/>
      <c r="N37" s="298"/>
    </row>
    <row r="38" spans="2:14">
      <c r="B38" s="298"/>
      <c r="C38" s="27" t="s">
        <v>275</v>
      </c>
      <c r="D38" s="36">
        <f>SUM(D31:D37)</f>
        <v>0</v>
      </c>
      <c r="E38" s="36">
        <f>SUM(E31:E37)</f>
        <v>0</v>
      </c>
      <c r="F38" s="36"/>
      <c r="G38" s="36">
        <f>SUM(G31:G37)</f>
        <v>0</v>
      </c>
      <c r="H38" s="30">
        <f>SUM(D38:G38)</f>
        <v>0</v>
      </c>
      <c r="I38" s="301"/>
      <c r="J38" s="299"/>
      <c r="K38" s="299"/>
      <c r="L38" s="298"/>
      <c r="M38" s="298"/>
      <c r="N38" s="298"/>
    </row>
    <row r="39" spans="2:14" s="26" customFormat="1">
      <c r="B39" s="306"/>
      <c r="C39" s="37"/>
      <c r="D39" s="38"/>
      <c r="E39" s="38"/>
      <c r="F39" s="38"/>
      <c r="G39" s="38"/>
      <c r="H39" s="39"/>
      <c r="I39" s="306"/>
      <c r="J39" s="305"/>
      <c r="K39" s="306"/>
      <c r="L39" s="306"/>
      <c r="M39" s="306"/>
      <c r="N39" s="306"/>
    </row>
    <row r="40" spans="2:14" ht="24" customHeight="1">
      <c r="B40" s="367" t="s">
        <v>278</v>
      </c>
      <c r="C40" s="368"/>
      <c r="D40" s="368"/>
      <c r="E40" s="368"/>
      <c r="F40" s="368"/>
      <c r="G40" s="368"/>
      <c r="H40" s="369"/>
      <c r="I40" s="298"/>
      <c r="J40" s="299"/>
      <c r="K40" s="298"/>
      <c r="L40" s="298"/>
      <c r="M40" s="9"/>
      <c r="N40" s="2"/>
    </row>
    <row r="41" spans="2:14">
      <c r="B41" s="298"/>
      <c r="C41" s="367" t="s">
        <v>279</v>
      </c>
      <c r="D41" s="368"/>
      <c r="E41" s="368"/>
      <c r="F41" s="368"/>
      <c r="G41" s="368"/>
      <c r="H41" s="369"/>
      <c r="I41" s="298"/>
      <c r="J41" s="299"/>
      <c r="K41" s="298"/>
      <c r="L41" s="298"/>
      <c r="M41" s="298"/>
      <c r="N41" s="298"/>
    </row>
    <row r="42" spans="2:14" ht="21.75" customHeight="1" thickBot="1">
      <c r="B42" s="298"/>
      <c r="C42" s="33" t="s">
        <v>267</v>
      </c>
      <c r="D42" s="34">
        <f>+'1c) Combined by budget activity'!D56+'1c) Combined by budget activity'!K56</f>
        <v>492000</v>
      </c>
      <c r="E42" s="34">
        <f>+'1c) Combined by budget activity'!E56+'1c) Combined by budget activity'!L56</f>
        <v>20000</v>
      </c>
      <c r="F42" s="34">
        <f>+'1c) Combined by budget activity'!F56+'1c) Combined by budget activity'!M56</f>
        <v>0</v>
      </c>
      <c r="G42" s="34">
        <f>+'1c) Combined by budget activity'!M56</f>
        <v>0</v>
      </c>
      <c r="H42" s="35">
        <f t="shared" ref="H42:H49" si="3">SUM(D42:G42)</f>
        <v>512000</v>
      </c>
      <c r="I42" s="298"/>
      <c r="J42" s="299"/>
      <c r="K42" s="298"/>
      <c r="L42" s="298"/>
      <c r="M42" s="298"/>
      <c r="N42" s="298"/>
    </row>
    <row r="43" spans="2:14">
      <c r="B43" s="298"/>
      <c r="C43" s="31" t="s">
        <v>268</v>
      </c>
      <c r="D43" s="302"/>
      <c r="E43" s="300"/>
      <c r="F43" s="300"/>
      <c r="G43" s="300"/>
      <c r="H43" s="32">
        <f t="shared" si="3"/>
        <v>0</v>
      </c>
      <c r="I43" s="298"/>
      <c r="J43" s="299"/>
      <c r="K43" s="298"/>
      <c r="L43" s="298"/>
      <c r="M43" s="298"/>
      <c r="N43" s="298"/>
    </row>
    <row r="44" spans="2:14" s="26" customFormat="1" ht="15.75" customHeight="1">
      <c r="B44" s="306"/>
      <c r="C44" s="23" t="s">
        <v>269</v>
      </c>
      <c r="D44" s="303">
        <f>34172.97+9919.7+7241.4+40931.82</f>
        <v>92265.89</v>
      </c>
      <c r="E44" s="271"/>
      <c r="F44" s="271"/>
      <c r="G44" s="271"/>
      <c r="H44" s="30">
        <f t="shared" si="3"/>
        <v>92265.89</v>
      </c>
      <c r="I44" s="306"/>
      <c r="J44" s="305"/>
      <c r="K44" s="306"/>
      <c r="L44" s="306"/>
      <c r="M44" s="306"/>
      <c r="N44" s="306"/>
    </row>
    <row r="45" spans="2:14" s="26" customFormat="1" ht="31.5">
      <c r="B45" s="306"/>
      <c r="C45" s="23" t="s">
        <v>270</v>
      </c>
      <c r="D45" s="303">
        <v>906.41</v>
      </c>
      <c r="E45" s="303"/>
      <c r="F45" s="303"/>
      <c r="G45" s="303"/>
      <c r="H45" s="30">
        <f t="shared" si="3"/>
        <v>906.41</v>
      </c>
      <c r="I45" s="306"/>
      <c r="J45" s="305"/>
      <c r="K45" s="306"/>
      <c r="L45" s="306"/>
      <c r="M45" s="306"/>
      <c r="N45" s="306"/>
    </row>
    <row r="46" spans="2:14" s="26" customFormat="1">
      <c r="B46" s="306"/>
      <c r="C46" s="24" t="s">
        <v>271</v>
      </c>
      <c r="D46" s="303">
        <f>187829.06+11752.07+15732.52</f>
        <v>215313.65</v>
      </c>
      <c r="E46" s="303"/>
      <c r="F46" s="303"/>
      <c r="G46" s="303"/>
      <c r="H46" s="30">
        <f t="shared" si="3"/>
        <v>215313.65</v>
      </c>
      <c r="I46" s="306"/>
      <c r="J46" s="305"/>
      <c r="K46" s="306"/>
      <c r="L46" s="306"/>
      <c r="M46" s="306"/>
      <c r="N46" s="306"/>
    </row>
    <row r="47" spans="2:14">
      <c r="B47" s="298"/>
      <c r="C47" s="23" t="s">
        <v>272</v>
      </c>
      <c r="D47" s="303">
        <f>13167.8+223.61</f>
        <v>13391.41</v>
      </c>
      <c r="E47" s="303"/>
      <c r="F47" s="303"/>
      <c r="G47" s="303"/>
      <c r="H47" s="30">
        <f t="shared" si="3"/>
        <v>13391.41</v>
      </c>
      <c r="I47" s="298"/>
      <c r="J47" s="299"/>
      <c r="K47" s="298"/>
      <c r="L47" s="298"/>
      <c r="M47" s="298"/>
      <c r="N47" s="298"/>
    </row>
    <row r="48" spans="2:14">
      <c r="B48" s="298"/>
      <c r="C48" s="23" t="s">
        <v>273</v>
      </c>
      <c r="D48" s="303">
        <f>137565.21+35600.69+7200.02+4576.88</f>
        <v>184942.8</v>
      </c>
      <c r="E48" s="303">
        <v>5439.2500000000009</v>
      </c>
      <c r="F48" s="303"/>
      <c r="G48" s="303"/>
      <c r="H48" s="30">
        <f t="shared" si="3"/>
        <v>190382.05</v>
      </c>
      <c r="I48" s="298"/>
      <c r="J48" s="299"/>
      <c r="K48" s="298"/>
      <c r="L48" s="298"/>
      <c r="M48" s="298"/>
      <c r="N48" s="298"/>
    </row>
    <row r="49" spans="3:11">
      <c r="C49" s="23" t="s">
        <v>274</v>
      </c>
      <c r="D49" s="303">
        <v>18473.629999999997</v>
      </c>
      <c r="E49" s="303"/>
      <c r="F49" s="303"/>
      <c r="G49" s="303"/>
      <c r="H49" s="30">
        <f t="shared" si="3"/>
        <v>18473.629999999997</v>
      </c>
      <c r="I49" s="298"/>
      <c r="J49" s="299"/>
      <c r="K49" s="298"/>
    </row>
    <row r="50" spans="3:11">
      <c r="C50" s="27" t="s">
        <v>275</v>
      </c>
      <c r="D50" s="36">
        <f>SUM(D43:D49)</f>
        <v>525293.78999999992</v>
      </c>
      <c r="E50" s="36">
        <f>SUM(E43:E49)</f>
        <v>5439.2500000000009</v>
      </c>
      <c r="F50" s="36"/>
      <c r="G50" s="36">
        <f>SUM(G43:G49)</f>
        <v>0</v>
      </c>
      <c r="H50" s="30">
        <f>SUM(D50:G50)</f>
        <v>530733.03999999992</v>
      </c>
      <c r="I50" s="301"/>
      <c r="J50" s="299"/>
      <c r="K50" s="301"/>
    </row>
    <row r="51" spans="3:11" ht="15.75" customHeight="1">
      <c r="C51" s="298"/>
      <c r="D51" s="306"/>
      <c r="E51" s="306"/>
      <c r="F51" s="306"/>
      <c r="G51" s="306"/>
      <c r="H51" s="298"/>
      <c r="I51" s="298"/>
      <c r="J51" s="309"/>
      <c r="K51" s="298"/>
    </row>
    <row r="52" spans="3:11">
      <c r="C52" s="367" t="s">
        <v>98</v>
      </c>
      <c r="D52" s="368"/>
      <c r="E52" s="368"/>
      <c r="F52" s="368"/>
      <c r="G52" s="368"/>
      <c r="H52" s="369"/>
      <c r="I52" s="298"/>
      <c r="J52" s="299"/>
      <c r="K52" s="298"/>
    </row>
    <row r="53" spans="3:11" ht="21.75" customHeight="1" thickBot="1">
      <c r="C53" s="33" t="s">
        <v>267</v>
      </c>
      <c r="D53" s="34">
        <f>+'1c) Combined by budget activity'!D66+'1c) Combined by budget activity'!K66</f>
        <v>342782</v>
      </c>
      <c r="E53" s="34">
        <f>+'1c) Combined by budget activity'!E66+'1c) Combined by budget activity'!L66</f>
        <v>8000</v>
      </c>
      <c r="F53" s="34">
        <f>+'1c) Combined by budget activity'!F66+'1c) Combined by budget activity'!M66</f>
        <v>125000</v>
      </c>
      <c r="G53" s="34">
        <f>+'1c) Combined by budget activity'!M66</f>
        <v>0</v>
      </c>
      <c r="H53" s="35">
        <f>SUM(D53:G53)</f>
        <v>475782</v>
      </c>
      <c r="I53" s="298"/>
      <c r="J53" s="299"/>
      <c r="K53" s="298"/>
    </row>
    <row r="54" spans="3:11">
      <c r="C54" s="31" t="s">
        <v>268</v>
      </c>
      <c r="D54" s="302"/>
      <c r="E54" s="254"/>
      <c r="F54" s="300"/>
      <c r="G54" s="300"/>
      <c r="H54" s="32">
        <f t="shared" ref="H54:H60" si="4">SUM(D54:G54)</f>
        <v>0</v>
      </c>
      <c r="I54" s="298"/>
      <c r="J54" s="299"/>
      <c r="K54" s="298"/>
    </row>
    <row r="55" spans="3:11" s="26" customFormat="1" ht="15.75" customHeight="1">
      <c r="C55" s="23" t="s">
        <v>269</v>
      </c>
      <c r="D55" s="303">
        <f>7345.72+19974.57+11948.76+2711.17+2343.25</f>
        <v>44323.47</v>
      </c>
      <c r="E55" s="255"/>
      <c r="F55" s="271">
        <v>6331.98</v>
      </c>
      <c r="G55" s="271"/>
      <c r="H55" s="30">
        <f t="shared" si="4"/>
        <v>50655.45</v>
      </c>
      <c r="I55" s="306"/>
      <c r="J55" s="305"/>
      <c r="K55" s="306"/>
    </row>
    <row r="56" spans="3:11" s="26" customFormat="1" ht="31.5">
      <c r="C56" s="23" t="s">
        <v>270</v>
      </c>
      <c r="D56" s="303"/>
      <c r="E56" s="256"/>
      <c r="F56" s="303"/>
      <c r="G56" s="303"/>
      <c r="H56" s="30">
        <f t="shared" si="4"/>
        <v>0</v>
      </c>
      <c r="I56" s="306"/>
      <c r="J56" s="305"/>
      <c r="K56" s="306"/>
    </row>
    <row r="57" spans="3:11" s="26" customFormat="1">
      <c r="C57" s="24" t="s">
        <v>271</v>
      </c>
      <c r="D57" s="303">
        <f>80107.65+26755.35+3415.47</f>
        <v>110278.47</v>
      </c>
      <c r="E57" s="256"/>
      <c r="F57" s="303"/>
      <c r="G57" s="303"/>
      <c r="H57" s="30">
        <f t="shared" si="4"/>
        <v>110278.47</v>
      </c>
      <c r="I57" s="306"/>
      <c r="J57" s="305"/>
      <c r="K57" s="306"/>
    </row>
    <row r="58" spans="3:11">
      <c r="C58" s="23" t="s">
        <v>272</v>
      </c>
      <c r="D58" s="303">
        <v>142.75</v>
      </c>
      <c r="E58" s="256"/>
      <c r="F58" s="303"/>
      <c r="G58" s="303"/>
      <c r="H58" s="30">
        <f t="shared" si="4"/>
        <v>142.75</v>
      </c>
      <c r="I58" s="298"/>
      <c r="J58" s="299"/>
      <c r="K58" s="298"/>
    </row>
    <row r="59" spans="3:11">
      <c r="C59" s="23" t="s">
        <v>273</v>
      </c>
      <c r="D59" s="217">
        <v>137952.47999999998</v>
      </c>
      <c r="E59" s="256">
        <v>8000</v>
      </c>
      <c r="F59" s="303">
        <v>101330.23</v>
      </c>
      <c r="G59" s="303"/>
      <c r="H59" s="30">
        <f t="shared" si="4"/>
        <v>247282.70999999996</v>
      </c>
      <c r="I59" s="298"/>
      <c r="J59" s="299"/>
      <c r="K59" s="298"/>
    </row>
    <row r="60" spans="3:11">
      <c r="C60" s="23" t="s">
        <v>274</v>
      </c>
      <c r="D60" s="303">
        <v>30602.17</v>
      </c>
      <c r="E60" s="256"/>
      <c r="F60" s="303">
        <v>17337.79</v>
      </c>
      <c r="G60" s="303"/>
      <c r="H60" s="30">
        <f t="shared" si="4"/>
        <v>47939.96</v>
      </c>
      <c r="I60" s="298"/>
      <c r="J60" s="299"/>
      <c r="K60" s="298"/>
    </row>
    <row r="61" spans="3:11">
      <c r="C61" s="27" t="s">
        <v>275</v>
      </c>
      <c r="D61" s="36">
        <f>SUM(D54:D60)</f>
        <v>323299.33999999997</v>
      </c>
      <c r="E61" s="36">
        <f t="shared" ref="E61:G61" si="5">SUM(E54:E60)</f>
        <v>8000</v>
      </c>
      <c r="F61" s="36">
        <f t="shared" si="5"/>
        <v>125000</v>
      </c>
      <c r="G61" s="36">
        <f t="shared" si="5"/>
        <v>0</v>
      </c>
      <c r="H61" s="30">
        <f>SUM(D61:G61)</f>
        <v>456299.33999999997</v>
      </c>
      <c r="I61" s="301"/>
      <c r="J61" s="299"/>
      <c r="K61" s="299"/>
    </row>
    <row r="62" spans="3:11" ht="15.75" customHeight="1">
      <c r="C62" s="298"/>
      <c r="D62" s="306"/>
      <c r="E62" s="306"/>
      <c r="F62" s="306"/>
      <c r="G62" s="306"/>
      <c r="H62" s="298"/>
      <c r="I62" s="298"/>
      <c r="J62" s="309"/>
      <c r="K62" s="298"/>
    </row>
    <row r="63" spans="3:11">
      <c r="C63" s="367" t="s">
        <v>116</v>
      </c>
      <c r="D63" s="368"/>
      <c r="E63" s="368"/>
      <c r="F63" s="368"/>
      <c r="G63" s="368"/>
      <c r="H63" s="369"/>
      <c r="I63" s="298"/>
      <c r="J63" s="299"/>
      <c r="K63" s="298"/>
    </row>
    <row r="64" spans="3:11" ht="21.75" customHeight="1" thickBot="1">
      <c r="C64" s="33" t="s">
        <v>267</v>
      </c>
      <c r="D64" s="34">
        <f>+'1c) Combined by budget activity'!D74+'1c) Combined by budget activity'!K74</f>
        <v>105000</v>
      </c>
      <c r="E64" s="34">
        <f>+'1c) Combined by budget activity'!E74+'1c) Combined by budget activity'!L74</f>
        <v>0</v>
      </c>
      <c r="F64" s="34">
        <f>+'1c) Combined by budget activity'!F74+'1c) Combined by budget activity'!M74</f>
        <v>0</v>
      </c>
      <c r="G64" s="34">
        <f>+'1c) Combined by budget activity'!M74</f>
        <v>0</v>
      </c>
      <c r="H64" s="35">
        <f>SUM(D64:G64)</f>
        <v>105000</v>
      </c>
      <c r="I64" s="298"/>
      <c r="J64" s="299"/>
      <c r="K64" s="298"/>
    </row>
    <row r="65" spans="2:14">
      <c r="B65" s="298"/>
      <c r="C65" s="31" t="s">
        <v>268</v>
      </c>
      <c r="D65" s="302"/>
      <c r="E65" s="218"/>
      <c r="F65" s="300"/>
      <c r="G65" s="300"/>
      <c r="H65" s="32">
        <f t="shared" ref="H65:H71" si="6">SUM(D65:G65)</f>
        <v>0</v>
      </c>
      <c r="I65" s="298"/>
      <c r="J65" s="299"/>
      <c r="K65" s="298"/>
      <c r="L65" s="298"/>
      <c r="M65" s="298"/>
      <c r="N65" s="298"/>
    </row>
    <row r="66" spans="2:14" s="26" customFormat="1" ht="15.75" customHeight="1">
      <c r="B66" s="306"/>
      <c r="C66" s="23" t="s">
        <v>269</v>
      </c>
      <c r="D66" s="303">
        <v>727.43</v>
      </c>
      <c r="E66" s="113"/>
      <c r="F66" s="271"/>
      <c r="G66" s="271"/>
      <c r="H66" s="30">
        <f t="shared" si="6"/>
        <v>727.43</v>
      </c>
      <c r="I66" s="306"/>
      <c r="J66" s="305"/>
      <c r="K66" s="306"/>
      <c r="L66" s="306"/>
      <c r="M66" s="306"/>
      <c r="N66" s="306"/>
    </row>
    <row r="67" spans="2:14" s="26" customFormat="1" ht="31.5">
      <c r="B67" s="306"/>
      <c r="C67" s="23" t="s">
        <v>270</v>
      </c>
      <c r="D67" s="303"/>
      <c r="E67" s="217"/>
      <c r="F67" s="303"/>
      <c r="G67" s="303"/>
      <c r="H67" s="30">
        <f t="shared" si="6"/>
        <v>0</v>
      </c>
      <c r="I67" s="306"/>
      <c r="J67" s="305"/>
      <c r="K67" s="306"/>
      <c r="L67" s="306"/>
      <c r="M67" s="306"/>
      <c r="N67" s="306"/>
    </row>
    <row r="68" spans="2:14" s="26" customFormat="1">
      <c r="B68" s="306"/>
      <c r="C68" s="24" t="s">
        <v>271</v>
      </c>
      <c r="D68" s="303">
        <v>10546.29</v>
      </c>
      <c r="E68" s="217"/>
      <c r="F68" s="303"/>
      <c r="G68" s="303"/>
      <c r="H68" s="30">
        <f t="shared" si="6"/>
        <v>10546.29</v>
      </c>
      <c r="I68" s="306"/>
      <c r="J68" s="305"/>
      <c r="K68" s="306"/>
      <c r="L68" s="306"/>
      <c r="M68" s="306"/>
      <c r="N68" s="306"/>
    </row>
    <row r="69" spans="2:14">
      <c r="B69" s="298"/>
      <c r="C69" s="23" t="s">
        <v>272</v>
      </c>
      <c r="D69" s="303"/>
      <c r="E69" s="217"/>
      <c r="F69" s="303"/>
      <c r="G69" s="303"/>
      <c r="H69" s="30">
        <f t="shared" si="6"/>
        <v>0</v>
      </c>
      <c r="I69" s="298"/>
      <c r="J69" s="299"/>
      <c r="K69" s="298"/>
      <c r="L69" s="298"/>
      <c r="M69" s="298"/>
      <c r="N69" s="298"/>
    </row>
    <row r="70" spans="2:14">
      <c r="B70" s="298"/>
      <c r="C70" s="23" t="s">
        <v>273</v>
      </c>
      <c r="D70" s="303">
        <f>46186.77</f>
        <v>46186.77</v>
      </c>
      <c r="E70" s="303"/>
      <c r="F70" s="303"/>
      <c r="G70" s="303"/>
      <c r="H70" s="30">
        <f t="shared" si="6"/>
        <v>46186.77</v>
      </c>
      <c r="I70" s="298"/>
      <c r="J70" s="299"/>
      <c r="K70" s="298"/>
      <c r="L70" s="298"/>
      <c r="M70" s="298"/>
      <c r="N70" s="298"/>
    </row>
    <row r="71" spans="2:14">
      <c r="B71" s="298"/>
      <c r="C71" s="23" t="s">
        <v>274</v>
      </c>
      <c r="D71" s="303">
        <v>4221.6500000000015</v>
      </c>
      <c r="E71" s="303"/>
      <c r="F71" s="303"/>
      <c r="G71" s="303"/>
      <c r="H71" s="30">
        <f t="shared" si="6"/>
        <v>4221.6500000000015</v>
      </c>
      <c r="I71" s="298"/>
      <c r="J71" s="299"/>
      <c r="K71" s="298"/>
      <c r="L71" s="298"/>
      <c r="M71" s="298"/>
      <c r="N71" s="298"/>
    </row>
    <row r="72" spans="2:14">
      <c r="B72" s="298"/>
      <c r="C72" s="27" t="s">
        <v>275</v>
      </c>
      <c r="D72" s="36">
        <f>SUM(D65:D71)</f>
        <v>61682.14</v>
      </c>
      <c r="E72" s="36">
        <f>SUM(E65:E71)</f>
        <v>0</v>
      </c>
      <c r="F72" s="36"/>
      <c r="G72" s="36">
        <f>SUM(G65:G71)</f>
        <v>0</v>
      </c>
      <c r="H72" s="30">
        <f>SUM(D72:G72)</f>
        <v>61682.14</v>
      </c>
      <c r="I72" s="301"/>
      <c r="J72" s="299"/>
      <c r="K72" s="301"/>
      <c r="L72" s="298"/>
      <c r="M72" s="298"/>
      <c r="N72" s="298"/>
    </row>
    <row r="73" spans="2:14" ht="15.75" customHeight="1">
      <c r="B73" s="298"/>
      <c r="C73" s="298"/>
      <c r="D73" s="306"/>
      <c r="E73" s="306"/>
      <c r="F73" s="306"/>
      <c r="G73" s="306"/>
      <c r="H73" s="298"/>
      <c r="I73" s="298"/>
      <c r="J73" s="309"/>
      <c r="K73" s="298"/>
      <c r="L73" s="298"/>
      <c r="M73" s="298"/>
      <c r="N73" s="298"/>
    </row>
    <row r="74" spans="2:14" ht="24" customHeight="1">
      <c r="B74" s="367" t="s">
        <v>280</v>
      </c>
      <c r="C74" s="368"/>
      <c r="D74" s="368"/>
      <c r="E74" s="368"/>
      <c r="F74" s="368"/>
      <c r="G74" s="368"/>
      <c r="H74" s="369"/>
      <c r="I74" s="298"/>
      <c r="J74" s="299"/>
      <c r="K74" s="298"/>
      <c r="L74" s="298"/>
      <c r="M74" s="9"/>
      <c r="N74" s="2"/>
    </row>
    <row r="75" spans="2:14">
      <c r="B75" s="298"/>
      <c r="C75" s="367" t="s">
        <v>141</v>
      </c>
      <c r="D75" s="368"/>
      <c r="E75" s="368"/>
      <c r="F75" s="368"/>
      <c r="G75" s="368"/>
      <c r="H75" s="369"/>
      <c r="I75" s="298"/>
      <c r="J75" s="299"/>
      <c r="K75" s="298"/>
      <c r="L75" s="298"/>
      <c r="M75" s="298"/>
      <c r="N75" s="298"/>
    </row>
    <row r="76" spans="2:14" ht="21.75" customHeight="1" thickBot="1">
      <c r="B76" s="298"/>
      <c r="C76" s="33" t="s">
        <v>267</v>
      </c>
      <c r="D76" s="34">
        <f>+'1c) Combined by budget activity'!D93+'1c) Combined by budget activity'!K93</f>
        <v>0</v>
      </c>
      <c r="E76" s="34">
        <f>+'1c) Combined by budget activity'!E93+'1c) Combined by budget activity'!L93</f>
        <v>0</v>
      </c>
      <c r="F76" s="34">
        <f>+'1c) Combined by budget activity'!F93</f>
        <v>0</v>
      </c>
      <c r="G76" s="34">
        <f>+'1c) Combined by budget activity'!M93</f>
        <v>205000</v>
      </c>
      <c r="H76" s="35">
        <f t="shared" ref="H76:H83" si="7">SUM(D76:G76)</f>
        <v>205000</v>
      </c>
      <c r="I76" s="298"/>
      <c r="J76" s="299"/>
      <c r="K76" s="298"/>
      <c r="L76" s="298"/>
      <c r="M76" s="298"/>
      <c r="N76" s="298"/>
    </row>
    <row r="77" spans="2:14">
      <c r="B77" s="298"/>
      <c r="C77" s="31" t="s">
        <v>268</v>
      </c>
      <c r="D77" s="302"/>
      <c r="E77" s="300"/>
      <c r="F77" s="300"/>
      <c r="G77" s="300">
        <v>14861.67</v>
      </c>
      <c r="H77" s="32">
        <f t="shared" si="7"/>
        <v>14861.67</v>
      </c>
      <c r="I77" s="298"/>
      <c r="J77" s="299"/>
      <c r="K77" s="298"/>
      <c r="L77" s="298"/>
      <c r="M77" s="298"/>
      <c r="N77" s="298"/>
    </row>
    <row r="78" spans="2:14" s="26" customFormat="1" ht="15.75" customHeight="1">
      <c r="B78" s="306"/>
      <c r="C78" s="23" t="s">
        <v>269</v>
      </c>
      <c r="D78" s="303"/>
      <c r="E78" s="271"/>
      <c r="F78" s="271"/>
      <c r="G78" s="271"/>
      <c r="H78" s="30">
        <f t="shared" si="7"/>
        <v>0</v>
      </c>
      <c r="I78" s="306"/>
      <c r="J78" s="305"/>
      <c r="K78" s="306"/>
      <c r="L78" s="306"/>
      <c r="M78" s="306"/>
      <c r="N78" s="306"/>
    </row>
    <row r="79" spans="2:14" s="26" customFormat="1" ht="31.5">
      <c r="B79" s="306"/>
      <c r="C79" s="23" t="s">
        <v>270</v>
      </c>
      <c r="D79" s="303"/>
      <c r="E79" s="303"/>
      <c r="F79" s="303"/>
      <c r="G79" s="303"/>
      <c r="H79" s="30">
        <f t="shared" si="7"/>
        <v>0</v>
      </c>
      <c r="I79" s="306"/>
      <c r="J79" s="305"/>
      <c r="K79" s="306"/>
      <c r="L79" s="306"/>
      <c r="M79" s="306"/>
      <c r="N79" s="306"/>
    </row>
    <row r="80" spans="2:14" s="26" customFormat="1">
      <c r="B80" s="306"/>
      <c r="C80" s="24" t="s">
        <v>271</v>
      </c>
      <c r="D80" s="303"/>
      <c r="E80" s="303"/>
      <c r="F80" s="303"/>
      <c r="G80" s="303">
        <v>134712.82999999999</v>
      </c>
      <c r="H80" s="30">
        <f t="shared" si="7"/>
        <v>134712.82999999999</v>
      </c>
      <c r="I80" s="306"/>
      <c r="J80" s="305"/>
      <c r="K80" s="306"/>
      <c r="L80" s="306"/>
      <c r="M80" s="306"/>
      <c r="N80" s="306"/>
    </row>
    <row r="81" spans="3:11">
      <c r="C81" s="23" t="s">
        <v>272</v>
      </c>
      <c r="D81" s="303"/>
      <c r="E81" s="303"/>
      <c r="F81" s="303"/>
      <c r="G81" s="303">
        <v>5000</v>
      </c>
      <c r="H81" s="30">
        <f t="shared" si="7"/>
        <v>5000</v>
      </c>
      <c r="I81" s="298"/>
      <c r="J81" s="299"/>
      <c r="K81" s="298"/>
    </row>
    <row r="82" spans="3:11">
      <c r="C82" s="23" t="s">
        <v>273</v>
      </c>
      <c r="D82" s="303"/>
      <c r="E82" s="303"/>
      <c r="F82" s="303"/>
      <c r="G82" s="303">
        <v>0</v>
      </c>
      <c r="H82" s="30">
        <f t="shared" si="7"/>
        <v>0</v>
      </c>
      <c r="I82" s="298"/>
      <c r="J82" s="299"/>
      <c r="K82" s="298"/>
    </row>
    <row r="83" spans="3:11">
      <c r="C83" s="23" t="s">
        <v>274</v>
      </c>
      <c r="D83" s="303"/>
      <c r="E83" s="303"/>
      <c r="F83" s="303"/>
      <c r="G83" s="303">
        <v>52.5</v>
      </c>
      <c r="H83" s="30">
        <f t="shared" si="7"/>
        <v>52.5</v>
      </c>
      <c r="I83" s="298"/>
      <c r="J83" s="299"/>
      <c r="K83" s="298"/>
    </row>
    <row r="84" spans="3:11">
      <c r="C84" s="27" t="s">
        <v>275</v>
      </c>
      <c r="D84" s="36">
        <f>SUM(D77:D83)</f>
        <v>0</v>
      </c>
      <c r="E84" s="36">
        <f>SUM(E77:E83)</f>
        <v>0</v>
      </c>
      <c r="F84" s="36"/>
      <c r="G84" s="36">
        <f>SUM(G77:G83)</f>
        <v>154627</v>
      </c>
      <c r="H84" s="30">
        <f>SUM(D84:G84)</f>
        <v>154627</v>
      </c>
      <c r="I84" s="301"/>
      <c r="J84" s="299"/>
      <c r="K84" s="301"/>
    </row>
    <row r="85" spans="3:11" ht="15.75" customHeight="1">
      <c r="C85" s="298"/>
      <c r="D85" s="306"/>
      <c r="E85" s="306"/>
      <c r="F85" s="306"/>
      <c r="G85" s="306"/>
      <c r="H85" s="298"/>
      <c r="I85" s="298"/>
      <c r="J85" s="309"/>
      <c r="K85" s="298"/>
    </row>
    <row r="86" spans="3:11">
      <c r="C86" s="367" t="s">
        <v>281</v>
      </c>
      <c r="D86" s="368"/>
      <c r="E86" s="368"/>
      <c r="F86" s="368"/>
      <c r="G86" s="368"/>
      <c r="H86" s="369"/>
      <c r="I86" s="298"/>
      <c r="J86" s="299"/>
      <c r="K86" s="298"/>
    </row>
    <row r="87" spans="3:11" ht="21.75" customHeight="1" thickBot="1">
      <c r="C87" s="33" t="s">
        <v>267</v>
      </c>
      <c r="D87" s="34">
        <f>+'1c) Combined by budget activity'!D99+'1c) Combined by budget activity'!K99</f>
        <v>0</v>
      </c>
      <c r="E87" s="34">
        <f>+'1c) Combined by budget activity'!E99+'1c) Combined by budget activity'!L99</f>
        <v>0</v>
      </c>
      <c r="F87" s="34">
        <f>+'1c) Combined by budget activity'!F99</f>
        <v>0</v>
      </c>
      <c r="G87" s="34">
        <f>+'1c) Combined by budget activity'!M99</f>
        <v>185000</v>
      </c>
      <c r="H87" s="35">
        <f>SUM(D87:G87)</f>
        <v>185000</v>
      </c>
      <c r="I87" s="298"/>
      <c r="J87" s="299"/>
      <c r="K87" s="298"/>
    </row>
    <row r="88" spans="3:11">
      <c r="C88" s="31" t="s">
        <v>268</v>
      </c>
      <c r="D88" s="302"/>
      <c r="E88" s="300"/>
      <c r="F88" s="300"/>
      <c r="G88" s="300">
        <v>5882.43</v>
      </c>
      <c r="H88" s="32">
        <f t="shared" ref="H88:H94" si="8">SUM(D88:G88)</f>
        <v>5882.43</v>
      </c>
      <c r="I88" s="298"/>
      <c r="J88" s="299"/>
      <c r="K88" s="298"/>
    </row>
    <row r="89" spans="3:11" s="26" customFormat="1" ht="15.75" customHeight="1">
      <c r="C89" s="23" t="s">
        <v>269</v>
      </c>
      <c r="D89" s="303"/>
      <c r="E89" s="271"/>
      <c r="F89" s="271"/>
      <c r="G89" s="271">
        <f>24935+5628.72-394.01+27.58-1.93+0.14-0.01</f>
        <v>30195.490000000005</v>
      </c>
      <c r="H89" s="30">
        <f t="shared" si="8"/>
        <v>30195.490000000005</v>
      </c>
      <c r="I89" s="306"/>
      <c r="J89" s="305"/>
      <c r="K89" s="306"/>
    </row>
    <row r="90" spans="3:11" s="26" customFormat="1" ht="31.5">
      <c r="C90" s="23" t="s">
        <v>270</v>
      </c>
      <c r="D90" s="303"/>
      <c r="E90" s="303"/>
      <c r="F90" s="303"/>
      <c r="G90" s="303"/>
      <c r="H90" s="30">
        <f t="shared" si="8"/>
        <v>0</v>
      </c>
      <c r="I90" s="306"/>
      <c r="J90" s="305"/>
      <c r="K90" s="306"/>
    </row>
    <row r="91" spans="3:11" s="26" customFormat="1">
      <c r="C91" s="24" t="s">
        <v>271</v>
      </c>
      <c r="D91" s="303"/>
      <c r="E91" s="303"/>
      <c r="F91" s="303"/>
      <c r="G91" s="303">
        <v>63161.27</v>
      </c>
      <c r="H91" s="30">
        <f t="shared" si="8"/>
        <v>63161.27</v>
      </c>
      <c r="I91" s="306"/>
      <c r="J91" s="305"/>
      <c r="K91" s="306"/>
    </row>
    <row r="92" spans="3:11">
      <c r="C92" s="23" t="s">
        <v>272</v>
      </c>
      <c r="D92" s="303"/>
      <c r="E92" s="303"/>
      <c r="F92" s="303"/>
      <c r="G92" s="303"/>
      <c r="H92" s="30">
        <f t="shared" si="8"/>
        <v>0</v>
      </c>
      <c r="I92" s="298"/>
      <c r="J92" s="299"/>
      <c r="K92" s="298"/>
    </row>
    <row r="93" spans="3:11">
      <c r="C93" s="23" t="s">
        <v>273</v>
      </c>
      <c r="D93" s="303"/>
      <c r="E93" s="303"/>
      <c r="F93" s="303"/>
      <c r="G93" s="303">
        <v>0</v>
      </c>
      <c r="H93" s="30">
        <f t="shared" si="8"/>
        <v>0</v>
      </c>
      <c r="I93" s="298"/>
      <c r="J93" s="299"/>
      <c r="K93" s="298"/>
    </row>
    <row r="94" spans="3:11">
      <c r="C94" s="23" t="s">
        <v>274</v>
      </c>
      <c r="D94" s="303"/>
      <c r="E94" s="303"/>
      <c r="F94" s="303"/>
      <c r="G94" s="303">
        <v>1335.22</v>
      </c>
      <c r="H94" s="30">
        <f t="shared" si="8"/>
        <v>1335.22</v>
      </c>
      <c r="I94" s="298"/>
      <c r="J94" s="299"/>
      <c r="K94" s="298"/>
    </row>
    <row r="95" spans="3:11">
      <c r="C95" s="27" t="s">
        <v>275</v>
      </c>
      <c r="D95" s="36">
        <f>SUM(D88:D94)</f>
        <v>0</v>
      </c>
      <c r="E95" s="36">
        <f>SUM(E88:E94)</f>
        <v>0</v>
      </c>
      <c r="F95" s="36"/>
      <c r="G95" s="36">
        <f>SUM(G88:G94)</f>
        <v>100574.41</v>
      </c>
      <c r="H95" s="30">
        <f>SUM(D95:G95)</f>
        <v>100574.41</v>
      </c>
      <c r="I95" s="301"/>
      <c r="J95" s="299"/>
      <c r="K95" s="301"/>
    </row>
    <row r="96" spans="3:11" ht="15.75" customHeight="1">
      <c r="C96" s="298"/>
      <c r="D96" s="306"/>
      <c r="E96" s="306"/>
      <c r="F96" s="306"/>
      <c r="G96" s="306"/>
      <c r="H96" s="298"/>
      <c r="I96" s="298"/>
      <c r="J96" s="309"/>
      <c r="K96" s="298"/>
    </row>
    <row r="97" spans="3:11">
      <c r="C97" s="367" t="s">
        <v>163</v>
      </c>
      <c r="D97" s="368"/>
      <c r="E97" s="368"/>
      <c r="F97" s="368"/>
      <c r="G97" s="368"/>
      <c r="H97" s="369"/>
      <c r="I97" s="298"/>
      <c r="J97" s="299"/>
      <c r="K97" s="298"/>
    </row>
    <row r="98" spans="3:11" ht="21.75" customHeight="1" thickBot="1">
      <c r="C98" s="33" t="s">
        <v>267</v>
      </c>
      <c r="D98" s="34">
        <f>+'1c) Combined by budget activity'!D109+'1c) Combined by budget activity'!K109</f>
        <v>0</v>
      </c>
      <c r="E98" s="34">
        <f>+'1c) Combined by budget activity'!E109+'1c) Combined by budget activity'!L109</f>
        <v>0</v>
      </c>
      <c r="F98" s="34">
        <f>+'1c) Combined by budget activity'!F109</f>
        <v>0</v>
      </c>
      <c r="G98" s="34">
        <f>+'1c) Combined by budget activity'!M109</f>
        <v>130000</v>
      </c>
      <c r="H98" s="35">
        <f>SUM(D98:G98)</f>
        <v>130000</v>
      </c>
      <c r="I98" s="298"/>
      <c r="J98" s="299"/>
      <c r="K98" s="298"/>
    </row>
    <row r="99" spans="3:11">
      <c r="C99" s="31" t="s">
        <v>268</v>
      </c>
      <c r="D99" s="302"/>
      <c r="E99" s="300"/>
      <c r="F99" s="300"/>
      <c r="G99" s="300"/>
      <c r="H99" s="32">
        <f t="shared" ref="H99:H105" si="9">SUM(D99:G99)</f>
        <v>0</v>
      </c>
      <c r="I99" s="298"/>
      <c r="J99" s="299"/>
      <c r="K99" s="298"/>
    </row>
    <row r="100" spans="3:11" s="26" customFormat="1" ht="15.75" customHeight="1">
      <c r="C100" s="23" t="s">
        <v>269</v>
      </c>
      <c r="D100" s="303"/>
      <c r="E100" s="271"/>
      <c r="F100" s="271"/>
      <c r="G100" s="271"/>
      <c r="H100" s="30">
        <f t="shared" si="9"/>
        <v>0</v>
      </c>
      <c r="I100" s="306"/>
      <c r="J100" s="305"/>
      <c r="K100" s="306"/>
    </row>
    <row r="101" spans="3:11" s="26" customFormat="1" ht="31.5">
      <c r="C101" s="23" t="s">
        <v>270</v>
      </c>
      <c r="D101" s="303"/>
      <c r="E101" s="303"/>
      <c r="F101" s="303"/>
      <c r="G101" s="303">
        <v>1496.65</v>
      </c>
      <c r="H101" s="30">
        <f t="shared" si="9"/>
        <v>1496.65</v>
      </c>
      <c r="I101" s="306"/>
      <c r="J101" s="305"/>
      <c r="K101" s="306"/>
    </row>
    <row r="102" spans="3:11" s="26" customFormat="1">
      <c r="C102" s="24" t="s">
        <v>271</v>
      </c>
      <c r="D102" s="303"/>
      <c r="E102" s="303"/>
      <c r="F102" s="303"/>
      <c r="G102" s="303">
        <v>58922.32</v>
      </c>
      <c r="H102" s="30">
        <f t="shared" si="9"/>
        <v>58922.32</v>
      </c>
      <c r="I102" s="306"/>
      <c r="J102" s="305"/>
      <c r="K102" s="306"/>
    </row>
    <row r="103" spans="3:11">
      <c r="C103" s="23" t="s">
        <v>272</v>
      </c>
      <c r="D103" s="303"/>
      <c r="E103" s="303"/>
      <c r="F103" s="303"/>
      <c r="G103" s="303">
        <v>2791.82</v>
      </c>
      <c r="H103" s="30">
        <f t="shared" si="9"/>
        <v>2791.82</v>
      </c>
      <c r="I103" s="298"/>
      <c r="J103" s="299"/>
      <c r="K103" s="298"/>
    </row>
    <row r="104" spans="3:11">
      <c r="C104" s="23" t="s">
        <v>273</v>
      </c>
      <c r="D104" s="303"/>
      <c r="E104" s="303"/>
      <c r="F104" s="303"/>
      <c r="G104" s="303">
        <v>0</v>
      </c>
      <c r="H104" s="30">
        <f t="shared" si="9"/>
        <v>0</v>
      </c>
      <c r="I104" s="298"/>
      <c r="J104" s="299"/>
      <c r="K104" s="298"/>
    </row>
    <row r="105" spans="3:11">
      <c r="C105" s="23" t="s">
        <v>274</v>
      </c>
      <c r="D105" s="303"/>
      <c r="E105" s="303"/>
      <c r="F105" s="303"/>
      <c r="G105" s="303"/>
      <c r="H105" s="30">
        <f t="shared" si="9"/>
        <v>0</v>
      </c>
      <c r="I105" s="298"/>
      <c r="J105" s="299"/>
      <c r="K105" s="298"/>
    </row>
    <row r="106" spans="3:11">
      <c r="C106" s="27" t="s">
        <v>275</v>
      </c>
      <c r="D106" s="36">
        <f>SUM(D99:D105)</f>
        <v>0</v>
      </c>
      <c r="E106" s="36">
        <f>SUM(E99:E105)</f>
        <v>0</v>
      </c>
      <c r="F106" s="36"/>
      <c r="G106" s="36">
        <f>SUM(G99:G105)</f>
        <v>63210.79</v>
      </c>
      <c r="H106" s="30">
        <f>SUM(D106:G106)</f>
        <v>63210.79</v>
      </c>
      <c r="I106" s="301"/>
      <c r="J106" s="299"/>
      <c r="K106" s="301"/>
    </row>
    <row r="107" spans="3:11" ht="15.75" customHeight="1">
      <c r="C107" s="298"/>
      <c r="D107" s="306"/>
      <c r="E107" s="306"/>
      <c r="F107" s="306"/>
      <c r="G107" s="306"/>
      <c r="H107" s="298"/>
      <c r="I107" s="298"/>
      <c r="J107" s="309"/>
      <c r="K107" s="298"/>
    </row>
    <row r="108" spans="3:11" ht="15.75" customHeight="1">
      <c r="C108" s="367" t="s">
        <v>282</v>
      </c>
      <c r="D108" s="368"/>
      <c r="E108" s="368"/>
      <c r="F108" s="368"/>
      <c r="G108" s="368"/>
      <c r="H108" s="369"/>
      <c r="I108" s="298"/>
      <c r="J108" s="309"/>
      <c r="K108" s="298"/>
    </row>
    <row r="109" spans="3:11" ht="19.5" customHeight="1" thickBot="1">
      <c r="C109" s="33" t="s">
        <v>283</v>
      </c>
      <c r="D109" s="34">
        <f>+'1c) Combined by budget activity'!D168+'1c) Combined by budget activity'!K168</f>
        <v>1517776.92</v>
      </c>
      <c r="E109" s="34">
        <f>+'1c) Combined by budget activity'!E168+'1c) Combined by budget activity'!L168</f>
        <v>205600</v>
      </c>
      <c r="F109" s="34">
        <f>+'1c) Combined by budget activity'!F168</f>
        <v>45500</v>
      </c>
      <c r="G109" s="34">
        <f>+'1c) Combined by budget activity'!M168</f>
        <v>130000</v>
      </c>
      <c r="H109" s="35">
        <f t="shared" ref="H109:H117" si="10">SUM(D109:G109)</f>
        <v>1898876.92</v>
      </c>
      <c r="I109" s="298"/>
      <c r="J109" s="309"/>
      <c r="K109" s="298"/>
    </row>
    <row r="110" spans="3:11" ht="15.75" customHeight="1">
      <c r="C110" s="31" t="s">
        <v>268</v>
      </c>
      <c r="D110" s="302">
        <f>444750.28+35407.72+162231.81+18000+16477.14-1386.86+118714.18+163117.99+29622.44-112253.1</f>
        <v>874681.6</v>
      </c>
      <c r="E110" s="254">
        <f>83000+3110.28</f>
        <v>86110.28</v>
      </c>
      <c r="F110" s="300">
        <v>30000</v>
      </c>
      <c r="G110" s="310">
        <v>59527.8</v>
      </c>
      <c r="H110" s="32">
        <f t="shared" si="10"/>
        <v>1050319.68</v>
      </c>
      <c r="I110" s="301"/>
      <c r="J110" s="309"/>
      <c r="K110" s="298"/>
    </row>
    <row r="111" spans="3:11" ht="15.75" customHeight="1">
      <c r="C111" s="23" t="s">
        <v>269</v>
      </c>
      <c r="D111" s="303">
        <f>11058.43+2081.46+437.69</f>
        <v>13577.58</v>
      </c>
      <c r="E111" s="255"/>
      <c r="F111" s="271">
        <v>5735</v>
      </c>
      <c r="G111" s="271"/>
      <c r="H111" s="30">
        <f t="shared" si="10"/>
        <v>19312.580000000002</v>
      </c>
      <c r="I111" s="301"/>
      <c r="J111" s="309"/>
      <c r="K111" s="298"/>
    </row>
    <row r="112" spans="3:11" ht="15.75" customHeight="1">
      <c r="C112" s="23" t="s">
        <v>270</v>
      </c>
      <c r="D112" s="303">
        <v>7193.63</v>
      </c>
      <c r="E112" s="256"/>
      <c r="F112" s="303"/>
      <c r="G112" s="303"/>
      <c r="H112" s="30">
        <f t="shared" si="10"/>
        <v>7193.63</v>
      </c>
      <c r="I112" s="298"/>
      <c r="J112" s="309"/>
      <c r="K112" s="298"/>
    </row>
    <row r="113" spans="3:14" ht="15.75" customHeight="1">
      <c r="C113" s="24" t="s">
        <v>271</v>
      </c>
      <c r="D113" s="303">
        <f>81868.13+37266.97-2606.69+180.47-12.63+0.88+0.06-0.12+0.01-0.01+112253.1</f>
        <v>228950.17</v>
      </c>
      <c r="E113" s="256">
        <v>36000</v>
      </c>
      <c r="F113" s="303"/>
      <c r="G113" s="303"/>
      <c r="H113" s="30">
        <f t="shared" si="10"/>
        <v>264950.17000000004</v>
      </c>
      <c r="I113" s="301"/>
      <c r="J113" s="309"/>
      <c r="K113" s="298"/>
      <c r="L113" s="298"/>
      <c r="M113" s="298"/>
      <c r="N113" s="298"/>
    </row>
    <row r="114" spans="3:14" ht="15.75" customHeight="1">
      <c r="C114" s="23" t="s">
        <v>272</v>
      </c>
      <c r="D114" s="303">
        <f>5068.16+2844.74+1552.86+2202.38+3657.97+1737.38+301.1</f>
        <v>17364.589999999997</v>
      </c>
      <c r="E114" s="256"/>
      <c r="F114" s="303"/>
      <c r="G114" s="303"/>
      <c r="H114" s="30">
        <f t="shared" si="10"/>
        <v>17364.589999999997</v>
      </c>
      <c r="I114" s="298"/>
      <c r="J114" s="309"/>
      <c r="K114" s="298"/>
      <c r="L114" s="298"/>
      <c r="M114" s="298"/>
      <c r="N114" s="298"/>
    </row>
    <row r="115" spans="3:14" ht="15.75" customHeight="1">
      <c r="C115" s="23" t="s">
        <v>273</v>
      </c>
      <c r="D115" s="303">
        <f>58636.58+40000</f>
        <v>98636.58</v>
      </c>
      <c r="E115" s="256"/>
      <c r="F115" s="303"/>
      <c r="G115" s="303"/>
      <c r="H115" s="30">
        <f t="shared" si="10"/>
        <v>98636.58</v>
      </c>
      <c r="I115" s="301"/>
      <c r="J115" s="309"/>
      <c r="K115" s="298"/>
      <c r="L115" s="298"/>
      <c r="M115" s="298"/>
      <c r="N115" s="298"/>
    </row>
    <row r="116" spans="3:14" ht="15.75" customHeight="1">
      <c r="C116" s="23" t="s">
        <v>274</v>
      </c>
      <c r="D116" s="303">
        <f>37341.51+1128.79+5345.5+350.55+738.79+33695.38+2214.81-155.04+10.86-0.76+0.05</f>
        <v>80670.440000000017</v>
      </c>
      <c r="E116" s="256">
        <v>8000</v>
      </c>
      <c r="F116" s="303">
        <v>9765</v>
      </c>
      <c r="G116" s="303"/>
      <c r="H116" s="30">
        <f t="shared" si="10"/>
        <v>98435.440000000017</v>
      </c>
      <c r="I116" s="301"/>
      <c r="J116" s="309"/>
      <c r="K116" s="298"/>
      <c r="L116" s="298"/>
      <c r="M116" s="298"/>
      <c r="N116" s="298"/>
    </row>
    <row r="117" spans="3:14" ht="15.75" customHeight="1">
      <c r="C117" s="27" t="s">
        <v>275</v>
      </c>
      <c r="D117" s="36">
        <f>SUM(D110:D116)</f>
        <v>1321074.5900000001</v>
      </c>
      <c r="E117" s="36">
        <f>SUM(E110:E116)</f>
        <v>130110.28</v>
      </c>
      <c r="F117" s="36">
        <f t="shared" ref="F117:G117" si="11">SUM(F110:F116)</f>
        <v>45500</v>
      </c>
      <c r="G117" s="36">
        <f t="shared" si="11"/>
        <v>59527.8</v>
      </c>
      <c r="H117" s="30">
        <f t="shared" si="10"/>
        <v>1556212.6700000002</v>
      </c>
      <c r="I117" s="301"/>
      <c r="J117" s="299"/>
      <c r="K117" s="301"/>
      <c r="L117" s="298"/>
      <c r="M117" s="298"/>
      <c r="N117" s="298"/>
    </row>
    <row r="118" spans="3:14" ht="15.75" customHeight="1" thickBot="1">
      <c r="C118" s="298"/>
      <c r="D118" s="306"/>
      <c r="E118" s="306"/>
      <c r="F118" s="306"/>
      <c r="G118" s="306"/>
      <c r="H118" s="298"/>
      <c r="I118" s="298"/>
      <c r="J118" s="309"/>
      <c r="K118" s="298"/>
      <c r="L118" s="298"/>
      <c r="M118" s="298"/>
      <c r="N118" s="298"/>
    </row>
    <row r="119" spans="3:14" ht="19.5" customHeight="1" thickBot="1">
      <c r="C119" s="372" t="s">
        <v>284</v>
      </c>
      <c r="D119" s="373"/>
      <c r="E119" s="373"/>
      <c r="F119" s="373"/>
      <c r="G119" s="373"/>
      <c r="H119" s="374"/>
      <c r="I119" s="298"/>
      <c r="J119" s="309"/>
      <c r="K119" s="298"/>
      <c r="L119" s="298"/>
      <c r="M119" s="298"/>
      <c r="N119" s="298"/>
    </row>
    <row r="120" spans="3:14" ht="19.5" customHeight="1">
      <c r="C120" s="43"/>
      <c r="D120" s="365" t="str">
        <f>+D5</f>
        <v xml:space="preserve">
UNDP</v>
      </c>
      <c r="E120" s="365" t="str">
        <f t="shared" ref="E120:F120" si="12">+E5</f>
        <v xml:space="preserve">
UNFPA</v>
      </c>
      <c r="F120" s="365" t="str">
        <f t="shared" si="12"/>
        <v xml:space="preserve">
WFP</v>
      </c>
      <c r="G120" s="365" t="str">
        <f t="shared" ref="G120" si="13">+G5</f>
        <v>UNESCO</v>
      </c>
      <c r="H120" s="370" t="s">
        <v>284</v>
      </c>
      <c r="I120" s="298"/>
      <c r="J120" s="309"/>
      <c r="K120" s="298"/>
      <c r="L120" s="298"/>
      <c r="M120" s="298"/>
      <c r="N120" s="298"/>
    </row>
    <row r="121" spans="3:14" ht="19.5" customHeight="1">
      <c r="C121" s="43"/>
      <c r="D121" s="366"/>
      <c r="E121" s="366"/>
      <c r="F121" s="366"/>
      <c r="G121" s="366"/>
      <c r="H121" s="371"/>
      <c r="I121" s="298"/>
      <c r="J121" s="309"/>
      <c r="K121" s="298"/>
      <c r="L121" s="298"/>
      <c r="M121" s="298"/>
      <c r="N121" s="298"/>
    </row>
    <row r="122" spans="3:14" ht="19.5" customHeight="1">
      <c r="C122" s="8" t="s">
        <v>268</v>
      </c>
      <c r="D122" s="311">
        <f t="shared" ref="D122:G128" si="14">SUM(D9,D20,D31,D43,D54,D65,D77,D88,D99,D110)</f>
        <v>874681.6</v>
      </c>
      <c r="E122" s="311">
        <f t="shared" si="14"/>
        <v>86110.28</v>
      </c>
      <c r="F122" s="311">
        <f>SUM(F9,F20,F31,F43,F54,F65,F77,F88,F99,F110)</f>
        <v>30000</v>
      </c>
      <c r="G122" s="311">
        <f t="shared" si="14"/>
        <v>80271.899999999994</v>
      </c>
      <c r="H122" s="41">
        <f t="shared" ref="H122:H129" si="15">SUM(D122:G122)</f>
        <v>1071063.78</v>
      </c>
      <c r="I122" s="298"/>
      <c r="J122" s="309"/>
      <c r="K122" s="298"/>
      <c r="L122" s="298"/>
      <c r="M122" s="298"/>
      <c r="N122" s="298"/>
    </row>
    <row r="123" spans="3:14" ht="34.5" customHeight="1">
      <c r="C123" s="8" t="s">
        <v>269</v>
      </c>
      <c r="D123" s="311">
        <f t="shared" si="14"/>
        <v>271894.83</v>
      </c>
      <c r="E123" s="311">
        <f t="shared" si="14"/>
        <v>0</v>
      </c>
      <c r="F123" s="311">
        <f t="shared" ref="F123" si="16">SUM(F10,F21,F32,F44,F55,F66,F78,F89,F100,F111)</f>
        <v>12066.98</v>
      </c>
      <c r="G123" s="311">
        <f t="shared" si="14"/>
        <v>30195.490000000005</v>
      </c>
      <c r="H123" s="42">
        <f t="shared" si="15"/>
        <v>314157.3</v>
      </c>
      <c r="I123" s="298"/>
      <c r="J123" s="309"/>
      <c r="K123" s="298"/>
      <c r="L123" s="298"/>
      <c r="M123" s="298"/>
      <c r="N123" s="298"/>
    </row>
    <row r="124" spans="3:14" ht="48" customHeight="1">
      <c r="C124" s="8" t="s">
        <v>270</v>
      </c>
      <c r="D124" s="311">
        <f t="shared" si="14"/>
        <v>12051.16</v>
      </c>
      <c r="E124" s="311">
        <f t="shared" si="14"/>
        <v>0</v>
      </c>
      <c r="F124" s="311">
        <f t="shared" ref="F124" si="17">SUM(F11,F22,F33,F45,F56,F67,F79,F90,F101,F112)</f>
        <v>0</v>
      </c>
      <c r="G124" s="311">
        <f t="shared" si="14"/>
        <v>1496.65</v>
      </c>
      <c r="H124" s="42">
        <f t="shared" si="15"/>
        <v>13547.81</v>
      </c>
      <c r="I124" s="298"/>
      <c r="J124" s="309"/>
      <c r="K124" s="298"/>
      <c r="L124" s="298"/>
      <c r="M124" s="298"/>
      <c r="N124" s="298"/>
    </row>
    <row r="125" spans="3:14" ht="33" customHeight="1">
      <c r="C125" s="12" t="s">
        <v>271</v>
      </c>
      <c r="D125" s="311">
        <f t="shared" si="14"/>
        <v>678166.84</v>
      </c>
      <c r="E125" s="311">
        <f t="shared" si="14"/>
        <v>79237.540000000008</v>
      </c>
      <c r="F125" s="311">
        <f t="shared" ref="F125" si="18">SUM(F12,F23,F34,F46,F57,F68,F80,F91,F102,F113)</f>
        <v>0</v>
      </c>
      <c r="G125" s="311">
        <f t="shared" si="14"/>
        <v>256796.41999999998</v>
      </c>
      <c r="H125" s="42">
        <f t="shared" si="15"/>
        <v>1014200.8</v>
      </c>
      <c r="I125" s="298"/>
      <c r="J125" s="309"/>
      <c r="K125" s="298"/>
      <c r="L125" s="298"/>
      <c r="M125" s="298"/>
      <c r="N125" s="298"/>
    </row>
    <row r="126" spans="3:14" ht="21" customHeight="1">
      <c r="C126" s="8" t="s">
        <v>272</v>
      </c>
      <c r="D126" s="311">
        <f t="shared" si="14"/>
        <v>65596.989999999991</v>
      </c>
      <c r="E126" s="311">
        <f t="shared" si="14"/>
        <v>0</v>
      </c>
      <c r="F126" s="311">
        <f t="shared" ref="F126" si="19">SUM(F13,F24,F35,F47,F58,F69,F81,F92,F103,F114)</f>
        <v>0</v>
      </c>
      <c r="G126" s="311">
        <f t="shared" si="14"/>
        <v>7791.82</v>
      </c>
      <c r="H126" s="42">
        <f t="shared" si="15"/>
        <v>73388.81</v>
      </c>
      <c r="I126" s="279"/>
      <c r="J126" s="312"/>
      <c r="K126" s="279"/>
      <c r="L126" s="279"/>
      <c r="M126" s="279"/>
      <c r="N126" s="313"/>
    </row>
    <row r="127" spans="3:14" ht="39.75" customHeight="1">
      <c r="C127" s="8" t="s">
        <v>273</v>
      </c>
      <c r="D127" s="311">
        <f t="shared" si="14"/>
        <v>757021.00033264386</v>
      </c>
      <c r="E127" s="311">
        <f>SUM(E14,E25,E36,E48,E59,E70,E82,E93,E104,E115)</f>
        <v>88439.25</v>
      </c>
      <c r="F127" s="311">
        <f t="shared" ref="F127" si="20">SUM(F14,F25,F36,F48,F59,F70,F82,F93,F104,F115)</f>
        <v>101330.23</v>
      </c>
      <c r="G127" s="311">
        <f t="shared" si="14"/>
        <v>0</v>
      </c>
      <c r="H127" s="42">
        <f t="shared" si="15"/>
        <v>946790.48033264384</v>
      </c>
      <c r="I127" s="279"/>
      <c r="J127" s="312"/>
      <c r="K127" s="279"/>
      <c r="L127" s="279"/>
      <c r="M127" s="279"/>
      <c r="N127" s="313"/>
    </row>
    <row r="128" spans="3:14" ht="23.25" customHeight="1">
      <c r="C128" s="8" t="s">
        <v>274</v>
      </c>
      <c r="D128" s="314">
        <f t="shared" si="14"/>
        <v>187129.78000000003</v>
      </c>
      <c r="E128" s="314">
        <f t="shared" si="14"/>
        <v>8000</v>
      </c>
      <c r="F128" s="314">
        <f t="shared" ref="F128" si="21">SUM(F15,F26,F37,F49,F60,F71,F83,F94,F105,F116)</f>
        <v>27102.79</v>
      </c>
      <c r="G128" s="314">
        <f t="shared" si="14"/>
        <v>1387.72</v>
      </c>
      <c r="H128" s="42">
        <f t="shared" si="15"/>
        <v>223620.29000000004</v>
      </c>
      <c r="I128" s="279"/>
      <c r="J128" s="312"/>
      <c r="K128" s="279"/>
      <c r="L128" s="279"/>
      <c r="M128" s="279"/>
      <c r="N128" s="313"/>
    </row>
    <row r="129" spans="3:14" ht="22.5" customHeight="1">
      <c r="C129" s="315" t="s">
        <v>285</v>
      </c>
      <c r="D129" s="316">
        <f>SUM(D122:D128)</f>
        <v>2846542.2003326435</v>
      </c>
      <c r="E129" s="316">
        <f>SUM(E122:E128)</f>
        <v>261787.07</v>
      </c>
      <c r="F129" s="316">
        <f>SUM(F122:F128)</f>
        <v>170500</v>
      </c>
      <c r="G129" s="316">
        <f>SUM(G122:G128)</f>
        <v>377939.99999999994</v>
      </c>
      <c r="H129" s="317">
        <f t="shared" si="15"/>
        <v>3656769.2703326433</v>
      </c>
      <c r="I129" s="279"/>
      <c r="J129" s="312"/>
      <c r="K129" s="279"/>
      <c r="L129" s="279"/>
      <c r="M129" s="279"/>
      <c r="N129" s="313"/>
    </row>
    <row r="130" spans="3:14" ht="26.25" customHeight="1" thickBot="1">
      <c r="C130" s="318" t="s">
        <v>286</v>
      </c>
      <c r="D130" s="319">
        <f>D129*0.07</f>
        <v>199257.95402328507</v>
      </c>
      <c r="E130" s="319">
        <f>E129*0.07</f>
        <v>18325.094900000004</v>
      </c>
      <c r="F130" s="319">
        <f>F129*0.07</f>
        <v>11935.000000000002</v>
      </c>
      <c r="G130" s="319">
        <f>G129*0.07</f>
        <v>26455.8</v>
      </c>
      <c r="H130" s="320">
        <f t="shared" ref="H130" si="22">H129*0.07</f>
        <v>255973.84892328506</v>
      </c>
      <c r="I130" s="13"/>
      <c r="J130" s="120"/>
      <c r="K130" s="13"/>
      <c r="L130" s="13"/>
      <c r="M130" s="321"/>
      <c r="N130" s="306"/>
    </row>
    <row r="131" spans="3:14" ht="23.25" customHeight="1" thickBot="1">
      <c r="C131" s="83" t="s">
        <v>287</v>
      </c>
      <c r="D131" s="84">
        <f>SUM(D129:D130)</f>
        <v>3045800.1543559283</v>
      </c>
      <c r="E131" s="84">
        <f>SUM(E129:E130)</f>
        <v>280112.16490000003</v>
      </c>
      <c r="F131" s="84">
        <f>SUM(F129:F130)</f>
        <v>182435</v>
      </c>
      <c r="G131" s="84">
        <f>SUM(G129:G130)</f>
        <v>404395.79999999993</v>
      </c>
      <c r="H131" s="44">
        <f>SUM(H129:H130)</f>
        <v>3912743.1192559283</v>
      </c>
      <c r="I131" s="13"/>
      <c r="J131" s="120"/>
      <c r="K131" s="13"/>
      <c r="L131" s="13"/>
      <c r="M131" s="321"/>
      <c r="N131" s="306"/>
    </row>
    <row r="132" spans="3:14" ht="15.75" customHeight="1">
      <c r="C132" s="298"/>
      <c r="D132" s="305"/>
      <c r="E132" s="305"/>
      <c r="F132" s="305"/>
      <c r="G132" s="305"/>
      <c r="H132" s="322"/>
      <c r="I132" s="301"/>
      <c r="J132" s="299"/>
      <c r="K132" s="13"/>
      <c r="L132" s="298"/>
      <c r="M132" s="28"/>
      <c r="N132" s="298"/>
    </row>
    <row r="133" spans="3:14" ht="15.75" customHeight="1">
      <c r="C133" s="298"/>
      <c r="D133" s="304"/>
      <c r="E133" s="304"/>
      <c r="F133" s="304"/>
      <c r="G133" s="323"/>
      <c r="H133" s="304"/>
      <c r="I133" s="115"/>
      <c r="J133" s="121"/>
      <c r="K133" s="298"/>
      <c r="L133" s="298"/>
      <c r="M133" s="28"/>
      <c r="N133" s="298"/>
    </row>
    <row r="134" spans="3:14" ht="15.75" customHeight="1">
      <c r="C134" s="298"/>
      <c r="D134" s="324"/>
      <c r="E134" s="324"/>
      <c r="F134" s="324"/>
      <c r="G134" s="305"/>
      <c r="H134" s="325"/>
      <c r="I134" s="115"/>
      <c r="J134" s="121"/>
      <c r="K134" s="301"/>
      <c r="L134" s="298"/>
      <c r="M134" s="298"/>
      <c r="N134" s="298"/>
    </row>
    <row r="135" spans="3:14" ht="40.5" customHeight="1">
      <c r="C135" s="298"/>
      <c r="D135" s="326"/>
      <c r="E135" s="326"/>
      <c r="F135" s="326"/>
      <c r="G135" s="305"/>
      <c r="H135" s="305"/>
      <c r="I135" s="18"/>
      <c r="J135" s="121"/>
      <c r="K135" s="298"/>
      <c r="L135" s="298"/>
      <c r="M135" s="29"/>
      <c r="N135" s="298"/>
    </row>
    <row r="136" spans="3:14" ht="24.75" customHeight="1">
      <c r="C136" s="298"/>
      <c r="D136" s="307"/>
      <c r="E136" s="326"/>
      <c r="F136" s="307"/>
      <c r="G136" s="305"/>
      <c r="H136" s="298"/>
      <c r="I136" s="18"/>
      <c r="J136" s="121"/>
      <c r="K136" s="298"/>
      <c r="L136" s="298"/>
      <c r="M136" s="29"/>
      <c r="N136" s="298"/>
    </row>
    <row r="137" spans="3:14" ht="41.25" customHeight="1">
      <c r="C137" s="298"/>
      <c r="D137" s="306"/>
      <c r="E137" s="307"/>
      <c r="F137" s="306"/>
      <c r="G137" s="305"/>
      <c r="H137" s="298"/>
      <c r="I137" s="327"/>
      <c r="J137" s="121"/>
      <c r="K137" s="298"/>
      <c r="L137" s="298"/>
      <c r="M137" s="29"/>
      <c r="N137" s="298"/>
    </row>
    <row r="138" spans="3:14" ht="51.75" customHeight="1">
      <c r="C138" s="298"/>
      <c r="D138" s="306"/>
      <c r="E138" s="306"/>
      <c r="F138" s="306"/>
      <c r="G138" s="328"/>
      <c r="H138" s="298"/>
      <c r="I138" s="327"/>
      <c r="J138" s="121"/>
      <c r="K138" s="298"/>
      <c r="L138" s="298"/>
      <c r="M138" s="29"/>
      <c r="N138" s="298"/>
    </row>
    <row r="139" spans="3:14" ht="42" customHeight="1">
      <c r="C139" s="298"/>
      <c r="D139" s="306"/>
      <c r="E139" s="306"/>
      <c r="F139" s="306"/>
      <c r="G139" s="304"/>
      <c r="H139" s="298"/>
      <c r="I139" s="18"/>
      <c r="J139" s="121"/>
      <c r="K139" s="298"/>
      <c r="L139" s="298"/>
      <c r="M139" s="29"/>
      <c r="N139" s="298"/>
    </row>
    <row r="140" spans="3:14" s="26" customFormat="1" ht="42" customHeight="1">
      <c r="C140" s="298"/>
      <c r="D140" s="306"/>
      <c r="E140" s="306"/>
      <c r="F140" s="306"/>
      <c r="G140" s="306"/>
      <c r="H140" s="298"/>
      <c r="I140" s="298"/>
      <c r="J140" s="121"/>
      <c r="K140" s="298"/>
      <c r="L140" s="298"/>
      <c r="M140" s="29"/>
      <c r="N140" s="298"/>
    </row>
    <row r="141" spans="3:14" s="26" customFormat="1" ht="42" customHeight="1">
      <c r="C141" s="298"/>
      <c r="D141" s="306"/>
      <c r="E141" s="306"/>
      <c r="F141" s="306"/>
      <c r="G141" s="306"/>
      <c r="H141" s="298"/>
      <c r="I141" s="298"/>
      <c r="J141" s="121"/>
      <c r="K141" s="298"/>
      <c r="L141" s="298"/>
      <c r="M141" s="298"/>
      <c r="N141" s="298"/>
    </row>
    <row r="142" spans="3:14" s="26" customFormat="1" ht="63.75" customHeight="1">
      <c r="C142" s="298"/>
      <c r="D142" s="306"/>
      <c r="E142" s="306"/>
      <c r="F142" s="306"/>
      <c r="G142" s="306"/>
      <c r="H142" s="298"/>
      <c r="I142" s="298"/>
      <c r="J142" s="122"/>
      <c r="K142" s="298"/>
      <c r="L142" s="298"/>
      <c r="M142" s="298"/>
      <c r="N142" s="298"/>
    </row>
    <row r="143" spans="3:14" s="26" customFormat="1" ht="42" customHeight="1">
      <c r="C143" s="298"/>
      <c r="D143" s="306"/>
      <c r="E143" s="306"/>
      <c r="F143" s="306"/>
      <c r="G143" s="306"/>
      <c r="H143" s="298"/>
      <c r="I143" s="298"/>
      <c r="J143" s="299"/>
      <c r="K143" s="298"/>
      <c r="L143" s="298"/>
      <c r="M143" s="298"/>
      <c r="N143" s="28"/>
    </row>
    <row r="144" spans="3:14" ht="23.25" customHeight="1">
      <c r="C144" s="298"/>
      <c r="D144" s="306"/>
      <c r="E144" s="306"/>
      <c r="F144" s="306"/>
      <c r="G144" s="306"/>
      <c r="H144" s="298"/>
      <c r="I144" s="298"/>
      <c r="J144" s="299"/>
      <c r="K144" s="298"/>
      <c r="L144" s="298"/>
      <c r="M144" s="298"/>
      <c r="N144" s="298"/>
    </row>
    <row r="145" spans="15:15" ht="27.75" customHeight="1">
      <c r="O145" s="298"/>
    </row>
    <row r="146" spans="15:15" ht="55.5" customHeight="1">
      <c r="O146" s="298"/>
    </row>
    <row r="147" spans="15:15" ht="57.75" customHeight="1">
      <c r="O147" s="298"/>
    </row>
    <row r="148" spans="15:15" ht="21.75" customHeight="1">
      <c r="O148" s="298"/>
    </row>
    <row r="149" spans="15:15" ht="49.5" customHeight="1">
      <c r="O149" s="298"/>
    </row>
    <row r="150" spans="15:15" ht="28.5" customHeight="1">
      <c r="O150" s="298"/>
    </row>
    <row r="151" spans="15:15" ht="28.5" customHeight="1">
      <c r="O151" s="298"/>
    </row>
    <row r="152" spans="15:15" ht="28.5" customHeight="1">
      <c r="O152" s="298"/>
    </row>
    <row r="153" spans="15:15" ht="23.25" customHeight="1">
      <c r="O153" s="28"/>
    </row>
    <row r="154" spans="15:15" ht="43.5" customHeight="1">
      <c r="O154" s="28"/>
    </row>
    <row r="155" spans="15:15" ht="55.5" customHeight="1">
      <c r="O155" s="298"/>
    </row>
    <row r="156" spans="15:15" ht="42.75" customHeight="1">
      <c r="O156" s="28"/>
    </row>
    <row r="157" spans="15:15" ht="21.75" customHeight="1">
      <c r="O157" s="28"/>
    </row>
    <row r="158" spans="15:15" ht="21.75" customHeight="1">
      <c r="O158" s="28"/>
    </row>
    <row r="159" spans="15:15" ht="23.25" customHeight="1">
      <c r="O159" s="298"/>
    </row>
    <row r="160" spans="15:15" ht="23.25" customHeight="1">
      <c r="O160" s="298"/>
    </row>
    <row r="161" ht="21.75" customHeight="1"/>
    <row r="162" ht="16.5" customHeight="1"/>
    <row r="163" ht="29.25" customHeight="1"/>
    <row r="164" ht="24.75" customHeight="1"/>
    <row r="165" ht="33" customHeight="1"/>
    <row r="167" ht="15" customHeight="1"/>
    <row r="168" ht="25.5" customHeight="1"/>
  </sheetData>
  <sheetProtection insertColumns="0" insertRows="0" deleteRows="0"/>
  <mergeCells count="22">
    <mergeCell ref="C1:G1"/>
    <mergeCell ref="B6:H6"/>
    <mergeCell ref="C7:H7"/>
    <mergeCell ref="C18:H18"/>
    <mergeCell ref="C29:H29"/>
    <mergeCell ref="C2:I2"/>
    <mergeCell ref="D120:D121"/>
    <mergeCell ref="E120:E121"/>
    <mergeCell ref="G120:G121"/>
    <mergeCell ref="C3:E3"/>
    <mergeCell ref="C108:H108"/>
    <mergeCell ref="H120:H121"/>
    <mergeCell ref="C119:H119"/>
    <mergeCell ref="C41:H41"/>
    <mergeCell ref="B40:H40"/>
    <mergeCell ref="C97:H97"/>
    <mergeCell ref="C86:H86"/>
    <mergeCell ref="C63:H63"/>
    <mergeCell ref="C52:H52"/>
    <mergeCell ref="B74:H74"/>
    <mergeCell ref="C75:H75"/>
    <mergeCell ref="F120:F121"/>
  </mergeCells>
  <conditionalFormatting sqref="H16">
    <cfRule type="cellIs" dxfId="15" priority="12" operator="notEqual">
      <formula>$H$30</formula>
    </cfRule>
  </conditionalFormatting>
  <conditionalFormatting sqref="H27">
    <cfRule type="cellIs" dxfId="14" priority="11" operator="notEqual">
      <formula>$H$30</formula>
    </cfRule>
  </conditionalFormatting>
  <conditionalFormatting sqref="H38">
    <cfRule type="cellIs" dxfId="13" priority="7" operator="notEqual">
      <formula>$H$30</formula>
    </cfRule>
  </conditionalFormatting>
  <conditionalFormatting sqref="H50">
    <cfRule type="cellIs" dxfId="12" priority="13" operator="notEqual">
      <formula>$H$30</formula>
    </cfRule>
  </conditionalFormatting>
  <conditionalFormatting sqref="H61">
    <cfRule type="cellIs" dxfId="11" priority="2" operator="notEqual">
      <formula>$H$30</formula>
    </cfRule>
  </conditionalFormatting>
  <conditionalFormatting sqref="H72">
    <cfRule type="cellIs" dxfId="10" priority="3" operator="notEqual">
      <formula>$H$30</formula>
    </cfRule>
  </conditionalFormatting>
  <conditionalFormatting sqref="H84">
    <cfRule type="cellIs" dxfId="9" priority="1" operator="notEqual">
      <formula>$H$30</formula>
    </cfRule>
  </conditionalFormatting>
  <conditionalFormatting sqref="H95">
    <cfRule type="cellIs" dxfId="8" priority="4" operator="notEqual">
      <formula>$H$30</formula>
    </cfRule>
  </conditionalFormatting>
  <conditionalFormatting sqref="H106">
    <cfRule type="cellIs" dxfId="7" priority="5" operator="notEqual">
      <formula>$H$30</formula>
    </cfRule>
  </conditionalFormatting>
  <conditionalFormatting sqref="H117">
    <cfRule type="cellIs" dxfId="6" priority="6" operator="notEqual">
      <formula>$H$30</formula>
    </cfRule>
  </conditionalFormatting>
  <conditionalFormatting sqref="H131">
    <cfRule type="cellIs" dxfId="5" priority="14" operator="notEqual">
      <formula>#REF!</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5 C26 C37 C128 C116 C49 C105 C94 C71 C60 C8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4 C25 C36 C127 C115 C48 C104 C93 C70 C59 C82" xr:uid="{9DD30DAD-252C-43C8-B2D2-D70E24558917}"/>
    <dataValidation allowBlank="1" showInputMessage="1" showErrorMessage="1" prompt="Services contracted by an organization which follow the normal procurement processes." sqref="C12 C23 C34 C125 C113 C46 C102 C91 C68 C57 C80" xr:uid="{D2D4883A-DF6E-4599-89E1-C25704DD6B71}"/>
    <dataValidation allowBlank="1" showInputMessage="1" showErrorMessage="1" prompt="Includes staff and non-staff travel paid for by the organization directly related to a project." sqref="C13 C24 C35 C126 C114 C47 C103 C92 C69 C58 C8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1 C22 C33 C124 C112 C45 C101 C90 C67 C56 C7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0 C21 C32 C123 C111 C44 C100 C89 C66 C55 C78" xr:uid="{F098AF50-6738-49DD-B927-47F3EEE74261}"/>
    <dataValidation allowBlank="1" showInputMessage="1" showErrorMessage="1" prompt="Includes all related staff and temporary staff costs including base salary, post adjustment and all staff entitlements." sqref="C9 C20 C31 C122 C110 C43 C99 C88 C65 C54 C77" xr:uid="{340B5EBB-3C3E-458C-BC5F-57C720FFB61A}"/>
    <dataValidation allowBlank="1" showInputMessage="1" showErrorMessage="1" prompt="Output totals must match the original total from Table 1, and will show as red if not. " sqref="H16" xr:uid="{CB4E1972-F42E-40FE-9670-1760DDE11E59}"/>
  </dataValidations>
  <pageMargins left="0.7" right="0.7" top="0.75" bottom="0.75" header="0.3" footer="0.3"/>
  <pageSetup scale="74" orientation="landscape" r:id="rId1"/>
  <ignoredErrors>
    <ignoredError sqref="D12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5546875" defaultRowHeight="15"/>
  <cols>
    <col min="2" max="2" width="73.140625" customWidth="1"/>
  </cols>
  <sheetData>
    <row r="1" spans="2:2" ht="15.75" thickBot="1"/>
    <row r="2" spans="2:2" ht="15.75" thickBot="1">
      <c r="B2" s="89" t="s">
        <v>288</v>
      </c>
    </row>
    <row r="3" spans="2:2">
      <c r="B3" s="90"/>
    </row>
    <row r="4" spans="2:2" ht="30.75" customHeight="1">
      <c r="B4" s="91" t="s">
        <v>289</v>
      </c>
    </row>
    <row r="5" spans="2:2" ht="30.75" customHeight="1">
      <c r="B5" s="91"/>
    </row>
    <row r="6" spans="2:2" ht="60">
      <c r="B6" s="91" t="s">
        <v>290</v>
      </c>
    </row>
    <row r="7" spans="2:2">
      <c r="B7" s="91"/>
    </row>
    <row r="8" spans="2:2" ht="60">
      <c r="B8" s="91" t="s">
        <v>291</v>
      </c>
    </row>
    <row r="9" spans="2:2">
      <c r="B9" s="91"/>
    </row>
    <row r="10" spans="2:2" ht="60">
      <c r="B10" s="91" t="s">
        <v>292</v>
      </c>
    </row>
    <row r="11" spans="2:2">
      <c r="B11" s="91"/>
    </row>
    <row r="12" spans="2:2" ht="30">
      <c r="B12" s="91" t="s">
        <v>293</v>
      </c>
    </row>
    <row r="13" spans="2:2">
      <c r="B13" s="91"/>
    </row>
    <row r="14" spans="2:2" ht="60">
      <c r="B14" s="91" t="s">
        <v>294</v>
      </c>
    </row>
    <row r="15" spans="2:2">
      <c r="B15" s="91"/>
    </row>
    <row r="16" spans="2:2" ht="60.75" thickBot="1">
      <c r="B16" s="92" t="s">
        <v>295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O23" sqref="O23"/>
    </sheetView>
  </sheetViews>
  <sheetFormatPr defaultColWidth="8.85546875" defaultRowHeight="15"/>
  <cols>
    <col min="2" max="2" width="61.85546875" customWidth="1"/>
    <col min="4" max="4" width="17.85546875" customWidth="1"/>
  </cols>
  <sheetData>
    <row r="1" spans="2:4" ht="15.75" thickBot="1"/>
    <row r="2" spans="2:4">
      <c r="B2" s="388" t="s">
        <v>296</v>
      </c>
      <c r="C2" s="389"/>
      <c r="D2" s="390"/>
    </row>
    <row r="3" spans="2:4" ht="15.75" thickBot="1">
      <c r="B3" s="391"/>
      <c r="C3" s="392"/>
      <c r="D3" s="393"/>
    </row>
    <row r="4" spans="2:4" ht="15.75" thickBot="1"/>
    <row r="5" spans="2:4">
      <c r="B5" s="379" t="s">
        <v>297</v>
      </c>
      <c r="C5" s="380"/>
      <c r="D5" s="381"/>
    </row>
    <row r="6" spans="2:4" ht="15.75" thickBot="1">
      <c r="B6" s="382"/>
      <c r="C6" s="383"/>
      <c r="D6" s="384"/>
    </row>
    <row r="7" spans="2:4">
      <c r="B7" s="51" t="s">
        <v>298</v>
      </c>
      <c r="C7" s="377" t="e">
        <f>SUM(#REF!,#REF!,#REF!,#REF!)</f>
        <v>#REF!</v>
      </c>
      <c r="D7" s="378"/>
    </row>
    <row r="8" spans="2:4">
      <c r="B8" s="51" t="s">
        <v>299</v>
      </c>
      <c r="C8" s="375" t="e">
        <f>SUM(D10:D14)</f>
        <v>#REF!</v>
      </c>
      <c r="D8" s="376"/>
    </row>
    <row r="9" spans="2:4">
      <c r="B9" s="52" t="s">
        <v>300</v>
      </c>
      <c r="C9" s="53" t="s">
        <v>301</v>
      </c>
      <c r="D9" s="54" t="s">
        <v>302</v>
      </c>
    </row>
    <row r="10" spans="2:4" ht="35.1" customHeight="1">
      <c r="B10" s="73"/>
      <c r="C10" s="56"/>
      <c r="D10" s="57" t="e">
        <f>$C$7*C10</f>
        <v>#REF!</v>
      </c>
    </row>
    <row r="11" spans="2:4" ht="35.1" customHeight="1">
      <c r="B11" s="73"/>
      <c r="C11" s="56"/>
      <c r="D11" s="57" t="e">
        <f>C7*C11</f>
        <v>#REF!</v>
      </c>
    </row>
    <row r="12" spans="2:4" ht="35.1" customHeight="1">
      <c r="B12" s="74"/>
      <c r="C12" s="56"/>
      <c r="D12" s="57" t="e">
        <f>C7*C12</f>
        <v>#REF!</v>
      </c>
    </row>
    <row r="13" spans="2:4" ht="35.1" customHeight="1">
      <c r="B13" s="74"/>
      <c r="C13" s="56"/>
      <c r="D13" s="57" t="e">
        <f>C7*C13</f>
        <v>#REF!</v>
      </c>
    </row>
    <row r="14" spans="2:4" ht="35.1" customHeight="1" thickBot="1">
      <c r="B14" s="75"/>
      <c r="C14" s="56"/>
      <c r="D14" s="61" t="e">
        <f>C7*C14</f>
        <v>#REF!</v>
      </c>
    </row>
    <row r="15" spans="2:4" ht="15.75" thickBot="1"/>
    <row r="16" spans="2:4">
      <c r="B16" s="379" t="s">
        <v>303</v>
      </c>
      <c r="C16" s="380"/>
      <c r="D16" s="381"/>
    </row>
    <row r="17" spans="2:4" ht="15.75" thickBot="1">
      <c r="B17" s="385"/>
      <c r="C17" s="386"/>
      <c r="D17" s="387"/>
    </row>
    <row r="18" spans="2:4">
      <c r="B18" s="51" t="s">
        <v>298</v>
      </c>
      <c r="C18" s="377" t="e">
        <f>SUM(#REF!,#REF!,#REF!,#REF!)</f>
        <v>#REF!</v>
      </c>
      <c r="D18" s="378"/>
    </row>
    <row r="19" spans="2:4">
      <c r="B19" s="51" t="s">
        <v>299</v>
      </c>
      <c r="C19" s="375" t="e">
        <f>SUM(D21:D25)</f>
        <v>#REF!</v>
      </c>
      <c r="D19" s="376"/>
    </row>
    <row r="20" spans="2:4">
      <c r="B20" s="52" t="s">
        <v>300</v>
      </c>
      <c r="C20" s="53" t="s">
        <v>301</v>
      </c>
      <c r="D20" s="54" t="s">
        <v>302</v>
      </c>
    </row>
    <row r="21" spans="2:4" ht="35.1" customHeight="1">
      <c r="B21" s="55"/>
      <c r="C21" s="56"/>
      <c r="D21" s="57" t="e">
        <f>$C$18*C21</f>
        <v>#REF!</v>
      </c>
    </row>
    <row r="22" spans="2:4" ht="35.1" customHeight="1">
      <c r="B22" s="58"/>
      <c r="C22" s="56"/>
      <c r="D22" s="57" t="e">
        <f>$C$18*C22</f>
        <v>#REF!</v>
      </c>
    </row>
    <row r="23" spans="2:4" ht="35.1" customHeight="1">
      <c r="B23" s="59"/>
      <c r="C23" s="56"/>
      <c r="D23" s="57" t="e">
        <f>$C$18*C23</f>
        <v>#REF!</v>
      </c>
    </row>
    <row r="24" spans="2:4" ht="35.1" customHeight="1">
      <c r="B24" s="59"/>
      <c r="C24" s="56"/>
      <c r="D24" s="57" t="e">
        <f>$C$18*C24</f>
        <v>#REF!</v>
      </c>
    </row>
    <row r="25" spans="2:4" ht="35.1" customHeight="1" thickBot="1">
      <c r="B25" s="60"/>
      <c r="C25" s="56"/>
      <c r="D25" s="57" t="e">
        <f>$C$18*C25</f>
        <v>#REF!</v>
      </c>
    </row>
    <row r="26" spans="2:4" ht="15.75" thickBot="1"/>
    <row r="27" spans="2:4">
      <c r="B27" s="379" t="s">
        <v>304</v>
      </c>
      <c r="C27" s="380"/>
      <c r="D27" s="381"/>
    </row>
    <row r="28" spans="2:4" ht="15.75" thickBot="1">
      <c r="B28" s="382"/>
      <c r="C28" s="383"/>
      <c r="D28" s="384"/>
    </row>
    <row r="29" spans="2:4">
      <c r="B29" s="51" t="s">
        <v>298</v>
      </c>
      <c r="C29" s="377" t="e">
        <f>SUM(#REF!,#REF!,#REF!,#REF!)</f>
        <v>#REF!</v>
      </c>
      <c r="D29" s="378"/>
    </row>
    <row r="30" spans="2:4">
      <c r="B30" s="51" t="s">
        <v>299</v>
      </c>
      <c r="C30" s="375" t="e">
        <f>SUM(D32:D36)</f>
        <v>#REF!</v>
      </c>
      <c r="D30" s="376"/>
    </row>
    <row r="31" spans="2:4">
      <c r="B31" s="52" t="s">
        <v>300</v>
      </c>
      <c r="C31" s="53" t="s">
        <v>301</v>
      </c>
      <c r="D31" s="54" t="s">
        <v>302</v>
      </c>
    </row>
    <row r="32" spans="2:4" ht="35.1" customHeight="1">
      <c r="B32" s="55"/>
      <c r="C32" s="56"/>
      <c r="D32" s="57" t="e">
        <f>$C$29*C32</f>
        <v>#REF!</v>
      </c>
    </row>
    <row r="33" spans="2:4" ht="35.1" customHeight="1">
      <c r="B33" s="58"/>
      <c r="C33" s="56"/>
      <c r="D33" s="57" t="e">
        <f>$C$29*C33</f>
        <v>#REF!</v>
      </c>
    </row>
    <row r="34" spans="2:4" ht="35.1" customHeight="1">
      <c r="B34" s="59"/>
      <c r="C34" s="56"/>
      <c r="D34" s="57" t="e">
        <f>$C$29*C34</f>
        <v>#REF!</v>
      </c>
    </row>
    <row r="35" spans="2:4" ht="35.1" customHeight="1">
      <c r="B35" s="59"/>
      <c r="C35" s="56"/>
      <c r="D35" s="57" t="e">
        <f>$C$29*C35</f>
        <v>#REF!</v>
      </c>
    </row>
    <row r="36" spans="2:4" ht="35.1" customHeight="1" thickBot="1">
      <c r="B36" s="60"/>
      <c r="C36" s="56"/>
      <c r="D36" s="57" t="e">
        <f>$C$29*C36</f>
        <v>#REF!</v>
      </c>
    </row>
    <row r="37" spans="2:4" ht="15.75" thickBot="1"/>
    <row r="38" spans="2:4">
      <c r="B38" s="379" t="s">
        <v>305</v>
      </c>
      <c r="C38" s="380"/>
      <c r="D38" s="381"/>
    </row>
    <row r="39" spans="2:4" ht="15.75" thickBot="1">
      <c r="B39" s="382"/>
      <c r="C39" s="383"/>
      <c r="D39" s="384"/>
    </row>
    <row r="40" spans="2:4">
      <c r="B40" s="51" t="s">
        <v>298</v>
      </c>
      <c r="C40" s="377" t="e">
        <f>SUM(#REF!,#REF!,#REF!,#REF!)</f>
        <v>#REF!</v>
      </c>
      <c r="D40" s="378"/>
    </row>
    <row r="41" spans="2:4">
      <c r="B41" s="51" t="s">
        <v>299</v>
      </c>
      <c r="C41" s="375" t="e">
        <f>SUM(D43:D47)</f>
        <v>#REF!</v>
      </c>
      <c r="D41" s="376"/>
    </row>
    <row r="42" spans="2:4">
      <c r="B42" s="52" t="s">
        <v>300</v>
      </c>
      <c r="C42" s="53" t="s">
        <v>301</v>
      </c>
      <c r="D42" s="54" t="s">
        <v>302</v>
      </c>
    </row>
    <row r="43" spans="2:4" ht="35.1" customHeight="1">
      <c r="B43" s="55"/>
      <c r="C43" s="56"/>
      <c r="D43" s="57" t="e">
        <f>$C$40*C43</f>
        <v>#REF!</v>
      </c>
    </row>
    <row r="44" spans="2:4" ht="35.1" customHeight="1">
      <c r="B44" s="58"/>
      <c r="C44" s="56"/>
      <c r="D44" s="57" t="e">
        <f>$C$40*C44</f>
        <v>#REF!</v>
      </c>
    </row>
    <row r="45" spans="2:4" ht="35.1" customHeight="1">
      <c r="B45" s="59"/>
      <c r="C45" s="56"/>
      <c r="D45" s="57" t="e">
        <f>$C$40*C45</f>
        <v>#REF!</v>
      </c>
    </row>
    <row r="46" spans="2:4" ht="35.1" customHeight="1">
      <c r="B46" s="59"/>
      <c r="C46" s="56"/>
      <c r="D46" s="57" t="e">
        <f>$C$40*C46</f>
        <v>#REF!</v>
      </c>
    </row>
    <row r="47" spans="2:4" ht="35.1" customHeight="1" thickBot="1">
      <c r="B47" s="60"/>
      <c r="C47" s="56"/>
      <c r="D47" s="61" t="e">
        <f>$C$40*C47</f>
        <v>#REF!</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I31"/>
  <sheetViews>
    <sheetView showGridLines="0" topLeftCell="A10" zoomScale="80" zoomScaleNormal="80" workbookViewId="0">
      <selection activeCell="E36" sqref="E36"/>
    </sheetView>
  </sheetViews>
  <sheetFormatPr defaultColWidth="8.85546875" defaultRowHeight="15"/>
  <cols>
    <col min="1" max="1" width="12.42578125" customWidth="1"/>
    <col min="2" max="2" width="20.42578125" customWidth="1"/>
    <col min="3" max="6" width="25.42578125" customWidth="1"/>
    <col min="7" max="7" width="24.42578125" customWidth="1"/>
    <col min="8" max="8" width="18.42578125" customWidth="1"/>
    <col min="9" max="9" width="21.85546875" customWidth="1"/>
    <col min="10" max="11" width="15.85546875" bestFit="1" customWidth="1"/>
    <col min="12" max="12" width="11.140625" bestFit="1" customWidth="1"/>
  </cols>
  <sheetData>
    <row r="1" spans="2:9" ht="15.75" thickBot="1"/>
    <row r="2" spans="2:9" s="45" customFormat="1" ht="15.75">
      <c r="B2" s="395" t="s">
        <v>306</v>
      </c>
      <c r="C2" s="396"/>
      <c r="D2" s="396"/>
      <c r="E2" s="396"/>
      <c r="F2" s="396"/>
      <c r="G2" s="397"/>
      <c r="H2" s="329"/>
      <c r="I2" s="329"/>
    </row>
    <row r="3" spans="2:9" s="45" customFormat="1" ht="16.5" thickBot="1">
      <c r="B3" s="398"/>
      <c r="C3" s="399"/>
      <c r="D3" s="399"/>
      <c r="E3" s="399"/>
      <c r="F3" s="399"/>
      <c r="G3" s="400"/>
      <c r="H3" s="329"/>
      <c r="I3" s="329"/>
    </row>
    <row r="4" spans="2:9" s="45" customFormat="1" ht="16.5" thickBot="1">
      <c r="B4" s="329"/>
      <c r="C4" s="329"/>
      <c r="D4" s="329"/>
      <c r="E4" s="329"/>
      <c r="F4" s="329"/>
      <c r="G4" s="329"/>
      <c r="H4" s="329"/>
      <c r="I4" s="329"/>
    </row>
    <row r="5" spans="2:9" s="45" customFormat="1" ht="16.5" thickBot="1">
      <c r="B5" s="372" t="s">
        <v>284</v>
      </c>
      <c r="C5" s="373"/>
      <c r="D5" s="373"/>
      <c r="E5" s="373"/>
      <c r="F5" s="373"/>
      <c r="G5" s="374"/>
      <c r="H5" s="329"/>
      <c r="I5" s="329"/>
    </row>
    <row r="6" spans="2:9" s="45" customFormat="1" ht="15.75" customHeight="1">
      <c r="B6" s="43"/>
      <c r="C6" s="401" t="str">
        <f>+'1c) Combined by budget activity'!D5</f>
        <v xml:space="preserve">
UNDP</v>
      </c>
      <c r="D6" s="401" t="str">
        <f>+'1c) Combined by budget activity'!E5</f>
        <v xml:space="preserve">
UNFPA</v>
      </c>
      <c r="E6" s="401" t="str">
        <f>+'1c) Combined by budget activity'!F5</f>
        <v xml:space="preserve">
WFP</v>
      </c>
      <c r="F6" s="401" t="str">
        <f>+'1c) Combined by budget activity'!M5</f>
        <v>UNESCO</v>
      </c>
      <c r="G6" s="370" t="s">
        <v>284</v>
      </c>
      <c r="H6" s="329"/>
      <c r="I6" s="329"/>
    </row>
    <row r="7" spans="2:9" s="45" customFormat="1" ht="15.75">
      <c r="B7" s="43"/>
      <c r="C7" s="402"/>
      <c r="D7" s="402"/>
      <c r="E7" s="402"/>
      <c r="F7" s="402"/>
      <c r="G7" s="371"/>
      <c r="H7" s="329"/>
      <c r="I7" s="329"/>
    </row>
    <row r="8" spans="2:9" s="45" customFormat="1" ht="31.5">
      <c r="B8" s="8" t="s">
        <v>268</v>
      </c>
      <c r="C8" s="311">
        <f>'2a) By Category Phase I+ II'!D122</f>
        <v>874681.6</v>
      </c>
      <c r="D8" s="311">
        <f>'2a) By Category Phase I+ II'!E122</f>
        <v>86110.28</v>
      </c>
      <c r="E8" s="311">
        <f>'2a) By Category Phase I+ II'!F122</f>
        <v>30000</v>
      </c>
      <c r="F8" s="311">
        <f>'2a) By Category Phase I+ II'!G122</f>
        <v>80271.899999999994</v>
      </c>
      <c r="G8" s="41">
        <f t="shared" ref="G8:G15" si="0">SUM(C8:F8)</f>
        <v>1071063.78</v>
      </c>
      <c r="H8" s="330"/>
      <c r="I8" s="329"/>
    </row>
    <row r="9" spans="2:9" s="45" customFormat="1" ht="47.25">
      <c r="B9" s="8" t="s">
        <v>269</v>
      </c>
      <c r="C9" s="311">
        <f>'2a) By Category Phase I+ II'!D123</f>
        <v>271894.83</v>
      </c>
      <c r="D9" s="311">
        <f>'2a) By Category Phase I+ II'!E123</f>
        <v>0</v>
      </c>
      <c r="E9" s="311">
        <f>'2a) By Category Phase I+ II'!F123</f>
        <v>12066.98</v>
      </c>
      <c r="F9" s="311">
        <f>'2a) By Category Phase I+ II'!G123</f>
        <v>30195.490000000005</v>
      </c>
      <c r="G9" s="42">
        <f t="shared" si="0"/>
        <v>314157.3</v>
      </c>
      <c r="H9" s="330"/>
      <c r="I9" s="329"/>
    </row>
    <row r="10" spans="2:9" s="45" customFormat="1" ht="78.75">
      <c r="B10" s="8" t="s">
        <v>270</v>
      </c>
      <c r="C10" s="311">
        <f>'2a) By Category Phase I+ II'!D124</f>
        <v>12051.16</v>
      </c>
      <c r="D10" s="311">
        <f>'2a) By Category Phase I+ II'!E124</f>
        <v>0</v>
      </c>
      <c r="E10" s="311">
        <f>'2a) By Category Phase I+ II'!F124</f>
        <v>0</v>
      </c>
      <c r="F10" s="311">
        <f>'2a) By Category Phase I+ II'!G124</f>
        <v>1496.65</v>
      </c>
      <c r="G10" s="42">
        <f t="shared" si="0"/>
        <v>13547.81</v>
      </c>
      <c r="H10" s="330"/>
      <c r="I10" s="331"/>
    </row>
    <row r="11" spans="2:9" s="45" customFormat="1" ht="31.5">
      <c r="B11" s="12" t="s">
        <v>271</v>
      </c>
      <c r="C11" s="311">
        <f>'2a) By Category Phase I+ II'!D125</f>
        <v>678166.84</v>
      </c>
      <c r="D11" s="311">
        <f>'2a) By Category Phase I+ II'!E125</f>
        <v>79237.540000000008</v>
      </c>
      <c r="E11" s="311">
        <f>'2a) By Category Phase I+ II'!F125</f>
        <v>0</v>
      </c>
      <c r="F11" s="311">
        <f>'2a) By Category Phase I+ II'!G125</f>
        <v>256796.41999999998</v>
      </c>
      <c r="G11" s="42">
        <f t="shared" si="0"/>
        <v>1014200.8</v>
      </c>
      <c r="H11" s="330"/>
      <c r="I11" s="331"/>
    </row>
    <row r="12" spans="2:9" s="45" customFormat="1" ht="15.75">
      <c r="B12" s="8" t="s">
        <v>272</v>
      </c>
      <c r="C12" s="311">
        <f>'2a) By Category Phase I+ II'!D126</f>
        <v>65596.989999999991</v>
      </c>
      <c r="D12" s="311">
        <f>'2a) By Category Phase I+ II'!E126</f>
        <v>0</v>
      </c>
      <c r="E12" s="311">
        <f>'2a) By Category Phase I+ II'!F126</f>
        <v>0</v>
      </c>
      <c r="F12" s="311">
        <f>'2a) By Category Phase I+ II'!G126</f>
        <v>7791.82</v>
      </c>
      <c r="G12" s="42">
        <f t="shared" si="0"/>
        <v>73388.81</v>
      </c>
      <c r="H12" s="330"/>
      <c r="I12" s="331"/>
    </row>
    <row r="13" spans="2:9" s="45" customFormat="1" ht="47.25">
      <c r="B13" s="8" t="s">
        <v>273</v>
      </c>
      <c r="C13" s="311">
        <f>'2a) By Category Phase I+ II'!D127</f>
        <v>757021.00033264386</v>
      </c>
      <c r="D13" s="311">
        <f>'2a) By Category Phase I+ II'!E127</f>
        <v>88439.25</v>
      </c>
      <c r="E13" s="311">
        <f>'2a) By Category Phase I+ II'!F127</f>
        <v>101330.23</v>
      </c>
      <c r="F13" s="311">
        <f>'2a) By Category Phase I+ II'!G127</f>
        <v>0</v>
      </c>
      <c r="G13" s="42">
        <f t="shared" si="0"/>
        <v>946790.48033264384</v>
      </c>
      <c r="H13" s="330"/>
      <c r="I13" s="331"/>
    </row>
    <row r="14" spans="2:9" s="45" customFormat="1" ht="48" thickBot="1">
      <c r="B14" s="93" t="s">
        <v>274</v>
      </c>
      <c r="C14" s="319">
        <f>'2a) By Category Phase I+ II'!D128</f>
        <v>187129.78000000003</v>
      </c>
      <c r="D14" s="319">
        <f>'2a) By Category Phase I+ II'!E128</f>
        <v>8000</v>
      </c>
      <c r="E14" s="319">
        <f>'2a) By Category Phase I+ II'!F128</f>
        <v>27102.79</v>
      </c>
      <c r="F14" s="319">
        <f>'2a) By Category Phase I+ II'!G128</f>
        <v>1387.72</v>
      </c>
      <c r="G14" s="94">
        <f t="shared" si="0"/>
        <v>223620.29000000004</v>
      </c>
      <c r="H14" s="330"/>
      <c r="I14" s="329"/>
    </row>
    <row r="15" spans="2:9" s="45" customFormat="1" ht="30" customHeight="1">
      <c r="B15" s="332" t="s">
        <v>307</v>
      </c>
      <c r="C15" s="95">
        <f>SUM(C8:C14)</f>
        <v>2846542.2003326435</v>
      </c>
      <c r="D15" s="95">
        <f>SUM(D8:D14)</f>
        <v>261787.07</v>
      </c>
      <c r="E15" s="95">
        <f>SUM(E8:E14)</f>
        <v>170500</v>
      </c>
      <c r="F15" s="95">
        <f>SUM(F8:F14)</f>
        <v>377939.99999999994</v>
      </c>
      <c r="G15" s="96">
        <f t="shared" si="0"/>
        <v>3656769.2703326433</v>
      </c>
      <c r="H15" s="330"/>
      <c r="I15" s="329"/>
    </row>
    <row r="16" spans="2:9" s="45" customFormat="1" ht="19.5" customHeight="1">
      <c r="B16" s="315" t="s">
        <v>286</v>
      </c>
      <c r="C16" s="97">
        <f>C15*0.07</f>
        <v>199257.95402328507</v>
      </c>
      <c r="D16" s="97">
        <f t="shared" ref="D16:G16" si="1">D15*0.07</f>
        <v>18325.094900000004</v>
      </c>
      <c r="E16" s="97">
        <f t="shared" si="1"/>
        <v>11935.000000000002</v>
      </c>
      <c r="F16" s="97">
        <f t="shared" si="1"/>
        <v>26455.8</v>
      </c>
      <c r="G16" s="97">
        <f t="shared" si="1"/>
        <v>255973.84892328506</v>
      </c>
      <c r="H16" s="330"/>
      <c r="I16" s="329"/>
    </row>
    <row r="17" spans="2:8" s="45" customFormat="1" ht="25.5" customHeight="1" thickBot="1">
      <c r="B17" s="98" t="s">
        <v>9</v>
      </c>
      <c r="C17" s="99">
        <f>C15+C16</f>
        <v>3045800.1543559283</v>
      </c>
      <c r="D17" s="99">
        <f t="shared" ref="D17:G17" si="2">D15+D16</f>
        <v>280112.16490000003</v>
      </c>
      <c r="E17" s="99">
        <f t="shared" si="2"/>
        <v>182435</v>
      </c>
      <c r="F17" s="99">
        <f t="shared" si="2"/>
        <v>404395.79999999993</v>
      </c>
      <c r="G17" s="99">
        <f t="shared" si="2"/>
        <v>3912743.1192559283</v>
      </c>
      <c r="H17" s="330"/>
    </row>
    <row r="18" spans="2:8" s="45" customFormat="1" ht="16.5" thickBot="1">
      <c r="B18" s="329"/>
      <c r="C18" s="329"/>
      <c r="D18" s="329"/>
      <c r="E18" s="329"/>
      <c r="F18" s="329"/>
      <c r="G18" s="329"/>
      <c r="H18" s="329"/>
    </row>
    <row r="19" spans="2:8" s="45" customFormat="1" ht="15.75" customHeight="1">
      <c r="B19" s="405" t="s">
        <v>308</v>
      </c>
      <c r="C19" s="406"/>
      <c r="D19" s="406"/>
      <c r="E19" s="406"/>
      <c r="F19" s="406"/>
      <c r="G19" s="407"/>
      <c r="H19" s="333"/>
    </row>
    <row r="20" spans="2:8" ht="15.75" customHeight="1">
      <c r="B20" s="408"/>
      <c r="C20" s="403" t="str">
        <f>+'1c) Combined by budget activity'!D5</f>
        <v xml:space="preserve">
UNDP</v>
      </c>
      <c r="D20" s="403" t="str">
        <f>+'1c) Combined by budget activity'!E5</f>
        <v xml:space="preserve">
UNFPA</v>
      </c>
      <c r="E20" s="403" t="str">
        <f>+'1c) Combined by budget activity'!F5</f>
        <v xml:space="preserve">
WFP</v>
      </c>
      <c r="F20" s="403" t="str">
        <f>+'1c) Combined by budget activity'!M5</f>
        <v>UNESCO</v>
      </c>
      <c r="G20" s="403" t="s">
        <v>287</v>
      </c>
      <c r="H20" s="394" t="s">
        <v>243</v>
      </c>
    </row>
    <row r="21" spans="2:8" ht="15.75" customHeight="1">
      <c r="B21" s="409"/>
      <c r="C21" s="404"/>
      <c r="D21" s="404"/>
      <c r="E21" s="404"/>
      <c r="F21" s="404"/>
      <c r="G21" s="404"/>
      <c r="H21" s="371"/>
    </row>
    <row r="22" spans="2:8" ht="15.75" customHeight="1">
      <c r="B22" s="221" t="s">
        <v>245</v>
      </c>
      <c r="C22" s="334">
        <f>+'1c) Combined by budget activity'!C185</f>
        <v>841051.52220000001</v>
      </c>
      <c r="D22" s="334">
        <f>+'1c) Combined by budget activity'!D185</f>
        <v>67731</v>
      </c>
      <c r="E22" s="334">
        <f>+'1c) Combined by budget activity'!E185</f>
        <v>91217.5</v>
      </c>
      <c r="F22" s="189"/>
      <c r="G22" s="222">
        <f>SUM(C22:F22)</f>
        <v>1000000.0222</v>
      </c>
      <c r="H22" s="85">
        <v>0.5</v>
      </c>
    </row>
    <row r="23" spans="2:8" ht="15.75" customHeight="1">
      <c r="B23" s="221" t="s">
        <v>246</v>
      </c>
      <c r="C23" s="334">
        <f>+'1c) Combined by budget activity'!C186</f>
        <v>504630.91331999999</v>
      </c>
      <c r="D23" s="334">
        <f>+'1c) Combined by budget activity'!D186</f>
        <v>40638.6</v>
      </c>
      <c r="E23" s="334">
        <f>+'1c) Combined by budget activity'!E186</f>
        <v>54730.5</v>
      </c>
      <c r="F23" s="189"/>
      <c r="G23" s="222">
        <f t="shared" ref="G23:G26" si="3">SUM(C23:F23)</f>
        <v>600000.01332000003</v>
      </c>
      <c r="H23" s="86">
        <v>0.3</v>
      </c>
    </row>
    <row r="24" spans="2:8" ht="15.75" customHeight="1">
      <c r="B24" s="221" t="s">
        <v>309</v>
      </c>
      <c r="C24" s="334">
        <f>+'1c) Combined by budget activity'!C187</f>
        <v>336420.60888000001</v>
      </c>
      <c r="D24" s="334">
        <f>+'1c) Combined by budget activity'!D187</f>
        <v>27092.400000000001</v>
      </c>
      <c r="E24" s="334">
        <f>+'1c) Combined by budget activity'!E187</f>
        <v>36487</v>
      </c>
      <c r="F24" s="189"/>
      <c r="G24" s="222">
        <f t="shared" si="3"/>
        <v>400000.00888000004</v>
      </c>
      <c r="H24" s="87">
        <v>0.2</v>
      </c>
    </row>
    <row r="25" spans="2:8" ht="23.25" customHeight="1">
      <c r="B25" s="11" t="s">
        <v>251</v>
      </c>
      <c r="C25" s="334">
        <f>+'1c) Combined by budget activity'!K191</f>
        <v>930258</v>
      </c>
      <c r="D25" s="334">
        <f>+'1c) Combined by budget activity'!L191</f>
        <v>158574</v>
      </c>
      <c r="E25" s="334"/>
      <c r="F25" s="334">
        <f>+'1c) Combined by budget activity'!M191</f>
        <v>417300</v>
      </c>
      <c r="G25" s="222">
        <f t="shared" si="3"/>
        <v>1506132</v>
      </c>
      <c r="H25" s="87">
        <v>0.6</v>
      </c>
    </row>
    <row r="26" spans="2:8" ht="24.75" customHeight="1">
      <c r="B26" s="11" t="s">
        <v>253</v>
      </c>
      <c r="C26" s="334">
        <f>+'1c) Combined by budget activity'!K192</f>
        <v>620172</v>
      </c>
      <c r="D26" s="334">
        <f>+'1c) Combined by budget activity'!L192</f>
        <v>105716</v>
      </c>
      <c r="E26" s="334"/>
      <c r="F26" s="334">
        <f>+'1c) Combined by budget activity'!M192</f>
        <v>278200</v>
      </c>
      <c r="G26" s="222">
        <f t="shared" si="3"/>
        <v>1004088</v>
      </c>
      <c r="H26" s="87">
        <v>0.4</v>
      </c>
    </row>
    <row r="27" spans="2:8" ht="16.5" thickBot="1">
      <c r="B27" s="4" t="s">
        <v>287</v>
      </c>
      <c r="C27" s="102">
        <f>SUM(C22:C26)</f>
        <v>3232533.0444</v>
      </c>
      <c r="D27" s="102">
        <f>SUM(D22:D26)</f>
        <v>399752</v>
      </c>
      <c r="E27" s="102">
        <f>SUM(E22:E26)</f>
        <v>182435</v>
      </c>
      <c r="F27" s="102">
        <f>SUM(F22:F26)</f>
        <v>695500</v>
      </c>
      <c r="G27" s="102">
        <f>SUM(G22:G26)</f>
        <v>4510220.0444</v>
      </c>
      <c r="H27" s="103"/>
    </row>
    <row r="29" spans="2:8">
      <c r="C29" s="252"/>
    </row>
    <row r="30" spans="2:8">
      <c r="C30" s="253"/>
    </row>
    <row r="31" spans="2:8">
      <c r="C31" s="252"/>
    </row>
  </sheetData>
  <sheetProtection formatCells="0" formatColumns="0" formatRows="0"/>
  <mergeCells count="15">
    <mergeCell ref="H20:H21"/>
    <mergeCell ref="B2:G3"/>
    <mergeCell ref="C6:C7"/>
    <mergeCell ref="D6:D7"/>
    <mergeCell ref="F6:F7"/>
    <mergeCell ref="C20:C21"/>
    <mergeCell ref="D20:D21"/>
    <mergeCell ref="F20:F21"/>
    <mergeCell ref="B19:G19"/>
    <mergeCell ref="B5:G5"/>
    <mergeCell ref="G6:G7"/>
    <mergeCell ref="B20:B21"/>
    <mergeCell ref="G20:G21"/>
    <mergeCell ref="E6:E7"/>
    <mergeCell ref="E20:E21"/>
  </mergeCells>
  <conditionalFormatting sqref="G17">
    <cfRule type="cellIs" dxfId="0" priority="1" operator="notEqual">
      <formula>#REF!</formula>
    </cfRule>
  </conditionalFormatting>
  <dataValidations disablePrompts="1"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F7 F21 C21 C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5"/>
  <sheetData>
    <row r="1" spans="1:1">
      <c r="A1" s="88">
        <v>0</v>
      </c>
    </row>
    <row r="2" spans="1:1">
      <c r="A2" s="88">
        <v>0.2</v>
      </c>
    </row>
    <row r="3" spans="1:1">
      <c r="A3" s="88">
        <v>0.4</v>
      </c>
    </row>
    <row r="4" spans="1:1">
      <c r="A4" s="88">
        <v>0.6</v>
      </c>
    </row>
    <row r="5" spans="1:1">
      <c r="A5" s="88">
        <v>0.8</v>
      </c>
    </row>
    <row r="6" spans="1:1">
      <c r="A6" s="88">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5"/>
  <sheetData>
    <row r="1" spans="1:2">
      <c r="A1" s="46" t="s">
        <v>310</v>
      </c>
      <c r="B1" s="47" t="s">
        <v>311</v>
      </c>
    </row>
    <row r="2" spans="1:2">
      <c r="A2" s="48" t="s">
        <v>312</v>
      </c>
      <c r="B2" s="49" t="s">
        <v>313</v>
      </c>
    </row>
    <row r="3" spans="1:2">
      <c r="A3" s="48" t="s">
        <v>314</v>
      </c>
      <c r="B3" s="49" t="s">
        <v>315</v>
      </c>
    </row>
    <row r="4" spans="1:2">
      <c r="A4" s="48" t="s">
        <v>316</v>
      </c>
      <c r="B4" s="49" t="s">
        <v>317</v>
      </c>
    </row>
    <row r="5" spans="1:2">
      <c r="A5" s="48" t="s">
        <v>318</v>
      </c>
      <c r="B5" s="49" t="s">
        <v>319</v>
      </c>
    </row>
    <row r="6" spans="1:2">
      <c r="A6" s="48" t="s">
        <v>320</v>
      </c>
      <c r="B6" s="49" t="s">
        <v>321</v>
      </c>
    </row>
    <row r="7" spans="1:2">
      <c r="A7" s="48" t="s">
        <v>322</v>
      </c>
      <c r="B7" s="49" t="s">
        <v>323</v>
      </c>
    </row>
    <row r="8" spans="1:2">
      <c r="A8" s="48" t="s">
        <v>324</v>
      </c>
      <c r="B8" s="49" t="s">
        <v>325</v>
      </c>
    </row>
    <row r="9" spans="1:2">
      <c r="A9" s="48" t="s">
        <v>326</v>
      </c>
      <c r="B9" s="49" t="s">
        <v>327</v>
      </c>
    </row>
    <row r="10" spans="1:2">
      <c r="A10" s="48" t="s">
        <v>328</v>
      </c>
      <c r="B10" s="49" t="s">
        <v>329</v>
      </c>
    </row>
    <row r="11" spans="1:2">
      <c r="A11" s="48" t="s">
        <v>330</v>
      </c>
      <c r="B11" s="49" t="s">
        <v>331</v>
      </c>
    </row>
    <row r="12" spans="1:2">
      <c r="A12" s="48" t="s">
        <v>332</v>
      </c>
      <c r="B12" s="49" t="s">
        <v>333</v>
      </c>
    </row>
    <row r="13" spans="1:2">
      <c r="A13" s="48" t="s">
        <v>334</v>
      </c>
      <c r="B13" s="49" t="s">
        <v>335</v>
      </c>
    </row>
    <row r="14" spans="1:2">
      <c r="A14" s="48" t="s">
        <v>336</v>
      </c>
      <c r="B14" s="49" t="s">
        <v>337</v>
      </c>
    </row>
    <row r="15" spans="1:2">
      <c r="A15" s="48" t="s">
        <v>338</v>
      </c>
      <c r="B15" s="49" t="s">
        <v>339</v>
      </c>
    </row>
    <row r="16" spans="1:2">
      <c r="A16" s="48" t="s">
        <v>340</v>
      </c>
      <c r="B16" s="49" t="s">
        <v>341</v>
      </c>
    </row>
    <row r="17" spans="1:2">
      <c r="A17" s="48" t="s">
        <v>342</v>
      </c>
      <c r="B17" s="49" t="s">
        <v>343</v>
      </c>
    </row>
    <row r="18" spans="1:2">
      <c r="A18" s="48" t="s">
        <v>344</v>
      </c>
      <c r="B18" s="49" t="s">
        <v>345</v>
      </c>
    </row>
    <row r="19" spans="1:2">
      <c r="A19" s="48" t="s">
        <v>346</v>
      </c>
      <c r="B19" s="49" t="s">
        <v>347</v>
      </c>
    </row>
    <row r="20" spans="1:2">
      <c r="A20" s="48" t="s">
        <v>348</v>
      </c>
      <c r="B20" s="49" t="s">
        <v>349</v>
      </c>
    </row>
    <row r="21" spans="1:2">
      <c r="A21" s="48" t="s">
        <v>350</v>
      </c>
      <c r="B21" s="49" t="s">
        <v>351</v>
      </c>
    </row>
    <row r="22" spans="1:2">
      <c r="A22" s="48" t="s">
        <v>352</v>
      </c>
      <c r="B22" s="49" t="s">
        <v>353</v>
      </c>
    </row>
    <row r="23" spans="1:2">
      <c r="A23" s="48" t="s">
        <v>354</v>
      </c>
      <c r="B23" s="49" t="s">
        <v>355</v>
      </c>
    </row>
    <row r="24" spans="1:2">
      <c r="A24" s="48" t="s">
        <v>356</v>
      </c>
      <c r="B24" s="49" t="s">
        <v>357</v>
      </c>
    </row>
    <row r="25" spans="1:2">
      <c r="A25" s="48" t="s">
        <v>358</v>
      </c>
      <c r="B25" s="49" t="s">
        <v>359</v>
      </c>
    </row>
    <row r="26" spans="1:2">
      <c r="A26" s="48" t="s">
        <v>360</v>
      </c>
      <c r="B26" s="49" t="s">
        <v>361</v>
      </c>
    </row>
    <row r="27" spans="1:2">
      <c r="A27" s="48" t="s">
        <v>362</v>
      </c>
      <c r="B27" s="49" t="s">
        <v>363</v>
      </c>
    </row>
    <row r="28" spans="1:2">
      <c r="A28" s="48" t="s">
        <v>364</v>
      </c>
      <c r="B28" s="49" t="s">
        <v>365</v>
      </c>
    </row>
    <row r="29" spans="1:2">
      <c r="A29" s="48" t="s">
        <v>366</v>
      </c>
      <c r="B29" s="49" t="s">
        <v>367</v>
      </c>
    </row>
    <row r="30" spans="1:2">
      <c r="A30" s="48" t="s">
        <v>368</v>
      </c>
      <c r="B30" s="49" t="s">
        <v>369</v>
      </c>
    </row>
    <row r="31" spans="1:2">
      <c r="A31" s="48" t="s">
        <v>370</v>
      </c>
      <c r="B31" s="49" t="s">
        <v>371</v>
      </c>
    </row>
    <row r="32" spans="1:2">
      <c r="A32" s="48" t="s">
        <v>372</v>
      </c>
      <c r="B32" s="49" t="s">
        <v>373</v>
      </c>
    </row>
    <row r="33" spans="1:2">
      <c r="A33" s="48" t="s">
        <v>374</v>
      </c>
      <c r="B33" s="49" t="s">
        <v>375</v>
      </c>
    </row>
    <row r="34" spans="1:2">
      <c r="A34" s="48" t="s">
        <v>376</v>
      </c>
      <c r="B34" s="49" t="s">
        <v>377</v>
      </c>
    </row>
    <row r="35" spans="1:2">
      <c r="A35" s="48" t="s">
        <v>378</v>
      </c>
      <c r="B35" s="49" t="s">
        <v>379</v>
      </c>
    </row>
    <row r="36" spans="1:2">
      <c r="A36" s="48" t="s">
        <v>380</v>
      </c>
      <c r="B36" s="49" t="s">
        <v>381</v>
      </c>
    </row>
    <row r="37" spans="1:2">
      <c r="A37" s="48" t="s">
        <v>382</v>
      </c>
      <c r="B37" s="49" t="s">
        <v>383</v>
      </c>
    </row>
    <row r="38" spans="1:2">
      <c r="A38" s="48" t="s">
        <v>384</v>
      </c>
      <c r="B38" s="49" t="s">
        <v>385</v>
      </c>
    </row>
    <row r="39" spans="1:2">
      <c r="A39" s="48" t="s">
        <v>386</v>
      </c>
      <c r="B39" s="49" t="s">
        <v>387</v>
      </c>
    </row>
    <row r="40" spans="1:2">
      <c r="A40" s="48" t="s">
        <v>388</v>
      </c>
      <c r="B40" s="49" t="s">
        <v>389</v>
      </c>
    </row>
    <row r="41" spans="1:2">
      <c r="A41" s="48" t="s">
        <v>390</v>
      </c>
      <c r="B41" s="49" t="s">
        <v>391</v>
      </c>
    </row>
    <row r="42" spans="1:2">
      <c r="A42" s="48" t="s">
        <v>392</v>
      </c>
      <c r="B42" s="49" t="s">
        <v>393</v>
      </c>
    </row>
    <row r="43" spans="1:2">
      <c r="A43" s="48" t="s">
        <v>394</v>
      </c>
      <c r="B43" s="49" t="s">
        <v>395</v>
      </c>
    </row>
    <row r="44" spans="1:2">
      <c r="A44" s="48" t="s">
        <v>396</v>
      </c>
      <c r="B44" s="49" t="s">
        <v>397</v>
      </c>
    </row>
    <row r="45" spans="1:2">
      <c r="A45" s="48" t="s">
        <v>398</v>
      </c>
      <c r="B45" s="49" t="s">
        <v>399</v>
      </c>
    </row>
    <row r="46" spans="1:2">
      <c r="A46" s="48" t="s">
        <v>400</v>
      </c>
      <c r="B46" s="49" t="s">
        <v>401</v>
      </c>
    </row>
    <row r="47" spans="1:2">
      <c r="A47" s="48" t="s">
        <v>402</v>
      </c>
      <c r="B47" s="49" t="s">
        <v>403</v>
      </c>
    </row>
    <row r="48" spans="1:2">
      <c r="A48" s="48" t="s">
        <v>404</v>
      </c>
      <c r="B48" s="49" t="s">
        <v>405</v>
      </c>
    </row>
    <row r="49" spans="1:2">
      <c r="A49" s="48" t="s">
        <v>406</v>
      </c>
      <c r="B49" s="49" t="s">
        <v>407</v>
      </c>
    </row>
    <row r="50" spans="1:2">
      <c r="A50" s="48" t="s">
        <v>408</v>
      </c>
      <c r="B50" s="49" t="s">
        <v>409</v>
      </c>
    </row>
    <row r="51" spans="1:2">
      <c r="A51" s="48" t="s">
        <v>410</v>
      </c>
      <c r="B51" s="49" t="s">
        <v>411</v>
      </c>
    </row>
    <row r="52" spans="1:2">
      <c r="A52" s="48" t="s">
        <v>412</v>
      </c>
      <c r="B52" s="49" t="s">
        <v>413</v>
      </c>
    </row>
    <row r="53" spans="1:2">
      <c r="A53" s="48" t="s">
        <v>414</v>
      </c>
      <c r="B53" s="49" t="s">
        <v>415</v>
      </c>
    </row>
    <row r="54" spans="1:2">
      <c r="A54" s="48" t="s">
        <v>416</v>
      </c>
      <c r="B54" s="49" t="s">
        <v>417</v>
      </c>
    </row>
    <row r="55" spans="1:2">
      <c r="A55" s="48" t="s">
        <v>418</v>
      </c>
      <c r="B55" s="49" t="s">
        <v>419</v>
      </c>
    </row>
    <row r="56" spans="1:2">
      <c r="A56" s="48" t="s">
        <v>420</v>
      </c>
      <c r="B56" s="49" t="s">
        <v>421</v>
      </c>
    </row>
    <row r="57" spans="1:2">
      <c r="A57" s="48" t="s">
        <v>422</v>
      </c>
      <c r="B57" s="49" t="s">
        <v>423</v>
      </c>
    </row>
    <row r="58" spans="1:2">
      <c r="A58" s="48" t="s">
        <v>424</v>
      </c>
      <c r="B58" s="49" t="s">
        <v>425</v>
      </c>
    </row>
    <row r="59" spans="1:2">
      <c r="A59" s="48" t="s">
        <v>426</v>
      </c>
      <c r="B59" s="49" t="s">
        <v>427</v>
      </c>
    </row>
    <row r="60" spans="1:2">
      <c r="A60" s="48" t="s">
        <v>428</v>
      </c>
      <c r="B60" s="49" t="s">
        <v>429</v>
      </c>
    </row>
    <row r="61" spans="1:2">
      <c r="A61" s="48" t="s">
        <v>430</v>
      </c>
      <c r="B61" s="49" t="s">
        <v>431</v>
      </c>
    </row>
    <row r="62" spans="1:2">
      <c r="A62" s="48" t="s">
        <v>432</v>
      </c>
      <c r="B62" s="49" t="s">
        <v>433</v>
      </c>
    </row>
    <row r="63" spans="1:2">
      <c r="A63" s="48" t="s">
        <v>434</v>
      </c>
      <c r="B63" s="49" t="s">
        <v>435</v>
      </c>
    </row>
    <row r="64" spans="1:2">
      <c r="A64" s="48" t="s">
        <v>436</v>
      </c>
      <c r="B64" s="49" t="s">
        <v>437</v>
      </c>
    </row>
    <row r="65" spans="1:2">
      <c r="A65" s="48" t="s">
        <v>438</v>
      </c>
      <c r="B65" s="49" t="s">
        <v>439</v>
      </c>
    </row>
    <row r="66" spans="1:2">
      <c r="A66" s="48" t="s">
        <v>440</v>
      </c>
      <c r="B66" s="49" t="s">
        <v>441</v>
      </c>
    </row>
    <row r="67" spans="1:2">
      <c r="A67" s="48" t="s">
        <v>442</v>
      </c>
      <c r="B67" s="49" t="s">
        <v>443</v>
      </c>
    </row>
    <row r="68" spans="1:2">
      <c r="A68" s="48" t="s">
        <v>444</v>
      </c>
      <c r="B68" s="49" t="s">
        <v>445</v>
      </c>
    </row>
    <row r="69" spans="1:2">
      <c r="A69" s="48" t="s">
        <v>446</v>
      </c>
      <c r="B69" s="49" t="s">
        <v>447</v>
      </c>
    </row>
    <row r="70" spans="1:2">
      <c r="A70" s="48" t="s">
        <v>448</v>
      </c>
      <c r="B70" s="49" t="s">
        <v>449</v>
      </c>
    </row>
    <row r="71" spans="1:2">
      <c r="A71" s="48" t="s">
        <v>450</v>
      </c>
      <c r="B71" s="49" t="s">
        <v>451</v>
      </c>
    </row>
    <row r="72" spans="1:2">
      <c r="A72" s="48" t="s">
        <v>452</v>
      </c>
      <c r="B72" s="49" t="s">
        <v>453</v>
      </c>
    </row>
    <row r="73" spans="1:2">
      <c r="A73" s="48" t="s">
        <v>454</v>
      </c>
      <c r="B73" s="49" t="s">
        <v>455</v>
      </c>
    </row>
    <row r="74" spans="1:2">
      <c r="A74" s="48" t="s">
        <v>456</v>
      </c>
      <c r="B74" s="49" t="s">
        <v>457</v>
      </c>
    </row>
    <row r="75" spans="1:2">
      <c r="A75" s="48" t="s">
        <v>458</v>
      </c>
      <c r="B75" s="50" t="s">
        <v>459</v>
      </c>
    </row>
    <row r="76" spans="1:2">
      <c r="A76" s="48" t="s">
        <v>460</v>
      </c>
      <c r="B76" s="50" t="s">
        <v>461</v>
      </c>
    </row>
    <row r="77" spans="1:2">
      <c r="A77" s="48" t="s">
        <v>462</v>
      </c>
      <c r="B77" s="50" t="s">
        <v>463</v>
      </c>
    </row>
    <row r="78" spans="1:2">
      <c r="A78" s="48" t="s">
        <v>464</v>
      </c>
      <c r="B78" s="50" t="s">
        <v>465</v>
      </c>
    </row>
    <row r="79" spans="1:2">
      <c r="A79" s="48" t="s">
        <v>466</v>
      </c>
      <c r="B79" s="50" t="s">
        <v>467</v>
      </c>
    </row>
    <row r="80" spans="1:2">
      <c r="A80" s="48" t="s">
        <v>468</v>
      </c>
      <c r="B80" s="50" t="s">
        <v>469</v>
      </c>
    </row>
    <row r="81" spans="1:2">
      <c r="A81" s="48" t="s">
        <v>470</v>
      </c>
      <c r="B81" s="50" t="s">
        <v>471</v>
      </c>
    </row>
    <row r="82" spans="1:2">
      <c r="A82" s="48" t="s">
        <v>472</v>
      </c>
      <c r="B82" s="50" t="s">
        <v>473</v>
      </c>
    </row>
    <row r="83" spans="1:2">
      <c r="A83" s="48" t="s">
        <v>474</v>
      </c>
      <c r="B83" s="50" t="s">
        <v>475</v>
      </c>
    </row>
    <row r="84" spans="1:2">
      <c r="A84" s="48" t="s">
        <v>476</v>
      </c>
      <c r="B84" s="50" t="s">
        <v>477</v>
      </c>
    </row>
    <row r="85" spans="1:2">
      <c r="A85" s="48" t="s">
        <v>478</v>
      </c>
      <c r="B85" s="50" t="s">
        <v>479</v>
      </c>
    </row>
    <row r="86" spans="1:2">
      <c r="A86" s="48" t="s">
        <v>480</v>
      </c>
      <c r="B86" s="50" t="s">
        <v>481</v>
      </c>
    </row>
    <row r="87" spans="1:2">
      <c r="A87" s="48" t="s">
        <v>482</v>
      </c>
      <c r="B87" s="50" t="s">
        <v>483</v>
      </c>
    </row>
    <row r="88" spans="1:2">
      <c r="A88" s="48" t="s">
        <v>484</v>
      </c>
      <c r="B88" s="50" t="s">
        <v>485</v>
      </c>
    </row>
    <row r="89" spans="1:2">
      <c r="A89" s="48" t="s">
        <v>486</v>
      </c>
      <c r="B89" s="50" t="s">
        <v>487</v>
      </c>
    </row>
    <row r="90" spans="1:2">
      <c r="A90" s="48" t="s">
        <v>488</v>
      </c>
      <c r="B90" s="50" t="s">
        <v>489</v>
      </c>
    </row>
    <row r="91" spans="1:2">
      <c r="A91" s="48" t="s">
        <v>490</v>
      </c>
      <c r="B91" s="50" t="s">
        <v>491</v>
      </c>
    </row>
    <row r="92" spans="1:2">
      <c r="A92" s="48" t="s">
        <v>492</v>
      </c>
      <c r="B92" s="50" t="s">
        <v>493</v>
      </c>
    </row>
    <row r="93" spans="1:2">
      <c r="A93" s="48" t="s">
        <v>494</v>
      </c>
      <c r="B93" s="50" t="s">
        <v>495</v>
      </c>
    </row>
    <row r="94" spans="1:2">
      <c r="A94" s="48" t="s">
        <v>496</v>
      </c>
      <c r="B94" s="50" t="s">
        <v>497</v>
      </c>
    </row>
    <row r="95" spans="1:2">
      <c r="A95" s="48" t="s">
        <v>498</v>
      </c>
      <c r="B95" s="50" t="s">
        <v>499</v>
      </c>
    </row>
    <row r="96" spans="1:2">
      <c r="A96" s="48" t="s">
        <v>500</v>
      </c>
      <c r="B96" s="50" t="s">
        <v>501</v>
      </c>
    </row>
    <row r="97" spans="1:2">
      <c r="A97" s="48" t="s">
        <v>502</v>
      </c>
      <c r="B97" s="50" t="s">
        <v>503</v>
      </c>
    </row>
    <row r="98" spans="1:2">
      <c r="A98" s="48" t="s">
        <v>504</v>
      </c>
      <c r="B98" s="50" t="s">
        <v>505</v>
      </c>
    </row>
    <row r="99" spans="1:2">
      <c r="A99" s="48" t="s">
        <v>506</v>
      </c>
      <c r="B99" s="50" t="s">
        <v>507</v>
      </c>
    </row>
    <row r="100" spans="1:2">
      <c r="A100" s="48" t="s">
        <v>508</v>
      </c>
      <c r="B100" s="50" t="s">
        <v>509</v>
      </c>
    </row>
    <row r="101" spans="1:2">
      <c r="A101" s="48" t="s">
        <v>510</v>
      </c>
      <c r="B101" s="50" t="s">
        <v>511</v>
      </c>
    </row>
    <row r="102" spans="1:2">
      <c r="A102" s="48" t="s">
        <v>512</v>
      </c>
      <c r="B102" s="50" t="s">
        <v>513</v>
      </c>
    </row>
    <row r="103" spans="1:2">
      <c r="A103" s="48" t="s">
        <v>514</v>
      </c>
      <c r="B103" s="50" t="s">
        <v>515</v>
      </c>
    </row>
    <row r="104" spans="1:2">
      <c r="A104" s="48" t="s">
        <v>516</v>
      </c>
      <c r="B104" s="50" t="s">
        <v>517</v>
      </c>
    </row>
    <row r="105" spans="1:2">
      <c r="A105" s="48" t="s">
        <v>518</v>
      </c>
      <c r="B105" s="50" t="s">
        <v>519</v>
      </c>
    </row>
    <row r="106" spans="1:2">
      <c r="A106" s="48" t="s">
        <v>520</v>
      </c>
      <c r="B106" s="50" t="s">
        <v>521</v>
      </c>
    </row>
    <row r="107" spans="1:2">
      <c r="A107" s="48" t="s">
        <v>522</v>
      </c>
      <c r="B107" s="50" t="s">
        <v>523</v>
      </c>
    </row>
    <row r="108" spans="1:2">
      <c r="A108" s="48" t="s">
        <v>524</v>
      </c>
      <c r="B108" s="50" t="s">
        <v>525</v>
      </c>
    </row>
    <row r="109" spans="1:2">
      <c r="A109" s="48" t="s">
        <v>526</v>
      </c>
      <c r="B109" s="50" t="s">
        <v>527</v>
      </c>
    </row>
    <row r="110" spans="1:2">
      <c r="A110" s="48" t="s">
        <v>528</v>
      </c>
      <c r="B110" s="50" t="s">
        <v>529</v>
      </c>
    </row>
    <row r="111" spans="1:2">
      <c r="A111" s="48" t="s">
        <v>530</v>
      </c>
      <c r="B111" s="50" t="s">
        <v>531</v>
      </c>
    </row>
    <row r="112" spans="1:2">
      <c r="A112" s="48" t="s">
        <v>532</v>
      </c>
      <c r="B112" s="50" t="s">
        <v>533</v>
      </c>
    </row>
    <row r="113" spans="1:2">
      <c r="A113" s="48" t="s">
        <v>534</v>
      </c>
      <c r="B113" s="50" t="s">
        <v>535</v>
      </c>
    </row>
    <row r="114" spans="1:2">
      <c r="A114" s="48" t="s">
        <v>536</v>
      </c>
      <c r="B114" s="50" t="s">
        <v>537</v>
      </c>
    </row>
    <row r="115" spans="1:2">
      <c r="A115" s="48" t="s">
        <v>538</v>
      </c>
      <c r="B115" s="50" t="s">
        <v>539</v>
      </c>
    </row>
    <row r="116" spans="1:2">
      <c r="A116" s="48" t="s">
        <v>540</v>
      </c>
      <c r="B116" s="50" t="s">
        <v>541</v>
      </c>
    </row>
    <row r="117" spans="1:2">
      <c r="A117" s="48" t="s">
        <v>542</v>
      </c>
      <c r="B117" s="50" t="s">
        <v>543</v>
      </c>
    </row>
    <row r="118" spans="1:2">
      <c r="A118" s="48" t="s">
        <v>544</v>
      </c>
      <c r="B118" s="50" t="s">
        <v>545</v>
      </c>
    </row>
    <row r="119" spans="1:2">
      <c r="A119" s="48" t="s">
        <v>546</v>
      </c>
      <c r="B119" s="50" t="s">
        <v>547</v>
      </c>
    </row>
    <row r="120" spans="1:2">
      <c r="A120" s="48" t="s">
        <v>548</v>
      </c>
      <c r="B120" s="50" t="s">
        <v>549</v>
      </c>
    </row>
    <row r="121" spans="1:2">
      <c r="A121" s="48" t="s">
        <v>550</v>
      </c>
      <c r="B121" s="50" t="s">
        <v>551</v>
      </c>
    </row>
    <row r="122" spans="1:2">
      <c r="A122" s="48" t="s">
        <v>552</v>
      </c>
      <c r="B122" s="50" t="s">
        <v>553</v>
      </c>
    </row>
    <row r="123" spans="1:2">
      <c r="A123" s="48" t="s">
        <v>554</v>
      </c>
      <c r="B123" s="50" t="s">
        <v>555</v>
      </c>
    </row>
    <row r="124" spans="1:2">
      <c r="A124" s="48" t="s">
        <v>556</v>
      </c>
      <c r="B124" s="50" t="s">
        <v>557</v>
      </c>
    </row>
    <row r="125" spans="1:2">
      <c r="A125" s="48" t="s">
        <v>558</v>
      </c>
      <c r="B125" s="50" t="s">
        <v>559</v>
      </c>
    </row>
    <row r="126" spans="1:2">
      <c r="A126" s="48" t="s">
        <v>560</v>
      </c>
      <c r="B126" s="50" t="s">
        <v>561</v>
      </c>
    </row>
    <row r="127" spans="1:2">
      <c r="A127" s="48" t="s">
        <v>562</v>
      </c>
      <c r="B127" s="50" t="s">
        <v>563</v>
      </c>
    </row>
    <row r="128" spans="1:2">
      <c r="A128" s="48" t="s">
        <v>564</v>
      </c>
      <c r="B128" s="50" t="s">
        <v>565</v>
      </c>
    </row>
    <row r="129" spans="1:2">
      <c r="A129" s="48" t="s">
        <v>566</v>
      </c>
      <c r="B129" s="50" t="s">
        <v>567</v>
      </c>
    </row>
    <row r="130" spans="1:2">
      <c r="A130" s="48" t="s">
        <v>568</v>
      </c>
      <c r="B130" s="50" t="s">
        <v>569</v>
      </c>
    </row>
    <row r="131" spans="1:2">
      <c r="A131" s="48" t="s">
        <v>570</v>
      </c>
      <c r="B131" s="50" t="s">
        <v>571</v>
      </c>
    </row>
    <row r="132" spans="1:2">
      <c r="A132" s="48" t="s">
        <v>572</v>
      </c>
      <c r="B132" s="50" t="s">
        <v>573</v>
      </c>
    </row>
    <row r="133" spans="1:2">
      <c r="A133" s="48" t="s">
        <v>574</v>
      </c>
      <c r="B133" s="50" t="s">
        <v>575</v>
      </c>
    </row>
    <row r="134" spans="1:2">
      <c r="A134" s="48" t="s">
        <v>576</v>
      </c>
      <c r="B134" s="50" t="s">
        <v>577</v>
      </c>
    </row>
    <row r="135" spans="1:2">
      <c r="A135" s="48" t="s">
        <v>578</v>
      </c>
      <c r="B135" s="50" t="s">
        <v>579</v>
      </c>
    </row>
    <row r="136" spans="1:2">
      <c r="A136" s="48" t="s">
        <v>580</v>
      </c>
      <c r="B136" s="50" t="s">
        <v>581</v>
      </c>
    </row>
    <row r="137" spans="1:2">
      <c r="A137" s="48" t="s">
        <v>582</v>
      </c>
      <c r="B137" s="50" t="s">
        <v>583</v>
      </c>
    </row>
    <row r="138" spans="1:2">
      <c r="A138" s="48" t="s">
        <v>584</v>
      </c>
      <c r="B138" s="50" t="s">
        <v>585</v>
      </c>
    </row>
    <row r="139" spans="1:2">
      <c r="A139" s="48" t="s">
        <v>586</v>
      </c>
      <c r="B139" s="50" t="s">
        <v>587</v>
      </c>
    </row>
    <row r="140" spans="1:2">
      <c r="A140" s="48" t="s">
        <v>588</v>
      </c>
      <c r="B140" s="50" t="s">
        <v>589</v>
      </c>
    </row>
    <row r="141" spans="1:2">
      <c r="A141" s="48" t="s">
        <v>590</v>
      </c>
      <c r="B141" s="50" t="s">
        <v>591</v>
      </c>
    </row>
    <row r="142" spans="1:2">
      <c r="A142" s="48" t="s">
        <v>592</v>
      </c>
      <c r="B142" s="50" t="s">
        <v>593</v>
      </c>
    </row>
    <row r="143" spans="1:2">
      <c r="A143" s="48" t="s">
        <v>594</v>
      </c>
      <c r="B143" s="50" t="s">
        <v>595</v>
      </c>
    </row>
    <row r="144" spans="1:2">
      <c r="A144" s="48" t="s">
        <v>596</v>
      </c>
      <c r="B144" s="50" t="s">
        <v>597</v>
      </c>
    </row>
    <row r="145" spans="1:2">
      <c r="A145" s="48" t="s">
        <v>598</v>
      </c>
      <c r="B145" s="50" t="s">
        <v>599</v>
      </c>
    </row>
    <row r="146" spans="1:2">
      <c r="A146" s="48" t="s">
        <v>600</v>
      </c>
      <c r="B146" s="50" t="s">
        <v>601</v>
      </c>
    </row>
    <row r="147" spans="1:2">
      <c r="A147" s="48" t="s">
        <v>602</v>
      </c>
      <c r="B147" s="50" t="s">
        <v>603</v>
      </c>
    </row>
    <row r="148" spans="1:2">
      <c r="A148" s="48" t="s">
        <v>604</v>
      </c>
      <c r="B148" s="50" t="s">
        <v>605</v>
      </c>
    </row>
    <row r="149" spans="1:2">
      <c r="A149" s="48" t="s">
        <v>606</v>
      </c>
      <c r="B149" s="50" t="s">
        <v>607</v>
      </c>
    </row>
    <row r="150" spans="1:2">
      <c r="A150" s="48" t="s">
        <v>608</v>
      </c>
      <c r="B150" s="50" t="s">
        <v>609</v>
      </c>
    </row>
    <row r="151" spans="1:2">
      <c r="A151" s="48" t="s">
        <v>610</v>
      </c>
      <c r="B151" s="50" t="s">
        <v>611</v>
      </c>
    </row>
    <row r="152" spans="1:2">
      <c r="A152" s="48" t="s">
        <v>612</v>
      </c>
      <c r="B152" s="50" t="s">
        <v>613</v>
      </c>
    </row>
    <row r="153" spans="1:2">
      <c r="A153" s="48" t="s">
        <v>614</v>
      </c>
      <c r="B153" s="50" t="s">
        <v>615</v>
      </c>
    </row>
    <row r="154" spans="1:2">
      <c r="A154" s="48" t="s">
        <v>616</v>
      </c>
      <c r="B154" s="50" t="s">
        <v>617</v>
      </c>
    </row>
    <row r="155" spans="1:2">
      <c r="A155" s="48" t="s">
        <v>618</v>
      </c>
      <c r="B155" s="50" t="s">
        <v>619</v>
      </c>
    </row>
    <row r="156" spans="1:2">
      <c r="A156" s="48" t="s">
        <v>620</v>
      </c>
      <c r="B156" s="50" t="s">
        <v>621</v>
      </c>
    </row>
    <row r="157" spans="1:2">
      <c r="A157" s="48" t="s">
        <v>622</v>
      </c>
      <c r="B157" s="50" t="s">
        <v>623</v>
      </c>
    </row>
    <row r="158" spans="1:2">
      <c r="A158" s="48" t="s">
        <v>624</v>
      </c>
      <c r="B158" s="50" t="s">
        <v>625</v>
      </c>
    </row>
    <row r="159" spans="1:2">
      <c r="A159" s="48" t="s">
        <v>626</v>
      </c>
      <c r="B159" s="50" t="s">
        <v>627</v>
      </c>
    </row>
    <row r="160" spans="1:2">
      <c r="A160" s="48" t="s">
        <v>628</v>
      </c>
      <c r="B160" s="50" t="s">
        <v>629</v>
      </c>
    </row>
    <row r="161" spans="1:2">
      <c r="A161" s="48" t="s">
        <v>630</v>
      </c>
      <c r="B161" s="50" t="s">
        <v>631</v>
      </c>
    </row>
    <row r="162" spans="1:2">
      <c r="A162" s="48" t="s">
        <v>632</v>
      </c>
      <c r="B162" s="50" t="s">
        <v>633</v>
      </c>
    </row>
    <row r="163" spans="1:2">
      <c r="A163" s="48" t="s">
        <v>634</v>
      </c>
      <c r="B163" s="50" t="s">
        <v>635</v>
      </c>
    </row>
    <row r="164" spans="1:2">
      <c r="A164" s="48" t="s">
        <v>636</v>
      </c>
      <c r="B164" s="50" t="s">
        <v>637</v>
      </c>
    </row>
    <row r="165" spans="1:2">
      <c r="A165" s="48" t="s">
        <v>638</v>
      </c>
      <c r="B165" s="50" t="s">
        <v>639</v>
      </c>
    </row>
    <row r="166" spans="1:2">
      <c r="A166" s="48" t="s">
        <v>640</v>
      </c>
      <c r="B166" s="50" t="s">
        <v>641</v>
      </c>
    </row>
    <row r="167" spans="1:2">
      <c r="A167" s="48" t="s">
        <v>642</v>
      </c>
      <c r="B167" s="50" t="s">
        <v>643</v>
      </c>
    </row>
    <row r="168" spans="1:2">
      <c r="A168" s="48" t="s">
        <v>644</v>
      </c>
      <c r="B168" s="50" t="s">
        <v>645</v>
      </c>
    </row>
    <row r="169" spans="1:2">
      <c r="A169" s="48" t="s">
        <v>646</v>
      </c>
      <c r="B169" s="50" t="s">
        <v>647</v>
      </c>
    </row>
    <row r="170" spans="1:2">
      <c r="A170" s="48" t="s">
        <v>648</v>
      </c>
      <c r="B170" s="50" t="s">
        <v>649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Comments xmlns="f9695bc1-6109-4dcd-a27a-f8a0370b00e2">2025 mid-year financial report</Comments>
    <TaxCatchAll xmlns="cb759e4c-f0d7-4feb-bda3-ed2800574e06" xsi:nil="true"/>
    <DocumentType xmlns="f9695bc1-6109-4dcd-a27a-f8a0370b00e2">Progress report</DocumentType>
    <UploadedBy xmlns="b1528a4b-5ccb-40f7-a09e-43427183cd95">amido.jalo@undp.org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MPTF_00006_00714</ProjectId>
    <FundCode xmlns="f9695bc1-6109-4dcd-a27a-f8a0370b00e2">MPTF_00006</FundCode>
    <Active xmlns="f9695bc1-6109-4dcd-a27a-f8a0370b00e2">Yes</Active>
    <DocumentDate xmlns="b1528a4b-5ccb-40f7-a09e-43427183cd95">2025-08-05T07:00:00+00:00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cb09fd7c-61f1-47f7-81ed-9eb56917d085"/>
    <ds:schemaRef ds:uri="a3f81344-519f-4394-8ac0-5de97264b664"/>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535F0882-FC48-4C9B-83EE-B37E1EB3B97E}"/>
</file>

<file path=docMetadata/LabelInfo.xml><?xml version="1.0" encoding="utf-8"?>
<clbl:labelList xmlns:clbl="http://schemas.microsoft.com/office/2020/mipLabelMetadata">
  <clbl:label id="{f8e024d6-51f2-471b-ac2c-b1117d65062e}" enabled="1" method="Standard" siteId="{1d4fae52-39b3-4bfa-b0b3-022956b1119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1c) Combined by budget activity</vt:lpstr>
      <vt:lpstr>2a) By Category Phase I+ II</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PhaseIIBudgetRapportFinancier JUN2025.xlsx</dc:title>
  <dc:subject/>
  <dc:creator>Jelena Zelenovic</dc:creator>
  <cp:keywords/>
  <dc:description/>
  <cp:lastModifiedBy>Amido Jalo</cp:lastModifiedBy>
  <cp:revision/>
  <dcterms:created xsi:type="dcterms:W3CDTF">2017-11-15T21:17:43Z</dcterms:created>
  <dcterms:modified xsi:type="dcterms:W3CDTF">2025-07-25T11:09:37Z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