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undp-my.sharepoint.com/personal/joachim_ouedraogo_undp_org/Documents/Documents/Projet Landja/Rapport mandataire PBF/Rapport annuel 2025/"/>
    </mc:Choice>
  </mc:AlternateContent>
  <xr:revisionPtr revIDLastSave="0" documentId="8_{CC79EABA-227E-4677-B45D-FE3218026091}" xr6:coauthVersionLast="47" xr6:coauthVersionMax="47" xr10:uidLastSave="{00000000-0000-0000-0000-000000000000}"/>
  <bookViews>
    <workbookView xWindow="-110" yWindow="-110" windowWidth="19420" windowHeight="11500" firstSheet="1" activeTab="2" xr2:uid="{00000000-000D-0000-FFFF-FFFF00000000}"/>
  </bookViews>
  <sheets>
    <sheet name="RF par produits" sheetId="6" r:id="rId1"/>
    <sheet name="2)UNDG Budget categ par produit" sheetId="4" r:id="rId2"/>
    <sheet name="3) RF-Par catégories budgétaire" sheetId="5" r:id="rId3"/>
  </sheets>
  <externalReferences>
    <externalReference r:id="rId4"/>
    <externalReference r:id="rId5"/>
    <externalReference r:id="rId6"/>
  </externalReferences>
  <definedNames>
    <definedName name="_xlnm._FilterDatabase" localSheetId="0" hidden="1">'RF par produits'!$A$4:$W$4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7" i="4" l="1"/>
  <c r="T216" i="4"/>
  <c r="S216" i="4"/>
  <c r="S215" i="4"/>
  <c r="S212" i="4"/>
  <c r="R212" i="4"/>
  <c r="T211" i="4"/>
  <c r="N210" i="4"/>
  <c r="T209" i="4"/>
  <c r="T202" i="4"/>
  <c r="T199" i="4"/>
  <c r="T123" i="4"/>
  <c r="S121" i="4"/>
  <c r="T119" i="4"/>
  <c r="I216" i="4"/>
  <c r="J216" i="4"/>
  <c r="K216" i="4"/>
  <c r="L216" i="4"/>
  <c r="M216" i="4"/>
  <c r="N216" i="4"/>
  <c r="O216" i="4"/>
  <c r="P216" i="4"/>
  <c r="Q216" i="4"/>
  <c r="R216" i="4"/>
  <c r="H216" i="4"/>
  <c r="O209" i="4"/>
  <c r="S210" i="4"/>
  <c r="S211" i="4"/>
  <c r="S213" i="4"/>
  <c r="S214" i="4"/>
  <c r="S209" i="4"/>
  <c r="T50" i="6"/>
  <c r="I210" i="4"/>
  <c r="E196" i="4"/>
  <c r="F196" i="4"/>
  <c r="D196" i="4"/>
  <c r="S200" i="4"/>
  <c r="G198" i="4"/>
  <c r="E204" i="4"/>
  <c r="F204" i="4"/>
  <c r="D204" i="4"/>
  <c r="G204" i="4" s="1"/>
  <c r="P214" i="4"/>
  <c r="P215" i="4"/>
  <c r="P212" i="4"/>
  <c r="P213" i="4"/>
  <c r="H18" i="5"/>
  <c r="G196" i="4" l="1"/>
  <c r="M202" i="4"/>
  <c r="M201" i="4"/>
  <c r="M200" i="4"/>
  <c r="O200" i="4" s="1"/>
  <c r="N9" i="6"/>
  <c r="J81" i="4"/>
  <c r="I196" i="4" l="1"/>
  <c r="K131" i="4"/>
  <c r="I81" i="4"/>
  <c r="K76" i="4"/>
  <c r="K74" i="4"/>
  <c r="I70" i="4"/>
  <c r="I62" i="4" s="1"/>
  <c r="K34" i="4"/>
  <c r="I209" i="4"/>
  <c r="K23" i="4"/>
  <c r="I17" i="4"/>
  <c r="I36" i="4"/>
  <c r="I28" i="4" s="1"/>
  <c r="K33" i="4"/>
  <c r="I212" i="4"/>
  <c r="Z19" i="6"/>
  <c r="Z20" i="6"/>
  <c r="Z21" i="6"/>
  <c r="L14" i="6"/>
  <c r="L32" i="6"/>
  <c r="J12" i="6"/>
  <c r="O131" i="4"/>
  <c r="O132" i="4"/>
  <c r="O133" i="4"/>
  <c r="O134" i="4"/>
  <c r="O135" i="4"/>
  <c r="O136" i="4"/>
  <c r="O130" i="4"/>
  <c r="O120" i="4"/>
  <c r="O121" i="4"/>
  <c r="O122" i="4"/>
  <c r="O123" i="4"/>
  <c r="O124" i="4"/>
  <c r="O125" i="4"/>
  <c r="O119" i="4"/>
  <c r="O109" i="4"/>
  <c r="O110" i="4"/>
  <c r="O111" i="4"/>
  <c r="O112" i="4"/>
  <c r="O113" i="4"/>
  <c r="O114" i="4"/>
  <c r="O108" i="4"/>
  <c r="H210" i="4"/>
  <c r="J210" i="4"/>
  <c r="I211" i="4"/>
  <c r="J211" i="4"/>
  <c r="J212" i="4"/>
  <c r="J213" i="4"/>
  <c r="I214" i="4"/>
  <c r="J214" i="4"/>
  <c r="J215" i="4"/>
  <c r="J209" i="4"/>
  <c r="L210" i="4"/>
  <c r="M210" i="4"/>
  <c r="L211" i="4"/>
  <c r="M211" i="4"/>
  <c r="N211" i="4"/>
  <c r="L212" i="4"/>
  <c r="M212" i="4"/>
  <c r="N212" i="4"/>
  <c r="L213" i="4"/>
  <c r="M213" i="4"/>
  <c r="N213" i="4"/>
  <c r="L214" i="4"/>
  <c r="M214" i="4"/>
  <c r="N214" i="4"/>
  <c r="L215" i="4"/>
  <c r="M215" i="4"/>
  <c r="N215" i="4"/>
  <c r="M209" i="4"/>
  <c r="N209" i="4"/>
  <c r="P210" i="4"/>
  <c r="Q210" i="4"/>
  <c r="R210" i="4"/>
  <c r="P211" i="4"/>
  <c r="Q211" i="4"/>
  <c r="R211" i="4"/>
  <c r="Q212" i="4"/>
  <c r="Q213" i="4"/>
  <c r="R213" i="4"/>
  <c r="Q214" i="4"/>
  <c r="R214" i="4"/>
  <c r="Q215" i="4"/>
  <c r="R215" i="4"/>
  <c r="G13" i="5" s="1"/>
  <c r="Q209" i="4"/>
  <c r="R209" i="4"/>
  <c r="S198" i="4"/>
  <c r="S199" i="4"/>
  <c r="S201" i="4"/>
  <c r="S202" i="4"/>
  <c r="S203" i="4"/>
  <c r="S197" i="4"/>
  <c r="Q204" i="4"/>
  <c r="R204" i="4"/>
  <c r="Q196" i="4"/>
  <c r="R196" i="4"/>
  <c r="P196" i="4"/>
  <c r="S131" i="4"/>
  <c r="S132" i="4"/>
  <c r="S133" i="4"/>
  <c r="S134" i="4"/>
  <c r="S135" i="4"/>
  <c r="S136" i="4"/>
  <c r="S130" i="4"/>
  <c r="Q137" i="4"/>
  <c r="R137" i="4"/>
  <c r="P137" i="4"/>
  <c r="Q129" i="4"/>
  <c r="R129" i="4"/>
  <c r="P129" i="4"/>
  <c r="S120" i="4"/>
  <c r="T120" i="4" s="1"/>
  <c r="S122" i="4"/>
  <c r="S123" i="4"/>
  <c r="S124" i="4"/>
  <c r="S125" i="4"/>
  <c r="S119" i="4"/>
  <c r="Q126" i="4"/>
  <c r="R126" i="4"/>
  <c r="Q118" i="4"/>
  <c r="R118" i="4"/>
  <c r="P118" i="4"/>
  <c r="S109" i="4"/>
  <c r="S115" i="4" s="1"/>
  <c r="S110" i="4"/>
  <c r="S111" i="4"/>
  <c r="S112" i="4"/>
  <c r="T112" i="4" s="1"/>
  <c r="S113" i="4"/>
  <c r="S114" i="4"/>
  <c r="T114" i="4" s="1"/>
  <c r="S108" i="4"/>
  <c r="Q115" i="4"/>
  <c r="R115" i="4"/>
  <c r="P115" i="4"/>
  <c r="Q107" i="4"/>
  <c r="R107" i="4"/>
  <c r="P107" i="4"/>
  <c r="S75" i="4"/>
  <c r="S76" i="4"/>
  <c r="S77" i="4"/>
  <c r="S78" i="4"/>
  <c r="S79" i="4"/>
  <c r="S80" i="4"/>
  <c r="S74" i="4"/>
  <c r="Q81" i="4"/>
  <c r="R81" i="4"/>
  <c r="Q73" i="4"/>
  <c r="R73" i="4"/>
  <c r="P73" i="4"/>
  <c r="S64" i="4"/>
  <c r="S65" i="4"/>
  <c r="S66" i="4"/>
  <c r="S67" i="4"/>
  <c r="S68" i="4"/>
  <c r="S69" i="4"/>
  <c r="S63" i="4"/>
  <c r="Q70" i="4"/>
  <c r="Q62" i="4" s="1"/>
  <c r="R70" i="4"/>
  <c r="R62" i="4"/>
  <c r="S30" i="4"/>
  <c r="S31" i="4"/>
  <c r="S32" i="4"/>
  <c r="S33" i="4"/>
  <c r="S34" i="4"/>
  <c r="S35" i="4"/>
  <c r="S29" i="4"/>
  <c r="Q36" i="4"/>
  <c r="R36" i="4"/>
  <c r="R28" i="4" s="1"/>
  <c r="Q28" i="4"/>
  <c r="S19" i="4"/>
  <c r="S20" i="4"/>
  <c r="S21" i="4"/>
  <c r="S22" i="4"/>
  <c r="S23" i="4"/>
  <c r="S24" i="4"/>
  <c r="S18" i="4"/>
  <c r="Q25" i="4"/>
  <c r="R25" i="4"/>
  <c r="Q17" i="4"/>
  <c r="R17" i="4"/>
  <c r="O198" i="4"/>
  <c r="O199" i="4"/>
  <c r="O201" i="4"/>
  <c r="O202" i="4"/>
  <c r="O203" i="4"/>
  <c r="O197" i="4"/>
  <c r="M204" i="4"/>
  <c r="N204" i="4"/>
  <c r="M196" i="4"/>
  <c r="N196" i="4"/>
  <c r="L196" i="4"/>
  <c r="M137" i="4"/>
  <c r="N137" i="4"/>
  <c r="M129" i="4"/>
  <c r="N129" i="4"/>
  <c r="L129" i="4"/>
  <c r="M126" i="4"/>
  <c r="N126" i="4"/>
  <c r="L126" i="4"/>
  <c r="M118" i="4"/>
  <c r="N118" i="4"/>
  <c r="L118" i="4"/>
  <c r="M115" i="4"/>
  <c r="N115" i="4"/>
  <c r="M107" i="4"/>
  <c r="N107" i="4"/>
  <c r="L107" i="4"/>
  <c r="O75" i="4"/>
  <c r="O76" i="4"/>
  <c r="O77" i="4"/>
  <c r="O78" i="4"/>
  <c r="O79" i="4"/>
  <c r="O80" i="4"/>
  <c r="O74" i="4"/>
  <c r="M81" i="4"/>
  <c r="N81" i="4"/>
  <c r="M73" i="4"/>
  <c r="N73" i="4"/>
  <c r="L73" i="4"/>
  <c r="O64" i="4"/>
  <c r="O65" i="4"/>
  <c r="O66" i="4"/>
  <c r="O67" i="4"/>
  <c r="O68" i="4"/>
  <c r="O69" i="4"/>
  <c r="O63" i="4"/>
  <c r="O70" i="4" s="1"/>
  <c r="O62" i="4" s="1"/>
  <c r="M70" i="4"/>
  <c r="M62" i="4" s="1"/>
  <c r="N70" i="4"/>
  <c r="N62" i="4" s="1"/>
  <c r="O30" i="4"/>
  <c r="O31" i="4"/>
  <c r="O32" i="4"/>
  <c r="O33" i="4"/>
  <c r="O34" i="4"/>
  <c r="O35" i="4"/>
  <c r="O29" i="4"/>
  <c r="M36" i="4"/>
  <c r="M28" i="4" s="1"/>
  <c r="N36" i="4"/>
  <c r="N28" i="4" s="1"/>
  <c r="O19" i="4"/>
  <c r="O20" i="4"/>
  <c r="O21" i="4"/>
  <c r="O22" i="4"/>
  <c r="O23" i="4"/>
  <c r="O24" i="4"/>
  <c r="O18" i="4"/>
  <c r="M25" i="4"/>
  <c r="N25" i="4"/>
  <c r="M17" i="4"/>
  <c r="N17" i="4"/>
  <c r="J196" i="4"/>
  <c r="J204" i="4"/>
  <c r="K198" i="4"/>
  <c r="K200" i="4"/>
  <c r="K202" i="4"/>
  <c r="K132" i="4"/>
  <c r="K133" i="4"/>
  <c r="K135" i="4"/>
  <c r="K136" i="4"/>
  <c r="K130" i="4"/>
  <c r="I137" i="4"/>
  <c r="I129" i="4" s="1"/>
  <c r="J137" i="4"/>
  <c r="J129" i="4" s="1"/>
  <c r="I118" i="4"/>
  <c r="J118" i="4"/>
  <c r="H118" i="4"/>
  <c r="I126" i="4"/>
  <c r="J126" i="4"/>
  <c r="I107" i="4"/>
  <c r="J107" i="4"/>
  <c r="H107" i="4"/>
  <c r="K109" i="4"/>
  <c r="K110" i="4"/>
  <c r="K111" i="4"/>
  <c r="K112" i="4"/>
  <c r="K113" i="4"/>
  <c r="K114" i="4"/>
  <c r="K108" i="4"/>
  <c r="K120" i="4"/>
  <c r="K121" i="4"/>
  <c r="K122" i="4"/>
  <c r="K123" i="4"/>
  <c r="K124" i="4"/>
  <c r="K125" i="4"/>
  <c r="K119" i="4"/>
  <c r="K118" i="4" s="1"/>
  <c r="I115" i="4"/>
  <c r="J115" i="4"/>
  <c r="I73" i="4"/>
  <c r="J73" i="4"/>
  <c r="K75" i="4"/>
  <c r="K77" i="4"/>
  <c r="K78" i="4"/>
  <c r="K80" i="4"/>
  <c r="J70" i="4"/>
  <c r="J62" i="4"/>
  <c r="K64" i="4"/>
  <c r="K66" i="4"/>
  <c r="K67" i="4"/>
  <c r="T67" i="4" s="1"/>
  <c r="K69" i="4"/>
  <c r="K63" i="4"/>
  <c r="J36" i="4"/>
  <c r="J28" i="4" s="1"/>
  <c r="K35" i="4"/>
  <c r="J25" i="4"/>
  <c r="J17" i="4"/>
  <c r="K19" i="4"/>
  <c r="K20" i="4"/>
  <c r="K21" i="4"/>
  <c r="K22" i="4"/>
  <c r="K18" i="4"/>
  <c r="P49" i="6"/>
  <c r="P52" i="6" s="1"/>
  <c r="T49" i="6"/>
  <c r="U41" i="6"/>
  <c r="T22" i="6"/>
  <c r="L8" i="6"/>
  <c r="R70" i="6"/>
  <c r="S70" i="6"/>
  <c r="R63" i="6"/>
  <c r="S63" i="6"/>
  <c r="T63" i="6"/>
  <c r="R57" i="6"/>
  <c r="S57" i="6"/>
  <c r="T57" i="6"/>
  <c r="R52" i="6"/>
  <c r="R77" i="6" s="1"/>
  <c r="R78" i="6" s="1"/>
  <c r="R79" i="6" s="1"/>
  <c r="S52" i="6"/>
  <c r="T52" i="6"/>
  <c r="T77" i="6" s="1"/>
  <c r="U77" i="6" s="1"/>
  <c r="R38" i="6"/>
  <c r="S38" i="6"/>
  <c r="R22" i="6"/>
  <c r="S22" i="6"/>
  <c r="R12" i="6"/>
  <c r="S12" i="6"/>
  <c r="T67" i="6"/>
  <c r="T68" i="6"/>
  <c r="T69" i="6"/>
  <c r="T66" i="6"/>
  <c r="T70" i="6" s="1"/>
  <c r="T61" i="6"/>
  <c r="T62" i="6"/>
  <c r="T60" i="6"/>
  <c r="T56" i="6"/>
  <c r="T55" i="6"/>
  <c r="U55" i="6" s="1"/>
  <c r="T41" i="6"/>
  <c r="T42" i="6"/>
  <c r="T40" i="6"/>
  <c r="T33" i="6"/>
  <c r="T38" i="6" s="1"/>
  <c r="T34" i="6"/>
  <c r="T35" i="6"/>
  <c r="T36" i="6"/>
  <c r="T32" i="6"/>
  <c r="T15" i="6"/>
  <c r="T16" i="6"/>
  <c r="T17" i="6"/>
  <c r="T18" i="6"/>
  <c r="T14" i="6"/>
  <c r="T9" i="6"/>
  <c r="T8" i="6"/>
  <c r="N70" i="6"/>
  <c r="O70" i="6"/>
  <c r="N63" i="6"/>
  <c r="O63" i="6"/>
  <c r="N57" i="6"/>
  <c r="O57" i="6"/>
  <c r="P57" i="6"/>
  <c r="N52" i="6"/>
  <c r="O52" i="6"/>
  <c r="N46" i="6"/>
  <c r="O46" i="6"/>
  <c r="P46" i="6"/>
  <c r="N38" i="6"/>
  <c r="O38" i="6"/>
  <c r="N22" i="6"/>
  <c r="O22" i="6"/>
  <c r="N12" i="6"/>
  <c r="O12" i="6"/>
  <c r="P68" i="6"/>
  <c r="P69" i="6"/>
  <c r="P66" i="6"/>
  <c r="P61" i="6"/>
  <c r="P62" i="6"/>
  <c r="P60" i="6"/>
  <c r="P56" i="6"/>
  <c r="P55" i="6"/>
  <c r="P50" i="6"/>
  <c r="P41" i="6"/>
  <c r="P42" i="6"/>
  <c r="P40" i="6"/>
  <c r="P33" i="6"/>
  <c r="P34" i="6"/>
  <c r="P35" i="6"/>
  <c r="P36" i="6"/>
  <c r="P32" i="6"/>
  <c r="P38" i="6" s="1"/>
  <c r="P15" i="6"/>
  <c r="P16" i="6"/>
  <c r="P17" i="6"/>
  <c r="P18" i="6"/>
  <c r="P14" i="6"/>
  <c r="P9" i="6"/>
  <c r="P8" i="6"/>
  <c r="K12" i="6"/>
  <c r="J22" i="6"/>
  <c r="K22" i="6"/>
  <c r="J38" i="6"/>
  <c r="K38" i="6"/>
  <c r="J46" i="6"/>
  <c r="K46" i="6"/>
  <c r="J52" i="6"/>
  <c r="K52" i="6"/>
  <c r="J57" i="6"/>
  <c r="K57" i="6"/>
  <c r="L57" i="6"/>
  <c r="J63" i="6"/>
  <c r="K63" i="6"/>
  <c r="J70" i="6"/>
  <c r="K70" i="6"/>
  <c r="L68" i="6"/>
  <c r="U68" i="6" s="1"/>
  <c r="L69" i="6"/>
  <c r="U69" i="6" s="1"/>
  <c r="L61" i="6"/>
  <c r="L62" i="6"/>
  <c r="L60" i="6"/>
  <c r="L56" i="6"/>
  <c r="L55" i="6"/>
  <c r="L50" i="6"/>
  <c r="L52" i="6" s="1"/>
  <c r="L49" i="6"/>
  <c r="L41" i="6"/>
  <c r="L42" i="6"/>
  <c r="L33" i="6"/>
  <c r="L34" i="6"/>
  <c r="L36" i="6"/>
  <c r="U36" i="6" s="1"/>
  <c r="L15" i="6"/>
  <c r="L16" i="6"/>
  <c r="L18" i="6"/>
  <c r="L9" i="6"/>
  <c r="M67" i="6"/>
  <c r="P67" i="6" s="1"/>
  <c r="K210" i="4" l="1"/>
  <c r="O211" i="4"/>
  <c r="T19" i="4"/>
  <c r="T75" i="4"/>
  <c r="S25" i="4"/>
  <c r="T111" i="4"/>
  <c r="O213" i="4"/>
  <c r="E11" i="5" s="1"/>
  <c r="O73" i="4"/>
  <c r="S81" i="4"/>
  <c r="T198" i="4"/>
  <c r="O115" i="4"/>
  <c r="T80" i="4"/>
  <c r="T113" i="4"/>
  <c r="T64" i="4"/>
  <c r="T78" i="4"/>
  <c r="O81" i="4"/>
  <c r="O126" i="4"/>
  <c r="T109" i="4"/>
  <c r="O25" i="4"/>
  <c r="T135" i="4"/>
  <c r="K107" i="4"/>
  <c r="T108" i="4"/>
  <c r="G8" i="5"/>
  <c r="T20" i="4"/>
  <c r="G12" i="5"/>
  <c r="S36" i="4"/>
  <c r="S28" i="4" s="1"/>
  <c r="T23" i="4"/>
  <c r="S204" i="4"/>
  <c r="P12" i="6"/>
  <c r="U8" i="6"/>
  <c r="O17" i="4"/>
  <c r="N77" i="6"/>
  <c r="O36" i="4"/>
  <c r="O28" i="4" s="1"/>
  <c r="P70" i="6"/>
  <c r="K115" i="4"/>
  <c r="G10" i="5"/>
  <c r="T12" i="6"/>
  <c r="U50" i="6"/>
  <c r="T110" i="4"/>
  <c r="T34" i="4"/>
  <c r="U34" i="6"/>
  <c r="T35" i="4"/>
  <c r="S118" i="4"/>
  <c r="Q217" i="4"/>
  <c r="Q218" i="4" s="1"/>
  <c r="O118" i="4"/>
  <c r="U14" i="6"/>
  <c r="U33" i="6"/>
  <c r="U49" i="6"/>
  <c r="O204" i="4"/>
  <c r="T125" i="4"/>
  <c r="S137" i="4"/>
  <c r="S196" i="4"/>
  <c r="C8" i="5"/>
  <c r="U56" i="6"/>
  <c r="U57" i="6" s="1"/>
  <c r="T77" i="4"/>
  <c r="S17" i="4"/>
  <c r="T124" i="4"/>
  <c r="O137" i="4"/>
  <c r="K126" i="4"/>
  <c r="S73" i="4"/>
  <c r="T76" i="4"/>
  <c r="T69" i="4"/>
  <c r="T122" i="4"/>
  <c r="P22" i="6"/>
  <c r="P77" i="6" s="1"/>
  <c r="P63" i="6"/>
  <c r="S107" i="4"/>
  <c r="T121" i="4"/>
  <c r="O107" i="4"/>
  <c r="E9" i="5"/>
  <c r="L12" i="6"/>
  <c r="U61" i="6"/>
  <c r="O77" i="6"/>
  <c r="O78" i="6" s="1"/>
  <c r="O79" i="6" s="1"/>
  <c r="T21" i="4"/>
  <c r="T66" i="4"/>
  <c r="S70" i="4"/>
  <c r="S62" i="4" s="1"/>
  <c r="O129" i="4"/>
  <c r="T200" i="4"/>
  <c r="S126" i="4"/>
  <c r="G11" i="5"/>
  <c r="R217" i="4"/>
  <c r="R218" i="4" s="1"/>
  <c r="G9" i="5"/>
  <c r="S77" i="6"/>
  <c r="S78" i="6" s="1"/>
  <c r="S79" i="6" s="1"/>
  <c r="O196" i="4"/>
  <c r="T132" i="4"/>
  <c r="T133" i="4"/>
  <c r="T131" i="4"/>
  <c r="T136" i="4"/>
  <c r="O212" i="4"/>
  <c r="E10" i="5" s="1"/>
  <c r="M217" i="4"/>
  <c r="M218" i="4" s="1"/>
  <c r="O215" i="4"/>
  <c r="E13" i="5" s="1"/>
  <c r="O210" i="4"/>
  <c r="T18" i="4"/>
  <c r="O214" i="4"/>
  <c r="E12" i="5" s="1"/>
  <c r="U60" i="6"/>
  <c r="U18" i="6"/>
  <c r="U16" i="6"/>
  <c r="U15" i="6"/>
  <c r="U62" i="6"/>
  <c r="U40" i="6"/>
  <c r="K77" i="6"/>
  <c r="K78" i="6" s="1"/>
  <c r="K79" i="6" s="1"/>
  <c r="U42" i="6"/>
  <c r="U46" i="6" s="1"/>
  <c r="T33" i="4"/>
  <c r="J217" i="4"/>
  <c r="J218" i="4" s="1"/>
  <c r="I204" i="4"/>
  <c r="T130" i="4"/>
  <c r="T74" i="4"/>
  <c r="T63" i="4"/>
  <c r="K29" i="4"/>
  <c r="T29" i="4" s="1"/>
  <c r="I213" i="4"/>
  <c r="K31" i="4"/>
  <c r="K30" i="4"/>
  <c r="T30" i="4" s="1"/>
  <c r="I215" i="4"/>
  <c r="I25" i="4"/>
  <c r="K24" i="4"/>
  <c r="T24" i="4" s="1"/>
  <c r="T22" i="4"/>
  <c r="L63" i="6"/>
  <c r="L17" i="6"/>
  <c r="U17" i="6" s="1"/>
  <c r="U32" i="6"/>
  <c r="J77" i="6"/>
  <c r="J78" i="6" s="1"/>
  <c r="J79" i="6" s="1"/>
  <c r="U9" i="6"/>
  <c r="N217" i="4"/>
  <c r="N218" i="4" s="1"/>
  <c r="S129" i="4"/>
  <c r="T78" i="6"/>
  <c r="T79" i="6" s="1"/>
  <c r="N78" i="6"/>
  <c r="N79" i="6" s="1"/>
  <c r="T193" i="4"/>
  <c r="P193" i="4"/>
  <c r="L193" i="4"/>
  <c r="L185" i="4" s="1"/>
  <c r="H193" i="4"/>
  <c r="H185" i="4" s="1"/>
  <c r="T185" i="4"/>
  <c r="P185" i="4"/>
  <c r="T182" i="4"/>
  <c r="T174" i="4" s="1"/>
  <c r="P182" i="4"/>
  <c r="P174" i="4" s="1"/>
  <c r="L182" i="4"/>
  <c r="L174" i="4" s="1"/>
  <c r="H182" i="4"/>
  <c r="H174" i="4" s="1"/>
  <c r="T171" i="4"/>
  <c r="T163" i="4" s="1"/>
  <c r="P171" i="4"/>
  <c r="P163" i="4" s="1"/>
  <c r="L171" i="4"/>
  <c r="L163" i="4" s="1"/>
  <c r="H171" i="4"/>
  <c r="H163" i="4"/>
  <c r="T160" i="4"/>
  <c r="T152" i="4" s="1"/>
  <c r="P160" i="4"/>
  <c r="P152" i="4" s="1"/>
  <c r="L160" i="4"/>
  <c r="L152" i="4" s="1"/>
  <c r="H160" i="4"/>
  <c r="H152" i="4" s="1"/>
  <c r="T148" i="4"/>
  <c r="T140" i="4" s="1"/>
  <c r="P148" i="4"/>
  <c r="P140" i="4" s="1"/>
  <c r="L148" i="4"/>
  <c r="L140" i="4" s="1"/>
  <c r="H148" i="4"/>
  <c r="H140" i="4" s="1"/>
  <c r="T103" i="4"/>
  <c r="T95" i="4" s="1"/>
  <c r="P103" i="4"/>
  <c r="P95" i="4" s="1"/>
  <c r="L103" i="4"/>
  <c r="L95" i="4" s="1"/>
  <c r="H103" i="4"/>
  <c r="H95" i="4"/>
  <c r="T92" i="4"/>
  <c r="T84" i="4" s="1"/>
  <c r="P92" i="4"/>
  <c r="P84" i="4" s="1"/>
  <c r="L92" i="4"/>
  <c r="L84" i="4" s="1"/>
  <c r="H92" i="4"/>
  <c r="H84" i="4" s="1"/>
  <c r="T58" i="4"/>
  <c r="T50" i="4" s="1"/>
  <c r="P58" i="4"/>
  <c r="P50" i="4" s="1"/>
  <c r="L58" i="4"/>
  <c r="L50" i="4" s="1"/>
  <c r="H58" i="4"/>
  <c r="H50" i="4" s="1"/>
  <c r="P47" i="4"/>
  <c r="P39" i="4" s="1"/>
  <c r="L47" i="4"/>
  <c r="L39" i="4" s="1"/>
  <c r="I66" i="6"/>
  <c r="L66" i="6" s="1"/>
  <c r="L70" i="6" s="1"/>
  <c r="I67" i="6"/>
  <c r="L67" i="6" s="1"/>
  <c r="U67" i="6" s="1"/>
  <c r="I40" i="6"/>
  <c r="L40" i="6" s="1"/>
  <c r="L46" i="6" s="1"/>
  <c r="I35" i="6"/>
  <c r="L35" i="6" s="1"/>
  <c r="U35" i="6" s="1"/>
  <c r="D50" i="4"/>
  <c r="H32" i="4"/>
  <c r="H203" i="4"/>
  <c r="H134" i="4"/>
  <c r="H201" i="4"/>
  <c r="K201" i="4" s="1"/>
  <c r="T201" i="4" s="1"/>
  <c r="H79" i="4"/>
  <c r="H68" i="4"/>
  <c r="H199" i="4"/>
  <c r="K199" i="4" s="1"/>
  <c r="H65" i="4"/>
  <c r="H197" i="4"/>
  <c r="K197" i="4" s="1"/>
  <c r="U52" i="6" l="1"/>
  <c r="S217" i="4"/>
  <c r="S218" i="4" s="1"/>
  <c r="U12" i="6"/>
  <c r="P78" i="6"/>
  <c r="P79" i="6"/>
  <c r="H214" i="4"/>
  <c r="K68" i="4"/>
  <c r="T68" i="4" s="1"/>
  <c r="H215" i="4"/>
  <c r="K215" i="4" s="1"/>
  <c r="K203" i="4"/>
  <c r="T203" i="4" s="1"/>
  <c r="K32" i="4"/>
  <c r="T32" i="4" s="1"/>
  <c r="H212" i="4"/>
  <c r="L22" i="6"/>
  <c r="T210" i="4"/>
  <c r="E8" i="5"/>
  <c r="H209" i="4"/>
  <c r="K209" i="4" s="1"/>
  <c r="L38" i="6"/>
  <c r="U63" i="6"/>
  <c r="H73" i="4"/>
  <c r="H81" i="4"/>
  <c r="K79" i="4"/>
  <c r="H213" i="4"/>
  <c r="K213" i="4" s="1"/>
  <c r="T213" i="4" s="1"/>
  <c r="K134" i="4"/>
  <c r="H137" i="4"/>
  <c r="C13" i="5"/>
  <c r="H211" i="4"/>
  <c r="K211" i="4" s="1"/>
  <c r="K65" i="4"/>
  <c r="U66" i="6"/>
  <c r="U70" i="6" s="1"/>
  <c r="U22" i="6"/>
  <c r="T25" i="4"/>
  <c r="T31" i="4"/>
  <c r="K25" i="4"/>
  <c r="I217" i="4"/>
  <c r="I218" i="4" s="1"/>
  <c r="K17" i="4"/>
  <c r="T17" i="4"/>
  <c r="L77" i="6"/>
  <c r="U78" i="6" s="1"/>
  <c r="U79" i="6" s="1"/>
  <c r="T47" i="4"/>
  <c r="T39" i="4" s="1"/>
  <c r="H47" i="4"/>
  <c r="H39" i="4" s="1"/>
  <c r="K212" i="4" l="1"/>
  <c r="K214" i="4"/>
  <c r="C12" i="5" s="1"/>
  <c r="K36" i="4"/>
  <c r="T212" i="4"/>
  <c r="T214" i="4"/>
  <c r="C11" i="5"/>
  <c r="T65" i="4"/>
  <c r="T62" i="4" s="1"/>
  <c r="K70" i="4"/>
  <c r="K62" i="4" s="1"/>
  <c r="K196" i="4"/>
  <c r="T197" i="4"/>
  <c r="K204" i="4"/>
  <c r="K137" i="4"/>
  <c r="K129" i="4" s="1"/>
  <c r="T134" i="4"/>
  <c r="T215" i="4"/>
  <c r="T79" i="4"/>
  <c r="K73" i="4"/>
  <c r="K81" i="4"/>
  <c r="C9" i="5"/>
  <c r="K28" i="4"/>
  <c r="L78" i="6"/>
  <c r="L79" i="6" s="1"/>
  <c r="H70" i="4"/>
  <c r="D209" i="4"/>
  <c r="C10" i="5" l="1"/>
  <c r="C7" i="5"/>
  <c r="K217" i="4"/>
  <c r="P209" i="4"/>
  <c r="G7" i="5" l="1"/>
  <c r="K218" i="4"/>
  <c r="D215" i="4"/>
  <c r="B13" i="5" s="1"/>
  <c r="D210" i="4"/>
  <c r="B8" i="5" s="1"/>
  <c r="D211" i="4"/>
  <c r="B9" i="5" s="1"/>
  <c r="D212" i="4"/>
  <c r="B10" i="5" s="1"/>
  <c r="D213" i="4"/>
  <c r="B11" i="5" s="1"/>
  <c r="D214" i="4"/>
  <c r="B12" i="5" s="1"/>
  <c r="B7" i="5"/>
  <c r="H17" i="4"/>
  <c r="L17" i="4"/>
  <c r="P17" i="4"/>
  <c r="C46" i="6"/>
  <c r="D216" i="4" l="1"/>
  <c r="D217" i="4" s="1"/>
  <c r="G14" i="5"/>
  <c r="G15" i="5" s="1"/>
  <c r="L209" i="4"/>
  <c r="E7" i="5" l="1"/>
  <c r="O217" i="4" l="1"/>
  <c r="O218" i="4" s="1"/>
  <c r="L217" i="4"/>
  <c r="L218" i="4" s="1"/>
  <c r="I9" i="5"/>
  <c r="I12" i="5"/>
  <c r="I8" i="5"/>
  <c r="I11" i="5"/>
  <c r="I7" i="5"/>
  <c r="I10" i="5"/>
  <c r="Q57" i="6" l="1"/>
  <c r="F8" i="6" l="1"/>
  <c r="C86" i="6" l="1"/>
  <c r="C83" i="6"/>
  <c r="E76" i="6"/>
  <c r="D76" i="6"/>
  <c r="C76" i="6"/>
  <c r="V70" i="6"/>
  <c r="Q70" i="6"/>
  <c r="M70" i="6"/>
  <c r="E70" i="6"/>
  <c r="D70" i="6"/>
  <c r="C70" i="6"/>
  <c r="F69" i="6"/>
  <c r="F68" i="6"/>
  <c r="F67" i="6"/>
  <c r="F66" i="6"/>
  <c r="V63" i="6"/>
  <c r="Q63" i="6"/>
  <c r="M63" i="6"/>
  <c r="G63" i="6"/>
  <c r="F63" i="6"/>
  <c r="E63" i="6"/>
  <c r="D63" i="6"/>
  <c r="C63" i="6"/>
  <c r="V57" i="6"/>
  <c r="M57" i="6"/>
  <c r="I57" i="6"/>
  <c r="E57" i="6"/>
  <c r="D57" i="6"/>
  <c r="C57" i="6"/>
  <c r="F56" i="6"/>
  <c r="F55" i="6"/>
  <c r="G57" i="6" s="1"/>
  <c r="V52" i="6"/>
  <c r="Q52" i="6"/>
  <c r="M52" i="6"/>
  <c r="I52" i="6"/>
  <c r="E52" i="6"/>
  <c r="D52" i="6"/>
  <c r="C52" i="6"/>
  <c r="F51" i="6"/>
  <c r="F50" i="6"/>
  <c r="F49" i="6"/>
  <c r="G52" i="6" s="1"/>
  <c r="V46" i="6"/>
  <c r="Q46" i="6"/>
  <c r="M46" i="6"/>
  <c r="E46" i="6"/>
  <c r="D46" i="6"/>
  <c r="F44" i="6"/>
  <c r="F43" i="6"/>
  <c r="F42" i="6"/>
  <c r="F41" i="6"/>
  <c r="F40" i="6"/>
  <c r="V38" i="6"/>
  <c r="Q38" i="6"/>
  <c r="M38" i="6"/>
  <c r="I38" i="6"/>
  <c r="E38" i="6"/>
  <c r="D38" i="6"/>
  <c r="C38" i="6"/>
  <c r="U37" i="6"/>
  <c r="U38" i="6" s="1"/>
  <c r="F36" i="6"/>
  <c r="F35" i="6"/>
  <c r="F34" i="6"/>
  <c r="F33" i="6"/>
  <c r="F32" i="6"/>
  <c r="V27" i="6"/>
  <c r="Q27" i="6"/>
  <c r="M27" i="6"/>
  <c r="I27" i="6"/>
  <c r="E27" i="6"/>
  <c r="D27" i="6"/>
  <c r="C27" i="6"/>
  <c r="F26" i="6"/>
  <c r="F25" i="6"/>
  <c r="F24" i="6"/>
  <c r="V22" i="6"/>
  <c r="Q22" i="6"/>
  <c r="M22" i="6"/>
  <c r="I22" i="6"/>
  <c r="E22" i="6"/>
  <c r="D22" i="6"/>
  <c r="C22" i="6"/>
  <c r="F21" i="6"/>
  <c r="F20" i="6"/>
  <c r="F19" i="6"/>
  <c r="F18" i="6"/>
  <c r="F17" i="6"/>
  <c r="F16" i="6"/>
  <c r="F15" i="6"/>
  <c r="F14" i="6"/>
  <c r="V12" i="6"/>
  <c r="Q12" i="6"/>
  <c r="M12" i="6"/>
  <c r="E12" i="6"/>
  <c r="D12" i="6"/>
  <c r="F11" i="6"/>
  <c r="F10" i="6"/>
  <c r="Q5" i="6"/>
  <c r="M5" i="6"/>
  <c r="G27" i="6" l="1"/>
  <c r="G70" i="6"/>
  <c r="F57" i="6"/>
  <c r="F52" i="6"/>
  <c r="F46" i="6"/>
  <c r="G46" i="6"/>
  <c r="G38" i="6"/>
  <c r="G22" i="6"/>
  <c r="D77" i="6"/>
  <c r="M77" i="6"/>
  <c r="M78" i="6" s="1"/>
  <c r="Q77" i="6"/>
  <c r="Q78" i="6" s="1"/>
  <c r="E77" i="6"/>
  <c r="E78" i="6" s="1"/>
  <c r="E79" i="6" s="1"/>
  <c r="F27" i="6"/>
  <c r="F22" i="6"/>
  <c r="F70" i="6"/>
  <c r="F38" i="6"/>
  <c r="Q79" i="6" l="1"/>
  <c r="M79" i="6"/>
  <c r="D78" i="6"/>
  <c r="D79" i="6" s="1"/>
  <c r="F5" i="5" l="1"/>
  <c r="D5" i="5"/>
  <c r="B5" i="5"/>
  <c r="F215" i="4"/>
  <c r="F13" i="5" s="1"/>
  <c r="E215" i="4"/>
  <c r="D13" i="5" s="1"/>
  <c r="F214" i="4"/>
  <c r="F12" i="5" s="1"/>
  <c r="E214" i="4"/>
  <c r="D12" i="5" s="1"/>
  <c r="F213" i="4"/>
  <c r="F11" i="5" s="1"/>
  <c r="E213" i="4"/>
  <c r="D11" i="5" s="1"/>
  <c r="F212" i="4"/>
  <c r="F10" i="5" s="1"/>
  <c r="E212" i="4"/>
  <c r="D10" i="5" s="1"/>
  <c r="F211" i="4"/>
  <c r="F9" i="5" s="1"/>
  <c r="E211" i="4"/>
  <c r="D9" i="5" s="1"/>
  <c r="F210" i="4"/>
  <c r="F8" i="5" s="1"/>
  <c r="F209" i="4"/>
  <c r="F7" i="5" s="1"/>
  <c r="E209" i="4"/>
  <c r="D7" i="5" s="1"/>
  <c r="H7" i="5" s="1"/>
  <c r="P204" i="4"/>
  <c r="L204" i="4"/>
  <c r="G203" i="4"/>
  <c r="G202" i="4"/>
  <c r="G201" i="4"/>
  <c r="G200" i="4"/>
  <c r="G199" i="4"/>
  <c r="G197" i="4"/>
  <c r="F193" i="4"/>
  <c r="E193" i="4"/>
  <c r="D193" i="4"/>
  <c r="G192" i="4"/>
  <c r="G191" i="4"/>
  <c r="G190" i="4"/>
  <c r="G189" i="4"/>
  <c r="G188" i="4"/>
  <c r="G187" i="4"/>
  <c r="G186" i="4"/>
  <c r="F185" i="4"/>
  <c r="E185" i="4"/>
  <c r="D185" i="4"/>
  <c r="F182" i="4"/>
  <c r="E182" i="4"/>
  <c r="D182" i="4"/>
  <c r="G181" i="4"/>
  <c r="G180" i="4"/>
  <c r="G179" i="4"/>
  <c r="G178" i="4"/>
  <c r="G177" i="4"/>
  <c r="G176" i="4"/>
  <c r="G175" i="4"/>
  <c r="F174" i="4"/>
  <c r="E174" i="4"/>
  <c r="D174" i="4"/>
  <c r="F171" i="4"/>
  <c r="E171" i="4"/>
  <c r="D171" i="4"/>
  <c r="G170" i="4"/>
  <c r="G169" i="4"/>
  <c r="G168" i="4"/>
  <c r="G167" i="4"/>
  <c r="G166" i="4"/>
  <c r="G165" i="4"/>
  <c r="G164" i="4"/>
  <c r="F163" i="4"/>
  <c r="E163" i="4"/>
  <c r="D163" i="4"/>
  <c r="F160" i="4"/>
  <c r="E160" i="4"/>
  <c r="D160" i="4"/>
  <c r="G159" i="4"/>
  <c r="G158" i="4"/>
  <c r="G157" i="4"/>
  <c r="G156" i="4"/>
  <c r="G155" i="4"/>
  <c r="G154" i="4"/>
  <c r="G153" i="4"/>
  <c r="F152" i="4"/>
  <c r="E152" i="4"/>
  <c r="D152" i="4"/>
  <c r="F148" i="4"/>
  <c r="E148" i="4"/>
  <c r="D148" i="4"/>
  <c r="G147" i="4"/>
  <c r="G146" i="4"/>
  <c r="G145" i="4"/>
  <c r="G144" i="4"/>
  <c r="G143" i="4"/>
  <c r="G142" i="4"/>
  <c r="G141" i="4"/>
  <c r="F140" i="4"/>
  <c r="E140" i="4"/>
  <c r="D140" i="4"/>
  <c r="L137" i="4"/>
  <c r="F137" i="4"/>
  <c r="F129" i="4" s="1"/>
  <c r="E137" i="4"/>
  <c r="E129" i="4" s="1"/>
  <c r="D137" i="4"/>
  <c r="D129" i="4" s="1"/>
  <c r="G136" i="4"/>
  <c r="G135" i="4"/>
  <c r="G134" i="4"/>
  <c r="G133" i="4"/>
  <c r="G132" i="4"/>
  <c r="G131" i="4"/>
  <c r="T129" i="4"/>
  <c r="G130" i="4"/>
  <c r="P126" i="4"/>
  <c r="H126" i="4"/>
  <c r="F126" i="4"/>
  <c r="F118" i="4" s="1"/>
  <c r="E126" i="4"/>
  <c r="E118" i="4" s="1"/>
  <c r="D126" i="4"/>
  <c r="D118" i="4" s="1"/>
  <c r="G125" i="4"/>
  <c r="G124" i="4"/>
  <c r="G123" i="4"/>
  <c r="G122" i="4"/>
  <c r="G121" i="4"/>
  <c r="G120" i="4"/>
  <c r="G119" i="4"/>
  <c r="L115" i="4"/>
  <c r="H115" i="4"/>
  <c r="F115" i="4"/>
  <c r="F107" i="4" s="1"/>
  <c r="E115" i="4"/>
  <c r="E107" i="4" s="1"/>
  <c r="D115" i="4"/>
  <c r="G114" i="4"/>
  <c r="G113" i="4"/>
  <c r="G112" i="4"/>
  <c r="G111" i="4"/>
  <c r="G110" i="4"/>
  <c r="G109" i="4"/>
  <c r="G108" i="4"/>
  <c r="P81" i="4"/>
  <c r="L81" i="4"/>
  <c r="I46" i="6"/>
  <c r="F81" i="4"/>
  <c r="F73" i="4" s="1"/>
  <c r="E81" i="4"/>
  <c r="E73" i="4" s="1"/>
  <c r="D81" i="4"/>
  <c r="G80" i="4"/>
  <c r="G79" i="4"/>
  <c r="G78" i="4"/>
  <c r="G77" i="4"/>
  <c r="G76" i="4"/>
  <c r="G75" i="4"/>
  <c r="G74" i="4"/>
  <c r="P70" i="4"/>
  <c r="P62" i="4" s="1"/>
  <c r="L70" i="4"/>
  <c r="L62" i="4" s="1"/>
  <c r="H62" i="4"/>
  <c r="F70" i="4"/>
  <c r="F62" i="4" s="1"/>
  <c r="E70" i="4"/>
  <c r="E62" i="4" s="1"/>
  <c r="D70" i="4"/>
  <c r="G69" i="4"/>
  <c r="G68" i="4"/>
  <c r="G67" i="4"/>
  <c r="G66" i="4"/>
  <c r="G65" i="4"/>
  <c r="G64" i="4"/>
  <c r="G63" i="4"/>
  <c r="F58" i="4"/>
  <c r="E58" i="4"/>
  <c r="D58" i="4"/>
  <c r="G57" i="4"/>
  <c r="G56" i="4"/>
  <c r="G55" i="4"/>
  <c r="G54" i="4"/>
  <c r="G53" i="4"/>
  <c r="G52" i="4"/>
  <c r="G51" i="4"/>
  <c r="F50" i="4"/>
  <c r="E50" i="4"/>
  <c r="F47" i="4"/>
  <c r="E47" i="4"/>
  <c r="D47" i="4"/>
  <c r="G46" i="4"/>
  <c r="G45" i="4"/>
  <c r="G44" i="4"/>
  <c r="G43" i="4"/>
  <c r="G42" i="4"/>
  <c r="G41" i="4"/>
  <c r="G40" i="4"/>
  <c r="E39" i="4"/>
  <c r="D39" i="4"/>
  <c r="P36" i="4"/>
  <c r="P28" i="4" s="1"/>
  <c r="L36" i="4"/>
  <c r="L28" i="4" s="1"/>
  <c r="H36" i="4"/>
  <c r="F36" i="4"/>
  <c r="F28" i="4" s="1"/>
  <c r="E36" i="4"/>
  <c r="E28" i="4" s="1"/>
  <c r="D36" i="4"/>
  <c r="G35" i="4"/>
  <c r="G34" i="4"/>
  <c r="G33" i="4"/>
  <c r="G32" i="4"/>
  <c r="G31" i="4"/>
  <c r="G30" i="4"/>
  <c r="G29" i="4"/>
  <c r="P25" i="4"/>
  <c r="L25" i="4"/>
  <c r="H25" i="4"/>
  <c r="F25" i="4"/>
  <c r="F17" i="4" s="1"/>
  <c r="E25" i="4"/>
  <c r="E17" i="4" s="1"/>
  <c r="D25" i="4"/>
  <c r="G24" i="4"/>
  <c r="G23" i="4"/>
  <c r="G22" i="4"/>
  <c r="G21" i="4"/>
  <c r="G20" i="4"/>
  <c r="G19" i="4"/>
  <c r="G18" i="4"/>
  <c r="F14" i="4"/>
  <c r="E14" i="4"/>
  <c r="D14" i="4"/>
  <c r="C9" i="6" l="1"/>
  <c r="F9" i="6" s="1"/>
  <c r="D17" i="4"/>
  <c r="C12" i="6"/>
  <c r="C77" i="6" s="1"/>
  <c r="H11" i="5"/>
  <c r="D208" i="4"/>
  <c r="F208" i="4"/>
  <c r="G160" i="4"/>
  <c r="H129" i="4"/>
  <c r="I63" i="6"/>
  <c r="G215" i="4"/>
  <c r="T107" i="4"/>
  <c r="H28" i="4"/>
  <c r="T36" i="4"/>
  <c r="T28" i="4" s="1"/>
  <c r="T73" i="4"/>
  <c r="G70" i="4"/>
  <c r="T118" i="4"/>
  <c r="G209" i="4"/>
  <c r="G214" i="4"/>
  <c r="H13" i="5"/>
  <c r="G211" i="4"/>
  <c r="G118" i="4"/>
  <c r="G212" i="4"/>
  <c r="G115" i="4"/>
  <c r="F216" i="4"/>
  <c r="F217" i="4" s="1"/>
  <c r="G81" i="4"/>
  <c r="G148" i="4"/>
  <c r="G182" i="4"/>
  <c r="G36" i="4"/>
  <c r="G58" i="4"/>
  <c r="T137" i="4"/>
  <c r="G129" i="4"/>
  <c r="G171" i="4"/>
  <c r="G185" i="4"/>
  <c r="D73" i="4"/>
  <c r="G73" i="4" s="1"/>
  <c r="G152" i="4"/>
  <c r="G193" i="4"/>
  <c r="T70" i="4"/>
  <c r="T81" i="4"/>
  <c r="D62" i="4"/>
  <c r="G62" i="4" s="1"/>
  <c r="G140" i="4"/>
  <c r="G213" i="4"/>
  <c r="G25" i="4"/>
  <c r="G47" i="4"/>
  <c r="F14" i="5"/>
  <c r="F15" i="5" s="1"/>
  <c r="T126" i="4"/>
  <c r="T115" i="4"/>
  <c r="B14" i="5"/>
  <c r="G174" i="4"/>
  <c r="H12" i="5"/>
  <c r="G163" i="4"/>
  <c r="E14" i="5"/>
  <c r="H9" i="5"/>
  <c r="H10" i="5"/>
  <c r="G126" i="4"/>
  <c r="E208" i="4"/>
  <c r="G137" i="4"/>
  <c r="G17" i="4"/>
  <c r="D28" i="4"/>
  <c r="G28" i="4" s="1"/>
  <c r="D107" i="4"/>
  <c r="G107" i="4" s="1"/>
  <c r="G12" i="6" l="1"/>
  <c r="F12" i="6"/>
  <c r="C78" i="6"/>
  <c r="C79" i="6" s="1"/>
  <c r="F77" i="6"/>
  <c r="F78" i="6" s="1"/>
  <c r="F79" i="6" s="1"/>
  <c r="P217" i="4"/>
  <c r="E15" i="5"/>
  <c r="E16" i="5" s="1"/>
  <c r="F16" i="5"/>
  <c r="B15" i="5"/>
  <c r="F218" i="4"/>
  <c r="D218" i="4"/>
  <c r="E18" i="5" l="1"/>
  <c r="C84" i="6"/>
  <c r="C87" i="6"/>
  <c r="P218" i="4"/>
  <c r="B16" i="5"/>
  <c r="G16" i="5"/>
  <c r="G18" i="5" l="1"/>
  <c r="G17" i="5"/>
  <c r="T204" i="4"/>
  <c r="H204" i="4"/>
  <c r="H196" i="4"/>
  <c r="T196" i="4" l="1"/>
  <c r="C14" i="5" l="1"/>
  <c r="I13" i="5"/>
  <c r="H217" i="4"/>
  <c r="H218" i="4" l="1"/>
  <c r="T218" i="4"/>
  <c r="I14" i="5"/>
  <c r="C15" i="5"/>
  <c r="I15" i="5" s="1"/>
  <c r="C16" i="5" l="1"/>
  <c r="I70" i="6"/>
  <c r="I16" i="5" l="1"/>
  <c r="C18" i="5"/>
  <c r="C17" i="5"/>
  <c r="I18" i="5"/>
  <c r="G50" i="4"/>
  <c r="I12" i="6"/>
  <c r="I77" i="6" s="1"/>
  <c r="I78" i="6" l="1"/>
  <c r="I79" i="6" l="1"/>
  <c r="E210" i="4"/>
  <c r="D8" i="5" s="1"/>
  <c r="E216" i="4"/>
  <c r="G216" i="4" l="1"/>
  <c r="E217" i="4"/>
  <c r="E218" i="4" s="1"/>
  <c r="H8" i="5"/>
  <c r="D14" i="5"/>
  <c r="G210" i="4"/>
  <c r="D15" i="5" l="1"/>
  <c r="H15" i="5" s="1"/>
  <c r="H14" i="5"/>
  <c r="D16" i="5"/>
  <c r="G217" i="4"/>
  <c r="G218" i="4" s="1"/>
  <c r="E17" i="5" l="1"/>
  <c r="H16" i="5"/>
  <c r="I17" i="5" s="1"/>
</calcChain>
</file>

<file path=xl/sharedStrings.xml><?xml version="1.0" encoding="utf-8"?>
<sst xmlns="http://schemas.openxmlformats.org/spreadsheetml/2006/main" count="387" uniqueCount="177">
  <si>
    <t>Tableau 1 - RAPPORT FINANCIER du projet PBF par résultat, produit et activité</t>
  </si>
  <si>
    <t>Nombre de resultat/ produit</t>
  </si>
  <si>
    <t>Formulation du resultat/ produit/activite</t>
  </si>
  <si>
    <t>Organisation recipiendiaire 1 (budget en USD)</t>
  </si>
  <si>
    <t>Organisation recipiendiaire 2 (budget en USD)</t>
  </si>
  <si>
    <t>Organisation recipiendiaire 3 (budget en USD)</t>
  </si>
  <si>
    <t>Total</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</si>
  <si>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</si>
  <si>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</si>
  <si>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Niveau de depense/ engagement actuel en USD (a remplir au moment des rapports de projet)</t>
  </si>
  <si>
    <t xml:space="preserve">Niveau de depense TOTAL/ engagement actuel en USD (a remplir au moment des rapports de projet) </t>
  </si>
  <si>
    <t xml:space="preserve">Pourcentage des  dépenses pour chaque produit ou activite reserve pour action directe sur égalité des sexes et autonomisation des femmes (GEWE) (cas echeant) </t>
  </si>
  <si>
    <t>PNUD</t>
  </si>
  <si>
    <t>OHCHR</t>
  </si>
  <si>
    <t>MSIS TATAO</t>
  </si>
  <si>
    <t xml:space="preserve">RESULTAT 1: </t>
  </si>
  <si>
    <t xml:space="preserve">Les acteurs (OSCs, membres des Comités Exécutifs des Dina, autorités administratives et judiciaires) exercent leurs rôles en conformité avec la législation en vigueur, les normes et standards internationaux de l’État de droit et des droits humains </t>
  </si>
  <si>
    <t>Produit 1.1:</t>
  </si>
  <si>
    <t>Le cadre juridique et institutionnel actuel, les pratiques des Dina sont documentés en vue d’une mise en conformité avec la législation, les normes et standards en vigueur</t>
  </si>
  <si>
    <t>Activite 1.1.1:</t>
  </si>
  <si>
    <t xml:space="preserve">Réaliser une combinaison d’études incluant :
· un audit juridique des textes (incluant les Dina homologués et les conventions appliquées et non homologuées) en vigueur (au regard des normes et standards internationaux sur l’État de droit et les Droits humains) intégrant une analyse sur les perspectives femmes/jeunes/minorités
· une étude anthropo-sociologique des pratiques actuelles des Dina qui produisent des recommandations, intégrant les perspectives femmes/jeunes/minorités, pour assurer le respect par les différents acteurs des Dina du cadre juridique et institutionnel et des normes et standards internationaux de l’État de droit et des droit humains 
·   une baseline des indicateurs de progrès du projet </t>
  </si>
  <si>
    <t>Activite 1.1.2:</t>
  </si>
  <si>
    <t>Réaliser des concertations (au même moment que l’activité 1.1.1) inclusives, et participatives entre les OSCs (avec l’intégration et l’implication des femmes/jeunes/minorités en tant qu’acteurs des OSCs et non uniquement en tant que justiciables), les comités d’exécution des Dina, avec une active participation des femmes, des jeunes et des minorités, et des acteurs étatiques en vue d’une légitimation/d’une application, ayant l’adhésion de tous les acteurs, des Dina 
· Identifier de manière inclusive les acteurs clés et les facteurs de réussite pour leur application
· Délimiter les champs d’intervention de chaque acteur au niveau territorial et ensuite national
· Délimiter les champs d’intégration de la participation active des femmes/jeunes/minorités dans l’application des Dina</t>
  </si>
  <si>
    <t>Activite 1.1.3:</t>
  </si>
  <si>
    <t>Activite 1.1.4:</t>
  </si>
  <si>
    <t>Produit total</t>
  </si>
  <si>
    <t>Produit 1.2:</t>
  </si>
  <si>
    <t xml:space="preserve">Les Dina sont rendus plus inclusifs et légitimes et disposent de capacités renforcées à prévenir et gérer les conflits locaux de façon pacifique </t>
  </si>
  <si>
    <t>Activite 1.2.1</t>
  </si>
  <si>
    <t>Élaborer et développer un plan d’action, une stratégie de communication et de méthode d’interaction entre les acteurs issus des recommandations de la combinaison d’études et des résultats des concertations de l’activité 1 du Produit 1.2 avec une priorisation concertée avec les parties prenantes, en intégrant les perspectives femmes/jeunes/minorités</t>
  </si>
  <si>
    <t>Activite 1.2.2</t>
  </si>
  <si>
    <t>Mettre en œuvre le point le plus prioritaire identifié dans le plan d’action selon les ressources disponibles (révision de Dina les plus controversés en ne dépassant pas 3 Dina comme cible pilote), en intégrant les perspectives femmes/jeunes/minorités</t>
  </si>
  <si>
    <t>Activite 1.2.3</t>
  </si>
  <si>
    <t>Mettre en œuvre la stratégie de communication et la méthode d’interaction entre les acteurs avec une approche respectant les perspectives femmes/jeunes/minorités</t>
  </si>
  <si>
    <t>Activite 1.2.4</t>
  </si>
  <si>
    <t>Développer et vulgariser des outils de travail (les Dina, registres de saisine, de convocation, de délibération, de procès-verbaux) inclusifs et de méthode d’interaction entre le Comité d’exécution de Dina et les juridictions territorialement compétentes, en assurant leur appropriation et application effective</t>
  </si>
  <si>
    <t>Activite 1.2.5</t>
  </si>
  <si>
    <t xml:space="preserve">Renforcer les capacités des acteurs non étatiques sur le cadre juridique et institutionnel en conformité avec la législation, les normes et standards en vigueur (sensibilisation, information, vulgarisation, formation) sur la base des résultats de la combinaison d’études, mais également sur les outils de travail inclusifs et la méthode d’interaction entre les acteurs (Activité 1.2.4), en assurant une participation active des femmes/jeunes/minorités </t>
  </si>
  <si>
    <t>Activite 1.2.6</t>
  </si>
  <si>
    <t>Activite 1.2.7</t>
  </si>
  <si>
    <t>Activite 1.2.8</t>
  </si>
  <si>
    <t>Produit 1.3:</t>
  </si>
  <si>
    <t>Activite 1.3.1</t>
  </si>
  <si>
    <t>Activite 1.3.2</t>
  </si>
  <si>
    <t>Activite 1.3.3</t>
  </si>
  <si>
    <t xml:space="preserve">RESULTAT 2: </t>
  </si>
  <si>
    <t>Le rapprochement des mécanismes de justice traditionnelle et formelle est effectif pour l'amélioration de l'accès à la justice notamment des populations vulnérables</t>
  </si>
  <si>
    <t>Produit 2.1</t>
  </si>
  <si>
    <t>Les acteurs au niveau des tribunaux, les autorités administratives locales (régions, district, communes) et les communautés disposent d’un mécanisme de collaboration opérationnel dans le processus d’élaboration, d’homologation et d’application des Dina, y compris les Dina sectoriels, dans le respect de la législation en vigueur</t>
  </si>
  <si>
    <t>Activite 2.1.1</t>
  </si>
  <si>
    <t>Sensibiliser les communautés, en assurant la représentation des femmes/jeunes/minorités, et les Comités d’exécution de Dina sur l’intérêt d’intégrer dans les Dina seulement les dispositions juridiques conformes à la législation en vigueur et aux principes et normes des droits humains</t>
  </si>
  <si>
    <t>Activite 2.1.2</t>
  </si>
  <si>
    <t>Renforcer les capacités des autorités juridiques concernées par le processus d’homologation des Dina afin de réduire leurs résistances en valorisant les profils féminins/jeunes/minoritaires</t>
  </si>
  <si>
    <t>Activite 2.1.3</t>
  </si>
  <si>
    <t>Engager une concertation entre les acteurs au niveau des tribunaux, les autorités administratives locales et les communautés, en assurant la participation active des femmes/jeunes/minorités, pour assurer l'efficacité du mécanisme et conscientiser sur l'importance de la collaboration</t>
  </si>
  <si>
    <t>Activite 2.1.4</t>
  </si>
  <si>
    <t>Définir, dans le cadre d’un accord formel, un espace de collaboration, intégrant les femmes/les jeunes/les minorités visant à résoudre tous les dysfonctionnements dans l’application des Dina et qui portent atteinte aux droits des justiciables</t>
  </si>
  <si>
    <t>Activite 2.1.5</t>
  </si>
  <si>
    <t>Accompagner et mobiliser, sur la base de cible pilote, toutes les parties prenantes en vue de la mise en œuvre de ce mécanisme de collaboration</t>
  </si>
  <si>
    <t>Produit 2.2</t>
  </si>
  <si>
    <t>L’exécution des décisions régulièrement prises et exécutées par les Comités Exécutifs de Dina est effective et sécurisée à la fois par les autorités judiciaires et administratives conformément à la législation en vigueur et aux normes et standards internationaux des droits humains</t>
  </si>
  <si>
    <t>Activite 2.2.1</t>
  </si>
  <si>
    <t xml:space="preserve">Engager une concertation entre les acteurs au niveau des tribunaux, les autorités administratives locales, les Comités Exécutifs des Dina et définir un mécanisme de suivi inclusif visant à assurer l’exécution effective des décisions régulièrement prises par lesdits comités  </t>
  </si>
  <si>
    <t>Activite' 2.2.2</t>
  </si>
  <si>
    <t>Élaborer et éditer des outils matérialisant la collaboration entre les parties prenantes en matière de suivi d’exécution des décisions</t>
  </si>
  <si>
    <t>Activite 2.2.3</t>
  </si>
  <si>
    <t>Renforcer les capacités des parties prenantes sur les règles et mécanismes d'exécution des Dina et le suivi de celle-ci</t>
  </si>
  <si>
    <t>Activite 2.2.4</t>
  </si>
  <si>
    <t>Activite 2.2.5</t>
  </si>
  <si>
    <t xml:space="preserve">RESULTAT 3: </t>
  </si>
  <si>
    <t xml:space="preserve">La confiance des communautés à l’égard des Dina et du système de justice formel et les droits des justiciables dont les populations vulnérables sont renforcés grâce à l’opérationnalisation au niveau des collectivités d’un mécanisme de contrôle citoyen (CC) de ces systèmes de justice </t>
  </si>
  <si>
    <t>Produit 3.1</t>
  </si>
  <si>
    <t>Les principes, les mécanismes, les modalités et les outils de contrôle citoyen du Dina et de la justice formelle sont définis et adoptés par les acteurs étatiques et non étatiques, parties prenantes</t>
  </si>
  <si>
    <t>Activite 3.1.1</t>
  </si>
  <si>
    <t>Conduire une étude au niveau national et des régions d’intervention pour définir et mener une réflexion commune sur le mécanisme et outils de contrôle citoyen les mieux appropriés à mettre en œuvre : la méthodologie et outils de contrôle citoyen, la mobilisation des parties prenantes et la pérennisation du mécanisme. Cette étude comprendra une capitalisation des mécanismes et outils de contrôle-citoyen développés et mis en œuvre par les réseaux des jeunes auprès des Dina et des services fournis par les forces de l’ordre dans le cadre du projet OBS-Mada financé par PBF</t>
  </si>
  <si>
    <t>Activite 3.1.2</t>
  </si>
  <si>
    <t>Restituer et valider de manière inclusive et participative les résultats des résultats de l’étude en intégrant les recommandations de l’atelier de restitution en vue de leur mise en œuvre</t>
  </si>
  <si>
    <t>Activite 3.1.3</t>
  </si>
  <si>
    <t>Produit 3.2:</t>
  </si>
  <si>
    <t>Les mécanismes du contrôle citoyen des systèmes de justice traditionnels et formels sont opérationnels et pérennes</t>
  </si>
  <si>
    <t>Activite 3.2.1</t>
  </si>
  <si>
    <t>Elaborer un plan de campagnes de sensibilisation et d’éducation sur la base des résultats du Produit 3.1, le mettre en oeuvre et renforcer les capacités des parties prenantes des mécanismes de contrôle citoyen des Dina et de la justice formelle</t>
  </si>
  <si>
    <t>Activite 3.2.2</t>
  </si>
  <si>
    <t>Opérationnaliser le dispositif de suivi à base communautaire et de collecte de feed-back au niveau des fokontany d’intervention</t>
  </si>
  <si>
    <t>Produit 3.3</t>
  </si>
  <si>
    <t>Les capacités/l’expertise des acteurs étatiques et non étatiques dans le processus de recours en cas d’abus sont renforcées pour un engagement harmonisé de ces acteurs</t>
  </si>
  <si>
    <t>Activite 3.3.1</t>
  </si>
  <si>
    <t>Renforcer les Observatoires des droits humains pour constituer un mécanisme d’alerte précoce de conflits à travers le monitoring et le reporting sur le respect des droits humains dans l’application des systèmes de justice</t>
  </si>
  <si>
    <t>Activite 3.3.2</t>
  </si>
  <si>
    <t>Renforcer les capacités des Comités de paix et des groupements des femmes en tant que mécanisme de prévention et de gestion des conflits afférents à l’application des systèmes de justice</t>
  </si>
  <si>
    <t>Activite 3.3.3</t>
  </si>
  <si>
    <t xml:space="preserve">Renforcer le mécanisme de dénonciation et de protection en cas d’atteinte aux ou de violation des droits humains </t>
  </si>
  <si>
    <t>Cout de personnel du projet si pas inclus dans les activites ci-dessus</t>
  </si>
  <si>
    <t>Voir liste complète dans le document de projet</t>
  </si>
  <si>
    <t>Couts operationnels si pas inclus dans les activites ci-dessus</t>
  </si>
  <si>
    <t>Bureau commun de Betroka, carburant, fournitures de bureau, communication…</t>
  </si>
  <si>
    <t>Budget de suivi</t>
  </si>
  <si>
    <t xml:space="preserve">Enquête de perception, missions de suivi trimestrielles et visites du comité de pilotage, réunion du comité technique du projet, évaluation finale </t>
  </si>
  <si>
    <t>Budget pour l'évaluation finale indépendante</t>
  </si>
  <si>
    <t>Coûts supplémentaires total</t>
  </si>
  <si>
    <t>Totaux</t>
  </si>
  <si>
    <t>Organisation recipiendiaire 1</t>
  </si>
  <si>
    <t>Organisation recipiendiaire 2</t>
  </si>
  <si>
    <t>Organisation recipiendiaire 3</t>
  </si>
  <si>
    <t>Sous-budget total du projet</t>
  </si>
  <si>
    <t>Coûts indirects (7%):</t>
  </si>
  <si>
    <t>$ alloué à GEWE</t>
  </si>
  <si>
    <t>% alloué à GEWE</t>
  </si>
  <si>
    <t>$ alloué à S&amp;E</t>
  </si>
  <si>
    <t>% alloué à S&amp;E</t>
  </si>
  <si>
    <r>
      <t xml:space="preserve">Note: Le PBF n'accepte pas les projets avec moins de 5% pour le S&amp;E et moins 15% pour le GEWE. Ces chiffres apparaîtront </t>
    </r>
    <r>
      <rPr>
        <sz val="11"/>
        <color rgb="FFFF0000"/>
        <rFont val="DM Sans"/>
      </rPr>
      <t>en</t>
    </r>
    <r>
      <rPr>
        <sz val="11"/>
        <color theme="1"/>
        <rFont val="DM Sans"/>
      </rPr>
      <t xml:space="preserve"> </t>
    </r>
    <r>
      <rPr>
        <sz val="11"/>
        <color rgb="FFFF0000"/>
        <rFont val="DM Sans"/>
      </rPr>
      <t>rouge</t>
    </r>
    <r>
      <rPr>
        <sz val="11"/>
        <color theme="1"/>
        <rFont val="DM Sans"/>
      </rPr>
      <t xml:space="preserve"> si ce seuil minimum n'est pas atteint.</t>
    </r>
  </si>
  <si>
    <t>Annexe D - Revision budétaire du projet PBF</t>
  </si>
  <si>
    <t>Instructions:</t>
  </si>
  <si>
    <t>Tableau 2 - Répartition des produits par catégories de budget de l’ONU</t>
  </si>
  <si>
    <t xml:space="preserve">DEPENSES </t>
  </si>
  <si>
    <t xml:space="preserve">TOTAL DEPENSES  et ENGAGEMENTS </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</si>
  <si>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</si>
  <si>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</si>
  <si>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</si>
  <si>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</si>
  <si>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</si>
  <si>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</si>
  <si>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</si>
  <si>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</si>
  <si>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</si>
  <si>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</si>
  <si>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</si>
  <si>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</si>
  <si>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</si>
  <si>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</si>
  <si>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</si>
  <si>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</si>
  <si>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</si>
  <si>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</si>
  <si>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</si>
  <si>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</si>
  <si>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RESULTAT 3</t>
  </si>
  <si>
    <t>Total pour produit 3.1 (du tableau 1)</t>
  </si>
  <si>
    <t>Produit 3.2</t>
  </si>
  <si>
    <t>Total pour produit 3.2 (du tableau 1)</t>
  </si>
  <si>
    <t>Total pour produit 3.3 (du tableau 1)</t>
  </si>
  <si>
    <t>Produit 3.4</t>
  </si>
  <si>
    <t>Total pour produit 3.4 (du tableau 1)</t>
  </si>
  <si>
    <t>RESULTAT 4</t>
  </si>
  <si>
    <t>Produit 4.1</t>
  </si>
  <si>
    <t>Total pour produit 4.1 (du tableau 1)</t>
  </si>
  <si>
    <t>Produit 4.2</t>
  </si>
  <si>
    <t>Total pour produit 4.2 (du tableau 1)</t>
  </si>
  <si>
    <t>Produit 4.3</t>
  </si>
  <si>
    <t>Total pour produit 4.3 (du tableau 1)</t>
  </si>
  <si>
    <t>Produit 4.4</t>
  </si>
  <si>
    <t>Total pour produit 4.4 (du tableau 1)</t>
  </si>
  <si>
    <t xml:space="preserve">Coûts supplémentaires </t>
  </si>
  <si>
    <t>Total des coûts supplémentaires (du tableau 1)</t>
  </si>
  <si>
    <t>TOTAL DEPENSES  et ENGAGEMENTS</t>
  </si>
  <si>
    <t>TOTAL</t>
  </si>
  <si>
    <t>CATEGORIES</t>
  </si>
  <si>
    <t xml:space="preserve"> TOTAL PROJET</t>
  </si>
  <si>
    <t>Budget</t>
  </si>
  <si>
    <t>Sous-total</t>
  </si>
  <si>
    <t xml:space="preserve">8. Coûts indirects*  </t>
  </si>
  <si>
    <t xml:space="preserve"> - </t>
  </si>
  <si>
    <t>Tableau 1 - Budget de projet LANDJA par categorie de cout de l'ONU</t>
  </si>
  <si>
    <t>BUDGET</t>
  </si>
  <si>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1"/>
        <color rgb="FFFF0000"/>
        <rFont val="DM Sans"/>
      </rPr>
      <t xml:space="preserve"> en rouge</t>
    </r>
    <r>
      <rPr>
        <b/>
        <sz val="11"/>
        <color theme="1"/>
        <rFont val="DM Sans"/>
      </rPr>
      <t>.</t>
    </r>
  </si>
  <si>
    <t>Engagement total du PNUD</t>
  </si>
  <si>
    <t>Projection des dépenses jusqu’en décembre 2025</t>
  </si>
  <si>
    <t xml:space="preserve"> TOTAL CUMULE</t>
  </si>
  <si>
    <t>Organisation recipiendiaire 1 - PNUD</t>
  </si>
  <si>
    <t>Organisation recipiendiaire 2 - OHCHR</t>
  </si>
  <si>
    <t>Organisation recipiendiaire 3 - MSIS TATAO</t>
  </si>
  <si>
    <t>Organisation recipiendiaire 2 - HCDH</t>
  </si>
  <si>
    <t xml:space="preserve">Organisation recipiendiaire 3 - MSIS TATAO </t>
  </si>
  <si>
    <t>Dépenses réelles + Engagements + Projection</t>
  </si>
  <si>
    <t>TAUX D'EXECUTION SUR BUDGET GLOBAL</t>
  </si>
  <si>
    <t xml:space="preserve">TAUX D'EXECUTION SUR 1ERE TRANCHE </t>
  </si>
  <si>
    <t>Engagement total du OHCHR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</si>
</sst>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4" formatCode="_-* #,##0.00\ &quot;€&quot;_-;\-* #,##0.00\ &quot;€&quot;_-;_-* &quot;-&quot;??\ &quot;€&quot;_-;_-@_-"/>
    <numFmt numFmtId="43" formatCode="_-* #,##0.00_-;\-* #,##0.00_-;_-* &quot;-&quot;??_-;_-@_-"/>
    <numFmt numFmtId="164" formatCode="_-* #,##0.00\ _€_-;\-* #,##0.00\ _€_-;_-* &quot;-&quot;??\ _€_-;_-@_-"/>
    <numFmt numFmtId="165" formatCode="_(&quot;$&quot;* #,##0.00_);_(&quot;$&quot;* \(#,##0.00\);_(&quot;$&quot;* &quot;-&quot;??_);_(@_)"/>
    <numFmt numFmtId="166" formatCode="_(* #,##0.00_);_(* \(#,##0.00\);_(* &quot;-&quot;??_);_(@_)"/>
    <numFmt numFmtId="167" formatCode="_-* #,##0.00\ _A_r_-;\-* #,##0.00\ _A_r_-;_-* &quot;-&quot;??\ _A_r_-;_-@_-"/>
    <numFmt numFmtId="168" formatCode="_-* #,##0.00_-;\-* #,##0.00_-;_-* &quot;-&quot;_-;_-@_-"/>
    <numFmt numFmtId="169" formatCode="_(&quot;$&quot;* #,##0_);_(&quot;$&quot;* \(#,##0\);_(&quot;$&quot;* &quot;-&quot;??_);_(@_)"/>
    <numFmt numFmtId="170" formatCode="_(* #,##0_);_(* \(#,##0\);_(* &quot;-&quot;??_);_(@_)"/>
    <numFmt numFmtId="171" formatCode="_-* #,##0.0_-;\-* #,##0.0_-;_-* &quot;-&quot;_-;_-@_-"/>
    <numFmt numFmtId="172" formatCode="0.0%"/>
  </numFmts>
  <fonts count="15" x14ac:knownFonts="1">
    <font>
      <sz val="11"/>
      <color theme="1"/>
      <name val="Calibri"/>
      <family val="2"/>
      <scheme val="minor"/>
    </font>
    <font>
      <sz val="11"/>
      <color theme="1"/>
      <name val="Calibri"/>
      <family val="2"/>
      <scheme val="minor"/>
    </font>
    <font>
      <b/>
      <sz val="20"/>
      <color theme="1"/>
      <name val="DM Sans"/>
    </font>
    <font>
      <sz val="11"/>
      <color theme="1"/>
      <name val="DM Sans"/>
    </font>
    <font>
      <sz val="11"/>
      <name val="DM Sans"/>
    </font>
    <font>
      <b/>
      <sz val="11"/>
      <color rgb="FF000000"/>
      <name val="DM Sans"/>
    </font>
    <font>
      <sz val="11"/>
      <color rgb="FF000000"/>
      <name val="DM Sans"/>
    </font>
    <font>
      <sz val="11"/>
      <color rgb="FFFF0000"/>
      <name val="DM Sans"/>
    </font>
    <font>
      <b/>
      <sz val="11"/>
      <color theme="1"/>
      <name val="DM Sans"/>
    </font>
    <font>
      <sz val="9"/>
      <color theme="1"/>
      <name val="DM Sans"/>
    </font>
    <font>
      <b/>
      <sz val="9"/>
      <color theme="1"/>
      <name val="DM Sans"/>
    </font>
    <font>
      <sz val="9"/>
      <color theme="0"/>
      <name val="DM Sans"/>
    </font>
    <font>
      <sz val="9"/>
      <name val="DM Sans"/>
    </font>
    <font>
      <b/>
      <sz val="11"/>
      <color rgb="FF00B0F0"/>
      <name val="DM Sans"/>
    </font>
    <font>
      <b/>
      <sz val="11"/>
      <color rgb="FFFF0000"/>
      <name val="DM Sans"/>
    </font>
  </fonts>
  <fills count="2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7E6E6"/>
        <bgColor rgb="FF000000"/>
      </patternFill>
    </fill>
    <fill>
      <patternFill patternType="solid">
        <fgColor rgb="FFFFFFFF"/>
        <bgColor rgb="FF000000"/>
      </patternFill>
    </fill>
    <fill>
      <patternFill patternType="solid">
        <fgColor rgb="FFD9D9D9"/>
        <bgColor rgb="FF000000"/>
      </patternFill>
    </fill>
    <fill>
      <patternFill patternType="solid">
        <fgColor rgb="FFF2F2F2"/>
        <bgColor rgb="FF000000"/>
      </patternFill>
    </fill>
    <fill>
      <patternFill patternType="solid">
        <fgColor rgb="FFD0CECE"/>
        <bgColor rgb="FF000000"/>
      </patternFill>
    </fill>
    <fill>
      <patternFill patternType="solid">
        <fgColor rgb="FFFFD966"/>
        <bgColor rgb="FF000000"/>
      </patternFill>
    </fill>
    <fill>
      <patternFill patternType="solid">
        <fgColor rgb="FFFFFF00"/>
        <bgColor indexed="64"/>
      </patternFill>
    </fill>
    <fill>
      <patternFill patternType="solid">
        <fgColor theme="2" tint="-9.9978637043366805E-2"/>
        <bgColor indexed="64"/>
      </patternFill>
    </fill>
    <fill>
      <patternFill patternType="solid">
        <fgColor rgb="FFB3B3B3"/>
        <bgColor indexed="64"/>
      </patternFill>
    </fill>
    <fill>
      <patternFill patternType="solid">
        <fgColor rgb="FFD9D9D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rgb="FF000000"/>
      </patternFill>
    </fill>
    <fill>
      <patternFill patternType="solid">
        <fgColor theme="5" tint="0.79998168889431442"/>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39997558519241921"/>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8">
    <xf numFmtId="0" fontId="0" fillId="0" borderId="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43">
    <xf numFmtId="0" fontId="0" fillId="0" borderId="0" xfId="0"/>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center" vertical="center" wrapText="1"/>
    </xf>
    <xf numFmtId="0" fontId="3" fillId="3" borderId="0" xfId="0" applyFont="1" applyFill="1" applyAlignment="1">
      <alignment vertical="center" wrapText="1"/>
    </xf>
    <xf numFmtId="0" fontId="3" fillId="0" borderId="9" xfId="0" applyFont="1" applyBorder="1" applyAlignment="1">
      <alignment vertical="center" wrapText="1"/>
    </xf>
    <xf numFmtId="0" fontId="3" fillId="0" borderId="8" xfId="0" applyFont="1" applyBorder="1"/>
    <xf numFmtId="0" fontId="3" fillId="0" borderId="0" xfId="0" applyFont="1" applyAlignment="1">
      <alignment wrapText="1"/>
    </xf>
    <xf numFmtId="0" fontId="5" fillId="9" borderId="4" xfId="0" applyFont="1" applyFill="1" applyBorder="1" applyAlignment="1">
      <alignment horizontal="left" vertical="center" wrapText="1"/>
    </xf>
    <xf numFmtId="0" fontId="5" fillId="9" borderId="7" xfId="0" applyFont="1" applyFill="1" applyBorder="1" applyAlignment="1">
      <alignment horizontal="left" vertical="center" wrapText="1"/>
    </xf>
    <xf numFmtId="0" fontId="5" fillId="8" borderId="0" xfId="0" applyFont="1" applyFill="1" applyAlignment="1">
      <alignment horizontal="center" vertical="center" wrapText="1"/>
    </xf>
    <xf numFmtId="0" fontId="3" fillId="8" borderId="0" xfId="0" applyFont="1" applyFill="1" applyAlignment="1">
      <alignment horizontal="center" vertical="center" wrapText="1"/>
    </xf>
    <xf numFmtId="0" fontId="8" fillId="0" borderId="0" xfId="0" applyFont="1"/>
    <xf numFmtId="9" fontId="3" fillId="0" borderId="0" xfId="4" applyFont="1"/>
    <xf numFmtId="166" fontId="8" fillId="0" borderId="0" xfId="1" applyFont="1"/>
    <xf numFmtId="166" fontId="3" fillId="0" borderId="0" xfId="1" applyFont="1"/>
    <xf numFmtId="0" fontId="6" fillId="0" borderId="6" xfId="0" applyFont="1" applyBorder="1" applyAlignment="1">
      <alignment horizontal="center" vertical="center" wrapText="1"/>
    </xf>
    <xf numFmtId="0" fontId="3" fillId="0" borderId="8" xfId="0" applyFont="1" applyBorder="1" applyAlignment="1">
      <alignment vertical="center" wrapText="1"/>
    </xf>
    <xf numFmtId="0" fontId="8" fillId="16" borderId="8" xfId="0" applyFont="1" applyFill="1" applyBorder="1" applyAlignment="1">
      <alignment vertical="center" wrapText="1"/>
    </xf>
    <xf numFmtId="170" fontId="3" fillId="0" borderId="8" xfId="1" applyNumberFormat="1" applyFont="1" applyFill="1" applyBorder="1" applyAlignment="1">
      <alignment horizontal="right" vertical="center"/>
    </xf>
    <xf numFmtId="170" fontId="3" fillId="0" borderId="8" xfId="1" applyNumberFormat="1" applyFont="1" applyBorder="1" applyAlignment="1">
      <alignment horizontal="right" vertical="center"/>
    </xf>
    <xf numFmtId="166" fontId="3" fillId="0" borderId="8" xfId="1" applyFont="1" applyBorder="1" applyAlignment="1">
      <alignment horizontal="right" vertical="center"/>
    </xf>
    <xf numFmtId="166" fontId="8" fillId="14" borderId="8" xfId="1" applyFont="1" applyFill="1" applyBorder="1" applyAlignment="1">
      <alignment horizontal="center" vertical="center" wrapText="1"/>
    </xf>
    <xf numFmtId="0" fontId="9" fillId="0" borderId="0" xfId="0" applyFont="1" applyAlignment="1">
      <alignment wrapText="1"/>
    </xf>
    <xf numFmtId="3" fontId="9" fillId="3" borderId="0" xfId="0" applyNumberFormat="1" applyFont="1" applyFill="1" applyAlignment="1">
      <alignment horizontal="right" wrapText="1"/>
    </xf>
    <xf numFmtId="3" fontId="9" fillId="0" borderId="0" xfId="0" applyNumberFormat="1" applyFont="1" applyAlignment="1">
      <alignment horizontal="right" wrapText="1"/>
    </xf>
    <xf numFmtId="0" fontId="9" fillId="0" borderId="0" xfId="0" applyFont="1"/>
    <xf numFmtId="164" fontId="9" fillId="0" borderId="0" xfId="0" applyNumberFormat="1" applyFont="1"/>
    <xf numFmtId="0" fontId="10" fillId="3" borderId="0" xfId="0" applyFont="1" applyFill="1" applyAlignment="1">
      <alignment horizontal="left" wrapText="1"/>
    </xf>
    <xf numFmtId="3" fontId="10" fillId="3" borderId="0" xfId="0" applyNumberFormat="1" applyFont="1" applyFill="1" applyAlignment="1">
      <alignment horizontal="right" wrapText="1"/>
    </xf>
    <xf numFmtId="0" fontId="9" fillId="3" borderId="0" xfId="0" applyFont="1" applyFill="1" applyAlignment="1">
      <alignment wrapText="1"/>
    </xf>
    <xf numFmtId="0" fontId="9" fillId="3" borderId="0" xfId="0" applyFont="1" applyFill="1"/>
    <xf numFmtId="0" fontId="10" fillId="4" borderId="8" xfId="0" applyFont="1" applyFill="1" applyBorder="1" applyAlignment="1">
      <alignment horizontal="left" wrapText="1"/>
    </xf>
    <xf numFmtId="0" fontId="9" fillId="0" borderId="8" xfId="0" applyFont="1" applyBorder="1" applyAlignment="1">
      <alignment horizontal="left" wrapText="1"/>
    </xf>
    <xf numFmtId="3" fontId="10" fillId="4" borderId="8" xfId="0" applyNumberFormat="1" applyFont="1" applyFill="1" applyBorder="1" applyAlignment="1">
      <alignment horizontal="right" wrapText="1"/>
    </xf>
    <xf numFmtId="165" fontId="10" fillId="0" borderId="8" xfId="0" applyNumberFormat="1" applyFont="1" applyBorder="1" applyAlignment="1">
      <alignment wrapText="1"/>
    </xf>
    <xf numFmtId="165" fontId="9" fillId="5" borderId="8" xfId="0" applyNumberFormat="1" applyFont="1" applyFill="1" applyBorder="1" applyAlignment="1">
      <alignment wrapText="1"/>
    </xf>
    <xf numFmtId="165" fontId="10" fillId="5" borderId="8" xfId="0" applyNumberFormat="1" applyFont="1" applyFill="1" applyBorder="1" applyAlignment="1">
      <alignment wrapText="1"/>
    </xf>
    <xf numFmtId="0" fontId="9" fillId="4" borderId="8" xfId="0" applyFont="1" applyFill="1" applyBorder="1" applyAlignment="1">
      <alignment vertical="center" wrapText="1"/>
    </xf>
    <xf numFmtId="41" fontId="9" fillId="0" borderId="8" xfId="12" applyFont="1" applyBorder="1" applyAlignment="1" applyProtection="1">
      <alignment horizontal="right" vertical="center" wrapText="1"/>
      <protection locked="0"/>
    </xf>
    <xf numFmtId="3" fontId="9" fillId="3" borderId="8" xfId="6" applyNumberFormat="1" applyFont="1" applyFill="1" applyBorder="1" applyAlignment="1" applyProtection="1">
      <alignment horizontal="right" vertical="center" wrapText="1"/>
      <protection locked="0"/>
    </xf>
    <xf numFmtId="168" fontId="9" fillId="3" borderId="8" xfId="8" applyNumberFormat="1" applyFont="1" applyFill="1" applyBorder="1" applyAlignment="1" applyProtection="1">
      <alignment horizontal="right" vertical="center" wrapText="1"/>
      <protection locked="0"/>
    </xf>
    <xf numFmtId="165" fontId="9" fillId="0" borderId="8" xfId="0" applyNumberFormat="1" applyFont="1" applyBorder="1" applyAlignment="1">
      <alignment wrapText="1"/>
    </xf>
    <xf numFmtId="3" fontId="9" fillId="0" borderId="8" xfId="0" applyNumberFormat="1" applyFont="1" applyBorder="1" applyAlignment="1" applyProtection="1">
      <alignment horizontal="right" wrapText="1"/>
      <protection locked="0"/>
    </xf>
    <xf numFmtId="0" fontId="9" fillId="4" borderId="8" xfId="0" applyFont="1" applyFill="1" applyBorder="1" applyAlignment="1" applyProtection="1">
      <alignment vertical="center" wrapText="1"/>
      <protection locked="0"/>
    </xf>
    <xf numFmtId="41" fontId="9" fillId="0" borderId="0" xfId="0" applyNumberFormat="1" applyFont="1"/>
    <xf numFmtId="44" fontId="10" fillId="14" borderId="8" xfId="6" applyFont="1" applyFill="1" applyBorder="1" applyAlignment="1">
      <alignment wrapText="1"/>
    </xf>
    <xf numFmtId="3" fontId="10" fillId="14" borderId="8" xfId="6" applyNumberFormat="1" applyFont="1" applyFill="1" applyBorder="1" applyAlignment="1">
      <alignment horizontal="right" wrapText="1"/>
    </xf>
    <xf numFmtId="165" fontId="9" fillId="4" borderId="8" xfId="0" applyNumberFormat="1" applyFont="1" applyFill="1" applyBorder="1" applyAlignment="1">
      <alignment wrapText="1"/>
    </xf>
    <xf numFmtId="44" fontId="10" fillId="3" borderId="12" xfId="6" applyFont="1" applyFill="1" applyBorder="1" applyAlignment="1">
      <alignment wrapText="1"/>
    </xf>
    <xf numFmtId="3" fontId="10" fillId="3" borderId="14" xfId="6" applyNumberFormat="1" applyFont="1" applyFill="1" applyBorder="1" applyAlignment="1">
      <alignment horizontal="right" wrapText="1"/>
    </xf>
    <xf numFmtId="3" fontId="10" fillId="3" borderId="14" xfId="0" applyNumberFormat="1" applyFont="1" applyFill="1" applyBorder="1" applyAlignment="1">
      <alignment horizontal="right" wrapText="1"/>
    </xf>
    <xf numFmtId="0" fontId="9" fillId="0" borderId="8" xfId="0" applyFont="1" applyBorder="1" applyAlignment="1">
      <alignment wrapText="1"/>
    </xf>
    <xf numFmtId="0" fontId="9" fillId="0" borderId="8" xfId="0" applyFont="1" applyBorder="1"/>
    <xf numFmtId="165" fontId="9" fillId="0" borderId="10" xfId="0" applyNumberFormat="1" applyFont="1" applyBorder="1" applyAlignment="1">
      <alignment wrapText="1"/>
    </xf>
    <xf numFmtId="3" fontId="10" fillId="14" borderId="8" xfId="0" applyNumberFormat="1" applyFont="1" applyFill="1" applyBorder="1" applyAlignment="1">
      <alignment horizontal="right" wrapText="1"/>
    </xf>
    <xf numFmtId="165" fontId="10" fillId="14" borderId="8" xfId="0" applyNumberFormat="1" applyFont="1" applyFill="1" applyBorder="1" applyAlignment="1">
      <alignment wrapText="1"/>
    </xf>
    <xf numFmtId="165" fontId="9" fillId="14" borderId="8" xfId="0" applyNumberFormat="1" applyFont="1" applyFill="1" applyBorder="1" applyAlignment="1">
      <alignment wrapText="1"/>
    </xf>
    <xf numFmtId="3" fontId="10" fillId="3" borderId="15" xfId="0" applyNumberFormat="1" applyFont="1" applyFill="1" applyBorder="1" applyAlignment="1">
      <alignment horizontal="right" wrapText="1"/>
    </xf>
    <xf numFmtId="0" fontId="10" fillId="4" borderId="19" xfId="0" applyFont="1" applyFill="1" applyBorder="1" applyAlignment="1">
      <alignment horizontal="left" wrapText="1"/>
    </xf>
    <xf numFmtId="3" fontId="10" fillId="4" borderId="19" xfId="0" applyNumberFormat="1" applyFont="1" applyFill="1" applyBorder="1" applyAlignment="1">
      <alignment horizontal="right" wrapText="1"/>
    </xf>
    <xf numFmtId="0" fontId="9" fillId="4" borderId="10" xfId="0" applyFont="1" applyFill="1" applyBorder="1" applyAlignment="1">
      <alignment vertical="center" wrapText="1"/>
    </xf>
    <xf numFmtId="3" fontId="9" fillId="0" borderId="10" xfId="0" applyNumberFormat="1" applyFont="1" applyBorder="1" applyAlignment="1" applyProtection="1">
      <alignment horizontal="right" wrapText="1"/>
      <protection locked="0"/>
    </xf>
    <xf numFmtId="3" fontId="9" fillId="3" borderId="10" xfId="6" applyNumberFormat="1" applyFont="1" applyFill="1" applyBorder="1" applyAlignment="1" applyProtection="1">
      <alignment horizontal="right" vertical="center" wrapText="1"/>
      <protection locked="0"/>
    </xf>
    <xf numFmtId="3" fontId="10" fillId="4" borderId="10" xfId="0" applyNumberFormat="1" applyFont="1" applyFill="1" applyBorder="1" applyAlignment="1">
      <alignment horizontal="right" wrapText="1"/>
    </xf>
    <xf numFmtId="44" fontId="10" fillId="14" borderId="11" xfId="6" applyFont="1" applyFill="1" applyBorder="1" applyAlignment="1">
      <alignment wrapText="1"/>
    </xf>
    <xf numFmtId="3" fontId="10" fillId="14" borderId="11" xfId="6" applyNumberFormat="1" applyFont="1" applyFill="1" applyBorder="1" applyAlignment="1">
      <alignment horizontal="right" wrapText="1"/>
    </xf>
    <xf numFmtId="3" fontId="10" fillId="4" borderId="11" xfId="0" applyNumberFormat="1" applyFont="1" applyFill="1" applyBorder="1" applyAlignment="1">
      <alignment horizontal="right" wrapText="1"/>
    </xf>
    <xf numFmtId="0" fontId="9" fillId="0" borderId="12" xfId="0" applyFont="1" applyBorder="1" applyAlignment="1">
      <alignment wrapText="1"/>
    </xf>
    <xf numFmtId="3" fontId="9" fillId="3" borderId="14" xfId="0" applyNumberFormat="1" applyFont="1" applyFill="1" applyBorder="1" applyAlignment="1">
      <alignment horizontal="right" wrapText="1"/>
    </xf>
    <xf numFmtId="3" fontId="9" fillId="0" borderId="15" xfId="0" applyNumberFormat="1" applyFont="1" applyBorder="1" applyAlignment="1">
      <alignment horizontal="right" wrapText="1"/>
    </xf>
    <xf numFmtId="44" fontId="10" fillId="3" borderId="13" xfId="6" applyFont="1" applyFill="1" applyBorder="1" applyAlignment="1">
      <alignment wrapText="1"/>
    </xf>
    <xf numFmtId="3" fontId="10" fillId="3" borderId="13" xfId="6" applyNumberFormat="1" applyFont="1" applyFill="1" applyBorder="1" applyAlignment="1">
      <alignment horizontal="right" wrapText="1"/>
    </xf>
    <xf numFmtId="3" fontId="10" fillId="3" borderId="31" xfId="0" applyNumberFormat="1" applyFont="1" applyFill="1" applyBorder="1" applyAlignment="1">
      <alignment horizontal="right" wrapText="1"/>
    </xf>
    <xf numFmtId="44" fontId="10" fillId="3" borderId="16" xfId="6" applyFont="1" applyFill="1" applyBorder="1" applyAlignment="1">
      <alignment wrapText="1"/>
    </xf>
    <xf numFmtId="164" fontId="9" fillId="0" borderId="0" xfId="0" applyNumberFormat="1" applyFont="1" applyAlignment="1">
      <alignment wrapText="1"/>
    </xf>
    <xf numFmtId="0" fontId="10" fillId="4" borderId="32" xfId="0" applyFont="1" applyFill="1" applyBorder="1" applyAlignment="1">
      <alignment horizontal="left" wrapText="1"/>
    </xf>
    <xf numFmtId="3" fontId="10" fillId="4" borderId="32" xfId="0" applyNumberFormat="1" applyFont="1" applyFill="1" applyBorder="1" applyAlignment="1">
      <alignment horizontal="right" wrapText="1"/>
    </xf>
    <xf numFmtId="165" fontId="9" fillId="0" borderId="17" xfId="0" applyNumberFormat="1" applyFont="1" applyBorder="1" applyAlignment="1">
      <alignment wrapText="1"/>
    </xf>
    <xf numFmtId="3" fontId="9" fillId="0" borderId="8" xfId="0" applyNumberFormat="1" applyFont="1" applyBorder="1" applyAlignment="1">
      <alignment horizontal="right"/>
    </xf>
    <xf numFmtId="165" fontId="9" fillId="0" borderId="33" xfId="0" applyNumberFormat="1" applyFont="1" applyBorder="1" applyAlignment="1">
      <alignment wrapText="1"/>
    </xf>
    <xf numFmtId="0" fontId="10" fillId="4" borderId="12" xfId="0" applyFont="1" applyFill="1" applyBorder="1" applyAlignment="1">
      <alignment wrapText="1"/>
    </xf>
    <xf numFmtId="3" fontId="10" fillId="4" borderId="14" xfId="0" applyNumberFormat="1" applyFont="1" applyFill="1" applyBorder="1" applyAlignment="1">
      <alignment horizontal="right" wrapText="1"/>
    </xf>
    <xf numFmtId="3" fontId="10" fillId="4" borderId="15" xfId="0" applyNumberFormat="1" applyFont="1" applyFill="1" applyBorder="1" applyAlignment="1">
      <alignment horizontal="right" wrapText="1"/>
    </xf>
    <xf numFmtId="165" fontId="9" fillId="0" borderId="0" xfId="0" applyNumberFormat="1" applyFont="1" applyAlignment="1">
      <alignment wrapText="1"/>
    </xf>
    <xf numFmtId="168" fontId="9" fillId="0" borderId="8" xfId="8" applyNumberFormat="1" applyFont="1" applyBorder="1" applyAlignment="1" applyProtection="1">
      <alignment horizontal="right" wrapText="1"/>
      <protection locked="0"/>
    </xf>
    <xf numFmtId="41" fontId="9" fillId="0" borderId="8" xfId="12" applyFont="1" applyFill="1" applyBorder="1" applyAlignment="1" applyProtection="1">
      <alignment horizontal="right" vertical="center" wrapText="1"/>
      <protection locked="0"/>
    </xf>
    <xf numFmtId="0" fontId="10" fillId="4" borderId="8" xfId="0" applyFont="1" applyFill="1" applyBorder="1" applyAlignment="1">
      <alignment wrapText="1"/>
    </xf>
    <xf numFmtId="0" fontId="10" fillId="4" borderId="8" xfId="0" applyFont="1" applyFill="1" applyBorder="1" applyAlignment="1">
      <alignment horizontal="center" wrapText="1"/>
    </xf>
    <xf numFmtId="0" fontId="10" fillId="4" borderId="8" xfId="0" applyFont="1" applyFill="1" applyBorder="1" applyAlignment="1">
      <alignment vertical="center" wrapText="1"/>
    </xf>
    <xf numFmtId="3" fontId="9" fillId="4" borderId="8" xfId="0" applyNumberFormat="1" applyFont="1" applyFill="1" applyBorder="1" applyAlignment="1">
      <alignment horizontal="right" wrapText="1"/>
    </xf>
    <xf numFmtId="0" fontId="10" fillId="4" borderId="8" xfId="0" applyFont="1" applyFill="1" applyBorder="1" applyAlignment="1" applyProtection="1">
      <alignment vertical="center" wrapText="1"/>
      <protection locked="0"/>
    </xf>
    <xf numFmtId="3" fontId="9" fillId="4" borderId="8" xfId="6" applyNumberFormat="1" applyFont="1" applyFill="1" applyBorder="1" applyAlignment="1">
      <alignment horizontal="right" wrapText="1"/>
    </xf>
    <xf numFmtId="165" fontId="9" fillId="17" borderId="8" xfId="0" applyNumberFormat="1" applyFont="1" applyFill="1" applyBorder="1" applyAlignment="1">
      <alignment wrapText="1"/>
    </xf>
    <xf numFmtId="165" fontId="9" fillId="18" borderId="33" xfId="0" applyNumberFormat="1" applyFont="1" applyFill="1" applyBorder="1" applyAlignment="1">
      <alignment wrapText="1"/>
    </xf>
    <xf numFmtId="165" fontId="10" fillId="18" borderId="10" xfId="0" applyNumberFormat="1" applyFont="1" applyFill="1" applyBorder="1" applyAlignment="1">
      <alignment wrapText="1"/>
    </xf>
    <xf numFmtId="3" fontId="9" fillId="0" borderId="0" xfId="0" applyNumberFormat="1" applyFont="1" applyAlignment="1">
      <alignment horizontal="right"/>
    </xf>
    <xf numFmtId="9" fontId="9" fillId="0" borderId="0" xfId="10" applyFont="1"/>
    <xf numFmtId="165" fontId="9" fillId="0" borderId="0" xfId="0" applyNumberFormat="1" applyFont="1"/>
    <xf numFmtId="166" fontId="9" fillId="0" borderId="0" xfId="1" applyFont="1"/>
    <xf numFmtId="166" fontId="9" fillId="3" borderId="0" xfId="1" applyFont="1" applyFill="1"/>
    <xf numFmtId="166" fontId="12" fillId="0" borderId="0" xfId="1" applyFont="1"/>
    <xf numFmtId="166" fontId="12" fillId="3" borderId="0" xfId="1" applyFont="1" applyFill="1"/>
    <xf numFmtId="10" fontId="9" fillId="0" borderId="0" xfId="10" applyNumberFormat="1" applyFont="1"/>
    <xf numFmtId="3" fontId="8" fillId="0" borderId="0" xfId="0" applyNumberFormat="1" applyFont="1" applyAlignment="1">
      <alignment horizontal="right" wrapText="1"/>
    </xf>
    <xf numFmtId="0" fontId="8" fillId="0" borderId="0" xfId="0" applyFont="1" applyAlignment="1">
      <alignment wrapText="1"/>
    </xf>
    <xf numFmtId="3" fontId="3" fillId="0" borderId="0" xfId="0" applyNumberFormat="1" applyFont="1" applyAlignment="1">
      <alignment horizontal="right" wrapText="1"/>
    </xf>
    <xf numFmtId="0" fontId="8" fillId="3" borderId="0" xfId="0" applyFont="1" applyFill="1" applyAlignment="1">
      <alignment horizontal="left" wrapText="1"/>
    </xf>
    <xf numFmtId="3" fontId="8" fillId="3" borderId="0" xfId="0" applyNumberFormat="1" applyFont="1" applyFill="1" applyAlignment="1">
      <alignment horizontal="right" wrapText="1"/>
    </xf>
    <xf numFmtId="3" fontId="10" fillId="4" borderId="8" xfId="6" applyNumberFormat="1" applyFont="1" applyFill="1" applyBorder="1" applyAlignment="1">
      <alignment horizontal="center" vertical="center" wrapText="1"/>
    </xf>
    <xf numFmtId="3" fontId="10" fillId="4" borderId="8"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xf>
    <xf numFmtId="0" fontId="8" fillId="3" borderId="8" xfId="0" applyFont="1" applyFill="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4" borderId="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7" borderId="8" xfId="0" applyFont="1" applyFill="1" applyBorder="1" applyAlignment="1">
      <alignment vertical="center" wrapText="1"/>
    </xf>
    <xf numFmtId="0" fontId="6" fillId="7" borderId="8" xfId="0" applyFont="1" applyFill="1" applyBorder="1" applyAlignment="1">
      <alignment vertical="center" wrapText="1"/>
    </xf>
    <xf numFmtId="0" fontId="6" fillId="0" borderId="8" xfId="0" applyFont="1" applyBorder="1" applyAlignment="1" applyProtection="1">
      <alignment horizontal="left" vertical="top" wrapText="1"/>
      <protection locked="0"/>
    </xf>
    <xf numFmtId="165" fontId="6" fillId="0" borderId="10" xfId="3" applyFont="1" applyFill="1" applyBorder="1" applyAlignment="1" applyProtection="1">
      <alignment horizontal="center" vertical="center" wrapText="1"/>
      <protection locked="0"/>
    </xf>
    <xf numFmtId="165" fontId="6" fillId="9" borderId="8" xfId="3" applyFont="1" applyFill="1" applyBorder="1" applyAlignment="1" applyProtection="1">
      <alignment horizontal="center" vertical="center" wrapText="1"/>
    </xf>
    <xf numFmtId="9" fontId="6" fillId="0" borderId="8" xfId="4" applyFont="1" applyFill="1" applyBorder="1" applyAlignment="1" applyProtection="1">
      <alignment horizontal="center" vertical="center" wrapText="1"/>
      <protection locked="0"/>
    </xf>
    <xf numFmtId="49" fontId="6" fillId="0" borderId="8" xfId="3" applyNumberFormat="1" applyFont="1" applyFill="1" applyBorder="1" applyAlignment="1" applyProtection="1">
      <alignment horizontal="left" vertical="top" wrapText="1"/>
      <protection locked="0"/>
    </xf>
    <xf numFmtId="0" fontId="4" fillId="0" borderId="0" xfId="0" applyFont="1" applyAlignment="1" applyProtection="1">
      <alignment wrapText="1"/>
      <protection locked="0"/>
    </xf>
    <xf numFmtId="165" fontId="6" fillId="0" borderId="8" xfId="3" applyFont="1" applyFill="1" applyBorder="1" applyAlignment="1" applyProtection="1">
      <alignment horizontal="center" vertical="center" wrapText="1"/>
      <protection locked="0"/>
    </xf>
    <xf numFmtId="49" fontId="6" fillId="0" borderId="8" xfId="3" applyNumberFormat="1" applyFont="1" applyFill="1" applyBorder="1" applyAlignment="1" applyProtection="1">
      <alignment horizontal="left" wrapText="1"/>
      <protection locked="0"/>
    </xf>
    <xf numFmtId="0" fontId="5" fillId="9" borderId="8" xfId="0" applyFont="1" applyFill="1" applyBorder="1" applyAlignment="1">
      <alignment vertical="center" wrapText="1"/>
    </xf>
    <xf numFmtId="165" fontId="5" fillId="9" borderId="8" xfId="3" applyFont="1" applyFill="1" applyBorder="1" applyAlignment="1" applyProtection="1">
      <alignment horizontal="center" vertical="center" wrapText="1"/>
    </xf>
    <xf numFmtId="0" fontId="6" fillId="8" borderId="8" xfId="0"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165" fontId="6" fillId="9" borderId="10" xfId="3" applyFont="1" applyFill="1" applyBorder="1" applyAlignment="1" applyProtection="1">
      <alignment horizontal="center" vertical="center" wrapText="1"/>
    </xf>
    <xf numFmtId="9" fontId="6" fillId="0" borderId="10" xfId="4" applyFont="1" applyFill="1" applyBorder="1" applyAlignment="1" applyProtection="1">
      <alignment horizontal="center" vertical="center" wrapText="1"/>
      <protection locked="0"/>
    </xf>
    <xf numFmtId="49" fontId="6" fillId="0" borderId="10" xfId="3" applyNumberFormat="1" applyFont="1" applyFill="1" applyBorder="1" applyAlignment="1" applyProtection="1">
      <alignment horizontal="left" vertical="top" wrapText="1"/>
      <protection locked="0"/>
    </xf>
    <xf numFmtId="165" fontId="6" fillId="8" borderId="8" xfId="3" applyFont="1" applyFill="1" applyBorder="1" applyAlignment="1" applyProtection="1">
      <alignment horizontal="center" vertical="center" wrapText="1"/>
      <protection locked="0"/>
    </xf>
    <xf numFmtId="49" fontId="6" fillId="8" borderId="8" xfId="3" applyNumberFormat="1" applyFont="1" applyFill="1" applyBorder="1" applyAlignment="1" applyProtection="1">
      <alignment horizontal="left" wrapText="1"/>
      <protection locked="0"/>
    </xf>
    <xf numFmtId="9" fontId="6" fillId="8" borderId="8" xfId="4" applyFont="1" applyFill="1" applyBorder="1" applyAlignment="1" applyProtection="1">
      <alignment horizontal="center" vertical="center" wrapText="1"/>
      <protection locked="0"/>
    </xf>
    <xf numFmtId="165" fontId="5" fillId="9" borderId="11" xfId="3" applyFont="1" applyFill="1" applyBorder="1" applyAlignment="1" applyProtection="1">
      <alignment horizontal="center" vertical="center" wrapText="1"/>
    </xf>
    <xf numFmtId="0" fontId="5" fillId="9" borderId="12" xfId="0" applyFont="1" applyFill="1" applyBorder="1" applyAlignment="1">
      <alignment vertical="center" wrapText="1"/>
    </xf>
    <xf numFmtId="165" fontId="5" fillId="9" borderId="13" xfId="3" applyFont="1" applyFill="1" applyBorder="1" applyAlignment="1" applyProtection="1">
      <alignment horizontal="center" vertical="center" wrapText="1"/>
    </xf>
    <xf numFmtId="165" fontId="5" fillId="9" borderId="14" xfId="3" applyFont="1" applyFill="1" applyBorder="1" applyAlignment="1" applyProtection="1">
      <alignment horizontal="center" vertical="center" wrapText="1"/>
    </xf>
    <xf numFmtId="165" fontId="6" fillId="9" borderId="15" xfId="3" applyFont="1" applyFill="1" applyBorder="1" applyAlignment="1" applyProtection="1">
      <alignment horizontal="center" vertical="center" wrapText="1"/>
    </xf>
    <xf numFmtId="0" fontId="6" fillId="0" borderId="10" xfId="0" applyFont="1" applyBorder="1" applyAlignment="1" applyProtection="1">
      <alignment horizontal="left" vertical="top" wrapText="1"/>
      <protection locked="0"/>
    </xf>
    <xf numFmtId="0" fontId="5" fillId="9" borderId="16" xfId="0" applyFont="1" applyFill="1" applyBorder="1" applyAlignment="1">
      <alignment vertical="center" wrapText="1"/>
    </xf>
    <xf numFmtId="165" fontId="6" fillId="9" borderId="13" xfId="3" applyFont="1" applyFill="1" applyBorder="1" applyAlignment="1" applyProtection="1">
      <alignment horizontal="center" vertical="center" wrapText="1"/>
    </xf>
    <xf numFmtId="0" fontId="4" fillId="0" borderId="8" xfId="0" applyFont="1" applyBorder="1" applyAlignment="1" applyProtection="1">
      <alignment horizontal="left" vertical="center" wrapText="1"/>
      <protection locked="0"/>
    </xf>
    <xf numFmtId="0" fontId="6" fillId="7" borderId="0" xfId="0" applyFont="1" applyFill="1" applyAlignment="1">
      <alignment vertical="center" wrapText="1"/>
    </xf>
    <xf numFmtId="165" fontId="6" fillId="0" borderId="11" xfId="3" applyFont="1" applyFill="1" applyBorder="1" applyAlignment="1" applyProtection="1">
      <alignment horizontal="center" vertical="center" wrapText="1"/>
      <protection locked="0"/>
    </xf>
    <xf numFmtId="0" fontId="5" fillId="10" borderId="8" xfId="0" applyFont="1" applyFill="1" applyBorder="1" applyAlignment="1">
      <alignment vertical="center" wrapText="1"/>
    </xf>
    <xf numFmtId="49" fontId="6" fillId="0" borderId="10" xfId="3" applyNumberFormat="1" applyFont="1" applyFill="1" applyBorder="1" applyAlignment="1" applyProtection="1">
      <alignment horizontal="left" wrapText="1"/>
      <protection locked="0"/>
    </xf>
    <xf numFmtId="0" fontId="5" fillId="8" borderId="0" xfId="0" applyFont="1" applyFill="1" applyAlignment="1">
      <alignment vertical="center" wrapText="1"/>
    </xf>
    <xf numFmtId="0" fontId="6" fillId="8" borderId="0" xfId="0" applyFont="1" applyFill="1" applyAlignment="1" applyProtection="1">
      <alignment vertical="center" wrapText="1"/>
      <protection locked="0"/>
    </xf>
    <xf numFmtId="165" fontId="6" fillId="8" borderId="0" xfId="3" applyFont="1" applyFill="1" applyBorder="1" applyAlignment="1" applyProtection="1">
      <alignment vertical="center" wrapText="1"/>
      <protection locked="0"/>
    </xf>
    <xf numFmtId="0" fontId="6" fillId="8" borderId="8" xfId="0" applyFont="1" applyFill="1" applyBorder="1" applyAlignment="1" applyProtection="1">
      <alignment vertical="center" wrapText="1"/>
      <protection locked="0"/>
    </xf>
    <xf numFmtId="165" fontId="6" fillId="0" borderId="8" xfId="3" applyFont="1" applyFill="1" applyBorder="1" applyAlignment="1" applyProtection="1">
      <alignment vertical="center" wrapText="1"/>
      <protection locked="0"/>
    </xf>
    <xf numFmtId="165" fontId="6" fillId="9" borderId="8" xfId="3" applyFont="1" applyFill="1" applyBorder="1" applyAlignment="1" applyProtection="1">
      <alignment vertical="center" wrapText="1"/>
    </xf>
    <xf numFmtId="9" fontId="6" fillId="0" borderId="8" xfId="4" applyFont="1" applyFill="1" applyBorder="1" applyAlignment="1" applyProtection="1">
      <alignment vertical="center" wrapText="1"/>
      <protection locked="0"/>
    </xf>
    <xf numFmtId="49" fontId="6" fillId="0" borderId="8" xfId="0" applyNumberFormat="1" applyFont="1" applyBorder="1" applyAlignment="1" applyProtection="1">
      <alignment horizontal="left" wrapText="1"/>
      <protection locked="0"/>
    </xf>
    <xf numFmtId="0" fontId="6" fillId="8" borderId="15" xfId="0" applyFont="1" applyFill="1" applyBorder="1" applyAlignment="1" applyProtection="1">
      <alignment vertical="center" wrapText="1"/>
      <protection locked="0"/>
    </xf>
    <xf numFmtId="0" fontId="5" fillId="9" borderId="10" xfId="0" applyFont="1" applyFill="1" applyBorder="1" applyAlignment="1">
      <alignment vertical="center" wrapText="1"/>
    </xf>
    <xf numFmtId="0" fontId="5" fillId="11" borderId="8" xfId="0" applyFont="1" applyFill="1" applyBorder="1" applyAlignment="1" applyProtection="1">
      <alignment vertical="center" wrapText="1"/>
      <protection locked="0"/>
    </xf>
    <xf numFmtId="165" fontId="5" fillId="11" borderId="8" xfId="3" applyFont="1" applyFill="1" applyBorder="1" applyAlignment="1" applyProtection="1">
      <alignment vertical="center" wrapText="1"/>
    </xf>
    <xf numFmtId="0" fontId="5" fillId="8" borderId="0" xfId="0" applyFont="1" applyFill="1" applyAlignment="1" applyProtection="1">
      <alignment vertical="center" wrapText="1"/>
      <protection locked="0"/>
    </xf>
    <xf numFmtId="0" fontId="5" fillId="9" borderId="8" xfId="3" applyNumberFormat="1" applyFont="1" applyFill="1" applyBorder="1" applyAlignment="1" applyProtection="1">
      <alignment horizontal="center" vertical="center" wrapText="1"/>
    </xf>
    <xf numFmtId="0" fontId="6" fillId="8" borderId="0" xfId="0" applyFont="1" applyFill="1" applyAlignment="1">
      <alignment vertical="center" wrapText="1"/>
    </xf>
    <xf numFmtId="0" fontId="6" fillId="9" borderId="8" xfId="0" applyFont="1" applyFill="1" applyBorder="1" applyAlignment="1">
      <alignment vertical="center" wrapText="1"/>
    </xf>
    <xf numFmtId="169" fontId="6" fillId="9" borderId="8" xfId="0" applyNumberFormat="1" applyFont="1" applyFill="1" applyBorder="1" applyAlignment="1">
      <alignment vertical="center" wrapText="1"/>
    </xf>
    <xf numFmtId="0" fontId="6" fillId="0" borderId="0" xfId="0" applyFont="1" applyAlignment="1" applyProtection="1">
      <alignment vertical="center" wrapText="1"/>
      <protection locked="0"/>
    </xf>
    <xf numFmtId="0" fontId="6" fillId="0" borderId="0" xfId="0" applyFont="1" applyAlignment="1">
      <alignment vertical="center" wrapText="1"/>
    </xf>
    <xf numFmtId="169" fontId="5" fillId="9" borderId="8" xfId="3" applyNumberFormat="1" applyFont="1" applyFill="1" applyBorder="1" applyAlignment="1" applyProtection="1">
      <alignment vertical="center" wrapText="1"/>
    </xf>
    <xf numFmtId="0" fontId="5" fillId="0" borderId="0" xfId="0" applyFont="1" applyAlignment="1" applyProtection="1">
      <alignment vertical="center" wrapText="1"/>
      <protection locked="0"/>
    </xf>
    <xf numFmtId="165" fontId="5" fillId="8" borderId="0" xfId="0" applyNumberFormat="1" applyFont="1" applyFill="1" applyAlignment="1">
      <alignment vertical="center" wrapText="1"/>
    </xf>
    <xf numFmtId="0" fontId="5" fillId="0" borderId="0" xfId="0" applyFont="1" applyAlignment="1">
      <alignment vertical="center" wrapText="1"/>
    </xf>
    <xf numFmtId="165" fontId="5" fillId="0" borderId="0" xfId="0" applyNumberFormat="1" applyFont="1" applyAlignment="1">
      <alignment vertical="center" wrapText="1"/>
    </xf>
    <xf numFmtId="165" fontId="5" fillId="9" borderId="6" xfId="0" applyNumberFormat="1" applyFont="1" applyFill="1" applyBorder="1" applyAlignment="1">
      <alignment vertical="center" wrapText="1"/>
    </xf>
    <xf numFmtId="9" fontId="5" fillId="9" borderId="9" xfId="4" applyFont="1" applyFill="1" applyBorder="1" applyAlignment="1" applyProtection="1">
      <alignment wrapText="1"/>
    </xf>
    <xf numFmtId="9" fontId="5" fillId="8" borderId="0" xfId="4" applyFont="1" applyFill="1" applyBorder="1" applyAlignment="1">
      <alignment wrapText="1"/>
    </xf>
    <xf numFmtId="165" fontId="5" fillId="9" borderId="9" xfId="4" applyNumberFormat="1" applyFont="1" applyFill="1" applyBorder="1" applyAlignment="1" applyProtection="1">
      <alignment wrapText="1"/>
    </xf>
    <xf numFmtId="165" fontId="5" fillId="8" borderId="0" xfId="4" applyNumberFormat="1" applyFont="1" applyFill="1" applyBorder="1" applyAlignment="1">
      <alignment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5" xfId="0" applyFont="1" applyFill="1" applyBorder="1" applyAlignment="1">
      <alignment horizontal="center" vertical="center" wrapText="1"/>
    </xf>
    <xf numFmtId="168" fontId="9" fillId="3" borderId="10" xfId="8" applyNumberFormat="1" applyFont="1" applyFill="1" applyBorder="1" applyAlignment="1" applyProtection="1">
      <alignment horizontal="right" vertical="center" wrapText="1"/>
      <protection locked="0"/>
    </xf>
    <xf numFmtId="41" fontId="9" fillId="0" borderId="10" xfId="12" applyFont="1" applyBorder="1" applyAlignment="1" applyProtection="1">
      <alignment horizontal="right" vertical="center" wrapText="1"/>
      <protection locked="0"/>
    </xf>
    <xf numFmtId="3" fontId="9" fillId="0" borderId="33" xfId="0" applyNumberFormat="1" applyFont="1" applyBorder="1" applyAlignment="1" applyProtection="1">
      <alignment horizontal="right" wrapText="1"/>
      <protection locked="0"/>
    </xf>
    <xf numFmtId="41" fontId="9" fillId="0" borderId="33" xfId="12" applyFont="1" applyBorder="1" applyAlignment="1" applyProtection="1">
      <alignment horizontal="right" vertical="center" wrapText="1"/>
      <protection locked="0"/>
    </xf>
    <xf numFmtId="165" fontId="9" fillId="0" borderId="35" xfId="0" applyNumberFormat="1" applyFont="1" applyBorder="1" applyAlignment="1">
      <alignment wrapText="1"/>
    </xf>
    <xf numFmtId="168" fontId="9" fillId="0" borderId="35" xfId="8" applyNumberFormat="1" applyFont="1" applyBorder="1" applyAlignment="1" applyProtection="1">
      <alignment horizontal="right" wrapText="1"/>
      <protection locked="0"/>
    </xf>
    <xf numFmtId="0" fontId="10" fillId="18" borderId="8" xfId="0" applyFont="1" applyFill="1" applyBorder="1" applyAlignment="1">
      <alignment horizontal="center" vertical="center" wrapText="1"/>
    </xf>
    <xf numFmtId="0" fontId="10" fillId="24" borderId="8" xfId="0" applyFont="1" applyFill="1" applyBorder="1" applyAlignment="1">
      <alignment horizontal="center" vertical="center" wrapText="1"/>
    </xf>
    <xf numFmtId="0" fontId="10" fillId="17" borderId="8" xfId="0" applyFont="1" applyFill="1" applyBorder="1" applyAlignment="1">
      <alignment horizontal="center" vertical="center" wrapText="1"/>
    </xf>
    <xf numFmtId="3" fontId="9" fillId="13" borderId="8" xfId="6" applyNumberFormat="1" applyFont="1" applyFill="1" applyBorder="1" applyAlignment="1">
      <alignment horizontal="center" vertical="center" wrapText="1"/>
    </xf>
    <xf numFmtId="0" fontId="9" fillId="18" borderId="8" xfId="0" applyFont="1" applyFill="1" applyBorder="1" applyAlignment="1">
      <alignment horizontal="center" vertical="center" wrapText="1"/>
    </xf>
    <xf numFmtId="0" fontId="9" fillId="24" borderId="8" xfId="0" applyFont="1" applyFill="1" applyBorder="1" applyAlignment="1">
      <alignment horizontal="center" vertical="center" wrapText="1"/>
    </xf>
    <xf numFmtId="0" fontId="9" fillId="17" borderId="8" xfId="0" applyFont="1" applyFill="1" applyBorder="1" applyAlignment="1">
      <alignment horizontal="center" vertical="center" wrapText="1"/>
    </xf>
    <xf numFmtId="0" fontId="10" fillId="0" borderId="0" xfId="0" applyFont="1" applyAlignment="1">
      <alignment wrapText="1"/>
    </xf>
    <xf numFmtId="168" fontId="10" fillId="3" borderId="8" xfId="8" applyNumberFormat="1" applyFont="1" applyFill="1" applyBorder="1" applyAlignment="1" applyProtection="1">
      <alignment horizontal="right" vertical="center" wrapText="1"/>
      <protection locked="0"/>
    </xf>
    <xf numFmtId="0" fontId="10" fillId="0" borderId="8" xfId="0" applyFont="1" applyBorder="1" applyAlignment="1">
      <alignment wrapText="1"/>
    </xf>
    <xf numFmtId="168" fontId="10" fillId="3" borderId="10" xfId="8" applyNumberFormat="1" applyFont="1" applyFill="1" applyBorder="1" applyAlignment="1" applyProtection="1">
      <alignment horizontal="right" vertical="center" wrapText="1"/>
      <protection locked="0"/>
    </xf>
    <xf numFmtId="41" fontId="10" fillId="0" borderId="10" xfId="12" applyFont="1" applyBorder="1" applyAlignment="1" applyProtection="1">
      <alignment horizontal="right" vertical="center" wrapText="1"/>
      <protection locked="0"/>
    </xf>
    <xf numFmtId="0" fontId="10" fillId="0" borderId="0" xfId="0" applyFont="1"/>
    <xf numFmtId="165" fontId="10" fillId="0" borderId="10" xfId="0" applyNumberFormat="1" applyFont="1" applyBorder="1" applyAlignment="1">
      <alignment wrapText="1"/>
    </xf>
    <xf numFmtId="165" fontId="10" fillId="0" borderId="33" xfId="0" applyNumberFormat="1" applyFont="1" applyBorder="1" applyAlignment="1">
      <alignment wrapText="1"/>
    </xf>
    <xf numFmtId="168" fontId="10" fillId="0" borderId="8" xfId="8" applyNumberFormat="1" applyFont="1" applyBorder="1" applyAlignment="1" applyProtection="1">
      <alignment horizontal="right" wrapText="1"/>
      <protection locked="0"/>
    </xf>
    <xf numFmtId="164" fontId="10" fillId="0" borderId="0" xfId="0" applyNumberFormat="1" applyFont="1" applyAlignment="1">
      <alignment wrapText="1"/>
    </xf>
    <xf numFmtId="165" fontId="10" fillId="0" borderId="35" xfId="0" applyNumberFormat="1" applyFont="1" applyBorder="1" applyAlignment="1">
      <alignment wrapText="1"/>
    </xf>
    <xf numFmtId="165" fontId="10" fillId="0" borderId="0" xfId="0" applyNumberFormat="1" applyFont="1" applyAlignment="1">
      <alignment wrapText="1"/>
    </xf>
    <xf numFmtId="168" fontId="10" fillId="0" borderId="35" xfId="8" applyNumberFormat="1" applyFont="1" applyBorder="1" applyAlignment="1" applyProtection="1">
      <alignment horizontal="right" wrapText="1"/>
      <protection locked="0"/>
    </xf>
    <xf numFmtId="3" fontId="9" fillId="0" borderId="8" xfId="0" applyNumberFormat="1" applyFont="1" applyBorder="1" applyAlignment="1">
      <alignment horizontal="center" vertical="center" wrapText="1"/>
    </xf>
    <xf numFmtId="170" fontId="3" fillId="0" borderId="8" xfId="1" applyNumberFormat="1" applyFont="1" applyBorder="1" applyAlignment="1">
      <alignment horizontal="right" vertical="center" wrapText="1"/>
    </xf>
    <xf numFmtId="166" fontId="3" fillId="0" borderId="8" xfId="1" applyFont="1" applyBorder="1" applyAlignment="1">
      <alignment horizontal="right" vertical="center" wrapText="1"/>
    </xf>
    <xf numFmtId="170" fontId="8" fillId="16" borderId="8" xfId="1" applyNumberFormat="1" applyFont="1" applyFill="1" applyBorder="1" applyAlignment="1">
      <alignment horizontal="right" vertical="center" wrapText="1"/>
    </xf>
    <xf numFmtId="166" fontId="8" fillId="16" borderId="8" xfId="1" applyFont="1" applyFill="1" applyBorder="1" applyAlignment="1">
      <alignment horizontal="right" vertical="center" wrapText="1"/>
    </xf>
    <xf numFmtId="166" fontId="8" fillId="4" borderId="8" xfId="1" applyFont="1" applyFill="1" applyBorder="1" applyAlignment="1">
      <alignment horizontal="right" vertical="center" wrapText="1"/>
    </xf>
    <xf numFmtId="168" fontId="3" fillId="0" borderId="0" xfId="8" applyNumberFormat="1" applyFont="1"/>
    <xf numFmtId="168" fontId="9" fillId="0" borderId="8" xfId="8" applyNumberFormat="1" applyFont="1" applyFill="1" applyBorder="1" applyAlignment="1" applyProtection="1">
      <alignment horizontal="right" vertical="center" wrapText="1"/>
      <protection locked="0"/>
    </xf>
    <xf numFmtId="167" fontId="9" fillId="0" borderId="0" xfId="0" applyNumberFormat="1" applyFont="1"/>
    <xf numFmtId="171" fontId="9" fillId="0" borderId="35" xfId="8" applyNumberFormat="1" applyFont="1" applyBorder="1" applyAlignment="1" applyProtection="1">
      <alignment horizontal="right" wrapText="1"/>
      <protection locked="0"/>
    </xf>
    <xf numFmtId="0" fontId="8" fillId="26" borderId="8" xfId="0" applyFont="1" applyFill="1" applyBorder="1"/>
    <xf numFmtId="166" fontId="8" fillId="26" borderId="8" xfId="1" applyFont="1" applyFill="1" applyBorder="1"/>
    <xf numFmtId="10" fontId="8" fillId="26" borderId="8" xfId="10" applyNumberFormat="1" applyFont="1" applyFill="1" applyBorder="1"/>
    <xf numFmtId="166" fontId="3" fillId="26" borderId="8" xfId="1" applyFont="1" applyFill="1" applyBorder="1"/>
    <xf numFmtId="10" fontId="3" fillId="26" borderId="8" xfId="10" applyNumberFormat="1" applyFont="1" applyFill="1" applyBorder="1"/>
    <xf numFmtId="170" fontId="3" fillId="26" borderId="8" xfId="1" applyNumberFormat="1" applyFont="1" applyFill="1" applyBorder="1"/>
    <xf numFmtId="168" fontId="9" fillId="0" borderId="8" xfId="8" applyNumberFormat="1" applyFont="1" applyFill="1" applyBorder="1" applyAlignment="1" applyProtection="1">
      <alignment horizontal="right" wrapText="1"/>
      <protection locked="0"/>
    </xf>
    <xf numFmtId="168" fontId="10" fillId="0" borderId="8" xfId="8" applyNumberFormat="1" applyFont="1" applyFill="1" applyBorder="1" applyAlignment="1" applyProtection="1">
      <alignment horizontal="right" wrapText="1"/>
      <protection locked="0"/>
    </xf>
    <xf numFmtId="168" fontId="10" fillId="0" borderId="8" xfId="8" applyNumberFormat="1" applyFont="1" applyFill="1" applyBorder="1" applyAlignment="1" applyProtection="1">
      <alignment horizontal="right" vertical="center" wrapText="1"/>
      <protection locked="0"/>
    </xf>
    <xf numFmtId="172" fontId="9" fillId="0" borderId="0" xfId="10" applyNumberFormat="1" applyFont="1"/>
    <xf numFmtId="172" fontId="11" fillId="0" borderId="0" xfId="10" applyNumberFormat="1" applyFont="1"/>
    <xf numFmtId="3" fontId="9" fillId="0" borderId="8" xfId="6" applyNumberFormat="1" applyFont="1" applyFill="1" applyBorder="1" applyAlignment="1" applyProtection="1">
      <alignment horizontal="right" vertical="center" wrapText="1"/>
      <protection locked="0"/>
    </xf>
    <xf numFmtId="168" fontId="3" fillId="0" borderId="0" xfId="8" applyNumberFormat="1" applyFont="1" applyAlignment="1">
      <alignment vertical="center" wrapText="1"/>
    </xf>
    <xf numFmtId="168" fontId="3" fillId="3" borderId="0" xfId="8" applyNumberFormat="1" applyFont="1" applyFill="1" applyAlignment="1">
      <alignment vertical="center" wrapText="1"/>
    </xf>
    <xf numFmtId="168" fontId="4" fillId="21" borderId="5" xfId="8" applyNumberFormat="1" applyFont="1" applyFill="1" applyBorder="1" applyAlignment="1">
      <alignment horizontal="center" vertical="center" wrapText="1"/>
    </xf>
    <xf numFmtId="168" fontId="4" fillId="19" borderId="5" xfId="8" applyNumberFormat="1" applyFont="1" applyFill="1" applyBorder="1" applyAlignment="1">
      <alignment horizontal="center" vertical="center" wrapText="1"/>
    </xf>
    <xf numFmtId="168" fontId="4" fillId="20" borderId="5" xfId="8" applyNumberFormat="1" applyFont="1" applyFill="1" applyBorder="1" applyAlignment="1">
      <alignment horizontal="center" vertical="center" wrapText="1"/>
    </xf>
    <xf numFmtId="168" fontId="6" fillId="5" borderId="5" xfId="8" applyNumberFormat="1" applyFont="1" applyFill="1" applyBorder="1" applyAlignment="1">
      <alignment horizontal="center" vertical="center" wrapText="1"/>
    </xf>
    <xf numFmtId="168" fontId="3" fillId="5" borderId="8" xfId="8" applyNumberFormat="1" applyFont="1" applyFill="1" applyBorder="1" applyAlignment="1">
      <alignment vertical="center" wrapText="1"/>
    </xf>
    <xf numFmtId="168" fontId="6" fillId="17" borderId="8" xfId="8" applyNumberFormat="1" applyFont="1" applyFill="1" applyBorder="1" applyAlignment="1" applyProtection="1">
      <alignment horizontal="center" vertical="center" wrapText="1"/>
      <protection locked="0"/>
    </xf>
    <xf numFmtId="168" fontId="6" fillId="18" borderId="8" xfId="8" applyNumberFormat="1" applyFont="1" applyFill="1" applyBorder="1" applyAlignment="1" applyProtection="1">
      <alignment horizontal="center" vertical="center" wrapText="1"/>
      <protection locked="0"/>
    </xf>
    <xf numFmtId="168" fontId="6" fillId="24" borderId="8" xfId="8" applyNumberFormat="1" applyFont="1" applyFill="1" applyBorder="1" applyAlignment="1" applyProtection="1">
      <alignment horizontal="center" vertical="center" wrapText="1"/>
      <protection locked="0"/>
    </xf>
    <xf numFmtId="168" fontId="6" fillId="9" borderId="8" xfId="8" applyNumberFormat="1" applyFont="1" applyFill="1" applyBorder="1" applyAlignment="1" applyProtection="1">
      <alignment horizontal="center" vertical="center" wrapText="1"/>
    </xf>
    <xf numFmtId="168" fontId="6" fillId="0" borderId="8" xfId="8" applyNumberFormat="1" applyFont="1" applyFill="1" applyBorder="1" applyAlignment="1" applyProtection="1">
      <alignment horizontal="center" vertical="center" wrapText="1"/>
      <protection locked="0"/>
    </xf>
    <xf numFmtId="168" fontId="5" fillId="9" borderId="8" xfId="8" applyNumberFormat="1" applyFont="1" applyFill="1" applyBorder="1" applyAlignment="1" applyProtection="1">
      <alignment horizontal="center" vertical="center" wrapText="1"/>
    </xf>
    <xf numFmtId="168" fontId="6" fillId="17" borderId="10" xfId="8" applyNumberFormat="1" applyFont="1" applyFill="1" applyBorder="1" applyAlignment="1" applyProtection="1">
      <alignment horizontal="center" vertical="center" wrapText="1"/>
      <protection locked="0"/>
    </xf>
    <xf numFmtId="168" fontId="6" fillId="18" borderId="10" xfId="8" applyNumberFormat="1" applyFont="1" applyFill="1" applyBorder="1" applyAlignment="1" applyProtection="1">
      <alignment horizontal="center" vertical="center" wrapText="1"/>
      <protection locked="0"/>
    </xf>
    <xf numFmtId="168" fontId="6" fillId="24" borderId="10" xfId="8" applyNumberFormat="1" applyFont="1" applyFill="1" applyBorder="1" applyAlignment="1" applyProtection="1">
      <alignment horizontal="center" vertical="center" wrapText="1"/>
      <protection locked="0"/>
    </xf>
    <xf numFmtId="168" fontId="6" fillId="8" borderId="8" xfId="8" applyNumberFormat="1" applyFont="1" applyFill="1" applyBorder="1" applyAlignment="1" applyProtection="1">
      <alignment horizontal="center" vertical="center" wrapText="1"/>
      <protection locked="0"/>
    </xf>
    <xf numFmtId="168" fontId="5" fillId="9" borderId="14" xfId="8" applyNumberFormat="1" applyFont="1" applyFill="1" applyBorder="1" applyAlignment="1" applyProtection="1">
      <alignment horizontal="center" vertical="center" wrapText="1"/>
    </xf>
    <xf numFmtId="168" fontId="3" fillId="3" borderId="0" xfId="8" applyNumberFormat="1" applyFont="1" applyFill="1" applyAlignment="1" applyProtection="1">
      <alignment horizontal="left" vertical="top" wrapText="1"/>
      <protection locked="0"/>
    </xf>
    <xf numFmtId="168" fontId="6" fillId="24" borderId="8" xfId="8" applyNumberFormat="1" applyFont="1" applyFill="1" applyBorder="1" applyAlignment="1" applyProtection="1">
      <alignment vertical="center" wrapText="1"/>
      <protection locked="0"/>
    </xf>
    <xf numFmtId="168" fontId="5" fillId="9" borderId="13" xfId="8" applyNumberFormat="1" applyFont="1" applyFill="1" applyBorder="1" applyAlignment="1" applyProtection="1">
      <alignment horizontal="center" vertical="center" wrapText="1"/>
    </xf>
    <xf numFmtId="168" fontId="6" fillId="17" borderId="8" xfId="8" applyNumberFormat="1" applyFont="1" applyFill="1" applyBorder="1" applyAlignment="1" applyProtection="1">
      <alignment vertical="center" wrapText="1"/>
      <protection locked="0"/>
    </xf>
    <xf numFmtId="168" fontId="6" fillId="18" borderId="8" xfId="8" applyNumberFormat="1" applyFont="1" applyFill="1" applyBorder="1" applyAlignment="1" applyProtection="1">
      <alignment vertical="center" wrapText="1"/>
      <protection locked="0"/>
    </xf>
    <xf numFmtId="168" fontId="6" fillId="9" borderId="8" xfId="8" applyNumberFormat="1" applyFont="1" applyFill="1" applyBorder="1" applyAlignment="1" applyProtection="1">
      <alignment vertical="center" wrapText="1"/>
    </xf>
    <xf numFmtId="168" fontId="5" fillId="11" borderId="8" xfId="8" applyNumberFormat="1" applyFont="1" applyFill="1" applyBorder="1" applyAlignment="1" applyProtection="1">
      <alignment vertical="center" wrapText="1"/>
    </xf>
    <xf numFmtId="168" fontId="4" fillId="21" borderId="8" xfId="8" applyNumberFormat="1" applyFont="1" applyFill="1" applyBorder="1" applyAlignment="1">
      <alignment horizontal="center" vertical="center" wrapText="1"/>
    </xf>
    <xf numFmtId="168" fontId="4" fillId="19" borderId="8" xfId="8" applyNumberFormat="1" applyFont="1" applyFill="1" applyBorder="1" applyAlignment="1">
      <alignment horizontal="center" vertical="center" wrapText="1"/>
    </xf>
    <xf numFmtId="168" fontId="6" fillId="22" borderId="8" xfId="8" applyNumberFormat="1" applyFont="1" applyFill="1" applyBorder="1" applyAlignment="1">
      <alignment vertical="center" wrapText="1"/>
    </xf>
    <xf numFmtId="168" fontId="6" fillId="23" borderId="8" xfId="8" applyNumberFormat="1" applyFont="1" applyFill="1" applyBorder="1" applyAlignment="1">
      <alignment vertical="center" wrapText="1"/>
    </xf>
    <xf numFmtId="168" fontId="6" fillId="25" borderId="15" xfId="8" applyNumberFormat="1" applyFont="1" applyFill="1" applyBorder="1" applyAlignment="1">
      <alignment vertical="center" wrapText="1"/>
    </xf>
    <xf numFmtId="168" fontId="6" fillId="9" borderId="8" xfId="8" applyNumberFormat="1" applyFont="1" applyFill="1" applyBorder="1" applyAlignment="1">
      <alignment vertical="center" wrapText="1"/>
    </xf>
    <xf numFmtId="168" fontId="5" fillId="22" borderId="8" xfId="8" applyNumberFormat="1" applyFont="1" applyFill="1" applyBorder="1" applyAlignment="1" applyProtection="1">
      <alignment vertical="center" wrapText="1"/>
    </xf>
    <xf numFmtId="168" fontId="5" fillId="23" borderId="8" xfId="8" applyNumberFormat="1" applyFont="1" applyFill="1" applyBorder="1" applyAlignment="1" applyProtection="1">
      <alignment vertical="center" wrapText="1"/>
    </xf>
    <xf numFmtId="168" fontId="5" fillId="25" borderId="15" xfId="8" applyNumberFormat="1" applyFont="1" applyFill="1" applyBorder="1" applyAlignment="1" applyProtection="1">
      <alignment vertical="center" wrapText="1"/>
    </xf>
    <xf numFmtId="168" fontId="5" fillId="9" borderId="8" xfId="8" applyNumberFormat="1" applyFont="1" applyFill="1" applyBorder="1" applyAlignment="1">
      <alignment vertical="center" wrapText="1"/>
    </xf>
    <xf numFmtId="0" fontId="6" fillId="8" borderId="8" xfId="0" applyFont="1" applyFill="1" applyBorder="1" applyAlignment="1" applyProtection="1">
      <alignment horizontal="left" vertical="top" wrapText="1"/>
      <protection locked="0"/>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49" fontId="5" fillId="8" borderId="8" xfId="0" applyNumberFormat="1" applyFont="1" applyFill="1" applyBorder="1" applyAlignment="1" applyProtection="1">
      <alignment horizontal="left" vertical="top" wrapText="1"/>
      <protection locked="0"/>
    </xf>
    <xf numFmtId="49" fontId="6" fillId="8" borderId="8" xfId="0" applyNumberFormat="1" applyFont="1" applyFill="1" applyBorder="1" applyAlignment="1" applyProtection="1">
      <alignment horizontal="left" vertical="top" wrapText="1"/>
      <protection locked="0"/>
    </xf>
    <xf numFmtId="0" fontId="5" fillId="8" borderId="12" xfId="0" applyFont="1" applyFill="1" applyBorder="1" applyAlignment="1" applyProtection="1">
      <alignment horizontal="left" vertical="top" wrapText="1"/>
      <protection locked="0"/>
    </xf>
    <xf numFmtId="0" fontId="5" fillId="8" borderId="14" xfId="0" applyFont="1" applyFill="1" applyBorder="1" applyAlignment="1" applyProtection="1">
      <alignment horizontal="left" vertical="top" wrapText="1"/>
      <protection locked="0"/>
    </xf>
    <xf numFmtId="0" fontId="5" fillId="8" borderId="15"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165" fontId="3" fillId="3" borderId="8" xfId="5" applyFont="1" applyFill="1" applyBorder="1" applyAlignment="1" applyProtection="1">
      <alignment horizontal="left" vertical="top" wrapText="1"/>
      <protection locked="0"/>
    </xf>
    <xf numFmtId="0" fontId="5" fillId="8" borderId="8" xfId="0" applyFont="1" applyFill="1" applyBorder="1" applyAlignment="1" applyProtection="1">
      <alignment horizontal="left" vertical="top" wrapText="1"/>
      <protection locked="0"/>
    </xf>
    <xf numFmtId="0" fontId="6" fillId="8" borderId="16"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168" fontId="8" fillId="3" borderId="12" xfId="8" applyNumberFormat="1" applyFont="1" applyFill="1" applyBorder="1" applyAlignment="1" applyProtection="1">
      <alignment horizontal="center" vertical="center" wrapText="1"/>
      <protection locked="0"/>
    </xf>
    <xf numFmtId="168" fontId="8" fillId="3" borderId="14" xfId="8" applyNumberFormat="1" applyFont="1" applyFill="1" applyBorder="1" applyAlignment="1" applyProtection="1">
      <alignment horizontal="center" vertical="center" wrapText="1"/>
      <protection locked="0"/>
    </xf>
    <xf numFmtId="168" fontId="8" fillId="3" borderId="15" xfId="8" applyNumberFormat="1" applyFont="1" applyFill="1" applyBorder="1" applyAlignment="1" applyProtection="1">
      <alignment horizontal="center" vertical="center" wrapText="1"/>
      <protection locked="0"/>
    </xf>
    <xf numFmtId="168" fontId="8" fillId="0" borderId="12" xfId="8" applyNumberFormat="1" applyFont="1" applyBorder="1" applyAlignment="1" applyProtection="1">
      <alignment horizontal="center" vertical="center" wrapText="1"/>
      <protection locked="0"/>
    </xf>
    <xf numFmtId="168" fontId="8" fillId="0" borderId="14" xfId="8" applyNumberFormat="1" applyFont="1" applyBorder="1" applyAlignment="1" applyProtection="1">
      <alignment horizontal="center" vertical="center" wrapText="1"/>
      <protection locked="0"/>
    </xf>
    <xf numFmtId="168" fontId="8" fillId="0" borderId="15" xfId="8" applyNumberFormat="1" applyFont="1" applyBorder="1" applyAlignment="1" applyProtection="1">
      <alignment horizontal="center" vertical="center" wrapText="1"/>
      <protection locked="0"/>
    </xf>
    <xf numFmtId="0" fontId="5" fillId="11" borderId="8" xfId="0" applyFont="1" applyFill="1" applyBorder="1" applyAlignment="1">
      <alignment horizontal="center" vertical="center" wrapText="1"/>
    </xf>
    <xf numFmtId="168" fontId="5" fillId="11" borderId="11" xfId="8" applyNumberFormat="1" applyFont="1" applyFill="1" applyBorder="1" applyAlignment="1">
      <alignment horizontal="center" vertical="center" wrapText="1"/>
    </xf>
    <xf numFmtId="168" fontId="5" fillId="11" borderId="8" xfId="8" applyNumberFormat="1" applyFont="1" applyFill="1" applyBorder="1" applyAlignment="1">
      <alignment horizontal="center" vertical="center" wrapText="1"/>
    </xf>
    <xf numFmtId="0" fontId="6" fillId="9" borderId="8" xfId="0" applyFont="1" applyFill="1" applyBorder="1" applyAlignment="1">
      <alignment horizontal="center" vertical="center" wrapText="1"/>
    </xf>
    <xf numFmtId="165" fontId="5" fillId="9" borderId="8" xfId="3" applyFont="1" applyFill="1" applyBorder="1" applyAlignment="1" applyProtection="1">
      <alignment horizontal="center" vertical="center" wrapText="1"/>
    </xf>
    <xf numFmtId="0" fontId="5" fillId="0" borderId="0" xfId="0" applyFont="1" applyAlignment="1">
      <alignment horizontal="center" vertical="center" wrapText="1"/>
    </xf>
    <xf numFmtId="0" fontId="5" fillId="9" borderId="21"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12" borderId="20" xfId="0" applyFont="1" applyFill="1" applyBorder="1" applyAlignment="1">
      <alignment horizontal="center" vertical="center" wrapText="1"/>
    </xf>
    <xf numFmtId="168" fontId="5" fillId="9" borderId="8" xfId="8" applyNumberFormat="1" applyFont="1" applyFill="1" applyBorder="1" applyAlignment="1" applyProtection="1">
      <alignment horizontal="center" vertical="center" wrapText="1"/>
    </xf>
    <xf numFmtId="168" fontId="5" fillId="9" borderId="36" xfId="8" applyNumberFormat="1" applyFont="1" applyFill="1" applyBorder="1" applyAlignment="1" applyProtection="1">
      <alignment horizontal="center" vertical="center" wrapText="1"/>
    </xf>
    <xf numFmtId="168" fontId="5" fillId="9" borderId="37" xfId="8" applyNumberFormat="1" applyFont="1" applyFill="1" applyBorder="1" applyAlignment="1" applyProtection="1">
      <alignment horizontal="center" vertical="center" wrapText="1"/>
    </xf>
    <xf numFmtId="168" fontId="5" fillId="9" borderId="38" xfId="8" applyNumberFormat="1" applyFont="1" applyFill="1" applyBorder="1" applyAlignment="1" applyProtection="1">
      <alignment horizontal="center" vertical="center" wrapText="1"/>
    </xf>
    <xf numFmtId="0" fontId="13" fillId="0" borderId="0" xfId="0" applyFont="1" applyAlignment="1">
      <alignment horizontal="left" vertical="top" wrapText="1"/>
    </xf>
    <xf numFmtId="0" fontId="8" fillId="2" borderId="23" xfId="0" applyFont="1" applyFill="1" applyBorder="1" applyAlignment="1">
      <alignment horizontal="left" wrapText="1"/>
    </xf>
    <xf numFmtId="0" fontId="8" fillId="2" borderId="24" xfId="0" applyFont="1" applyFill="1" applyBorder="1" applyAlignment="1">
      <alignment horizontal="left" wrapText="1"/>
    </xf>
    <xf numFmtId="0" fontId="8" fillId="2" borderId="25" xfId="0" applyFont="1" applyFill="1" applyBorder="1" applyAlignment="1">
      <alignment horizontal="left" wrapText="1"/>
    </xf>
    <xf numFmtId="0" fontId="8" fillId="2" borderId="26"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27"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8" fillId="2" borderId="1" xfId="0" applyFont="1" applyFill="1" applyBorder="1" applyAlignment="1">
      <alignment horizontal="left" wrapText="1"/>
    </xf>
    <xf numFmtId="0" fontId="8" fillId="2" borderId="2" xfId="0" applyFont="1" applyFill="1" applyBorder="1" applyAlignment="1">
      <alignment horizontal="left" wrapText="1"/>
    </xf>
    <xf numFmtId="0" fontId="8" fillId="2" borderId="3" xfId="0" applyFont="1" applyFill="1" applyBorder="1" applyAlignment="1">
      <alignment horizontal="left" wrapText="1"/>
    </xf>
    <xf numFmtId="3" fontId="9" fillId="13" borderId="12" xfId="0" applyNumberFormat="1" applyFont="1" applyFill="1" applyBorder="1" applyAlignment="1">
      <alignment horizontal="center" wrapText="1"/>
    </xf>
    <xf numFmtId="3" fontId="9" fillId="13" borderId="14" xfId="0" applyNumberFormat="1" applyFont="1" applyFill="1" applyBorder="1" applyAlignment="1">
      <alignment horizontal="center" wrapText="1"/>
    </xf>
    <xf numFmtId="3" fontId="9" fillId="13" borderId="15" xfId="0" applyNumberFormat="1" applyFont="1" applyFill="1" applyBorder="1" applyAlignment="1">
      <alignment horizontal="center" wrapText="1"/>
    </xf>
    <xf numFmtId="0" fontId="10" fillId="4" borderId="8" xfId="0" applyFont="1" applyFill="1" applyBorder="1" applyAlignment="1">
      <alignment horizontal="left" wrapText="1"/>
    </xf>
    <xf numFmtId="0" fontId="9" fillId="0" borderId="8" xfId="0" applyFont="1" applyBorder="1" applyAlignment="1">
      <alignment horizontal="center" wrapText="1"/>
    </xf>
    <xf numFmtId="3" fontId="9" fillId="13" borderId="11" xfId="0" applyNumberFormat="1" applyFont="1" applyFill="1" applyBorder="1" applyAlignment="1">
      <alignment horizontal="center" vertical="center" wrapText="1"/>
    </xf>
    <xf numFmtId="3" fontId="9" fillId="13" borderId="10" xfId="0" applyNumberFormat="1" applyFont="1" applyFill="1" applyBorder="1" applyAlignment="1">
      <alignment horizontal="center" vertical="center" wrapText="1"/>
    </xf>
    <xf numFmtId="165" fontId="10" fillId="0" borderId="8" xfId="0" applyNumberFormat="1" applyFont="1" applyBorder="1" applyAlignment="1">
      <alignment horizontal="center" vertical="center" wrapText="1"/>
    </xf>
    <xf numFmtId="0" fontId="10" fillId="4" borderId="12" xfId="0" applyFont="1" applyFill="1" applyBorder="1" applyAlignment="1">
      <alignment horizontal="left" wrapText="1"/>
    </xf>
    <xf numFmtId="0" fontId="10" fillId="4" borderId="14" xfId="0" applyFont="1" applyFill="1" applyBorder="1" applyAlignment="1">
      <alignment horizontal="left" wrapText="1"/>
    </xf>
    <xf numFmtId="0" fontId="10" fillId="4" borderId="15" xfId="0" applyFont="1" applyFill="1" applyBorder="1" applyAlignment="1">
      <alignment horizontal="left" wrapText="1"/>
    </xf>
    <xf numFmtId="0" fontId="10" fillId="4" borderId="33" xfId="0" applyFont="1" applyFill="1" applyBorder="1" applyAlignment="1">
      <alignment horizontal="left" wrapText="1"/>
    </xf>
    <xf numFmtId="0" fontId="10" fillId="4" borderId="34" xfId="0" applyFont="1" applyFill="1" applyBorder="1" applyAlignment="1">
      <alignment horizontal="left" wrapText="1"/>
    </xf>
    <xf numFmtId="0" fontId="10" fillId="4" borderId="35" xfId="0" applyFont="1" applyFill="1" applyBorder="1" applyAlignment="1">
      <alignment horizontal="left" wrapText="1"/>
    </xf>
    <xf numFmtId="0" fontId="10" fillId="18" borderId="8" xfId="0" applyFont="1" applyFill="1" applyBorder="1" applyAlignment="1">
      <alignment horizontal="center" vertical="center" wrapText="1"/>
    </xf>
    <xf numFmtId="0" fontId="10" fillId="24" borderId="8" xfId="6" applyNumberFormat="1" applyFont="1" applyFill="1" applyBorder="1" applyAlignment="1">
      <alignment horizontal="center" vertical="center" wrapText="1"/>
    </xf>
    <xf numFmtId="0" fontId="10" fillId="17" borderId="8" xfId="6" applyNumberFormat="1" applyFont="1" applyFill="1" applyBorder="1" applyAlignment="1">
      <alignment horizontal="center" vertical="center" wrapText="1"/>
    </xf>
    <xf numFmtId="3" fontId="10"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3" fontId="10" fillId="4" borderId="8" xfId="0" applyNumberFormat="1"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2" xfId="6" applyNumberFormat="1" applyFont="1" applyFill="1" applyBorder="1" applyAlignment="1">
      <alignment horizontal="center" vertical="center" wrapText="1"/>
    </xf>
    <xf numFmtId="0" fontId="10" fillId="0" borderId="14" xfId="6" applyNumberFormat="1" applyFont="1" applyFill="1" applyBorder="1" applyAlignment="1">
      <alignment horizontal="center" vertical="center" wrapText="1"/>
    </xf>
    <xf numFmtId="0" fontId="10" fillId="0" borderId="15" xfId="6" applyNumberFormat="1" applyFont="1" applyFill="1" applyBorder="1" applyAlignment="1">
      <alignment horizontal="center" vertical="center" wrapText="1"/>
    </xf>
    <xf numFmtId="0" fontId="8" fillId="15" borderId="8" xfId="0" applyFont="1" applyFill="1" applyBorder="1" applyAlignment="1">
      <alignment horizontal="center" vertical="center" wrapText="1"/>
    </xf>
    <xf numFmtId="166" fontId="8" fillId="15" borderId="8" xfId="1" applyFont="1" applyFill="1" applyBorder="1" applyAlignment="1">
      <alignment horizontal="center" vertical="center" wrapText="1"/>
    </xf>
  </cellXfs>
  <cellStyles count="18">
    <cellStyle name="Currency 2" xfId="6" xr:uid="{00000000-0005-0000-0000-000000000000}"/>
    <cellStyle name="Currency 3" xfId="5" xr:uid="{00000000-0005-0000-0000-000001000000}"/>
    <cellStyle name="Milliers" xfId="1" builtinId="3"/>
    <cellStyle name="Milliers [0]" xfId="8" builtinId="6"/>
    <cellStyle name="Milliers [0] 2" xfId="12" xr:uid="{A27D1022-2F80-4E63-BE53-18874FA926D3}"/>
    <cellStyle name="Milliers 2" xfId="2" xr:uid="{00000000-0005-0000-0000-000003000000}"/>
    <cellStyle name="Milliers 2 2" xfId="7" xr:uid="{00000000-0005-0000-0000-000004000000}"/>
    <cellStyle name="Milliers 3" xfId="9" xr:uid="{B8C7E969-C3BF-4D81-A945-DF450A16CB10}"/>
    <cellStyle name="Milliers 4" xfId="14" xr:uid="{B5F9CD7F-BF23-408B-9382-25BC6659F587}"/>
    <cellStyle name="Milliers 5" xfId="15" xr:uid="{FDCB67AC-B156-4EDF-8F84-4DF4DC2F9F08}"/>
    <cellStyle name="Milliers 6" xfId="17" xr:uid="{BC26E1A1-835F-49AA-ABB5-D5508BBCE502}"/>
    <cellStyle name="Milliers 7" xfId="13" xr:uid="{6E899763-17D6-40EC-8B64-40D400E9529F}"/>
    <cellStyle name="Milliers 8" xfId="11" xr:uid="{0D577827-A132-4269-B1B9-7503EA75D7A2}"/>
    <cellStyle name="Milliers 9" xfId="16" xr:uid="{3E849812-B01B-4414-96B4-D537475582AA}"/>
    <cellStyle name="Monétaire 2" xfId="3" xr:uid="{00000000-0005-0000-0000-000005000000}"/>
    <cellStyle name="Normal" xfId="0" builtinId="0"/>
    <cellStyle name="Pourcentage" xfId="10" builtinId="5"/>
    <cellStyle name="Pourcentage 2" xfId="4" xr:uid="{00000000-0005-0000-0000-000007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iamialitiana.raz\Downloads\LANDJA\Analyse%20LANDJA\Rapport%20OHCHR%20-%202024%2005%2030%20-%20Rapport%20financier%20SB-0250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laina.pascal.rakot\AppData\Local\Microsoft\Windows\INetCache\Content.Outlook\64KN21U5\PNUD_Budget%20prodoc%20phase%202%20Sud_revu_28062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unitednations-my.sharepoint.com/personal/brenda_razafindrazaka_un_org/Documents/Brenda%20PC/Extraction%20220925/2025%2009%2024%20suivi%20budgetaire%20avec%20r&#233;vision%20avec%20engagement.xlsx" TargetMode="External"/><Relationship Id="rId1" Type="http://schemas.openxmlformats.org/officeDocument/2006/relationships/externalLinkPath" Target="https://unitednations-my.sharepoint.com/personal/brenda_razafindrazaka_un_org/Documents/Brenda%20PC/Extraction%20220925/2025%2009%2024%20suivi%20budgetaire%20avec%20r&#233;vision%20avec%20engag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 par produits"/>
      <sheetName val="2)UNDG Budget categ par produit"/>
      <sheetName val="3) RF-Par catégories budgétaire"/>
    </sheetNames>
    <sheetDataSet>
      <sheetData sheetId="0" refreshError="1">
        <row r="5">
          <cell r="C5" t="str">
            <v>PNUD</v>
          </cell>
          <cell r="D5" t="str">
            <v>OHCHR</v>
          </cell>
          <cell r="E5" t="str">
            <v>MSIS TATAO</v>
          </cell>
        </row>
      </sheetData>
      <sheetData sheetId="1" refreshError="1">
        <row r="208">
          <cell r="D208" t="str">
            <v>PNUD</v>
          </cell>
          <cell r="E208" t="str">
            <v>OHCHR</v>
          </cell>
          <cell r="F208" t="str">
            <v>MSIS TATAO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ableau budgétaire 1"/>
      <sheetName val="2) Tableau budgétaire 2"/>
      <sheetName val="3) Notes d'explication"/>
      <sheetName val="4) Pour utilisation par PBSO"/>
      <sheetName val="5) Pour utilisation par MPTFO"/>
      <sheetName val="Dropdowns"/>
      <sheetName val="Sheet2"/>
    </sheetNames>
    <sheetDataSet>
      <sheetData sheetId="0">
        <row r="13">
          <cell r="D13" t="str">
            <v xml:space="preserve">PNUD </v>
          </cell>
        </row>
        <row r="44">
          <cell r="D44">
            <v>0</v>
          </cell>
          <cell r="E44">
            <v>0</v>
          </cell>
        </row>
        <row r="54">
          <cell r="D54">
            <v>0</v>
          </cell>
          <cell r="E54">
            <v>0</v>
          </cell>
          <cell r="F54">
            <v>0</v>
          </cell>
        </row>
        <row r="138">
          <cell r="D138">
            <v>0</v>
          </cell>
          <cell r="E138">
            <v>0</v>
          </cell>
          <cell r="F138">
            <v>0</v>
          </cell>
        </row>
        <row r="150">
          <cell r="D150">
            <v>0</v>
          </cell>
          <cell r="E150">
            <v>0</v>
          </cell>
          <cell r="F150">
            <v>0</v>
          </cell>
        </row>
        <row r="160">
          <cell r="D160">
            <v>0</v>
          </cell>
          <cell r="E160">
            <v>0</v>
          </cell>
          <cell r="F160">
            <v>0</v>
          </cell>
        </row>
        <row r="170">
          <cell r="D170">
            <v>0</v>
          </cell>
          <cell r="E170">
            <v>0</v>
          </cell>
          <cell r="F170">
            <v>0</v>
          </cell>
        </row>
        <row r="180">
          <cell r="D180">
            <v>0</v>
          </cell>
          <cell r="E180">
            <v>0</v>
          </cell>
          <cell r="F180">
            <v>0</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tracking"/>
      <sheetName val="Budget Amina "/>
      <sheetName val="Budget simple"/>
      <sheetName val="1)RF par produits"/>
      <sheetName val="RF PAR PRODUIT"/>
      <sheetName val="2)UNDG Budget categ par produit"/>
      <sheetName val="RF PAR PRODUIT PAR CATEGORIE"/>
      <sheetName val="3) RF-Par catégories budgétaire"/>
    </sheetNames>
    <sheetDataSet>
      <sheetData sheetId="0">
        <row r="1084">
          <cell r="E1084">
            <v>0</v>
          </cell>
        </row>
        <row r="1143">
          <cell r="E1143">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3"/>
  <sheetViews>
    <sheetView topLeftCell="A9" zoomScale="80" zoomScaleNormal="89" workbookViewId="0">
      <selection activeCell="W67" sqref="W67"/>
    </sheetView>
  </sheetViews>
  <sheetFormatPr baseColWidth="10" defaultColWidth="11.453125" defaultRowHeight="15" x14ac:dyDescent="0.4"/>
  <cols>
    <col min="1" max="1" width="30.81640625" style="2" customWidth="1"/>
    <col min="2" max="2" width="78.81640625" style="2" customWidth="1"/>
    <col min="3" max="7" width="27" style="2" customWidth="1"/>
    <col min="8" max="8" width="24.453125" style="2" customWidth="1"/>
    <col min="9" max="9" width="35.54296875" style="217" customWidth="1"/>
    <col min="10" max="10" width="33.81640625" style="217" bestFit="1" customWidth="1"/>
    <col min="11" max="11" width="40.1796875" style="217" bestFit="1" customWidth="1"/>
    <col min="12" max="12" width="24" style="217" bestFit="1" customWidth="1"/>
    <col min="13" max="13" width="38.1796875" style="217" customWidth="1"/>
    <col min="14" max="14" width="33.81640625" style="217" customWidth="1"/>
    <col min="15" max="15" width="40.1796875" style="217" customWidth="1"/>
    <col min="16" max="16" width="24" style="217" customWidth="1"/>
    <col min="17" max="17" width="34.1796875" style="217" customWidth="1"/>
    <col min="18" max="18" width="33.81640625" style="217" customWidth="1"/>
    <col min="19" max="19" width="40.1796875" style="217" customWidth="1"/>
    <col min="20" max="20" width="24" style="217" customWidth="1"/>
    <col min="21" max="21" width="29.453125" style="217" customWidth="1"/>
    <col min="22" max="22" width="41.81640625" style="2" customWidth="1"/>
    <col min="23" max="23" width="34.453125" style="2" customWidth="1"/>
    <col min="24" max="24" width="14.453125" style="217" customWidth="1"/>
    <col min="25" max="25" width="13.1796875" style="217" customWidth="1"/>
    <col min="26" max="26" width="12.453125" style="2" bestFit="1" customWidth="1"/>
    <col min="27" max="27" width="12" style="2" bestFit="1" customWidth="1"/>
    <col min="28" max="16384" width="11.453125" style="2"/>
  </cols>
  <sheetData>
    <row r="1" spans="1:26" ht="27" thickBot="1" x14ac:dyDescent="0.45">
      <c r="A1" s="269" t="s">
        <v>0</v>
      </c>
      <c r="B1" s="270"/>
      <c r="C1" s="270"/>
      <c r="D1" s="270"/>
      <c r="E1" s="270"/>
      <c r="F1" s="270"/>
      <c r="G1" s="271"/>
      <c r="H1" s="1"/>
      <c r="I1" s="233"/>
      <c r="J1" s="233"/>
      <c r="K1" s="233"/>
      <c r="L1" s="233"/>
      <c r="M1" s="233"/>
      <c r="N1" s="233"/>
      <c r="O1" s="233"/>
      <c r="P1" s="233"/>
      <c r="Q1" s="233"/>
      <c r="R1" s="233"/>
      <c r="S1" s="233"/>
      <c r="T1" s="233"/>
      <c r="U1" s="233"/>
      <c r="V1" s="1"/>
      <c r="W1" s="1"/>
    </row>
    <row r="2" spans="1:26" x14ac:dyDescent="0.4">
      <c r="A2" s="1"/>
      <c r="B2" s="3"/>
      <c r="C2" s="1"/>
      <c r="D2" s="1"/>
      <c r="E2" s="1"/>
      <c r="F2" s="1"/>
      <c r="G2" s="1"/>
      <c r="H2" s="1"/>
      <c r="I2" s="233"/>
      <c r="J2" s="233"/>
      <c r="K2" s="233"/>
      <c r="L2" s="233"/>
      <c r="M2" s="233"/>
      <c r="N2" s="233"/>
      <c r="O2" s="233"/>
      <c r="P2" s="233"/>
      <c r="Q2" s="233"/>
      <c r="R2" s="233"/>
      <c r="S2" s="233"/>
      <c r="T2" s="233"/>
      <c r="U2" s="233"/>
      <c r="V2" s="1"/>
      <c r="W2" s="1"/>
    </row>
    <row r="3" spans="1:26" ht="15.5" thickBot="1" x14ac:dyDescent="0.45">
      <c r="A3" s="1"/>
      <c r="B3" s="3"/>
      <c r="C3" s="4"/>
      <c r="D3" s="4"/>
      <c r="E3" s="4"/>
      <c r="F3" s="4"/>
      <c r="G3" s="1"/>
      <c r="H3" s="5"/>
      <c r="I3" s="234"/>
      <c r="J3" s="234"/>
      <c r="K3" s="234"/>
      <c r="L3" s="234"/>
      <c r="M3" s="233"/>
      <c r="N3" s="233"/>
      <c r="O3" s="233"/>
      <c r="P3" s="233"/>
      <c r="Q3" s="233"/>
      <c r="R3" s="233"/>
      <c r="S3" s="233"/>
      <c r="T3" s="233"/>
      <c r="U3" s="233"/>
      <c r="V3" s="1"/>
      <c r="W3" s="1"/>
    </row>
    <row r="4" spans="1:26" ht="147" customHeight="1" x14ac:dyDescent="0.4">
      <c r="A4" s="180" t="s">
        <v>1</v>
      </c>
      <c r="B4" s="181" t="s">
        <v>2</v>
      </c>
      <c r="C4" s="182" t="s">
        <v>3</v>
      </c>
      <c r="D4" s="182" t="s">
        <v>4</v>
      </c>
      <c r="E4" s="182" t="s">
        <v>5</v>
      </c>
      <c r="F4" s="182" t="s">
        <v>6</v>
      </c>
      <c r="G4" s="182" t="s">
        <v>7</v>
      </c>
      <c r="H4" s="183" t="s">
        <v>8</v>
      </c>
      <c r="I4" s="235" t="s">
        <v>9</v>
      </c>
      <c r="J4" s="235" t="s">
        <v>165</v>
      </c>
      <c r="K4" s="235" t="s">
        <v>166</v>
      </c>
      <c r="L4" s="235" t="s">
        <v>167</v>
      </c>
      <c r="M4" s="236" t="s">
        <v>9</v>
      </c>
      <c r="N4" s="236" t="s">
        <v>176</v>
      </c>
      <c r="O4" s="236" t="s">
        <v>166</v>
      </c>
      <c r="P4" s="236" t="s">
        <v>167</v>
      </c>
      <c r="Q4" s="237" t="s">
        <v>9</v>
      </c>
      <c r="R4" s="237" t="s">
        <v>165</v>
      </c>
      <c r="S4" s="237" t="s">
        <v>166</v>
      </c>
      <c r="T4" s="237" t="s">
        <v>167</v>
      </c>
      <c r="U4" s="238" t="s">
        <v>10</v>
      </c>
      <c r="V4" s="184" t="s">
        <v>11</v>
      </c>
      <c r="W4" s="17" t="s">
        <v>8</v>
      </c>
    </row>
    <row r="5" spans="1:26" x14ac:dyDescent="0.4">
      <c r="A5" s="112"/>
      <c r="B5" s="113"/>
      <c r="C5" s="114" t="s">
        <v>12</v>
      </c>
      <c r="D5" s="115" t="s">
        <v>13</v>
      </c>
      <c r="E5" s="114" t="s">
        <v>14</v>
      </c>
      <c r="F5" s="116"/>
      <c r="G5" s="117"/>
      <c r="H5" s="117"/>
      <c r="I5" s="282" t="s">
        <v>12</v>
      </c>
      <c r="J5" s="283"/>
      <c r="K5" s="283"/>
      <c r="L5" s="284"/>
      <c r="M5" s="285" t="str">
        <f>+D5</f>
        <v>OHCHR</v>
      </c>
      <c r="N5" s="286"/>
      <c r="O5" s="286"/>
      <c r="P5" s="287"/>
      <c r="Q5" s="282" t="str">
        <f>+E5</f>
        <v>MSIS TATAO</v>
      </c>
      <c r="R5" s="283"/>
      <c r="S5" s="283"/>
      <c r="T5" s="284"/>
      <c r="U5" s="239"/>
      <c r="V5" s="114"/>
      <c r="W5" s="6"/>
    </row>
    <row r="6" spans="1:26" ht="15.75" customHeight="1" x14ac:dyDescent="0.4">
      <c r="A6" s="118" t="s">
        <v>15</v>
      </c>
      <c r="B6" s="272" t="s">
        <v>16</v>
      </c>
      <c r="C6" s="272"/>
      <c r="D6" s="272"/>
      <c r="E6" s="272"/>
      <c r="F6" s="272"/>
      <c r="G6" s="272"/>
      <c r="H6" s="272"/>
      <c r="I6" s="272"/>
      <c r="J6" s="272"/>
      <c r="K6" s="272"/>
      <c r="L6" s="272"/>
      <c r="M6" s="272"/>
      <c r="N6" s="272"/>
      <c r="O6" s="272"/>
      <c r="P6" s="272"/>
      <c r="Q6" s="272"/>
      <c r="R6" s="272"/>
      <c r="S6" s="272"/>
      <c r="T6" s="272"/>
      <c r="U6" s="272"/>
      <c r="V6" s="272"/>
      <c r="W6" s="272"/>
    </row>
    <row r="7" spans="1:26" ht="15.75" customHeight="1" x14ac:dyDescent="0.4">
      <c r="A7" s="118" t="s">
        <v>17</v>
      </c>
      <c r="B7" s="273" t="s">
        <v>18</v>
      </c>
      <c r="C7" s="273"/>
      <c r="D7" s="273"/>
      <c r="E7" s="273"/>
      <c r="F7" s="273"/>
      <c r="G7" s="273"/>
      <c r="H7" s="273"/>
      <c r="I7" s="273"/>
      <c r="J7" s="273"/>
      <c r="K7" s="273"/>
      <c r="L7" s="273"/>
      <c r="M7" s="273"/>
      <c r="N7" s="273"/>
      <c r="O7" s="273"/>
      <c r="P7" s="273"/>
      <c r="Q7" s="273"/>
      <c r="R7" s="273"/>
      <c r="S7" s="273"/>
      <c r="T7" s="273"/>
      <c r="U7" s="273"/>
      <c r="V7" s="273"/>
      <c r="W7" s="273"/>
    </row>
    <row r="8" spans="1:26" ht="186.75" customHeight="1" x14ac:dyDescent="0.4">
      <c r="A8" s="119" t="s">
        <v>19</v>
      </c>
      <c r="B8" s="120" t="s">
        <v>20</v>
      </c>
      <c r="C8" s="121"/>
      <c r="D8" s="121">
        <v>60000</v>
      </c>
      <c r="E8" s="121"/>
      <c r="F8" s="122">
        <f>SUM(C8:E8)</f>
        <v>60000</v>
      </c>
      <c r="G8" s="123">
        <v>0.25</v>
      </c>
      <c r="H8" s="124"/>
      <c r="I8" s="240"/>
      <c r="J8" s="240"/>
      <c r="K8" s="240"/>
      <c r="L8" s="240">
        <f>+SUM(I8:K8)</f>
        <v>0</v>
      </c>
      <c r="M8" s="241">
        <v>39647.99</v>
      </c>
      <c r="N8" s="241">
        <v>10077.64</v>
      </c>
      <c r="O8" s="241">
        <v>2954.71</v>
      </c>
      <c r="P8" s="241">
        <f>SUM(M8:O8)</f>
        <v>52680.34</v>
      </c>
      <c r="Q8" s="242"/>
      <c r="R8" s="242"/>
      <c r="S8" s="242"/>
      <c r="T8" s="242">
        <f>SUM(Q8:S8)</f>
        <v>0</v>
      </c>
      <c r="U8" s="243">
        <f>T8+P8+L8</f>
        <v>52680.34</v>
      </c>
      <c r="V8" s="123"/>
      <c r="W8" s="7"/>
    </row>
    <row r="9" spans="1:26" ht="228.65" customHeight="1" x14ac:dyDescent="0.4">
      <c r="A9" s="119" t="s">
        <v>21</v>
      </c>
      <c r="B9" s="125" t="s">
        <v>22</v>
      </c>
      <c r="C9" s="121">
        <f>+'2)UNDG Budget categ par produit'!D25</f>
        <v>18500</v>
      </c>
      <c r="D9" s="121">
        <v>30000</v>
      </c>
      <c r="E9" s="121"/>
      <c r="F9" s="122">
        <f>SUM(C9:E9)</f>
        <v>48500</v>
      </c>
      <c r="G9" s="123">
        <v>0.35</v>
      </c>
      <c r="H9" s="124"/>
      <c r="I9" s="240">
        <v>9253</v>
      </c>
      <c r="J9" s="240">
        <v>3731.4599999999991</v>
      </c>
      <c r="K9" s="240"/>
      <c r="L9" s="240">
        <f>+SUM(I9:K9)</f>
        <v>12984.46</v>
      </c>
      <c r="M9" s="241">
        <v>14770.14</v>
      </c>
      <c r="N9" s="241">
        <f>0</f>
        <v>0</v>
      </c>
      <c r="O9" s="241"/>
      <c r="P9" s="241">
        <f>SUM(M9:O9)</f>
        <v>14770.14</v>
      </c>
      <c r="Q9" s="242"/>
      <c r="R9" s="242"/>
      <c r="S9" s="242"/>
      <c r="T9" s="242">
        <f>SUM(Q9:S9)</f>
        <v>0</v>
      </c>
      <c r="U9" s="243">
        <f>T9+P9+L9</f>
        <v>27754.6</v>
      </c>
      <c r="V9" s="123"/>
      <c r="W9" s="7"/>
    </row>
    <row r="10" spans="1:26" hidden="1" x14ac:dyDescent="0.4">
      <c r="A10" s="119" t="s">
        <v>23</v>
      </c>
      <c r="B10" s="120"/>
      <c r="C10" s="126"/>
      <c r="D10" s="126"/>
      <c r="E10" s="126"/>
      <c r="F10" s="122">
        <f>SUM(C10:E10)</f>
        <v>0</v>
      </c>
      <c r="G10" s="123"/>
      <c r="H10" s="124"/>
      <c r="I10" s="244"/>
      <c r="J10" s="244"/>
      <c r="K10" s="244"/>
      <c r="L10" s="244"/>
      <c r="M10" s="244"/>
      <c r="N10" s="244"/>
      <c r="O10" s="244"/>
      <c r="P10" s="244"/>
      <c r="Q10" s="244"/>
      <c r="R10" s="244"/>
      <c r="S10" s="244"/>
      <c r="T10" s="244"/>
      <c r="U10" s="243"/>
      <c r="V10" s="123">
        <v>0.25</v>
      </c>
      <c r="W10" s="7"/>
    </row>
    <row r="11" spans="1:26" hidden="1" x14ac:dyDescent="0.4">
      <c r="A11" s="119" t="s">
        <v>24</v>
      </c>
      <c r="B11" s="120"/>
      <c r="C11" s="126"/>
      <c r="D11" s="126"/>
      <c r="E11" s="126"/>
      <c r="F11" s="122">
        <f>SUM(C11:E11)</f>
        <v>0</v>
      </c>
      <c r="G11" s="123"/>
      <c r="H11" s="127"/>
      <c r="I11" s="244"/>
      <c r="J11" s="244"/>
      <c r="K11" s="244"/>
      <c r="L11" s="244"/>
      <c r="M11" s="244"/>
      <c r="N11" s="244"/>
      <c r="O11" s="244"/>
      <c r="P11" s="244"/>
      <c r="Q11" s="244"/>
      <c r="R11" s="244"/>
      <c r="S11" s="244"/>
      <c r="T11" s="244"/>
      <c r="U11" s="243"/>
      <c r="V11" s="123">
        <v>0.3</v>
      </c>
      <c r="W11" s="7"/>
    </row>
    <row r="12" spans="1:26" x14ac:dyDescent="0.4">
      <c r="A12" s="8"/>
      <c r="B12" s="128" t="s">
        <v>25</v>
      </c>
      <c r="C12" s="129">
        <f>SUM(C8:C11)</f>
        <v>18500</v>
      </c>
      <c r="D12" s="129">
        <f>SUM(D8:D11)</f>
        <v>90000</v>
      </c>
      <c r="E12" s="129">
        <f>SUM(E8:E11)</f>
        <v>0</v>
      </c>
      <c r="F12" s="129">
        <f>SUM(F8:F11)</f>
        <v>108500</v>
      </c>
      <c r="G12" s="129">
        <f>(G8*F8)+(G9*F9)+(G11*F11)+(F10*G10)</f>
        <v>31975</v>
      </c>
      <c r="H12" s="129"/>
      <c r="I12" s="245">
        <f>SUM(I8:I11)</f>
        <v>9253</v>
      </c>
      <c r="J12" s="245">
        <f t="shared" ref="J12:L12" si="0">SUM(J8:J11)</f>
        <v>3731.4599999999991</v>
      </c>
      <c r="K12" s="245">
        <f t="shared" si="0"/>
        <v>0</v>
      </c>
      <c r="L12" s="245">
        <f t="shared" si="0"/>
        <v>12984.46</v>
      </c>
      <c r="M12" s="245">
        <f>SUM(M8:M11)</f>
        <v>54418.13</v>
      </c>
      <c r="N12" s="245">
        <f t="shared" ref="N12:P12" si="1">SUM(N8:N11)</f>
        <v>10077.64</v>
      </c>
      <c r="O12" s="245">
        <f t="shared" si="1"/>
        <v>2954.71</v>
      </c>
      <c r="P12" s="245">
        <f t="shared" si="1"/>
        <v>67450.48</v>
      </c>
      <c r="Q12" s="245">
        <f>SUM(Q8:Q11)</f>
        <v>0</v>
      </c>
      <c r="R12" s="245">
        <f t="shared" ref="R12:T12" si="2">SUM(R8:R11)</f>
        <v>0</v>
      </c>
      <c r="S12" s="245">
        <f t="shared" si="2"/>
        <v>0</v>
      </c>
      <c r="T12" s="245">
        <f t="shared" si="2"/>
        <v>0</v>
      </c>
      <c r="U12" s="245">
        <f>SUM(U8:U11)</f>
        <v>80434.94</v>
      </c>
      <c r="V12" s="129">
        <f>SUM(V8:V11)</f>
        <v>0.55000000000000004</v>
      </c>
      <c r="W12" s="129"/>
    </row>
    <row r="13" spans="1:26" ht="15.75" customHeight="1" x14ac:dyDescent="0.4">
      <c r="A13" s="118" t="s">
        <v>26</v>
      </c>
      <c r="B13" s="268" t="s">
        <v>27</v>
      </c>
      <c r="C13" s="268"/>
      <c r="D13" s="268"/>
      <c r="E13" s="268"/>
      <c r="F13" s="268"/>
      <c r="G13" s="268"/>
      <c r="H13" s="268"/>
      <c r="I13" s="268"/>
      <c r="J13" s="268"/>
      <c r="K13" s="268"/>
      <c r="L13" s="268"/>
      <c r="M13" s="268"/>
      <c r="N13" s="268"/>
      <c r="O13" s="268"/>
      <c r="P13" s="268"/>
      <c r="Q13" s="268"/>
      <c r="R13" s="268"/>
      <c r="S13" s="268"/>
      <c r="T13" s="268"/>
      <c r="U13" s="268"/>
      <c r="V13" s="268"/>
      <c r="W13" s="268"/>
    </row>
    <row r="14" spans="1:26" ht="105.65" customHeight="1" x14ac:dyDescent="0.4">
      <c r="A14" s="119" t="s">
        <v>28</v>
      </c>
      <c r="B14" s="131" t="s">
        <v>29</v>
      </c>
      <c r="C14" s="121">
        <v>10000</v>
      </c>
      <c r="D14" s="121">
        <v>20000</v>
      </c>
      <c r="E14" s="121"/>
      <c r="F14" s="132">
        <f>SUM(C14:E14)</f>
        <v>30000</v>
      </c>
      <c r="G14" s="133">
        <v>0.35</v>
      </c>
      <c r="H14" s="134"/>
      <c r="I14" s="246">
        <v>9000</v>
      </c>
      <c r="J14" s="246">
        <v>1000.0000000000009</v>
      </c>
      <c r="K14" s="246"/>
      <c r="L14" s="246">
        <f>SUM(I14:K14)</f>
        <v>10000</v>
      </c>
      <c r="M14" s="247">
        <v>0</v>
      </c>
      <c r="N14" s="247">
        <v>12000</v>
      </c>
      <c r="O14" s="247">
        <v>3045.29</v>
      </c>
      <c r="P14" s="247">
        <f>SUM(M14:O14)</f>
        <v>15045.29</v>
      </c>
      <c r="Q14" s="248"/>
      <c r="R14" s="248"/>
      <c r="S14" s="248"/>
      <c r="T14" s="248">
        <f>SUM(Q14:S14)</f>
        <v>0</v>
      </c>
      <c r="U14" s="243">
        <f>+L14+P14+T14</f>
        <v>25045.29</v>
      </c>
      <c r="V14" s="133"/>
      <c r="W14" s="7"/>
      <c r="Z14" s="217"/>
    </row>
    <row r="15" spans="1:26" ht="60" x14ac:dyDescent="0.4">
      <c r="A15" s="119" t="s">
        <v>30</v>
      </c>
      <c r="B15" s="120" t="s">
        <v>31</v>
      </c>
      <c r="C15" s="121">
        <v>20000</v>
      </c>
      <c r="D15" s="121">
        <v>30000</v>
      </c>
      <c r="E15" s="121"/>
      <c r="F15" s="122">
        <f t="shared" ref="F15:F21" si="3">SUM(C15:E15)</f>
        <v>50000</v>
      </c>
      <c r="G15" s="123">
        <v>0.35</v>
      </c>
      <c r="H15" s="124"/>
      <c r="I15" s="240">
        <v>20000</v>
      </c>
      <c r="J15" s="240">
        <v>0</v>
      </c>
      <c r="K15" s="240"/>
      <c r="L15" s="246">
        <f t="shared" ref="L15:L18" si="4">SUM(I15:K15)</f>
        <v>20000</v>
      </c>
      <c r="M15" s="241">
        <v>0</v>
      </c>
      <c r="N15" s="241">
        <v>0</v>
      </c>
      <c r="O15" s="241">
        <v>0</v>
      </c>
      <c r="P15" s="247">
        <f t="shared" ref="P15:P18" si="5">SUM(M15:O15)</f>
        <v>0</v>
      </c>
      <c r="Q15" s="242"/>
      <c r="R15" s="242"/>
      <c r="S15" s="242"/>
      <c r="T15" s="248">
        <f t="shared" ref="T15:T18" si="6">SUM(Q15:S15)</f>
        <v>0</v>
      </c>
      <c r="U15" s="243">
        <f t="shared" ref="U15:U18" si="7">+L15+P15+T15</f>
        <v>20000</v>
      </c>
      <c r="V15" s="133"/>
      <c r="W15" s="7"/>
      <c r="Z15" s="217"/>
    </row>
    <row r="16" spans="1:26" ht="45" x14ac:dyDescent="0.4">
      <c r="A16" s="119" t="s">
        <v>32</v>
      </c>
      <c r="B16" s="120" t="s">
        <v>33</v>
      </c>
      <c r="C16" s="121">
        <v>33000</v>
      </c>
      <c r="D16" s="121">
        <v>15000</v>
      </c>
      <c r="E16" s="121"/>
      <c r="F16" s="122">
        <f t="shared" si="3"/>
        <v>48000</v>
      </c>
      <c r="G16" s="123">
        <v>0.4</v>
      </c>
      <c r="H16" s="124"/>
      <c r="I16" s="240">
        <v>20000</v>
      </c>
      <c r="J16" s="240"/>
      <c r="K16" s="240"/>
      <c r="L16" s="246">
        <f t="shared" si="4"/>
        <v>20000</v>
      </c>
      <c r="M16" s="241">
        <v>0</v>
      </c>
      <c r="N16" s="241">
        <v>0</v>
      </c>
      <c r="O16" s="241">
        <v>0</v>
      </c>
      <c r="P16" s="247">
        <f t="shared" si="5"/>
        <v>0</v>
      </c>
      <c r="Q16" s="242"/>
      <c r="R16" s="242"/>
      <c r="S16" s="242"/>
      <c r="T16" s="248">
        <f t="shared" si="6"/>
        <v>0</v>
      </c>
      <c r="U16" s="243">
        <f t="shared" si="7"/>
        <v>20000</v>
      </c>
      <c r="V16" s="133"/>
      <c r="W16" s="7"/>
      <c r="Z16" s="217"/>
    </row>
    <row r="17" spans="1:27" ht="75" x14ac:dyDescent="0.4">
      <c r="A17" s="119" t="s">
        <v>34</v>
      </c>
      <c r="B17" s="120" t="s">
        <v>35</v>
      </c>
      <c r="C17" s="121">
        <v>20000</v>
      </c>
      <c r="D17" s="121">
        <v>25000</v>
      </c>
      <c r="E17" s="121"/>
      <c r="F17" s="122">
        <f t="shared" si="3"/>
        <v>45000</v>
      </c>
      <c r="G17" s="123">
        <v>0.4</v>
      </c>
      <c r="H17" s="127"/>
      <c r="I17" s="240">
        <v>14820.16</v>
      </c>
      <c r="J17" s="240">
        <v>5179.840000000002</v>
      </c>
      <c r="K17" s="240"/>
      <c r="L17" s="246">
        <f t="shared" si="4"/>
        <v>20000</v>
      </c>
      <c r="M17" s="241">
        <v>0</v>
      </c>
      <c r="N17" s="241">
        <v>13050.11</v>
      </c>
      <c r="O17" s="241">
        <v>0</v>
      </c>
      <c r="P17" s="247">
        <f t="shared" si="5"/>
        <v>13050.11</v>
      </c>
      <c r="Q17" s="242"/>
      <c r="R17" s="242"/>
      <c r="S17" s="242"/>
      <c r="T17" s="248">
        <f t="shared" si="6"/>
        <v>0</v>
      </c>
      <c r="U17" s="243">
        <f t="shared" si="7"/>
        <v>33050.11</v>
      </c>
      <c r="V17" s="133"/>
      <c r="W17" s="7"/>
      <c r="Z17" s="217"/>
    </row>
    <row r="18" spans="1:27" ht="90" x14ac:dyDescent="0.4">
      <c r="A18" s="119" t="s">
        <v>36</v>
      </c>
      <c r="B18" s="120" t="s">
        <v>37</v>
      </c>
      <c r="C18" s="121">
        <v>70000</v>
      </c>
      <c r="D18" s="121">
        <v>90000</v>
      </c>
      <c r="E18" s="121"/>
      <c r="F18" s="122">
        <f t="shared" si="3"/>
        <v>160000</v>
      </c>
      <c r="G18" s="123">
        <v>0.4</v>
      </c>
      <c r="H18" s="127"/>
      <c r="I18" s="240">
        <v>58336.33</v>
      </c>
      <c r="J18" s="240"/>
      <c r="K18" s="240">
        <v>865.71143462358305</v>
      </c>
      <c r="L18" s="246">
        <f t="shared" si="4"/>
        <v>59202.041434623585</v>
      </c>
      <c r="M18" s="241">
        <v>19961.61</v>
      </c>
      <c r="N18" s="241">
        <v>10029.58</v>
      </c>
      <c r="O18" s="241">
        <v>0</v>
      </c>
      <c r="P18" s="247">
        <f t="shared" si="5"/>
        <v>29991.190000000002</v>
      </c>
      <c r="Q18" s="242"/>
      <c r="R18" s="242"/>
      <c r="S18" s="242"/>
      <c r="T18" s="248">
        <f t="shared" si="6"/>
        <v>0</v>
      </c>
      <c r="U18" s="243">
        <f t="shared" si="7"/>
        <v>89193.231434623594</v>
      </c>
      <c r="V18" s="133"/>
      <c r="W18" s="7"/>
      <c r="Z18" s="217"/>
    </row>
    <row r="19" spans="1:27" hidden="1" x14ac:dyDescent="0.4">
      <c r="A19" s="119" t="s">
        <v>38</v>
      </c>
      <c r="B19" s="120"/>
      <c r="C19" s="126"/>
      <c r="D19" s="126"/>
      <c r="E19" s="126"/>
      <c r="F19" s="122">
        <f t="shared" si="3"/>
        <v>0</v>
      </c>
      <c r="G19" s="123"/>
      <c r="H19" s="127"/>
      <c r="I19" s="244"/>
      <c r="J19" s="244"/>
      <c r="K19" s="244"/>
      <c r="L19" s="244"/>
      <c r="M19" s="244"/>
      <c r="N19" s="244"/>
      <c r="O19" s="244"/>
      <c r="P19" s="244"/>
      <c r="Q19" s="244"/>
      <c r="R19" s="244"/>
      <c r="S19" s="244"/>
      <c r="T19" s="244"/>
      <c r="U19" s="243"/>
      <c r="V19" s="126"/>
      <c r="W19" s="7"/>
      <c r="Z19" s="217">
        <f t="shared" ref="Z19:Z21" si="8">J19-Y19</f>
        <v>0</v>
      </c>
    </row>
    <row r="20" spans="1:27" hidden="1" x14ac:dyDescent="0.4">
      <c r="A20" s="119" t="s">
        <v>39</v>
      </c>
      <c r="B20" s="130"/>
      <c r="C20" s="135"/>
      <c r="D20" s="135"/>
      <c r="E20" s="135"/>
      <c r="F20" s="122">
        <f t="shared" si="3"/>
        <v>0</v>
      </c>
      <c r="G20" s="123"/>
      <c r="H20" s="136"/>
      <c r="I20" s="249"/>
      <c r="J20" s="249"/>
      <c r="K20" s="249"/>
      <c r="L20" s="249"/>
      <c r="M20" s="249"/>
      <c r="N20" s="249"/>
      <c r="O20" s="249"/>
      <c r="P20" s="249"/>
      <c r="Q20" s="249"/>
      <c r="R20" s="249"/>
      <c r="S20" s="249"/>
      <c r="T20" s="249"/>
      <c r="U20" s="243"/>
      <c r="V20" s="135"/>
      <c r="W20" s="7"/>
      <c r="Z20" s="217">
        <f t="shared" si="8"/>
        <v>0</v>
      </c>
    </row>
    <row r="21" spans="1:27" hidden="1" x14ac:dyDescent="0.4">
      <c r="A21" s="119" t="s">
        <v>40</v>
      </c>
      <c r="B21" s="130"/>
      <c r="C21" s="135"/>
      <c r="D21" s="135"/>
      <c r="E21" s="135"/>
      <c r="F21" s="122">
        <f t="shared" si="3"/>
        <v>0</v>
      </c>
      <c r="G21" s="137"/>
      <c r="H21" s="136"/>
      <c r="I21" s="249"/>
      <c r="J21" s="249"/>
      <c r="K21" s="249"/>
      <c r="L21" s="249"/>
      <c r="M21" s="249"/>
      <c r="N21" s="249"/>
      <c r="O21" s="249"/>
      <c r="P21" s="249"/>
      <c r="Q21" s="249"/>
      <c r="R21" s="249"/>
      <c r="S21" s="249"/>
      <c r="T21" s="249"/>
      <c r="U21" s="243"/>
      <c r="V21" s="135"/>
      <c r="W21" s="7"/>
      <c r="Z21" s="217">
        <f t="shared" si="8"/>
        <v>0</v>
      </c>
    </row>
    <row r="22" spans="1:27" x14ac:dyDescent="0.4">
      <c r="A22" s="8"/>
      <c r="B22" s="128" t="s">
        <v>25</v>
      </c>
      <c r="C22" s="138">
        <f>SUM(C14:C21)</f>
        <v>153000</v>
      </c>
      <c r="D22" s="138">
        <f>SUM(D14:D21)</f>
        <v>180000</v>
      </c>
      <c r="E22" s="138">
        <f>SUM(E14:E21)</f>
        <v>0</v>
      </c>
      <c r="F22" s="138">
        <f>SUM(F14:F21)</f>
        <v>333000</v>
      </c>
      <c r="G22" s="129">
        <f>(G14*F14)+(G15*F15)+(G16*F16)+(G17*F17)+(G18*F18)+(G19*F19)+(G20*F20)+(G21*F21)</f>
        <v>129200</v>
      </c>
      <c r="H22" s="129"/>
      <c r="I22" s="245">
        <f>SUM(I14:I21)</f>
        <v>122156.49</v>
      </c>
      <c r="J22" s="245">
        <f t="shared" ref="J22:K22" si="9">SUM(J14:J21)</f>
        <v>6179.8400000000029</v>
      </c>
      <c r="K22" s="245">
        <f t="shared" si="9"/>
        <v>865.71143462358305</v>
      </c>
      <c r="L22" s="245">
        <f>SUM(L14:L21)</f>
        <v>129202.04143462359</v>
      </c>
      <c r="M22" s="245">
        <f>SUM(M14:M21)</f>
        <v>19961.61</v>
      </c>
      <c r="N22" s="245">
        <f t="shared" ref="N22:P22" si="10">SUM(N14:N21)</f>
        <v>35079.69</v>
      </c>
      <c r="O22" s="245">
        <f t="shared" si="10"/>
        <v>3045.29</v>
      </c>
      <c r="P22" s="245">
        <f t="shared" si="10"/>
        <v>58086.590000000004</v>
      </c>
      <c r="Q22" s="245">
        <f>SUM(Q14:Q21)</f>
        <v>0</v>
      </c>
      <c r="R22" s="245">
        <f t="shared" ref="R22:S22" si="11">SUM(R14:R21)</f>
        <v>0</v>
      </c>
      <c r="S22" s="245">
        <f t="shared" si="11"/>
        <v>0</v>
      </c>
      <c r="T22" s="245">
        <f>SUM(T14:T21)</f>
        <v>0</v>
      </c>
      <c r="U22" s="245">
        <f>SUM(U14:U21)</f>
        <v>187288.63143462359</v>
      </c>
      <c r="V22" s="129">
        <f>SUM(V14:V21)</f>
        <v>0</v>
      </c>
      <c r="W22" s="122"/>
      <c r="Z22" s="217"/>
      <c r="AA22" s="217"/>
    </row>
    <row r="23" spans="1:27" ht="15.75" hidden="1" customHeight="1" x14ac:dyDescent="0.4">
      <c r="A23" s="118" t="s">
        <v>41</v>
      </c>
      <c r="B23" s="268"/>
      <c r="C23" s="268"/>
      <c r="D23" s="268"/>
      <c r="E23" s="268"/>
      <c r="F23" s="268"/>
      <c r="G23" s="268"/>
      <c r="H23" s="268"/>
      <c r="I23" s="268"/>
      <c r="J23" s="268"/>
      <c r="K23" s="268"/>
      <c r="L23" s="268"/>
      <c r="M23" s="268"/>
      <c r="N23" s="268"/>
      <c r="O23" s="268"/>
      <c r="P23" s="268"/>
      <c r="Q23" s="268"/>
      <c r="R23" s="268"/>
      <c r="S23" s="268"/>
      <c r="T23" s="268"/>
      <c r="U23" s="268"/>
      <c r="V23" s="268"/>
      <c r="W23" s="268"/>
    </row>
    <row r="24" spans="1:27" hidden="1" x14ac:dyDescent="0.4">
      <c r="A24" s="119" t="s">
        <v>42</v>
      </c>
      <c r="B24" s="120"/>
      <c r="C24" s="126"/>
      <c r="D24" s="126"/>
      <c r="E24" s="126"/>
      <c r="F24" s="122">
        <f>SUM(C24:E24)</f>
        <v>0</v>
      </c>
      <c r="G24" s="123"/>
      <c r="H24" s="127"/>
      <c r="I24" s="244"/>
      <c r="J24" s="244"/>
      <c r="K24" s="244"/>
      <c r="L24" s="244"/>
      <c r="M24" s="244"/>
      <c r="N24" s="244"/>
      <c r="O24" s="244"/>
      <c r="P24" s="244"/>
      <c r="Q24" s="244"/>
      <c r="R24" s="244"/>
      <c r="S24" s="244"/>
      <c r="T24" s="244"/>
      <c r="U24" s="243"/>
      <c r="V24" s="123"/>
      <c r="W24" s="7"/>
    </row>
    <row r="25" spans="1:27" hidden="1" x14ac:dyDescent="0.4">
      <c r="A25" s="119" t="s">
        <v>43</v>
      </c>
      <c r="B25" s="120"/>
      <c r="C25" s="126"/>
      <c r="D25" s="126"/>
      <c r="E25" s="126"/>
      <c r="F25" s="122">
        <f>SUM(C25:E25)</f>
        <v>0</v>
      </c>
      <c r="G25" s="123"/>
      <c r="H25" s="127"/>
      <c r="I25" s="244"/>
      <c r="J25" s="244"/>
      <c r="K25" s="244"/>
      <c r="L25" s="244"/>
      <c r="M25" s="244"/>
      <c r="N25" s="244"/>
      <c r="O25" s="244"/>
      <c r="P25" s="244"/>
      <c r="Q25" s="244"/>
      <c r="R25" s="244"/>
      <c r="S25" s="244"/>
      <c r="T25" s="244"/>
      <c r="U25" s="243"/>
      <c r="V25" s="123"/>
      <c r="W25" s="7"/>
    </row>
    <row r="26" spans="1:27" hidden="1" x14ac:dyDescent="0.4">
      <c r="A26" s="119" t="s">
        <v>44</v>
      </c>
      <c r="B26" s="120"/>
      <c r="C26" s="126"/>
      <c r="D26" s="126"/>
      <c r="E26" s="126"/>
      <c r="F26" s="122">
        <f>SUM(C26:E26)</f>
        <v>0</v>
      </c>
      <c r="G26" s="123"/>
      <c r="H26" s="127"/>
      <c r="I26" s="244"/>
      <c r="J26" s="244"/>
      <c r="K26" s="244"/>
      <c r="L26" s="244"/>
      <c r="M26" s="244"/>
      <c r="N26" s="244"/>
      <c r="O26" s="244"/>
      <c r="P26" s="244"/>
      <c r="Q26" s="244"/>
      <c r="R26" s="244"/>
      <c r="S26" s="244"/>
      <c r="T26" s="244"/>
      <c r="U26" s="243"/>
      <c r="V26" s="123"/>
      <c r="W26" s="7"/>
    </row>
    <row r="27" spans="1:27" hidden="1" x14ac:dyDescent="0.4">
      <c r="A27" s="8"/>
      <c r="B27" s="128" t="s">
        <v>25</v>
      </c>
      <c r="C27" s="138">
        <f>SUM(C24:C26)</f>
        <v>0</v>
      </c>
      <c r="D27" s="138">
        <f>SUM(D24:D26)</f>
        <v>0</v>
      </c>
      <c r="E27" s="138">
        <f>SUM(E24:E26)</f>
        <v>0</v>
      </c>
      <c r="F27" s="138">
        <f>SUM(F24:F26)</f>
        <v>0</v>
      </c>
      <c r="G27" s="129">
        <f>(G24*F24)+(G25*F25)+(G26*F26)</f>
        <v>0</v>
      </c>
      <c r="H27" s="129"/>
      <c r="I27" s="245">
        <f>SUM(I24:I26)</f>
        <v>0</v>
      </c>
      <c r="J27" s="245"/>
      <c r="K27" s="245"/>
      <c r="L27" s="245"/>
      <c r="M27" s="245">
        <f>SUM(M24:M26)</f>
        <v>0</v>
      </c>
      <c r="N27" s="245"/>
      <c r="O27" s="245"/>
      <c r="P27" s="245"/>
      <c r="Q27" s="245">
        <f>SUM(Q24:Q26)</f>
        <v>0</v>
      </c>
      <c r="R27" s="245"/>
      <c r="S27" s="245"/>
      <c r="T27" s="245"/>
      <c r="U27" s="245"/>
      <c r="V27" s="129">
        <f>SUM(V24:V26)</f>
        <v>0</v>
      </c>
      <c r="W27" s="122"/>
    </row>
    <row r="28" spans="1:27" hidden="1" x14ac:dyDescent="0.4">
      <c r="A28" s="8"/>
      <c r="B28" s="139"/>
      <c r="C28" s="140"/>
      <c r="D28" s="140"/>
      <c r="E28" s="140"/>
      <c r="F28" s="140"/>
      <c r="G28" s="141"/>
      <c r="H28" s="141"/>
      <c r="I28" s="250"/>
      <c r="J28" s="250"/>
      <c r="K28" s="250"/>
      <c r="L28" s="250"/>
      <c r="M28" s="250"/>
      <c r="N28" s="250"/>
      <c r="O28" s="250"/>
      <c r="P28" s="250"/>
      <c r="Q28" s="250"/>
      <c r="R28" s="250"/>
      <c r="S28" s="250"/>
      <c r="T28" s="250"/>
      <c r="U28" s="250"/>
      <c r="V28" s="141"/>
      <c r="W28" s="142"/>
    </row>
    <row r="29" spans="1:27" hidden="1" x14ac:dyDescent="0.4">
      <c r="A29" s="8"/>
      <c r="B29" s="139"/>
      <c r="C29" s="140"/>
      <c r="D29" s="140"/>
      <c r="E29" s="140"/>
      <c r="F29" s="140"/>
      <c r="G29" s="141"/>
      <c r="H29" s="141"/>
      <c r="I29" s="250"/>
      <c r="J29" s="250"/>
      <c r="K29" s="250"/>
      <c r="L29" s="250"/>
      <c r="M29" s="250"/>
      <c r="N29" s="250"/>
      <c r="O29" s="250"/>
      <c r="P29" s="250"/>
      <c r="Q29" s="250"/>
      <c r="R29" s="250"/>
      <c r="S29" s="250"/>
      <c r="T29" s="250"/>
      <c r="U29" s="250"/>
      <c r="V29" s="141"/>
      <c r="W29" s="142"/>
    </row>
    <row r="30" spans="1:27" ht="15.75" customHeight="1" x14ac:dyDescent="0.4">
      <c r="A30" s="128" t="s">
        <v>45</v>
      </c>
      <c r="B30" s="274" t="s">
        <v>46</v>
      </c>
      <c r="C30" s="275"/>
      <c r="D30" s="275"/>
      <c r="E30" s="275"/>
      <c r="F30" s="275"/>
      <c r="G30" s="275"/>
      <c r="H30" s="275"/>
      <c r="I30" s="275"/>
      <c r="J30" s="275"/>
      <c r="K30" s="275"/>
      <c r="L30" s="275"/>
      <c r="M30" s="275"/>
      <c r="N30" s="275"/>
      <c r="O30" s="275"/>
      <c r="P30" s="275"/>
      <c r="Q30" s="275"/>
      <c r="R30" s="275"/>
      <c r="S30" s="275"/>
      <c r="T30" s="275"/>
      <c r="U30" s="275"/>
      <c r="V30" s="275"/>
      <c r="W30" s="276"/>
    </row>
    <row r="31" spans="1:27" ht="15.75" customHeight="1" x14ac:dyDescent="0.4">
      <c r="A31" s="118" t="s">
        <v>47</v>
      </c>
      <c r="B31" s="268" t="s">
        <v>48</v>
      </c>
      <c r="C31" s="268"/>
      <c r="D31" s="268"/>
      <c r="E31" s="268"/>
      <c r="F31" s="268"/>
      <c r="G31" s="268"/>
      <c r="H31" s="268"/>
      <c r="I31" s="268"/>
      <c r="J31" s="268"/>
      <c r="K31" s="268"/>
      <c r="L31" s="268"/>
      <c r="M31" s="268"/>
      <c r="N31" s="268"/>
      <c r="O31" s="268"/>
      <c r="P31" s="268"/>
      <c r="Q31" s="268"/>
      <c r="R31" s="268"/>
      <c r="S31" s="268"/>
      <c r="T31" s="268"/>
      <c r="U31" s="268"/>
      <c r="V31" s="268"/>
      <c r="W31" s="268"/>
    </row>
    <row r="32" spans="1:27" ht="60" x14ac:dyDescent="0.4">
      <c r="A32" s="119" t="s">
        <v>49</v>
      </c>
      <c r="B32" s="143" t="s">
        <v>50</v>
      </c>
      <c r="C32" s="121">
        <v>90000</v>
      </c>
      <c r="D32" s="121">
        <v>25000</v>
      </c>
      <c r="E32" s="121"/>
      <c r="F32" s="132">
        <f>SUM(C32:E32)</f>
        <v>115000</v>
      </c>
      <c r="G32" s="133">
        <v>0.4</v>
      </c>
      <c r="H32" s="134"/>
      <c r="I32" s="246">
        <v>50000</v>
      </c>
      <c r="J32" s="246">
        <v>40000</v>
      </c>
      <c r="K32" s="246"/>
      <c r="L32" s="246">
        <f>SUM(I32:K32)</f>
        <v>90000</v>
      </c>
      <c r="M32" s="247">
        <v>0</v>
      </c>
      <c r="N32" s="247"/>
      <c r="O32" s="247"/>
      <c r="P32" s="247">
        <f>SUM(M32:O32)</f>
        <v>0</v>
      </c>
      <c r="Q32" s="248"/>
      <c r="R32" s="248"/>
      <c r="S32" s="248"/>
      <c r="T32" s="248">
        <f>SUM(Q32:S32)</f>
        <v>0</v>
      </c>
      <c r="U32" s="243">
        <f>+L32+P32+T32</f>
        <v>90000</v>
      </c>
      <c r="V32" s="133"/>
      <c r="W32" s="7"/>
    </row>
    <row r="33" spans="1:23" ht="45" x14ac:dyDescent="0.4">
      <c r="A33" s="119" t="s">
        <v>51</v>
      </c>
      <c r="B33" s="120" t="s">
        <v>52</v>
      </c>
      <c r="C33" s="121">
        <v>80000</v>
      </c>
      <c r="D33" s="121">
        <v>20000</v>
      </c>
      <c r="E33" s="121"/>
      <c r="F33" s="122">
        <f>SUM(C33:E33)</f>
        <v>100000</v>
      </c>
      <c r="G33" s="123">
        <v>0.3</v>
      </c>
      <c r="H33" s="124"/>
      <c r="I33" s="246">
        <v>80000</v>
      </c>
      <c r="J33" s="246">
        <v>0</v>
      </c>
      <c r="K33" s="246"/>
      <c r="L33" s="246">
        <f t="shared" ref="L33:L36" si="12">SUM(I33:K33)</f>
        <v>80000</v>
      </c>
      <c r="M33" s="241">
        <v>6033</v>
      </c>
      <c r="N33" s="241"/>
      <c r="O33" s="241"/>
      <c r="P33" s="247">
        <f t="shared" ref="P33:P36" si="13">SUM(M33:O33)</f>
        <v>6033</v>
      </c>
      <c r="Q33" s="242"/>
      <c r="R33" s="242"/>
      <c r="S33" s="242"/>
      <c r="T33" s="248">
        <f t="shared" ref="T33:T36" si="14">SUM(Q33:S33)</f>
        <v>0</v>
      </c>
      <c r="U33" s="243">
        <f t="shared" ref="U33:U36" si="15">+L33+P33+T33</f>
        <v>86033</v>
      </c>
      <c r="V33" s="123"/>
      <c r="W33" s="7"/>
    </row>
    <row r="34" spans="1:23" ht="60" x14ac:dyDescent="0.4">
      <c r="A34" s="119" t="s">
        <v>53</v>
      </c>
      <c r="B34" s="120" t="s">
        <v>54</v>
      </c>
      <c r="C34" s="121">
        <v>161500</v>
      </c>
      <c r="D34" s="121">
        <v>20000</v>
      </c>
      <c r="E34" s="121"/>
      <c r="F34" s="122">
        <f>SUM(C34:E34)</f>
        <v>181500</v>
      </c>
      <c r="G34" s="123">
        <v>0.4</v>
      </c>
      <c r="H34" s="124"/>
      <c r="I34" s="246">
        <v>130000</v>
      </c>
      <c r="J34" s="246">
        <v>31500</v>
      </c>
      <c r="K34" s="246"/>
      <c r="L34" s="246">
        <f t="shared" si="12"/>
        <v>161500</v>
      </c>
      <c r="M34" s="241">
        <v>8326</v>
      </c>
      <c r="N34" s="241"/>
      <c r="O34" s="241"/>
      <c r="P34" s="247">
        <f t="shared" si="13"/>
        <v>8326</v>
      </c>
      <c r="Q34" s="242"/>
      <c r="R34" s="242"/>
      <c r="S34" s="242"/>
      <c r="T34" s="248">
        <f t="shared" si="14"/>
        <v>0</v>
      </c>
      <c r="U34" s="243">
        <f t="shared" si="15"/>
        <v>169826</v>
      </c>
      <c r="V34" s="123"/>
      <c r="W34" s="7"/>
    </row>
    <row r="35" spans="1:23" ht="60" x14ac:dyDescent="0.4">
      <c r="A35" s="119" t="s">
        <v>55</v>
      </c>
      <c r="B35" s="120" t="s">
        <v>56</v>
      </c>
      <c r="C35" s="121">
        <v>100000</v>
      </c>
      <c r="D35" s="121">
        <v>1500</v>
      </c>
      <c r="E35" s="121"/>
      <c r="F35" s="122">
        <f>SUM(C35:E35)</f>
        <v>101500</v>
      </c>
      <c r="G35" s="123">
        <v>0.4</v>
      </c>
      <c r="H35" s="124"/>
      <c r="I35" s="246">
        <f>100000-37574.77+6174.44</f>
        <v>68599.67</v>
      </c>
      <c r="J35" s="246">
        <v>31400.33</v>
      </c>
      <c r="K35" s="246"/>
      <c r="L35" s="246">
        <f t="shared" si="12"/>
        <v>100000</v>
      </c>
      <c r="M35" s="241">
        <v>0</v>
      </c>
      <c r="N35" s="241"/>
      <c r="O35" s="241"/>
      <c r="P35" s="247">
        <f t="shared" si="13"/>
        <v>0</v>
      </c>
      <c r="Q35" s="242"/>
      <c r="R35" s="242"/>
      <c r="S35" s="242"/>
      <c r="T35" s="248">
        <f t="shared" si="14"/>
        <v>0</v>
      </c>
      <c r="U35" s="243">
        <f t="shared" si="15"/>
        <v>100000</v>
      </c>
      <c r="V35" s="123"/>
      <c r="W35" s="7"/>
    </row>
    <row r="36" spans="1:23" ht="30" x14ac:dyDescent="0.4">
      <c r="A36" s="119" t="s">
        <v>57</v>
      </c>
      <c r="B36" s="120" t="s">
        <v>58</v>
      </c>
      <c r="C36" s="121">
        <v>50000</v>
      </c>
      <c r="D36" s="121">
        <v>1500</v>
      </c>
      <c r="E36" s="121"/>
      <c r="F36" s="122">
        <f>SUM(C36:E36)</f>
        <v>51500</v>
      </c>
      <c r="G36" s="123">
        <v>0.4</v>
      </c>
      <c r="H36" s="124"/>
      <c r="I36" s="246">
        <v>38000</v>
      </c>
      <c r="J36" s="246">
        <v>12000</v>
      </c>
      <c r="K36" s="246"/>
      <c r="L36" s="246">
        <f t="shared" si="12"/>
        <v>50000</v>
      </c>
      <c r="M36" s="241">
        <v>0</v>
      </c>
      <c r="N36" s="241"/>
      <c r="O36" s="241"/>
      <c r="P36" s="247">
        <f t="shared" si="13"/>
        <v>0</v>
      </c>
      <c r="Q36" s="242"/>
      <c r="R36" s="242"/>
      <c r="S36" s="242"/>
      <c r="T36" s="248">
        <f t="shared" si="14"/>
        <v>0</v>
      </c>
      <c r="U36" s="243">
        <f t="shared" si="15"/>
        <v>50000</v>
      </c>
      <c r="V36" s="123"/>
      <c r="W36" s="7"/>
    </row>
    <row r="37" spans="1:23" hidden="1" x14ac:dyDescent="0.4">
      <c r="A37" s="119"/>
      <c r="B37" s="120"/>
      <c r="C37" s="126"/>
      <c r="D37" s="126"/>
      <c r="E37" s="126"/>
      <c r="F37" s="122"/>
      <c r="G37" s="123"/>
      <c r="H37" s="127"/>
      <c r="I37" s="244"/>
      <c r="J37" s="244"/>
      <c r="K37" s="244"/>
      <c r="L37" s="244"/>
      <c r="M37" s="244"/>
      <c r="N37" s="244"/>
      <c r="O37" s="244"/>
      <c r="P37" s="244"/>
      <c r="Q37" s="244"/>
      <c r="R37" s="244"/>
      <c r="S37" s="244"/>
      <c r="T37" s="244"/>
      <c r="U37" s="243">
        <f>SUM(I37:Q37)</f>
        <v>0</v>
      </c>
      <c r="V37" s="126"/>
      <c r="W37" s="7"/>
    </row>
    <row r="38" spans="1:23" x14ac:dyDescent="0.4">
      <c r="A38" s="8"/>
      <c r="B38" s="128" t="s">
        <v>25</v>
      </c>
      <c r="C38" s="129">
        <f>SUM(C32:C37)</f>
        <v>481500</v>
      </c>
      <c r="D38" s="129">
        <f>SUM(D32:D37)</f>
        <v>68000</v>
      </c>
      <c r="E38" s="129">
        <f>SUM(E32:E37)</f>
        <v>0</v>
      </c>
      <c r="F38" s="138">
        <f>SUM(F32:F37)</f>
        <v>549500</v>
      </c>
      <c r="G38" s="129">
        <f>(G32*F32)+(G33*F33)+(F34*G34)+(F35*G35)+(F36*G36)+(G37*F37)</f>
        <v>209800</v>
      </c>
      <c r="H38" s="129"/>
      <c r="I38" s="245">
        <f>SUM(I32:I37)</f>
        <v>366599.67</v>
      </c>
      <c r="J38" s="245">
        <f t="shared" ref="J38:L38" si="16">SUM(J32:J37)</f>
        <v>114900.33</v>
      </c>
      <c r="K38" s="245">
        <f t="shared" si="16"/>
        <v>0</v>
      </c>
      <c r="L38" s="245">
        <f t="shared" si="16"/>
        <v>481500</v>
      </c>
      <c r="M38" s="245">
        <f>SUM(M32:M37)</f>
        <v>14359</v>
      </c>
      <c r="N38" s="245">
        <f t="shared" ref="N38:P38" si="17">SUM(N32:N37)</f>
        <v>0</v>
      </c>
      <c r="O38" s="245">
        <f t="shared" si="17"/>
        <v>0</v>
      </c>
      <c r="P38" s="245">
        <f t="shared" si="17"/>
        <v>14359</v>
      </c>
      <c r="Q38" s="245">
        <f>SUM(Q32:Q37)</f>
        <v>0</v>
      </c>
      <c r="R38" s="245">
        <f t="shared" ref="R38:T38" si="18">SUM(R32:R37)</f>
        <v>0</v>
      </c>
      <c r="S38" s="245">
        <f t="shared" si="18"/>
        <v>0</v>
      </c>
      <c r="T38" s="245">
        <f t="shared" si="18"/>
        <v>0</v>
      </c>
      <c r="U38" s="245">
        <f>SUM(U32:U37)</f>
        <v>495859</v>
      </c>
      <c r="V38" s="129">
        <f>SUM(V32:V37)</f>
        <v>0</v>
      </c>
      <c r="W38" s="122"/>
    </row>
    <row r="39" spans="1:23" ht="15.65" customHeight="1" x14ac:dyDescent="0.4">
      <c r="A39" s="118" t="s">
        <v>59</v>
      </c>
      <c r="B39" s="277" t="s">
        <v>60</v>
      </c>
      <c r="C39" s="277"/>
      <c r="D39" s="277"/>
      <c r="E39" s="277"/>
      <c r="F39" s="277"/>
      <c r="G39" s="277"/>
      <c r="H39" s="278"/>
      <c r="I39" s="278"/>
      <c r="J39" s="278"/>
      <c r="K39" s="278"/>
      <c r="L39" s="278"/>
      <c r="M39" s="277"/>
      <c r="N39" s="251"/>
      <c r="O39" s="251"/>
      <c r="P39" s="251"/>
    </row>
    <row r="40" spans="1:23" ht="60" x14ac:dyDescent="0.4">
      <c r="A40" s="119" t="s">
        <v>61</v>
      </c>
      <c r="B40" s="120" t="s">
        <v>62</v>
      </c>
      <c r="C40" s="121">
        <v>249000</v>
      </c>
      <c r="D40" s="121" t="s">
        <v>161</v>
      </c>
      <c r="E40" s="121"/>
      <c r="F40" s="122">
        <f>SUM(C40:E40)</f>
        <v>249000</v>
      </c>
      <c r="G40" s="123">
        <v>0.4</v>
      </c>
      <c r="H40" s="124"/>
      <c r="I40" s="246">
        <f>30000-663.72+11897.1</f>
        <v>41233.379999999997</v>
      </c>
      <c r="J40" s="246">
        <v>77627.552774219948</v>
      </c>
      <c r="K40" s="246">
        <v>117499.924781348</v>
      </c>
      <c r="L40" s="246">
        <f>SUM(I40:K40)</f>
        <v>236360.85755556796</v>
      </c>
      <c r="M40" s="241"/>
      <c r="N40" s="241"/>
      <c r="O40" s="241"/>
      <c r="P40" s="241">
        <f>SUM(M40:O40)</f>
        <v>0</v>
      </c>
      <c r="Q40" s="242"/>
      <c r="R40" s="242"/>
      <c r="S40" s="242"/>
      <c r="T40" s="242">
        <f>SUM(Q40:S40)</f>
        <v>0</v>
      </c>
      <c r="U40" s="243">
        <f>+L40+P40+T40</f>
        <v>236360.85755556796</v>
      </c>
      <c r="V40" s="123"/>
      <c r="W40" s="7"/>
    </row>
    <row r="41" spans="1:23" ht="30" x14ac:dyDescent="0.4">
      <c r="A41" s="119" t="s">
        <v>63</v>
      </c>
      <c r="B41" s="120" t="s">
        <v>64</v>
      </c>
      <c r="C41" s="121">
        <v>80000</v>
      </c>
      <c r="D41" s="121">
        <v>10000</v>
      </c>
      <c r="E41" s="121"/>
      <c r="F41" s="122">
        <f>SUM(C41:E41)</f>
        <v>90000</v>
      </c>
      <c r="G41" s="123">
        <v>0.4</v>
      </c>
      <c r="H41" s="124"/>
      <c r="I41" s="246"/>
      <c r="J41" s="246">
        <v>0</v>
      </c>
      <c r="K41" s="246"/>
      <c r="L41" s="246">
        <f t="shared" ref="L41:L42" si="19">SUM(I41:K41)</f>
        <v>0</v>
      </c>
      <c r="M41" s="241"/>
      <c r="N41" s="241"/>
      <c r="O41" s="241"/>
      <c r="P41" s="241">
        <f t="shared" ref="P41:P42" si="20">SUM(M41:O41)</f>
        <v>0</v>
      </c>
      <c r="Q41" s="242"/>
      <c r="R41" s="242"/>
      <c r="S41" s="242"/>
      <c r="T41" s="242">
        <f t="shared" ref="T41:T42" si="21">SUM(Q41:S41)</f>
        <v>0</v>
      </c>
      <c r="U41" s="243">
        <f t="shared" ref="U41:U42" si="22">+L41+P41+T41</f>
        <v>0</v>
      </c>
      <c r="V41" s="123"/>
      <c r="W41" s="7"/>
    </row>
    <row r="42" spans="1:23" ht="36.75" customHeight="1" x14ac:dyDescent="0.4">
      <c r="A42" s="119" t="s">
        <v>65</v>
      </c>
      <c r="B42" s="120" t="s">
        <v>66</v>
      </c>
      <c r="C42" s="121">
        <v>169500</v>
      </c>
      <c r="D42" s="121">
        <v>10000</v>
      </c>
      <c r="E42" s="121"/>
      <c r="F42" s="122">
        <f>SUM(C42:E42)</f>
        <v>179500</v>
      </c>
      <c r="G42" s="123"/>
      <c r="H42" s="127"/>
      <c r="I42" s="246">
        <v>10856.83</v>
      </c>
      <c r="J42" s="246">
        <v>20439.487225780049</v>
      </c>
      <c r="K42" s="246">
        <v>35000</v>
      </c>
      <c r="L42" s="246">
        <f t="shared" si="19"/>
        <v>66296.317225780047</v>
      </c>
      <c r="M42" s="241"/>
      <c r="N42" s="241"/>
      <c r="O42" s="241"/>
      <c r="P42" s="241">
        <f t="shared" si="20"/>
        <v>0</v>
      </c>
      <c r="Q42" s="242"/>
      <c r="R42" s="242"/>
      <c r="S42" s="242"/>
      <c r="T42" s="242">
        <f t="shared" si="21"/>
        <v>0</v>
      </c>
      <c r="U42" s="243">
        <f t="shared" si="22"/>
        <v>66296.317225780047</v>
      </c>
      <c r="V42" s="123"/>
      <c r="W42" s="7"/>
    </row>
    <row r="43" spans="1:23" ht="36.75" hidden="1" customHeight="1" x14ac:dyDescent="0.4">
      <c r="A43" s="119" t="s">
        <v>67</v>
      </c>
      <c r="B43" s="120"/>
      <c r="C43" s="126"/>
      <c r="D43" s="126"/>
      <c r="E43" s="126"/>
      <c r="F43" s="122">
        <f>SUM(C43:E43)</f>
        <v>0</v>
      </c>
      <c r="G43" s="123"/>
      <c r="H43" s="127"/>
      <c r="I43" s="244"/>
      <c r="J43" s="244"/>
      <c r="K43" s="244"/>
      <c r="L43" s="244"/>
      <c r="M43" s="244"/>
      <c r="N43" s="244"/>
      <c r="O43" s="244"/>
      <c r="P43" s="244"/>
      <c r="Q43" s="244"/>
      <c r="R43" s="244"/>
      <c r="S43" s="244"/>
      <c r="T43" s="244"/>
      <c r="U43" s="243"/>
      <c r="V43" s="123">
        <v>0.1</v>
      </c>
      <c r="W43" s="7"/>
    </row>
    <row r="44" spans="1:23" ht="36.75" hidden="1" customHeight="1" x14ac:dyDescent="0.4">
      <c r="A44" s="119" t="s">
        <v>68</v>
      </c>
      <c r="B44" s="120"/>
      <c r="C44" s="126"/>
      <c r="D44" s="126"/>
      <c r="E44" s="126"/>
      <c r="F44" s="122">
        <f>SUM(C44:E44)</f>
        <v>0</v>
      </c>
      <c r="G44" s="123"/>
      <c r="H44" s="127"/>
      <c r="I44" s="244"/>
      <c r="J44" s="244"/>
      <c r="K44" s="244"/>
      <c r="L44" s="244"/>
      <c r="M44" s="244"/>
      <c r="N44" s="244"/>
      <c r="O44" s="244"/>
      <c r="P44" s="244"/>
      <c r="Q44" s="244"/>
      <c r="R44" s="244"/>
      <c r="S44" s="244"/>
      <c r="T44" s="244"/>
      <c r="U44" s="243"/>
      <c r="V44" s="123">
        <v>0.1</v>
      </c>
      <c r="W44" s="7"/>
    </row>
    <row r="45" spans="1:23" hidden="1" x14ac:dyDescent="0.4">
      <c r="A45" s="119"/>
      <c r="B45" s="130"/>
      <c r="C45" s="135"/>
      <c r="D45" s="135"/>
      <c r="E45" s="135"/>
      <c r="F45" s="122"/>
      <c r="G45" s="137"/>
      <c r="H45" s="136"/>
      <c r="I45" s="249"/>
      <c r="J45" s="249"/>
      <c r="K45" s="249"/>
      <c r="L45" s="249"/>
      <c r="M45" s="249"/>
      <c r="N45" s="249"/>
      <c r="O45" s="249"/>
      <c r="P45" s="249"/>
      <c r="Q45" s="249"/>
      <c r="R45" s="249"/>
      <c r="S45" s="249"/>
      <c r="T45" s="249"/>
      <c r="U45" s="243"/>
      <c r="V45" s="135"/>
      <c r="W45" s="7"/>
    </row>
    <row r="46" spans="1:23" ht="22.5" customHeight="1" x14ac:dyDescent="0.4">
      <c r="A46" s="8"/>
      <c r="B46" s="128" t="s">
        <v>25</v>
      </c>
      <c r="C46" s="138">
        <f>SUM(C40:C45)</f>
        <v>498500</v>
      </c>
      <c r="D46" s="138">
        <f>SUM(D40:D45)</f>
        <v>20000</v>
      </c>
      <c r="E46" s="138">
        <f>SUM(E40:E45)</f>
        <v>0</v>
      </c>
      <c r="F46" s="138">
        <f>SUM(F40:F45)</f>
        <v>518500</v>
      </c>
      <c r="G46" s="129">
        <f>(G40*F40)+(G41*F41)+(G42*F42)+(G45*F45)+(F43*G43)+(F44*G44)</f>
        <v>135600</v>
      </c>
      <c r="H46" s="129"/>
      <c r="I46" s="245">
        <f>SUM(I40:I45)</f>
        <v>52090.21</v>
      </c>
      <c r="J46" s="245">
        <f t="shared" ref="J46:L46" si="23">SUM(J40:J45)</f>
        <v>98067.04</v>
      </c>
      <c r="K46" s="245">
        <f t="shared" si="23"/>
        <v>152499.924781348</v>
      </c>
      <c r="L46" s="245">
        <f t="shared" si="23"/>
        <v>302657.17478134797</v>
      </c>
      <c r="M46" s="245">
        <f>SUM(M40:M45)</f>
        <v>0</v>
      </c>
      <c r="N46" s="245">
        <f t="shared" ref="N46:P46" si="24">SUM(N40:N45)</f>
        <v>0</v>
      </c>
      <c r="O46" s="245">
        <f t="shared" si="24"/>
        <v>0</v>
      </c>
      <c r="P46" s="245">
        <f t="shared" si="24"/>
        <v>0</v>
      </c>
      <c r="Q46" s="245">
        <f>SUM(Q40:Q45)</f>
        <v>0</v>
      </c>
      <c r="R46" s="245"/>
      <c r="S46" s="245"/>
      <c r="T46" s="245"/>
      <c r="U46" s="245">
        <f>SUM(U40:U45)</f>
        <v>302657.17478134797</v>
      </c>
      <c r="V46" s="129">
        <f>SUM(V40:V45)</f>
        <v>0.2</v>
      </c>
      <c r="W46" s="122"/>
    </row>
    <row r="47" spans="1:23" ht="15.75" customHeight="1" x14ac:dyDescent="0.4">
      <c r="A47" s="128" t="s">
        <v>69</v>
      </c>
      <c r="B47" s="279" t="s">
        <v>70</v>
      </c>
      <c r="C47" s="279"/>
      <c r="D47" s="279"/>
      <c r="E47" s="279"/>
      <c r="F47" s="279"/>
      <c r="G47" s="279"/>
      <c r="H47" s="279"/>
      <c r="I47" s="279"/>
      <c r="J47" s="279"/>
      <c r="K47" s="279"/>
      <c r="L47" s="279"/>
      <c r="M47" s="279"/>
      <c r="N47" s="279"/>
      <c r="O47" s="279"/>
      <c r="P47" s="279"/>
      <c r="Q47" s="279"/>
      <c r="R47" s="279"/>
      <c r="S47" s="279"/>
      <c r="T47" s="279"/>
      <c r="U47" s="279"/>
      <c r="V47" s="279"/>
      <c r="W47" s="279"/>
    </row>
    <row r="48" spans="1:23" ht="15.75" customHeight="1" x14ac:dyDescent="0.4">
      <c r="A48" s="118" t="s">
        <v>71</v>
      </c>
      <c r="B48" s="268" t="s">
        <v>72</v>
      </c>
      <c r="C48" s="268"/>
      <c r="D48" s="268"/>
      <c r="E48" s="268"/>
      <c r="F48" s="268"/>
      <c r="G48" s="268"/>
      <c r="H48" s="268"/>
      <c r="I48" s="268"/>
      <c r="J48" s="268"/>
      <c r="K48" s="268"/>
      <c r="L48" s="268"/>
      <c r="M48" s="268"/>
      <c r="N48" s="268"/>
      <c r="O48" s="268"/>
      <c r="P48" s="268"/>
      <c r="Q48" s="268"/>
      <c r="R48" s="268"/>
      <c r="S48" s="268"/>
      <c r="T48" s="268"/>
      <c r="U48" s="268"/>
      <c r="V48" s="268"/>
      <c r="W48" s="268"/>
    </row>
    <row r="49" spans="1:23" ht="141.65" customHeight="1" x14ac:dyDescent="0.4">
      <c r="A49" s="119" t="s">
        <v>73</v>
      </c>
      <c r="B49" s="143" t="s">
        <v>74</v>
      </c>
      <c r="C49" s="121"/>
      <c r="D49" s="121"/>
      <c r="E49" s="121">
        <v>25000</v>
      </c>
      <c r="F49" s="132">
        <f>SUM(C49:E49)</f>
        <v>25000</v>
      </c>
      <c r="G49" s="133">
        <v>0.4</v>
      </c>
      <c r="H49" s="134"/>
      <c r="I49" s="246"/>
      <c r="J49" s="246"/>
      <c r="K49" s="246"/>
      <c r="L49" s="246">
        <f>SUM(I49:K49)</f>
        <v>0</v>
      </c>
      <c r="M49" s="247"/>
      <c r="N49" s="247"/>
      <c r="O49" s="247"/>
      <c r="P49" s="247">
        <f>SUM(M49:O49)</f>
        <v>0</v>
      </c>
      <c r="Q49" s="252">
        <v>25353.184584245078</v>
      </c>
      <c r="R49" s="252"/>
      <c r="S49" s="252"/>
      <c r="T49" s="252">
        <f>SUM(Q49:S49)</f>
        <v>25353.184584245078</v>
      </c>
      <c r="U49" s="243">
        <f>+L49+P49+T49</f>
        <v>25353.184584245078</v>
      </c>
      <c r="V49" s="133"/>
      <c r="W49" s="7"/>
    </row>
    <row r="50" spans="1:23" ht="68.5" customHeight="1" x14ac:dyDescent="0.4">
      <c r="A50" s="119" t="s">
        <v>75</v>
      </c>
      <c r="B50" s="120" t="s">
        <v>76</v>
      </c>
      <c r="C50" s="126"/>
      <c r="D50" s="126"/>
      <c r="E50" s="126">
        <v>10000</v>
      </c>
      <c r="F50" s="122">
        <f>SUM(C50:E50)</f>
        <v>10000</v>
      </c>
      <c r="G50" s="123">
        <v>0.4</v>
      </c>
      <c r="H50" s="124"/>
      <c r="I50" s="240"/>
      <c r="J50" s="240"/>
      <c r="K50" s="240"/>
      <c r="L50" s="246">
        <f>SUM(I50:K50)</f>
        <v>0</v>
      </c>
      <c r="M50" s="241"/>
      <c r="N50" s="241"/>
      <c r="O50" s="241"/>
      <c r="P50" s="247">
        <f>SUM(M50:O50)</f>
        <v>0</v>
      </c>
      <c r="Q50" s="252">
        <v>8915.7653916849013</v>
      </c>
      <c r="R50" s="252"/>
      <c r="S50" s="252"/>
      <c r="T50" s="252">
        <f>SUM(Q50:S50)</f>
        <v>8915.7653916849013</v>
      </c>
      <c r="U50" s="243">
        <f>+L50+P50+T50</f>
        <v>8915.7653916849013</v>
      </c>
      <c r="V50" s="123"/>
      <c r="W50" s="7"/>
    </row>
    <row r="51" spans="1:23" hidden="1" x14ac:dyDescent="0.4">
      <c r="A51" s="119" t="s">
        <v>77</v>
      </c>
      <c r="B51" s="120"/>
      <c r="C51" s="126"/>
      <c r="D51" s="126"/>
      <c r="E51" s="126"/>
      <c r="F51" s="122">
        <f>SUM(C51:E51)</f>
        <v>0</v>
      </c>
      <c r="G51" s="123"/>
      <c r="H51" s="127"/>
      <c r="I51" s="244"/>
      <c r="J51" s="244"/>
      <c r="K51" s="244"/>
      <c r="L51" s="244"/>
      <c r="M51" s="244"/>
      <c r="N51" s="244"/>
      <c r="O51" s="244"/>
      <c r="P51" s="244"/>
      <c r="Q51" s="244"/>
      <c r="R51" s="244"/>
      <c r="S51" s="244"/>
      <c r="T51" s="244"/>
      <c r="U51" s="243"/>
      <c r="V51" s="123">
        <v>0.2</v>
      </c>
      <c r="W51" s="7"/>
    </row>
    <row r="52" spans="1:23" x14ac:dyDescent="0.4">
      <c r="A52" s="8"/>
      <c r="B52" s="128" t="s">
        <v>25</v>
      </c>
      <c r="C52" s="129">
        <f>SUM(C49:C51)</f>
        <v>0</v>
      </c>
      <c r="D52" s="129">
        <f>SUM(D49:D51)</f>
        <v>0</v>
      </c>
      <c r="E52" s="129">
        <f>SUM(E49:E51)</f>
        <v>35000</v>
      </c>
      <c r="F52" s="138">
        <f>SUM(F49:F51)</f>
        <v>35000</v>
      </c>
      <c r="G52" s="129">
        <f>(G49*F49)+(G50*F50)+(G51*F51)</f>
        <v>14000</v>
      </c>
      <c r="H52" s="129"/>
      <c r="I52" s="245">
        <f>SUM(I49:I51)</f>
        <v>0</v>
      </c>
      <c r="J52" s="245">
        <f t="shared" ref="J52:L52" si="25">SUM(J49:J51)</f>
        <v>0</v>
      </c>
      <c r="K52" s="245">
        <f t="shared" si="25"/>
        <v>0</v>
      </c>
      <c r="L52" s="245">
        <f t="shared" si="25"/>
        <v>0</v>
      </c>
      <c r="M52" s="245">
        <f>SUM(M49:M51)</f>
        <v>0</v>
      </c>
      <c r="N52" s="245">
        <f t="shared" ref="N52:P52" si="26">SUM(N49:N51)</f>
        <v>0</v>
      </c>
      <c r="O52" s="245">
        <f t="shared" si="26"/>
        <v>0</v>
      </c>
      <c r="P52" s="245">
        <f t="shared" si="26"/>
        <v>0</v>
      </c>
      <c r="Q52" s="245">
        <f>SUM(Q49:Q51)</f>
        <v>34268.94997592998</v>
      </c>
      <c r="R52" s="245">
        <f t="shared" ref="R52:T52" si="27">SUM(R49:R51)</f>
        <v>0</v>
      </c>
      <c r="S52" s="245">
        <f t="shared" si="27"/>
        <v>0</v>
      </c>
      <c r="T52" s="245">
        <f t="shared" si="27"/>
        <v>34268.94997592998</v>
      </c>
      <c r="U52" s="245">
        <f>SUM(U49:U51)</f>
        <v>34268.94997592998</v>
      </c>
      <c r="V52" s="129">
        <f>SUM(V49:V51)</f>
        <v>0.2</v>
      </c>
      <c r="W52" s="122"/>
    </row>
    <row r="53" spans="1:23" hidden="1" x14ac:dyDescent="0.4">
      <c r="A53" s="8"/>
      <c r="B53" s="144"/>
      <c r="C53" s="140"/>
      <c r="D53" s="140"/>
      <c r="E53" s="140"/>
      <c r="F53" s="140"/>
      <c r="G53" s="140"/>
      <c r="H53" s="140"/>
      <c r="I53" s="253"/>
      <c r="J53" s="253"/>
      <c r="K53" s="253"/>
      <c r="L53" s="253"/>
      <c r="M53" s="253"/>
      <c r="N53" s="253"/>
      <c r="O53" s="253"/>
      <c r="P53" s="253"/>
      <c r="Q53" s="253"/>
      <c r="R53" s="253"/>
      <c r="S53" s="253"/>
      <c r="T53" s="253"/>
      <c r="U53" s="253"/>
      <c r="V53" s="140"/>
      <c r="W53" s="145"/>
    </row>
    <row r="54" spans="1:23" ht="15.75" customHeight="1" x14ac:dyDescent="0.4">
      <c r="A54" s="118" t="s">
        <v>78</v>
      </c>
      <c r="B54" s="280" t="s">
        <v>79</v>
      </c>
      <c r="C54" s="281"/>
      <c r="D54" s="281"/>
      <c r="E54" s="281"/>
      <c r="F54" s="281"/>
      <c r="G54" s="281"/>
      <c r="H54" s="281"/>
      <c r="I54" s="281"/>
      <c r="J54" s="281"/>
      <c r="K54" s="281"/>
      <c r="L54" s="281"/>
      <c r="M54" s="281"/>
      <c r="N54" s="281"/>
      <c r="O54" s="281"/>
      <c r="P54" s="281"/>
      <c r="Q54" s="281"/>
      <c r="R54" s="281"/>
      <c r="S54" s="281"/>
      <c r="T54" s="281"/>
      <c r="U54" s="281"/>
      <c r="V54" s="281"/>
      <c r="W54" s="281"/>
    </row>
    <row r="55" spans="1:23" ht="72" customHeight="1" x14ac:dyDescent="0.4">
      <c r="A55" s="119" t="s">
        <v>80</v>
      </c>
      <c r="B55" s="146" t="s">
        <v>81</v>
      </c>
      <c r="C55" s="126"/>
      <c r="D55" s="126"/>
      <c r="E55" s="126">
        <v>75600</v>
      </c>
      <c r="F55" s="122">
        <f>SUM(C55:E55)</f>
        <v>75600</v>
      </c>
      <c r="G55" s="123"/>
      <c r="H55" s="127"/>
      <c r="I55" s="240"/>
      <c r="J55" s="240"/>
      <c r="K55" s="240"/>
      <c r="L55" s="240">
        <f>SUM(I55:K55)</f>
        <v>0</v>
      </c>
      <c r="M55" s="241"/>
      <c r="N55" s="241"/>
      <c r="O55" s="241"/>
      <c r="P55" s="241">
        <f>SUM(M55:O55)</f>
        <v>0</v>
      </c>
      <c r="Q55" s="252">
        <v>41066.852396394839</v>
      </c>
      <c r="R55" s="252"/>
      <c r="S55" s="252">
        <v>10452.400888199565</v>
      </c>
      <c r="T55" s="252">
        <f>SUM(Q55:S55)</f>
        <v>51519.253284594408</v>
      </c>
      <c r="U55" s="243">
        <f>+L55+P55+T55</f>
        <v>51519.253284594408</v>
      </c>
      <c r="V55" s="123"/>
      <c r="W55" s="7"/>
    </row>
    <row r="56" spans="1:23" ht="72" customHeight="1" x14ac:dyDescent="0.4">
      <c r="A56" s="147" t="s">
        <v>82</v>
      </c>
      <c r="B56" s="120" t="s">
        <v>83</v>
      </c>
      <c r="C56" s="148"/>
      <c r="D56" s="148"/>
      <c r="E56" s="148">
        <v>240000</v>
      </c>
      <c r="F56" s="122">
        <f>SUM(C56:E56)</f>
        <v>240000</v>
      </c>
      <c r="G56" s="123"/>
      <c r="H56" s="127"/>
      <c r="I56" s="240"/>
      <c r="J56" s="240"/>
      <c r="K56" s="240"/>
      <c r="L56" s="240">
        <f>SUM(I56:K56)</f>
        <v>0</v>
      </c>
      <c r="M56" s="241"/>
      <c r="N56" s="241"/>
      <c r="O56" s="241"/>
      <c r="P56" s="241">
        <f>SUM(M56:O56)</f>
        <v>0</v>
      </c>
      <c r="Q56" s="252">
        <v>89638.3848026091</v>
      </c>
      <c r="R56" s="252"/>
      <c r="S56" s="252">
        <v>39491.069572574757</v>
      </c>
      <c r="T56" s="252">
        <f>SUM(Q56:S56)</f>
        <v>129129.45437518385</v>
      </c>
      <c r="U56" s="243">
        <f>+L56+P56+T56</f>
        <v>129129.45437518385</v>
      </c>
      <c r="V56" s="123"/>
      <c r="W56" s="7"/>
    </row>
    <row r="57" spans="1:23" x14ac:dyDescent="0.4">
      <c r="A57" s="8"/>
      <c r="B57" s="128" t="s">
        <v>25</v>
      </c>
      <c r="C57" s="138">
        <f>SUM(C55:C56)</f>
        <v>0</v>
      </c>
      <c r="D57" s="138">
        <f>SUM(D55:D56)</f>
        <v>0</v>
      </c>
      <c r="E57" s="138">
        <f>SUM(E55:E56)</f>
        <v>315600</v>
      </c>
      <c r="F57" s="138">
        <f>SUM(F55:F56)</f>
        <v>315600</v>
      </c>
      <c r="G57" s="129">
        <f>(G55*F55)+(F56*G56)</f>
        <v>0</v>
      </c>
      <c r="H57" s="129"/>
      <c r="I57" s="245">
        <f>SUM(I55:I55)</f>
        <v>0</v>
      </c>
      <c r="J57" s="245">
        <f t="shared" ref="J57:L57" si="28">SUM(J55:J55)</f>
        <v>0</v>
      </c>
      <c r="K57" s="245">
        <f t="shared" si="28"/>
        <v>0</v>
      </c>
      <c r="L57" s="245">
        <f t="shared" si="28"/>
        <v>0</v>
      </c>
      <c r="M57" s="245">
        <f>SUM(M55:M55)</f>
        <v>0</v>
      </c>
      <c r="N57" s="245">
        <f t="shared" ref="N57:P57" si="29">SUM(N55:N55)</f>
        <v>0</v>
      </c>
      <c r="O57" s="245">
        <f t="shared" si="29"/>
        <v>0</v>
      </c>
      <c r="P57" s="245">
        <f t="shared" si="29"/>
        <v>0</v>
      </c>
      <c r="Q57" s="245">
        <f>SUM(Q55:Q56)</f>
        <v>130705.23719900394</v>
      </c>
      <c r="R57" s="245">
        <f t="shared" ref="R57:T57" si="30">SUM(R55:R56)</f>
        <v>0</v>
      </c>
      <c r="S57" s="245">
        <f t="shared" si="30"/>
        <v>49943.470460774319</v>
      </c>
      <c r="T57" s="245">
        <f t="shared" si="30"/>
        <v>180648.70765977824</v>
      </c>
      <c r="U57" s="245">
        <f>SUM(U55:U56)</f>
        <v>180648.70765977824</v>
      </c>
      <c r="V57" s="129">
        <f>SUM(V55:V55)</f>
        <v>0</v>
      </c>
      <c r="W57" s="122"/>
    </row>
    <row r="58" spans="1:23" x14ac:dyDescent="0.4">
      <c r="A58" s="8"/>
      <c r="B58" s="128"/>
      <c r="C58" s="138"/>
      <c r="D58" s="138"/>
      <c r="E58" s="138"/>
      <c r="F58" s="138"/>
      <c r="G58" s="129"/>
      <c r="H58" s="129"/>
      <c r="I58" s="245"/>
      <c r="J58" s="245"/>
      <c r="K58" s="245"/>
      <c r="L58" s="245"/>
      <c r="M58" s="245"/>
      <c r="N58" s="245"/>
      <c r="O58" s="245"/>
      <c r="P58" s="245"/>
      <c r="Q58" s="245"/>
      <c r="R58" s="245"/>
      <c r="S58" s="245"/>
      <c r="T58" s="245"/>
      <c r="U58" s="245"/>
      <c r="V58" s="129"/>
      <c r="W58" s="122"/>
    </row>
    <row r="59" spans="1:23" ht="15.65" customHeight="1" x14ac:dyDescent="0.4">
      <c r="A59" s="149" t="s">
        <v>84</v>
      </c>
      <c r="B59" s="268" t="s">
        <v>85</v>
      </c>
      <c r="C59" s="268"/>
      <c r="D59" s="268"/>
      <c r="E59" s="268"/>
      <c r="F59" s="268"/>
      <c r="G59" s="268"/>
      <c r="H59" s="268"/>
      <c r="I59" s="268"/>
      <c r="J59" s="268"/>
      <c r="K59" s="268"/>
      <c r="L59" s="268"/>
      <c r="M59" s="268"/>
      <c r="N59" s="268"/>
      <c r="O59" s="268"/>
      <c r="P59" s="268"/>
      <c r="Q59" s="268"/>
      <c r="R59" s="268"/>
      <c r="S59" s="268"/>
      <c r="T59" s="268"/>
      <c r="U59" s="268"/>
      <c r="V59" s="268"/>
      <c r="W59" s="268"/>
    </row>
    <row r="60" spans="1:23" ht="45" x14ac:dyDescent="0.4">
      <c r="A60" s="119" t="s">
        <v>86</v>
      </c>
      <c r="B60" s="143" t="s">
        <v>87</v>
      </c>
      <c r="C60" s="121"/>
      <c r="D60" s="121">
        <v>121000</v>
      </c>
      <c r="E60" s="121"/>
      <c r="F60" s="132"/>
      <c r="G60" s="133"/>
      <c r="H60" s="150"/>
      <c r="I60" s="240"/>
      <c r="J60" s="240"/>
      <c r="K60" s="240"/>
      <c r="L60" s="240">
        <f>SUM(I60:K60)</f>
        <v>0</v>
      </c>
      <c r="M60" s="241">
        <v>12823.899999999998</v>
      </c>
      <c r="N60" s="247">
        <v>83996.79</v>
      </c>
      <c r="O60" s="247">
        <v>0</v>
      </c>
      <c r="P60" s="247">
        <f>SUM(M60:O60)</f>
        <v>96820.689999999988</v>
      </c>
      <c r="Q60" s="248"/>
      <c r="R60" s="248"/>
      <c r="S60" s="248"/>
      <c r="T60" s="248">
        <f>SUM(Q60:S60)</f>
        <v>0</v>
      </c>
      <c r="U60" s="243">
        <f>+L60+P60+T60</f>
        <v>96820.689999999988</v>
      </c>
      <c r="V60" s="121"/>
      <c r="W60" s="7"/>
    </row>
    <row r="61" spans="1:23" ht="45" x14ac:dyDescent="0.4">
      <c r="A61" s="119" t="s">
        <v>88</v>
      </c>
      <c r="B61" s="120" t="s">
        <v>89</v>
      </c>
      <c r="C61" s="126">
        <v>5800</v>
      </c>
      <c r="D61" s="126">
        <v>57000</v>
      </c>
      <c r="E61" s="126"/>
      <c r="F61" s="122"/>
      <c r="G61" s="123"/>
      <c r="H61" s="124"/>
      <c r="I61" s="240">
        <v>2319.56</v>
      </c>
      <c r="J61" s="240"/>
      <c r="K61" s="240"/>
      <c r="L61" s="240">
        <f t="shared" ref="L61:L62" si="31">SUM(I61:K61)</f>
        <v>2319.56</v>
      </c>
      <c r="M61" s="241">
        <v>0</v>
      </c>
      <c r="N61" s="241">
        <v>0</v>
      </c>
      <c r="O61" s="241">
        <v>0</v>
      </c>
      <c r="P61" s="247">
        <f t="shared" ref="P61:P62" si="32">SUM(M61:O61)</f>
        <v>0</v>
      </c>
      <c r="Q61" s="242"/>
      <c r="R61" s="242"/>
      <c r="S61" s="242"/>
      <c r="T61" s="248">
        <f t="shared" ref="T61:T62" si="33">SUM(Q61:S61)</f>
        <v>0</v>
      </c>
      <c r="U61" s="243">
        <f t="shared" ref="U61:U62" si="34">+L61+P61+T61</f>
        <v>2319.56</v>
      </c>
      <c r="V61" s="123"/>
      <c r="W61" s="7"/>
    </row>
    <row r="62" spans="1:23" ht="30" x14ac:dyDescent="0.4">
      <c r="A62" s="119" t="s">
        <v>90</v>
      </c>
      <c r="B62" s="120" t="s">
        <v>91</v>
      </c>
      <c r="C62" s="126">
        <v>15000</v>
      </c>
      <c r="D62" s="126">
        <v>57000</v>
      </c>
      <c r="E62" s="126"/>
      <c r="F62" s="122"/>
      <c r="G62" s="123"/>
      <c r="H62" s="127"/>
      <c r="I62" s="240">
        <v>8792.7199999999993</v>
      </c>
      <c r="J62" s="240">
        <v>1792.72</v>
      </c>
      <c r="K62" s="240">
        <v>3168.29266031113</v>
      </c>
      <c r="L62" s="240">
        <f t="shared" si="31"/>
        <v>13753.732660311129</v>
      </c>
      <c r="M62" s="241">
        <v>0</v>
      </c>
      <c r="N62" s="241">
        <v>0</v>
      </c>
      <c r="O62" s="241"/>
      <c r="P62" s="247">
        <f t="shared" si="32"/>
        <v>0</v>
      </c>
      <c r="Q62" s="242"/>
      <c r="R62" s="242"/>
      <c r="S62" s="242"/>
      <c r="T62" s="248">
        <f t="shared" si="33"/>
        <v>0</v>
      </c>
      <c r="U62" s="243">
        <f t="shared" si="34"/>
        <v>13753.732660311129</v>
      </c>
      <c r="V62" s="126"/>
      <c r="W62" s="7"/>
    </row>
    <row r="63" spans="1:23" x14ac:dyDescent="0.4">
      <c r="A63" s="8"/>
      <c r="B63" s="128" t="s">
        <v>25</v>
      </c>
      <c r="C63" s="129">
        <f>SUM(C60:C62)</f>
        <v>20800</v>
      </c>
      <c r="D63" s="129">
        <f>SUM(D60:D62)</f>
        <v>235000</v>
      </c>
      <c r="E63" s="129">
        <f>SUM(E60:E62)</f>
        <v>0</v>
      </c>
      <c r="F63" s="129">
        <f>SUM(F60:F62)</f>
        <v>0</v>
      </c>
      <c r="G63" s="129">
        <f>(G60*F60)+(G61*F61)+(G62*F62)</f>
        <v>0</v>
      </c>
      <c r="H63" s="129"/>
      <c r="I63" s="245">
        <f>SUM(I60:I62)</f>
        <v>11112.279999999999</v>
      </c>
      <c r="J63" s="245">
        <f t="shared" ref="J63:L63" si="35">SUM(J60:J62)</f>
        <v>1792.72</v>
      </c>
      <c r="K63" s="245">
        <f t="shared" si="35"/>
        <v>3168.29266031113</v>
      </c>
      <c r="L63" s="245">
        <f t="shared" si="35"/>
        <v>16073.292660311128</v>
      </c>
      <c r="M63" s="245">
        <f>SUM(M60:M62)</f>
        <v>12823.899999999998</v>
      </c>
      <c r="N63" s="245">
        <f t="shared" ref="N63:P63" si="36">SUM(N60:N62)</f>
        <v>83996.79</v>
      </c>
      <c r="O63" s="245">
        <f t="shared" si="36"/>
        <v>0</v>
      </c>
      <c r="P63" s="245">
        <f t="shared" si="36"/>
        <v>96820.689999999988</v>
      </c>
      <c r="Q63" s="245">
        <f>SUM(Q60:Q62)</f>
        <v>0</v>
      </c>
      <c r="R63" s="245">
        <f t="shared" ref="R63:T63" si="37">SUM(R60:R62)</f>
        <v>0</v>
      </c>
      <c r="S63" s="245">
        <f t="shared" si="37"/>
        <v>0</v>
      </c>
      <c r="T63" s="245">
        <f t="shared" si="37"/>
        <v>0</v>
      </c>
      <c r="U63" s="245">
        <f>SUM(U60:U62)</f>
        <v>112893.98266031111</v>
      </c>
      <c r="V63" s="129">
        <f>SUM(V60:V62)</f>
        <v>0</v>
      </c>
      <c r="W63" s="122"/>
    </row>
    <row r="64" spans="1:23" x14ac:dyDescent="0.4">
      <c r="A64" s="151"/>
      <c r="B64" s="152"/>
      <c r="C64" s="153"/>
      <c r="D64" s="153"/>
      <c r="E64" s="153"/>
      <c r="F64" s="153"/>
      <c r="G64" s="153"/>
      <c r="H64" s="152"/>
    </row>
    <row r="65" spans="1:22" x14ac:dyDescent="0.4">
      <c r="A65" s="151"/>
      <c r="B65" s="152"/>
      <c r="C65" s="153"/>
      <c r="D65" s="153"/>
      <c r="E65" s="153"/>
      <c r="F65" s="153"/>
      <c r="G65" s="153"/>
      <c r="H65" s="152"/>
    </row>
    <row r="66" spans="1:22" ht="45" x14ac:dyDescent="0.4">
      <c r="A66" s="128" t="s">
        <v>92</v>
      </c>
      <c r="B66" s="154" t="s">
        <v>93</v>
      </c>
      <c r="C66" s="155">
        <v>60000</v>
      </c>
      <c r="D66" s="155">
        <v>522647.44</v>
      </c>
      <c r="E66" s="155">
        <v>50000</v>
      </c>
      <c r="F66" s="156">
        <f>SUM(C66:E66)</f>
        <v>632647.43999999994</v>
      </c>
      <c r="G66" s="157">
        <v>0.2</v>
      </c>
      <c r="H66" s="158"/>
      <c r="I66" s="254">
        <f>40000+3222.63</f>
        <v>43222.63</v>
      </c>
      <c r="J66" s="254">
        <v>5000</v>
      </c>
      <c r="K66" s="254">
        <v>4193.1353457634796</v>
      </c>
      <c r="L66" s="254">
        <f>SUM(I66:K66)</f>
        <v>52415.765345763473</v>
      </c>
      <c r="M66" s="255">
        <v>388776.13</v>
      </c>
      <c r="N66" s="255">
        <v>9346.1</v>
      </c>
      <c r="O66" s="255">
        <v>21000</v>
      </c>
      <c r="P66" s="255">
        <f>SUM(M66:O66)</f>
        <v>419122.23</v>
      </c>
      <c r="Q66" s="252">
        <v>35027.445562363238</v>
      </c>
      <c r="R66" s="252"/>
      <c r="S66" s="252">
        <v>0</v>
      </c>
      <c r="T66" s="252">
        <f>SUM(Q66:S66)</f>
        <v>35027.445562363238</v>
      </c>
      <c r="U66" s="256">
        <f>+L66+P66+T66</f>
        <v>506565.44090812671</v>
      </c>
      <c r="V66" s="157"/>
    </row>
    <row r="67" spans="1:22" ht="45" x14ac:dyDescent="0.4">
      <c r="A67" s="128" t="s">
        <v>94</v>
      </c>
      <c r="B67" s="154" t="s">
        <v>95</v>
      </c>
      <c r="C67" s="155">
        <v>206485</v>
      </c>
      <c r="D67" s="155">
        <v>177761.56</v>
      </c>
      <c r="E67" s="155">
        <v>48690</v>
      </c>
      <c r="F67" s="156">
        <f>SUM(C67:E67)</f>
        <v>432936.56</v>
      </c>
      <c r="G67" s="157">
        <v>0.25</v>
      </c>
      <c r="H67" s="158"/>
      <c r="I67" s="254">
        <f>180909.8+2000</f>
        <v>182909.8</v>
      </c>
      <c r="J67" s="254">
        <v>16325.012200000056</v>
      </c>
      <c r="K67" s="254"/>
      <c r="L67" s="254">
        <f t="shared" ref="L67:L69" si="38">SUM(I67:K67)</f>
        <v>199234.81220000004</v>
      </c>
      <c r="M67" s="255">
        <f>115969.14</f>
        <v>115969.14</v>
      </c>
      <c r="N67" s="255">
        <v>5971.07</v>
      </c>
      <c r="O67" s="255">
        <v>7700</v>
      </c>
      <c r="P67" s="255">
        <f t="shared" ref="P67:P69" si="39">SUM(M67:O67)</f>
        <v>129640.20999999999</v>
      </c>
      <c r="Q67" s="252">
        <v>34064.311715635005</v>
      </c>
      <c r="R67" s="252"/>
      <c r="S67" s="252">
        <v>6543.8911142416</v>
      </c>
      <c r="T67" s="252">
        <f t="shared" ref="T67:T69" si="40">SUM(Q67:S67)</f>
        <v>40608.202829876609</v>
      </c>
      <c r="U67" s="256">
        <f t="shared" ref="U67:U69" si="41">+L67+P67+T67</f>
        <v>369483.22502987663</v>
      </c>
      <c r="V67" s="7"/>
    </row>
    <row r="68" spans="1:22" ht="62.15" customHeight="1" x14ac:dyDescent="0.4">
      <c r="A68" s="128" t="s">
        <v>96</v>
      </c>
      <c r="B68" s="159" t="s">
        <v>97</v>
      </c>
      <c r="C68" s="155">
        <v>90000</v>
      </c>
      <c r="D68" s="155">
        <v>20000</v>
      </c>
      <c r="E68" s="155">
        <v>18000</v>
      </c>
      <c r="F68" s="156">
        <f>SUM(C68:E68)</f>
        <v>128000</v>
      </c>
      <c r="G68" s="157">
        <v>0.3</v>
      </c>
      <c r="H68" s="158"/>
      <c r="I68" s="254">
        <v>85000</v>
      </c>
      <c r="J68" s="254"/>
      <c r="K68" s="254"/>
      <c r="L68" s="254">
        <f t="shared" si="38"/>
        <v>85000</v>
      </c>
      <c r="M68" s="255">
        <v>1178.3900000000001</v>
      </c>
      <c r="N68" s="255">
        <v>0</v>
      </c>
      <c r="O68" s="255">
        <v>0</v>
      </c>
      <c r="P68" s="255">
        <f t="shared" si="39"/>
        <v>1178.3900000000001</v>
      </c>
      <c r="Q68" s="252">
        <v>8499.6165094091884</v>
      </c>
      <c r="R68" s="252"/>
      <c r="S68" s="252">
        <v>3466.8580658971646</v>
      </c>
      <c r="T68" s="252">
        <f t="shared" si="40"/>
        <v>11966.474575306353</v>
      </c>
      <c r="U68" s="256">
        <f t="shared" si="41"/>
        <v>98144.864575306347</v>
      </c>
      <c r="V68" s="7"/>
    </row>
    <row r="69" spans="1:22" ht="30" x14ac:dyDescent="0.4">
      <c r="A69" s="160" t="s">
        <v>98</v>
      </c>
      <c r="B69" s="154"/>
      <c r="C69" s="155">
        <v>60000</v>
      </c>
      <c r="D69" s="155"/>
      <c r="E69" s="155"/>
      <c r="F69" s="156">
        <f>SUM(C69:E69)</f>
        <v>60000</v>
      </c>
      <c r="G69" s="157">
        <v>0.3</v>
      </c>
      <c r="H69" s="158"/>
      <c r="I69" s="254"/>
      <c r="J69" s="254"/>
      <c r="K69" s="254"/>
      <c r="L69" s="254">
        <f t="shared" si="38"/>
        <v>0</v>
      </c>
      <c r="M69" s="255"/>
      <c r="N69" s="255"/>
      <c r="O69" s="255"/>
      <c r="P69" s="255">
        <f t="shared" si="39"/>
        <v>0</v>
      </c>
      <c r="Q69" s="252"/>
      <c r="R69" s="252"/>
      <c r="S69" s="252"/>
      <c r="T69" s="252">
        <f t="shared" si="40"/>
        <v>0</v>
      </c>
      <c r="U69" s="256">
        <f t="shared" si="41"/>
        <v>0</v>
      </c>
      <c r="V69" s="7"/>
    </row>
    <row r="70" spans="1:22" x14ac:dyDescent="0.4">
      <c r="A70" s="151"/>
      <c r="B70" s="161" t="s">
        <v>99</v>
      </c>
      <c r="C70" s="162">
        <f>SUM(C66:C69)</f>
        <v>416485</v>
      </c>
      <c r="D70" s="162">
        <f>SUM(D66:D69)</f>
        <v>720409</v>
      </c>
      <c r="E70" s="162">
        <f>SUM(E66:E69)</f>
        <v>116690</v>
      </c>
      <c r="F70" s="162">
        <f>SUM(F66:F69)</f>
        <v>1253584</v>
      </c>
      <c r="G70" s="129">
        <f>(G66*F66)+(G67*F67)+(G68*F68)+(G69*F69)</f>
        <v>291163.62800000003</v>
      </c>
      <c r="H70" s="129"/>
      <c r="I70" s="257">
        <f>SUM(I66:I69)</f>
        <v>311132.43</v>
      </c>
      <c r="J70" s="257">
        <f t="shared" ref="J70:L70" si="42">SUM(J66:J69)</f>
        <v>21325.012200000056</v>
      </c>
      <c r="K70" s="257">
        <f t="shared" si="42"/>
        <v>4193.1353457634796</v>
      </c>
      <c r="L70" s="257">
        <f t="shared" si="42"/>
        <v>336650.57754576352</v>
      </c>
      <c r="M70" s="257">
        <f>SUM(M66:M69)</f>
        <v>505923.66000000003</v>
      </c>
      <c r="N70" s="257">
        <f t="shared" ref="N70:P70" si="43">SUM(N66:N69)</f>
        <v>15317.17</v>
      </c>
      <c r="O70" s="257">
        <f t="shared" si="43"/>
        <v>28700</v>
      </c>
      <c r="P70" s="257">
        <f t="shared" si="43"/>
        <v>549940.82999999996</v>
      </c>
      <c r="Q70" s="257">
        <f>SUM(Q66:Q69)</f>
        <v>77591.373787407429</v>
      </c>
      <c r="R70" s="257">
        <f t="shared" ref="R70:T70" si="44">SUM(R66:R69)</f>
        <v>0</v>
      </c>
      <c r="S70" s="257">
        <f t="shared" si="44"/>
        <v>10010.749180138764</v>
      </c>
      <c r="T70" s="257">
        <f t="shared" si="44"/>
        <v>87602.122967546195</v>
      </c>
      <c r="U70" s="257">
        <f>SUM(U66:U69)</f>
        <v>974193.53051330964</v>
      </c>
      <c r="V70" s="162">
        <f>SUM(V66:V69)</f>
        <v>0</v>
      </c>
    </row>
    <row r="71" spans="1:22" x14ac:dyDescent="0.4">
      <c r="A71" s="151"/>
      <c r="B71" s="152"/>
      <c r="C71" s="153"/>
      <c r="D71" s="153"/>
      <c r="E71" s="153"/>
      <c r="F71" s="153"/>
      <c r="G71" s="153"/>
      <c r="H71" s="152"/>
    </row>
    <row r="72" spans="1:22" x14ac:dyDescent="0.4">
      <c r="A72" s="151"/>
      <c r="B72" s="152"/>
      <c r="C72" s="153"/>
      <c r="D72" s="153"/>
      <c r="E72" s="153"/>
      <c r="F72" s="153"/>
      <c r="G72" s="153"/>
      <c r="H72" s="152"/>
    </row>
    <row r="73" spans="1:22" x14ac:dyDescent="0.4">
      <c r="A73" s="151"/>
      <c r="B73" s="152"/>
      <c r="C73" s="153"/>
      <c r="D73" s="153"/>
      <c r="E73" s="153"/>
      <c r="F73" s="153"/>
      <c r="G73" s="153"/>
      <c r="H73" s="152"/>
    </row>
    <row r="74" spans="1:22" x14ac:dyDescent="0.4">
      <c r="A74" s="151"/>
      <c r="B74" s="288" t="s">
        <v>100</v>
      </c>
      <c r="C74" s="288"/>
      <c r="D74" s="288"/>
      <c r="E74" s="288"/>
      <c r="F74" s="288"/>
      <c r="G74" s="163"/>
      <c r="H74" s="163"/>
      <c r="I74" s="289" t="s">
        <v>100</v>
      </c>
      <c r="J74" s="289"/>
      <c r="K74" s="289"/>
      <c r="L74" s="289"/>
      <c r="M74" s="289"/>
      <c r="N74" s="289"/>
      <c r="O74" s="289"/>
      <c r="P74" s="289"/>
      <c r="Q74" s="290"/>
      <c r="R74" s="290"/>
      <c r="S74" s="290"/>
      <c r="T74" s="290"/>
      <c r="U74" s="290"/>
    </row>
    <row r="75" spans="1:22" ht="30.5" thickBot="1" x14ac:dyDescent="0.45">
      <c r="A75" s="151"/>
      <c r="B75" s="291"/>
      <c r="C75" s="129" t="s">
        <v>101</v>
      </c>
      <c r="D75" s="129" t="s">
        <v>102</v>
      </c>
      <c r="E75" s="129" t="s">
        <v>103</v>
      </c>
      <c r="F75" s="292" t="s">
        <v>6</v>
      </c>
      <c r="G75" s="152"/>
      <c r="H75" s="163"/>
      <c r="I75" s="298" t="s">
        <v>168</v>
      </c>
      <c r="J75" s="298"/>
      <c r="K75" s="298"/>
      <c r="L75" s="298"/>
      <c r="M75" s="298" t="s">
        <v>169</v>
      </c>
      <c r="N75" s="298"/>
      <c r="O75" s="298"/>
      <c r="P75" s="298"/>
      <c r="Q75" s="299" t="s">
        <v>170</v>
      </c>
      <c r="R75" s="300"/>
      <c r="S75" s="300"/>
      <c r="T75" s="301"/>
      <c r="U75" s="245" t="s">
        <v>6</v>
      </c>
    </row>
    <row r="76" spans="1:22" ht="45" x14ac:dyDescent="0.4">
      <c r="A76" s="151"/>
      <c r="B76" s="291"/>
      <c r="C76" s="164" t="str">
        <f>C5</f>
        <v>PNUD</v>
      </c>
      <c r="D76" s="164" t="str">
        <f>D5</f>
        <v>OHCHR</v>
      </c>
      <c r="E76" s="164" t="str">
        <f>+E5</f>
        <v>MSIS TATAO</v>
      </c>
      <c r="F76" s="292"/>
      <c r="G76" s="152"/>
      <c r="H76" s="163"/>
      <c r="I76" s="258" t="s">
        <v>9</v>
      </c>
      <c r="J76" s="258" t="s">
        <v>165</v>
      </c>
      <c r="K76" s="258" t="s">
        <v>166</v>
      </c>
      <c r="L76" s="258" t="s">
        <v>167</v>
      </c>
      <c r="M76" s="259" t="s">
        <v>9</v>
      </c>
      <c r="N76" s="259" t="s">
        <v>176</v>
      </c>
      <c r="O76" s="259" t="s">
        <v>166</v>
      </c>
      <c r="P76" s="259" t="s">
        <v>167</v>
      </c>
      <c r="Q76" s="237" t="s">
        <v>9</v>
      </c>
      <c r="R76" s="237" t="s">
        <v>165</v>
      </c>
      <c r="S76" s="237" t="s">
        <v>166</v>
      </c>
      <c r="T76" s="237" t="s">
        <v>167</v>
      </c>
      <c r="U76" s="245"/>
    </row>
    <row r="77" spans="1:22" x14ac:dyDescent="0.4">
      <c r="A77" s="165"/>
      <c r="B77" s="166" t="s">
        <v>104</v>
      </c>
      <c r="C77" s="167">
        <f>SUM(C12,C22,C27,,C38,C46,,C52,C57,C63,,C66,C67,C68,C69)</f>
        <v>1588785</v>
      </c>
      <c r="D77" s="167">
        <f>SUM(D12,D22,D27,,D38,D46,,D52,D57,D63,D66,D67,D68,D69)</f>
        <v>1313409</v>
      </c>
      <c r="E77" s="167">
        <f>SUM(E12,E22,E27,,E38,E46,E52,E57,E63,E66,E67,E68,E69)</f>
        <v>467290</v>
      </c>
      <c r="F77" s="167">
        <f>SUM(C77:E77)</f>
        <v>3369484</v>
      </c>
      <c r="G77" s="152"/>
      <c r="H77" s="165"/>
      <c r="I77" s="260">
        <f>I12+I22+I38+I46+I52+I57+I63+I70</f>
        <v>872344.08000000007</v>
      </c>
      <c r="J77" s="260">
        <f t="shared" ref="J77:L77" si="45">J12+J22+J38+J46+J52+J57+J63+J70</f>
        <v>245996.40220000004</v>
      </c>
      <c r="K77" s="260">
        <f t="shared" si="45"/>
        <v>160727.06422204617</v>
      </c>
      <c r="L77" s="260">
        <f t="shared" si="45"/>
        <v>1279067.5464220461</v>
      </c>
      <c r="M77" s="261">
        <f>M12+M22+M38+M46+M52+M57+M63+M70</f>
        <v>607486.30000000005</v>
      </c>
      <c r="N77" s="261">
        <f t="shared" ref="N77:O77" si="46">N12+N22+N38+N46+N52+N57+N63+N70</f>
        <v>144471.29</v>
      </c>
      <c r="O77" s="261">
        <f t="shared" si="46"/>
        <v>34700</v>
      </c>
      <c r="P77" s="261">
        <f>P12+P22+P38+P46+P52+P57+P63+P70</f>
        <v>786657.59</v>
      </c>
      <c r="Q77" s="262">
        <f>Q12+Q22+Q38+Q46+Q52+Q57+Q63+Q70</f>
        <v>242565.56096234132</v>
      </c>
      <c r="R77" s="262">
        <f t="shared" ref="R77:S77" si="47">R12+R22+R38+R46+R52+R57+R63+R70</f>
        <v>0</v>
      </c>
      <c r="S77" s="262">
        <f t="shared" si="47"/>
        <v>59954.219640913085</v>
      </c>
      <c r="T77" s="262">
        <f>T12+T22+T38+T46+T52+T57+T63+T70</f>
        <v>302519.78060325445</v>
      </c>
      <c r="U77" s="263">
        <f>+T77+P77+L77</f>
        <v>2368244.9170253007</v>
      </c>
    </row>
    <row r="78" spans="1:22" x14ac:dyDescent="0.4">
      <c r="A78" s="168"/>
      <c r="B78" s="166" t="s">
        <v>105</v>
      </c>
      <c r="C78" s="167">
        <f>C77*0.07</f>
        <v>111214.95000000001</v>
      </c>
      <c r="D78" s="167">
        <f>D77*0.07</f>
        <v>91938.63</v>
      </c>
      <c r="E78" s="167">
        <f>E77*0.07</f>
        <v>32710.300000000003</v>
      </c>
      <c r="F78" s="167">
        <f>F77*0.07</f>
        <v>235863.88000000003</v>
      </c>
      <c r="G78" s="168"/>
      <c r="H78" s="169"/>
      <c r="I78" s="260">
        <f>+I77*7%</f>
        <v>61064.085600000013</v>
      </c>
      <c r="J78" s="260">
        <f t="shared" ref="J78:L78" si="48">+J77*7%</f>
        <v>17219.748154000004</v>
      </c>
      <c r="K78" s="260">
        <f t="shared" si="48"/>
        <v>11250.894495543233</v>
      </c>
      <c r="L78" s="260">
        <f t="shared" si="48"/>
        <v>89534.728249543245</v>
      </c>
      <c r="M78" s="261">
        <f>+M77*7%</f>
        <v>42524.041000000005</v>
      </c>
      <c r="N78" s="261">
        <f t="shared" ref="N78:P78" si="49">+N77*7%</f>
        <v>10112.990300000001</v>
      </c>
      <c r="O78" s="261">
        <f t="shared" si="49"/>
        <v>2429.0000000000005</v>
      </c>
      <c r="P78" s="261">
        <f t="shared" si="49"/>
        <v>55066.031300000002</v>
      </c>
      <c r="Q78" s="262">
        <f>+Q77*7%</f>
        <v>16979.589267363895</v>
      </c>
      <c r="R78" s="262">
        <f t="shared" ref="R78:T78" si="50">+R77*7%</f>
        <v>0</v>
      </c>
      <c r="S78" s="262">
        <f t="shared" si="50"/>
        <v>4196.7953748639165</v>
      </c>
      <c r="T78" s="262">
        <f t="shared" si="50"/>
        <v>21176.384642227815</v>
      </c>
      <c r="U78" s="263">
        <f>U77*7%</f>
        <v>165777.14419177108</v>
      </c>
    </row>
    <row r="79" spans="1:22" x14ac:dyDescent="0.4">
      <c r="A79" s="168"/>
      <c r="B79" s="128" t="s">
        <v>6</v>
      </c>
      <c r="C79" s="170">
        <f>SUM(C77:C78)</f>
        <v>1699999.95</v>
      </c>
      <c r="D79" s="170">
        <f>SUM(D77:D78)</f>
        <v>1405347.63</v>
      </c>
      <c r="E79" s="170">
        <f>SUM(E77:E78)</f>
        <v>500000.3</v>
      </c>
      <c r="F79" s="170">
        <f>SUM(F77:F78)</f>
        <v>3605347.88</v>
      </c>
      <c r="G79" s="168"/>
      <c r="H79" s="169"/>
      <c r="I79" s="264">
        <f>SUM(I77:I78)</f>
        <v>933408.16560000007</v>
      </c>
      <c r="J79" s="264">
        <f t="shared" ref="J79:L79" si="51">SUM(J77:J78)</f>
        <v>263216.15035400004</v>
      </c>
      <c r="K79" s="264">
        <f t="shared" si="51"/>
        <v>171977.95871758941</v>
      </c>
      <c r="L79" s="264">
        <f t="shared" si="51"/>
        <v>1368602.2746715895</v>
      </c>
      <c r="M79" s="265">
        <f>SUM(M77:M78)</f>
        <v>650010.34100000001</v>
      </c>
      <c r="N79" s="265">
        <f t="shared" ref="N79:O79" si="52">SUM(N77:N78)</f>
        <v>154584.28030000001</v>
      </c>
      <c r="O79" s="265">
        <f t="shared" si="52"/>
        <v>37129</v>
      </c>
      <c r="P79" s="265">
        <f>SUM(P77:P78)</f>
        <v>841723.6213</v>
      </c>
      <c r="Q79" s="266">
        <f>SUM(Q77:Q78)</f>
        <v>259545.15022970521</v>
      </c>
      <c r="R79" s="266">
        <f t="shared" ref="R79:T79" si="53">SUM(R77:R78)</f>
        <v>0</v>
      </c>
      <c r="S79" s="266">
        <f t="shared" si="53"/>
        <v>64151.015015777004</v>
      </c>
      <c r="T79" s="266">
        <f t="shared" si="53"/>
        <v>323696.16524548223</v>
      </c>
      <c r="U79" s="267">
        <f>SUM(U77:U78)</f>
        <v>2534022.061217072</v>
      </c>
    </row>
    <row r="80" spans="1:22" x14ac:dyDescent="0.4">
      <c r="A80" s="168"/>
      <c r="B80" s="8"/>
      <c r="C80" s="8"/>
      <c r="D80" s="8"/>
      <c r="E80" s="8"/>
      <c r="F80" s="8"/>
      <c r="G80" s="8"/>
      <c r="H80" s="171"/>
    </row>
    <row r="81" spans="1:8" x14ac:dyDescent="0.4">
      <c r="A81" s="152"/>
      <c r="B81" s="151"/>
      <c r="C81" s="172"/>
      <c r="D81" s="172"/>
      <c r="E81" s="172"/>
      <c r="F81" s="172"/>
      <c r="G81" s="172"/>
      <c r="H81" s="163"/>
    </row>
    <row r="82" spans="1:8" x14ac:dyDescent="0.4">
      <c r="A82" s="293"/>
      <c r="B82" s="173"/>
      <c r="C82" s="174"/>
      <c r="D82" s="174"/>
      <c r="E82" s="174"/>
      <c r="F82" s="174"/>
      <c r="G82" s="174"/>
      <c r="H82" s="8"/>
    </row>
    <row r="83" spans="1:8" hidden="1" x14ac:dyDescent="0.4">
      <c r="A83" s="293"/>
      <c r="B83" s="9" t="s">
        <v>106</v>
      </c>
      <c r="C83" s="175" t="e">
        <f>SUM(G12,G22,G27,#REF!,G38,G46,#REF!,#REF!,G52,G57,G63,#REF!,#REF!,#REF!,#REF!,#REF!,G70)*1.07</f>
        <v>#REF!</v>
      </c>
      <c r="D83" s="172"/>
      <c r="E83" s="172"/>
      <c r="F83" s="172"/>
      <c r="G83" s="174"/>
      <c r="H83" s="8"/>
    </row>
    <row r="84" spans="1:8" hidden="1" x14ac:dyDescent="0.4">
      <c r="A84" s="293"/>
      <c r="B84" s="10" t="s">
        <v>107</v>
      </c>
      <c r="C84" s="176" t="e">
        <f>C83/F79</f>
        <v>#REF!</v>
      </c>
      <c r="D84" s="177"/>
      <c r="E84" s="177"/>
      <c r="F84" s="177"/>
      <c r="G84" s="8"/>
      <c r="H84" s="8"/>
    </row>
    <row r="85" spans="1:8" hidden="1" x14ac:dyDescent="0.4">
      <c r="A85" s="293"/>
      <c r="B85" s="294"/>
      <c r="C85" s="295"/>
      <c r="D85" s="11"/>
      <c r="E85" s="11"/>
      <c r="F85" s="11"/>
      <c r="G85" s="8"/>
      <c r="H85" s="8"/>
    </row>
    <row r="86" spans="1:8" hidden="1" x14ac:dyDescent="0.4">
      <c r="A86" s="293"/>
      <c r="B86" s="10" t="s">
        <v>108</v>
      </c>
      <c r="C86" s="178">
        <f>SUM(C68:E69)</f>
        <v>188000</v>
      </c>
      <c r="D86" s="179"/>
      <c r="E86" s="179"/>
      <c r="F86" s="179"/>
      <c r="G86" s="8"/>
      <c r="H86" s="8"/>
    </row>
    <row r="87" spans="1:8" hidden="1" x14ac:dyDescent="0.4">
      <c r="A87" s="293"/>
      <c r="B87" s="10" t="s">
        <v>109</v>
      </c>
      <c r="C87" s="176">
        <f>C86/F79</f>
        <v>5.2144760022436447E-2</v>
      </c>
      <c r="D87" s="179"/>
      <c r="E87" s="179"/>
      <c r="F87" s="179"/>
      <c r="G87" s="8"/>
      <c r="H87" s="8"/>
    </row>
    <row r="88" spans="1:8" ht="15.5" hidden="1" thickBot="1" x14ac:dyDescent="0.45">
      <c r="A88" s="293"/>
      <c r="B88" s="296" t="s">
        <v>110</v>
      </c>
      <c r="C88" s="297"/>
      <c r="D88" s="12"/>
      <c r="E88" s="12"/>
      <c r="F88" s="12"/>
      <c r="G88" s="8"/>
      <c r="H88" s="8"/>
    </row>
    <row r="89" spans="1:8" hidden="1" x14ac:dyDescent="0.4">
      <c r="A89" s="293"/>
      <c r="B89" s="8"/>
      <c r="C89" s="8"/>
      <c r="D89" s="8"/>
      <c r="E89" s="8"/>
      <c r="F89" s="8"/>
      <c r="G89" s="8"/>
      <c r="H89" s="8"/>
    </row>
    <row r="90" spans="1:8" hidden="1" x14ac:dyDescent="0.4">
      <c r="A90" s="293"/>
      <c r="B90" s="8"/>
      <c r="C90" s="8"/>
      <c r="D90" s="8"/>
      <c r="E90" s="8"/>
      <c r="F90" s="8"/>
      <c r="G90" s="8"/>
      <c r="H90" s="8"/>
    </row>
    <row r="91" spans="1:8" hidden="1" x14ac:dyDescent="0.4">
      <c r="A91" s="293"/>
      <c r="B91" s="8"/>
      <c r="C91" s="8"/>
      <c r="D91" s="8"/>
      <c r="E91" s="8"/>
      <c r="F91" s="8"/>
      <c r="G91" s="8"/>
      <c r="H91" s="8"/>
    </row>
    <row r="92" spans="1:8" x14ac:dyDescent="0.4">
      <c r="A92" s="293"/>
      <c r="B92" s="8"/>
      <c r="C92" s="8"/>
      <c r="D92" s="8"/>
      <c r="E92" s="8"/>
      <c r="F92" s="8"/>
      <c r="G92" s="8"/>
      <c r="H92" s="8"/>
    </row>
    <row r="93" spans="1:8" x14ac:dyDescent="0.4">
      <c r="A93" s="293"/>
      <c r="B93" s="8"/>
      <c r="C93" s="8"/>
      <c r="D93" s="8"/>
      <c r="E93" s="8"/>
      <c r="F93" s="8"/>
      <c r="G93" s="8"/>
      <c r="H93" s="8"/>
    </row>
  </sheetData>
  <autoFilter ref="A4:W4" xr:uid="{00000000-0009-0000-0000-000000000000}"/>
  <mergeCells count="25">
    <mergeCell ref="B74:F74"/>
    <mergeCell ref="I74:U74"/>
    <mergeCell ref="B75:B76"/>
    <mergeCell ref="F75:F76"/>
    <mergeCell ref="A82:A93"/>
    <mergeCell ref="B85:C85"/>
    <mergeCell ref="B88:C88"/>
    <mergeCell ref="I75:L75"/>
    <mergeCell ref="M75:P75"/>
    <mergeCell ref="Q75:T75"/>
    <mergeCell ref="B59:W59"/>
    <mergeCell ref="A1:G1"/>
    <mergeCell ref="B6:W6"/>
    <mergeCell ref="B7:W7"/>
    <mergeCell ref="B13:W13"/>
    <mergeCell ref="B23:W23"/>
    <mergeCell ref="B30:W30"/>
    <mergeCell ref="B31:W31"/>
    <mergeCell ref="B39:M39"/>
    <mergeCell ref="B47:W47"/>
    <mergeCell ref="B48:W48"/>
    <mergeCell ref="B54:W54"/>
    <mergeCell ref="I5:L5"/>
    <mergeCell ref="M5:P5"/>
    <mergeCell ref="Q5:T5"/>
  </mergeCells>
  <conditionalFormatting sqref="C84">
    <cfRule type="cellIs" dxfId="18" priority="2" operator="lessThan">
      <formula>0.15</formula>
    </cfRule>
  </conditionalFormatting>
  <conditionalFormatting sqref="C87">
    <cfRule type="cellIs" dxfId="17" priority="1" operator="lessThan">
      <formula>0.05</formula>
    </cfRule>
  </conditionalFormatting>
  <dataValidations count="7">
    <dataValidation allowBlank="1" showInputMessage="1" showErrorMessage="1" prompt="% Towards Gender Equality and Women's Empowerment Must be Higher than 15%_x000a_" sqref="C84:F84" xr:uid="{00000000-0002-0000-0000-000000000000}"/>
    <dataValidation allowBlank="1" showInputMessage="1" showErrorMessage="1" prompt="M&amp;E Budget Cannot be Less than 5%_x000a_" sqref="C87:F87" xr:uid="{00000000-0002-0000-0000-000001000000}"/>
    <dataValidation allowBlank="1" showInputMessage="1" showErrorMessage="1" prompt="Insert *text* description of Outcome here" sqref="B47 B6 B30" xr:uid="{00000000-0002-0000-0000-000002000000}"/>
    <dataValidation allowBlank="1" showInputMessage="1" showErrorMessage="1" prompt="Insert *text* description of Output here" sqref="B7 B13 B23 B31 B59 B48 B54 B39" xr:uid="{00000000-0002-0000-0000-000003000000}"/>
    <dataValidation allowBlank="1" showInputMessage="1" showErrorMessage="1" prompt="Insert *text* description of Activity here" sqref="B8 B60 B24 B32 B40 B49 B14 B55:B56" xr:uid="{00000000-0002-0000-0000-000004000000}"/>
    <dataValidation allowBlank="1" showErrorMessage="1" prompt="% Towards Gender Equality and Women's Empowerment Must be Higher than 15%_x000a_" sqref="C86:F86" xr:uid="{00000000-0002-0000-0000-000005000000}"/>
    <dataValidation allowBlank="1" showInputMessage="1" showErrorMessage="1" prompt="Insert name of recipient agency here _x000a_" sqref="C5:F5 V5 I5 M5 Q5" xr:uid="{00000000-0002-0000-0000-000006000000}"/>
  </dataValidations>
  <pageMargins left="0.7" right="0.7" top="0.75" bottom="0.75" header="0.3" footer="0.3"/>
  <pageSetup orientation="portrait" r:id="rId1"/>
  <ignoredErrors>
    <ignoredError sqref="C9 L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25"/>
  <sheetViews>
    <sheetView topLeftCell="I202" zoomScale="90" zoomScaleNormal="82" workbookViewId="0">
      <selection activeCell="H218" sqref="H218"/>
    </sheetView>
  </sheetViews>
  <sheetFormatPr baseColWidth="10" defaultColWidth="8.81640625" defaultRowHeight="12.5" x14ac:dyDescent="0.35"/>
  <cols>
    <col min="1" max="1" width="8" style="27" hidden="1" customWidth="1"/>
    <col min="2" max="2" width="14.54296875" style="27" customWidth="1"/>
    <col min="3" max="3" width="58.81640625" style="27" bestFit="1" customWidth="1"/>
    <col min="4" max="4" width="24.453125" style="97" bestFit="1" customWidth="1"/>
    <col min="5" max="5" width="32.54296875" style="97" customWidth="1"/>
    <col min="6" max="6" width="35.453125" style="97" customWidth="1"/>
    <col min="7" max="7" width="12.1796875" style="97" customWidth="1"/>
    <col min="8" max="8" width="32.1796875" style="24" customWidth="1"/>
    <col min="9" max="9" width="23.453125" style="24" customWidth="1"/>
    <col min="10" max="10" width="21.81640625" style="24" customWidth="1"/>
    <col min="11" max="11" width="14.1796875" style="198" customWidth="1"/>
    <col min="12" max="12" width="31.1796875" style="24" customWidth="1"/>
    <col min="13" max="13" width="23.453125" style="24" customWidth="1"/>
    <col min="14" max="14" width="29.81640625" style="24" customWidth="1"/>
    <col min="15" max="15" width="14.1796875" style="198" customWidth="1"/>
    <col min="16" max="16" width="31.1796875" style="24" customWidth="1"/>
    <col min="17" max="17" width="23.453125" style="24" customWidth="1"/>
    <col min="18" max="18" width="29.81640625" style="24" customWidth="1"/>
    <col min="19" max="19" width="14.1796875" style="198" customWidth="1"/>
    <col min="20" max="20" width="17.453125" style="27" customWidth="1"/>
    <col min="21" max="21" width="11.1796875" style="100" bestFit="1" customWidth="1"/>
    <col min="22" max="22" width="11.1796875" style="27" bestFit="1" customWidth="1"/>
    <col min="23" max="23" width="12.1796875" style="27" bestFit="1" customWidth="1"/>
    <col min="24" max="24" width="11.81640625" style="27" bestFit="1" customWidth="1"/>
    <col min="25" max="16384" width="8.81640625" style="27"/>
  </cols>
  <sheetData>
    <row r="1" spans="1:22" x14ac:dyDescent="0.35">
      <c r="A1" s="24"/>
      <c r="B1" s="24"/>
      <c r="C1" s="24"/>
      <c r="D1" s="25"/>
      <c r="E1" s="25"/>
      <c r="F1" s="25"/>
      <c r="G1" s="26"/>
    </row>
    <row r="2" spans="1:22" s="2" customFormat="1" ht="15" x14ac:dyDescent="0.4">
      <c r="A2" s="8"/>
      <c r="B2" s="8"/>
      <c r="C2" s="302" t="s">
        <v>111</v>
      </c>
      <c r="D2" s="302"/>
      <c r="E2" s="302"/>
      <c r="F2" s="302"/>
      <c r="G2" s="105"/>
      <c r="H2" s="8"/>
      <c r="I2" s="8"/>
      <c r="J2" s="8"/>
      <c r="K2" s="106"/>
      <c r="L2" s="8"/>
      <c r="M2" s="8"/>
      <c r="N2" s="8"/>
      <c r="O2" s="106"/>
      <c r="P2" s="8"/>
      <c r="Q2" s="8"/>
      <c r="R2" s="8"/>
      <c r="S2" s="106"/>
      <c r="U2" s="16"/>
    </row>
    <row r="3" spans="1:22" s="2" customFormat="1" ht="15" x14ac:dyDescent="0.4">
      <c r="A3" s="8"/>
      <c r="B3" s="8"/>
      <c r="C3" s="106"/>
      <c r="D3" s="107"/>
      <c r="E3" s="107"/>
      <c r="F3" s="107"/>
      <c r="G3" s="107"/>
      <c r="H3" s="8"/>
      <c r="I3" s="8"/>
      <c r="J3" s="8"/>
      <c r="K3" s="106"/>
      <c r="L3" s="8"/>
      <c r="M3" s="8"/>
      <c r="N3" s="8"/>
      <c r="O3" s="106"/>
      <c r="P3" s="8"/>
      <c r="Q3" s="8"/>
      <c r="R3" s="8"/>
      <c r="S3" s="106"/>
      <c r="U3" s="16"/>
    </row>
    <row r="4" spans="1:22" s="2" customFormat="1" ht="15.5" thickBot="1" x14ac:dyDescent="0.45">
      <c r="A4" s="8"/>
      <c r="B4" s="8"/>
      <c r="C4" s="106"/>
      <c r="D4" s="107"/>
      <c r="E4" s="107"/>
      <c r="F4" s="107"/>
      <c r="G4" s="107"/>
      <c r="H4" s="8"/>
      <c r="I4" s="8"/>
      <c r="J4" s="8"/>
      <c r="K4" s="106"/>
      <c r="L4" s="8"/>
      <c r="M4" s="8"/>
      <c r="N4" s="8"/>
      <c r="O4" s="106"/>
      <c r="P4" s="8"/>
      <c r="Q4" s="8"/>
      <c r="R4" s="8"/>
      <c r="S4" s="106"/>
      <c r="U4" s="16"/>
    </row>
    <row r="5" spans="1:22" s="2" customFormat="1" ht="15" x14ac:dyDescent="0.4">
      <c r="A5" s="8"/>
      <c r="B5" s="8"/>
      <c r="C5" s="303" t="s">
        <v>112</v>
      </c>
      <c r="D5" s="304"/>
      <c r="E5" s="304"/>
      <c r="F5" s="304"/>
      <c r="G5" s="305"/>
      <c r="H5" s="8"/>
      <c r="I5" s="8"/>
      <c r="J5" s="8"/>
      <c r="K5" s="106"/>
      <c r="L5" s="8"/>
      <c r="M5" s="8"/>
      <c r="N5" s="8"/>
      <c r="O5" s="106"/>
      <c r="P5" s="8"/>
      <c r="Q5" s="8"/>
      <c r="R5" s="8"/>
      <c r="S5" s="106"/>
      <c r="U5" s="16"/>
    </row>
    <row r="6" spans="1:22" s="2" customFormat="1" ht="15" x14ac:dyDescent="0.4">
      <c r="A6" s="8"/>
      <c r="B6" s="8"/>
      <c r="C6" s="306" t="s">
        <v>164</v>
      </c>
      <c r="D6" s="307"/>
      <c r="E6" s="307"/>
      <c r="F6" s="307"/>
      <c r="G6" s="308"/>
      <c r="H6" s="8"/>
      <c r="I6" s="8"/>
      <c r="J6" s="8"/>
      <c r="K6" s="106"/>
      <c r="L6" s="8"/>
      <c r="M6" s="8"/>
      <c r="N6" s="8"/>
      <c r="O6" s="106"/>
      <c r="P6" s="8"/>
      <c r="Q6" s="8"/>
      <c r="R6" s="8"/>
      <c r="S6" s="106"/>
      <c r="U6" s="16"/>
    </row>
    <row r="7" spans="1:22" s="2" customFormat="1" ht="15" x14ac:dyDescent="0.4">
      <c r="A7" s="8"/>
      <c r="B7" s="8"/>
      <c r="C7" s="306"/>
      <c r="D7" s="307"/>
      <c r="E7" s="307"/>
      <c r="F7" s="307"/>
      <c r="G7" s="308"/>
      <c r="H7" s="8"/>
      <c r="I7" s="8"/>
      <c r="J7" s="8"/>
      <c r="K7" s="106"/>
      <c r="L7" s="8"/>
      <c r="M7" s="8"/>
      <c r="N7" s="8"/>
      <c r="O7" s="106"/>
      <c r="P7" s="8"/>
      <c r="Q7" s="8"/>
      <c r="R7" s="8"/>
      <c r="S7" s="106"/>
      <c r="U7" s="16"/>
    </row>
    <row r="8" spans="1:22" s="2" customFormat="1" ht="15.5" thickBot="1" x14ac:dyDescent="0.45">
      <c r="A8" s="8"/>
      <c r="B8" s="8"/>
      <c r="C8" s="309"/>
      <c r="D8" s="310"/>
      <c r="E8" s="310"/>
      <c r="F8" s="310"/>
      <c r="G8" s="311"/>
      <c r="H8" s="8"/>
      <c r="I8" s="8"/>
      <c r="J8" s="8"/>
      <c r="K8" s="106"/>
      <c r="L8" s="8"/>
      <c r="M8" s="8"/>
      <c r="N8" s="8"/>
      <c r="O8" s="106"/>
      <c r="P8" s="8"/>
      <c r="Q8" s="8"/>
      <c r="R8" s="8"/>
      <c r="S8" s="106"/>
      <c r="U8" s="16"/>
    </row>
    <row r="9" spans="1:22" s="2" customFormat="1" ht="15.5" thickBot="1" x14ac:dyDescent="0.45">
      <c r="A9" s="8"/>
      <c r="B9" s="8"/>
      <c r="C9" s="108"/>
      <c r="D9" s="109"/>
      <c r="E9" s="109"/>
      <c r="F9" s="109"/>
      <c r="G9" s="107"/>
      <c r="H9" s="8"/>
      <c r="I9" s="8"/>
      <c r="J9" s="8"/>
      <c r="K9" s="106"/>
      <c r="L9" s="8"/>
      <c r="M9" s="8"/>
      <c r="N9" s="8"/>
      <c r="O9" s="106"/>
      <c r="P9" s="8"/>
      <c r="Q9" s="8"/>
      <c r="R9" s="8"/>
      <c r="S9" s="106"/>
      <c r="U9" s="16"/>
    </row>
    <row r="10" spans="1:22" s="2" customFormat="1" ht="15.5" thickBot="1" x14ac:dyDescent="0.45">
      <c r="A10" s="8"/>
      <c r="B10" s="8"/>
      <c r="C10" s="312" t="s">
        <v>113</v>
      </c>
      <c r="D10" s="313"/>
      <c r="E10" s="313"/>
      <c r="F10" s="314"/>
      <c r="G10" s="107"/>
      <c r="H10" s="8"/>
      <c r="I10" s="8"/>
      <c r="J10" s="8"/>
      <c r="K10" s="106"/>
      <c r="L10" s="8"/>
      <c r="M10" s="8"/>
      <c r="N10" s="8"/>
      <c r="O10" s="106"/>
      <c r="P10" s="8"/>
      <c r="Q10" s="8"/>
      <c r="R10" s="8"/>
      <c r="S10" s="106"/>
      <c r="U10" s="16"/>
    </row>
    <row r="11" spans="1:22" s="32" customFormat="1" x14ac:dyDescent="0.35">
      <c r="A11" s="31"/>
      <c r="B11" s="31"/>
      <c r="C11" s="29"/>
      <c r="D11" s="30"/>
      <c r="E11" s="30"/>
      <c r="F11" s="30"/>
      <c r="G11" s="25"/>
      <c r="H11" s="24"/>
      <c r="I11" s="24"/>
      <c r="J11" s="24"/>
      <c r="K11" s="198"/>
      <c r="L11" s="24"/>
      <c r="M11" s="24"/>
      <c r="N11" s="24"/>
      <c r="O11" s="198"/>
      <c r="P11" s="24"/>
      <c r="Q11" s="24"/>
      <c r="R11" s="24"/>
      <c r="S11" s="198"/>
      <c r="T11" s="28"/>
      <c r="U11" s="101"/>
    </row>
    <row r="12" spans="1:22" x14ac:dyDescent="0.35">
      <c r="A12" s="24"/>
      <c r="B12" s="24"/>
      <c r="C12" s="29"/>
      <c r="D12" s="315" t="s">
        <v>163</v>
      </c>
      <c r="E12" s="316"/>
      <c r="F12" s="316"/>
      <c r="G12" s="317"/>
      <c r="H12" s="319" t="s">
        <v>114</v>
      </c>
      <c r="I12" s="319"/>
      <c r="J12" s="319"/>
      <c r="K12" s="319"/>
      <c r="L12" s="319"/>
      <c r="M12" s="319"/>
      <c r="N12" s="319"/>
      <c r="O12" s="319"/>
      <c r="P12" s="319"/>
      <c r="Q12" s="319"/>
      <c r="R12" s="319"/>
      <c r="S12" s="319"/>
      <c r="T12" s="319"/>
    </row>
    <row r="13" spans="1:22" x14ac:dyDescent="0.35">
      <c r="A13" s="24"/>
      <c r="B13" s="24"/>
      <c r="C13" s="29"/>
      <c r="D13" s="194" t="s">
        <v>101</v>
      </c>
      <c r="E13" s="194" t="s">
        <v>102</v>
      </c>
      <c r="F13" s="194" t="s">
        <v>103</v>
      </c>
      <c r="G13" s="320" t="s">
        <v>6</v>
      </c>
      <c r="H13" s="329" t="s">
        <v>168</v>
      </c>
      <c r="I13" s="329"/>
      <c r="J13" s="329"/>
      <c r="K13" s="329"/>
      <c r="L13" s="330" t="s">
        <v>169</v>
      </c>
      <c r="M13" s="330"/>
      <c r="N13" s="330"/>
      <c r="O13" s="330"/>
      <c r="P13" s="331" t="s">
        <v>170</v>
      </c>
      <c r="Q13" s="331"/>
      <c r="R13" s="331"/>
      <c r="S13" s="331"/>
      <c r="T13" s="322" t="s">
        <v>115</v>
      </c>
    </row>
    <row r="14" spans="1:22" ht="37.5" x14ac:dyDescent="0.35">
      <c r="A14" s="24"/>
      <c r="B14" s="24"/>
      <c r="C14" s="29"/>
      <c r="D14" s="194" t="str">
        <f>+'[1]RF par produits'!C5</f>
        <v>PNUD</v>
      </c>
      <c r="E14" s="194" t="str">
        <f>+'[1]RF par produits'!D5</f>
        <v>OHCHR</v>
      </c>
      <c r="F14" s="194" t="str">
        <f>+'[1]RF par produits'!E5</f>
        <v>MSIS TATAO</v>
      </c>
      <c r="G14" s="321"/>
      <c r="H14" s="195" t="s">
        <v>9</v>
      </c>
      <c r="I14" s="195" t="s">
        <v>165</v>
      </c>
      <c r="J14" s="195" t="s">
        <v>166</v>
      </c>
      <c r="K14" s="191" t="s">
        <v>167</v>
      </c>
      <c r="L14" s="196" t="s">
        <v>9</v>
      </c>
      <c r="M14" s="196" t="s">
        <v>176</v>
      </c>
      <c r="N14" s="196" t="s">
        <v>166</v>
      </c>
      <c r="O14" s="192" t="s">
        <v>167</v>
      </c>
      <c r="P14" s="197" t="s">
        <v>9</v>
      </c>
      <c r="Q14" s="197" t="s">
        <v>165</v>
      </c>
      <c r="R14" s="197" t="s">
        <v>166</v>
      </c>
      <c r="S14" s="193" t="s">
        <v>167</v>
      </c>
      <c r="T14" s="322"/>
    </row>
    <row r="15" spans="1:22" x14ac:dyDescent="0.35">
      <c r="A15" s="24"/>
      <c r="B15" s="318" t="s">
        <v>116</v>
      </c>
      <c r="C15" s="318"/>
      <c r="D15" s="318"/>
      <c r="E15" s="318"/>
      <c r="F15" s="318"/>
      <c r="G15" s="318"/>
      <c r="H15" s="318"/>
      <c r="I15" s="318"/>
      <c r="J15" s="318"/>
      <c r="K15" s="318"/>
      <c r="L15" s="318"/>
      <c r="M15" s="318"/>
      <c r="N15" s="318"/>
      <c r="O15" s="318"/>
      <c r="P15" s="318"/>
      <c r="Q15" s="318"/>
      <c r="R15" s="318"/>
      <c r="S15" s="318"/>
      <c r="T15" s="318"/>
    </row>
    <row r="16" spans="1:22" x14ac:dyDescent="0.35">
      <c r="A16" s="24"/>
      <c r="B16" s="34"/>
      <c r="C16" s="318" t="s">
        <v>117</v>
      </c>
      <c r="D16" s="318"/>
      <c r="E16" s="318"/>
      <c r="F16" s="318"/>
      <c r="G16" s="318"/>
      <c r="H16" s="318"/>
      <c r="I16" s="318"/>
      <c r="J16" s="318"/>
      <c r="K16" s="318"/>
      <c r="L16" s="318"/>
      <c r="M16" s="318"/>
      <c r="N16" s="318"/>
      <c r="O16" s="318"/>
      <c r="P16" s="318"/>
      <c r="Q16" s="318"/>
      <c r="R16" s="318"/>
      <c r="S16" s="318"/>
      <c r="T16" s="318"/>
      <c r="V16" s="230"/>
    </row>
    <row r="17" spans="1:22" x14ac:dyDescent="0.35">
      <c r="A17" s="24"/>
      <c r="B17" s="24"/>
      <c r="C17" s="33" t="s">
        <v>118</v>
      </c>
      <c r="D17" s="35">
        <f>D25</f>
        <v>18500</v>
      </c>
      <c r="E17" s="35">
        <f>E25</f>
        <v>90000</v>
      </c>
      <c r="F17" s="35">
        <f>F25</f>
        <v>0</v>
      </c>
      <c r="G17" s="35">
        <f t="shared" ref="G17:G25" si="0">SUM(D17:F17)</f>
        <v>108500</v>
      </c>
      <c r="H17" s="37">
        <f>+SUM(H18:H24)</f>
        <v>9253</v>
      </c>
      <c r="I17" s="37">
        <f t="shared" ref="I17:K17" si="1">+SUM(I18:I24)</f>
        <v>3731.46</v>
      </c>
      <c r="J17" s="37">
        <f t="shared" si="1"/>
        <v>0</v>
      </c>
      <c r="K17" s="37">
        <f t="shared" si="1"/>
        <v>12984.460000000001</v>
      </c>
      <c r="L17" s="37">
        <f>+SUM(L18:L24)</f>
        <v>54418.13</v>
      </c>
      <c r="M17" s="37">
        <f t="shared" ref="M17:O17" si="2">+SUM(M18:M24)</f>
        <v>10077.64</v>
      </c>
      <c r="N17" s="37">
        <f t="shared" si="2"/>
        <v>2954.71</v>
      </c>
      <c r="O17" s="37">
        <f t="shared" si="2"/>
        <v>67450.48</v>
      </c>
      <c r="P17" s="37">
        <f>+SUM(P18:P24)</f>
        <v>0</v>
      </c>
      <c r="Q17" s="37">
        <f t="shared" ref="Q17:T17" si="3">+SUM(Q18:Q24)</f>
        <v>0</v>
      </c>
      <c r="R17" s="37">
        <f t="shared" si="3"/>
        <v>0</v>
      </c>
      <c r="S17" s="37">
        <f t="shared" si="3"/>
        <v>0</v>
      </c>
      <c r="T17" s="37">
        <f t="shared" si="3"/>
        <v>80434.94</v>
      </c>
      <c r="V17" s="230"/>
    </row>
    <row r="18" spans="1:22" x14ac:dyDescent="0.35">
      <c r="A18" s="24"/>
      <c r="B18" s="24"/>
      <c r="C18" s="39" t="s">
        <v>119</v>
      </c>
      <c r="D18" s="87">
        <v>0</v>
      </c>
      <c r="E18" s="232"/>
      <c r="F18" s="232"/>
      <c r="G18" s="35">
        <f t="shared" si="0"/>
        <v>0</v>
      </c>
      <c r="H18" s="42"/>
      <c r="I18" s="218">
        <v>0</v>
      </c>
      <c r="J18" s="42"/>
      <c r="K18" s="199">
        <f>SUM(H18:J18)</f>
        <v>0</v>
      </c>
      <c r="L18" s="42">
        <v>0</v>
      </c>
      <c r="M18" s="42">
        <v>0</v>
      </c>
      <c r="N18" s="42"/>
      <c r="O18" s="199">
        <f>+SUM(L18:N18)</f>
        <v>0</v>
      </c>
      <c r="P18" s="43"/>
      <c r="Q18" s="43"/>
      <c r="R18" s="43"/>
      <c r="S18" s="36">
        <f>SUM(P18:R18)</f>
        <v>0</v>
      </c>
      <c r="T18" s="36">
        <f>S18+O18+K18</f>
        <v>0</v>
      </c>
      <c r="V18" s="230"/>
    </row>
    <row r="19" spans="1:22" x14ac:dyDescent="0.35">
      <c r="A19" s="24"/>
      <c r="B19" s="24"/>
      <c r="C19" s="39" t="s">
        <v>120</v>
      </c>
      <c r="D19" s="87">
        <v>1000</v>
      </c>
      <c r="E19" s="232">
        <v>2500</v>
      </c>
      <c r="F19" s="232"/>
      <c r="G19" s="35">
        <f t="shared" si="0"/>
        <v>3500</v>
      </c>
      <c r="H19" s="42"/>
      <c r="I19" s="218">
        <v>403.53195631015467</v>
      </c>
      <c r="J19" s="42"/>
      <c r="K19" s="199">
        <f t="shared" ref="K19:K24" si="4">SUM(H19:J19)</f>
        <v>403.53195631015467</v>
      </c>
      <c r="L19" s="42">
        <v>570.95000000000005</v>
      </c>
      <c r="M19" s="42">
        <v>77.64</v>
      </c>
      <c r="N19" s="42"/>
      <c r="O19" s="199">
        <f t="shared" ref="O19:O24" si="5">+SUM(L19:N19)</f>
        <v>648.59</v>
      </c>
      <c r="P19" s="43"/>
      <c r="Q19" s="43"/>
      <c r="R19" s="43"/>
      <c r="S19" s="36">
        <f t="shared" ref="S19:S24" si="6">SUM(P19:R19)</f>
        <v>0</v>
      </c>
      <c r="T19" s="36">
        <f t="shared" ref="T19:T24" si="7">S19+O19+K19</f>
        <v>1052.1219563101547</v>
      </c>
      <c r="V19" s="230"/>
    </row>
    <row r="20" spans="1:22" x14ac:dyDescent="0.35">
      <c r="A20" s="24"/>
      <c r="B20" s="24"/>
      <c r="C20" s="39" t="s">
        <v>121</v>
      </c>
      <c r="D20" s="87">
        <v>2000</v>
      </c>
      <c r="E20" s="44"/>
      <c r="F20" s="44"/>
      <c r="G20" s="35">
        <f t="shared" si="0"/>
        <v>2000</v>
      </c>
      <c r="H20" s="42"/>
      <c r="I20" s="218">
        <v>807.06391262030934</v>
      </c>
      <c r="J20" s="42"/>
      <c r="K20" s="199">
        <f t="shared" si="4"/>
        <v>807.06391262030934</v>
      </c>
      <c r="L20" s="42">
        <v>0</v>
      </c>
      <c r="M20" s="42">
        <v>0</v>
      </c>
      <c r="N20" s="42"/>
      <c r="O20" s="199">
        <f t="shared" si="5"/>
        <v>0</v>
      </c>
      <c r="P20" s="43"/>
      <c r="Q20" s="43"/>
      <c r="R20" s="43"/>
      <c r="S20" s="36">
        <f t="shared" si="6"/>
        <v>0</v>
      </c>
      <c r="T20" s="36">
        <f t="shared" si="7"/>
        <v>807.06391262030934</v>
      </c>
      <c r="V20" s="230"/>
    </row>
    <row r="21" spans="1:22" x14ac:dyDescent="0.35">
      <c r="A21" s="24"/>
      <c r="B21" s="24"/>
      <c r="C21" s="45" t="s">
        <v>122</v>
      </c>
      <c r="D21" s="87">
        <v>10000</v>
      </c>
      <c r="E21" s="44">
        <v>50000</v>
      </c>
      <c r="F21" s="44"/>
      <c r="G21" s="35">
        <f t="shared" si="0"/>
        <v>60000</v>
      </c>
      <c r="H21" s="42">
        <v>3753</v>
      </c>
      <c r="I21" s="218">
        <v>2520.8641310695361</v>
      </c>
      <c r="J21" s="42"/>
      <c r="K21" s="199">
        <f t="shared" si="4"/>
        <v>6273.8641310695366</v>
      </c>
      <c r="L21" s="42">
        <v>33228.89</v>
      </c>
      <c r="M21" s="42">
        <v>10000</v>
      </c>
      <c r="N21" s="42"/>
      <c r="O21" s="199">
        <f t="shared" si="5"/>
        <v>43228.89</v>
      </c>
      <c r="P21" s="43"/>
      <c r="Q21" s="43"/>
      <c r="R21" s="43"/>
      <c r="S21" s="36">
        <f t="shared" si="6"/>
        <v>0</v>
      </c>
      <c r="T21" s="36">
        <f t="shared" si="7"/>
        <v>49502.754131069538</v>
      </c>
      <c r="V21" s="230"/>
    </row>
    <row r="22" spans="1:22" x14ac:dyDescent="0.35">
      <c r="A22" s="24"/>
      <c r="B22" s="24"/>
      <c r="C22" s="39" t="s">
        <v>123</v>
      </c>
      <c r="D22" s="87">
        <v>3000</v>
      </c>
      <c r="E22" s="44">
        <v>27500</v>
      </c>
      <c r="F22" s="44"/>
      <c r="G22" s="35">
        <f t="shared" si="0"/>
        <v>30500</v>
      </c>
      <c r="H22" s="40">
        <v>3000</v>
      </c>
      <c r="I22" s="87">
        <v>0</v>
      </c>
      <c r="J22" s="40"/>
      <c r="K22" s="199">
        <f t="shared" si="4"/>
        <v>3000</v>
      </c>
      <c r="L22" s="42">
        <v>13573</v>
      </c>
      <c r="M22" s="42">
        <v>0</v>
      </c>
      <c r="N22" s="42"/>
      <c r="O22" s="199">
        <f t="shared" si="5"/>
        <v>13573</v>
      </c>
      <c r="P22" s="43"/>
      <c r="Q22" s="43"/>
      <c r="R22" s="43"/>
      <c r="S22" s="36">
        <f t="shared" si="6"/>
        <v>0</v>
      </c>
      <c r="T22" s="36">
        <f t="shared" si="7"/>
        <v>16573</v>
      </c>
      <c r="V22" s="230"/>
    </row>
    <row r="23" spans="1:22" x14ac:dyDescent="0.35">
      <c r="A23" s="24"/>
      <c r="B23" s="24"/>
      <c r="C23" s="39" t="s">
        <v>124</v>
      </c>
      <c r="D23" s="87">
        <v>0</v>
      </c>
      <c r="E23" s="44"/>
      <c r="F23" s="44"/>
      <c r="G23" s="35">
        <f t="shared" si="0"/>
        <v>0</v>
      </c>
      <c r="H23" s="42"/>
      <c r="I23" s="218">
        <v>0</v>
      </c>
      <c r="J23" s="42"/>
      <c r="K23" s="199">
        <f t="shared" si="4"/>
        <v>0</v>
      </c>
      <c r="L23" s="42">
        <v>0</v>
      </c>
      <c r="M23" s="42">
        <v>0</v>
      </c>
      <c r="N23" s="42"/>
      <c r="O23" s="199">
        <f t="shared" si="5"/>
        <v>0</v>
      </c>
      <c r="P23" s="43"/>
      <c r="Q23" s="43"/>
      <c r="R23" s="43"/>
      <c r="S23" s="36">
        <f t="shared" si="6"/>
        <v>0</v>
      </c>
      <c r="T23" s="36">
        <f>S23+O23+K23</f>
        <v>0</v>
      </c>
      <c r="V23" s="230"/>
    </row>
    <row r="24" spans="1:22" x14ac:dyDescent="0.35">
      <c r="A24" s="24"/>
      <c r="B24" s="24"/>
      <c r="C24" s="39" t="s">
        <v>125</v>
      </c>
      <c r="D24" s="87">
        <v>2500</v>
      </c>
      <c r="E24" s="44">
        <v>10000</v>
      </c>
      <c r="F24" s="44"/>
      <c r="G24" s="35">
        <f t="shared" si="0"/>
        <v>12500</v>
      </c>
      <c r="H24" s="40">
        <v>2500</v>
      </c>
      <c r="I24" s="87">
        <v>0</v>
      </c>
      <c r="J24" s="40"/>
      <c r="K24" s="199">
        <f t="shared" si="4"/>
        <v>2500</v>
      </c>
      <c r="L24" s="42">
        <v>7045.29</v>
      </c>
      <c r="M24" s="42"/>
      <c r="N24" s="218">
        <v>2954.71</v>
      </c>
      <c r="O24" s="229">
        <f t="shared" si="5"/>
        <v>10000</v>
      </c>
      <c r="P24" s="43"/>
      <c r="Q24" s="43"/>
      <c r="R24" s="43"/>
      <c r="S24" s="36">
        <f t="shared" si="6"/>
        <v>0</v>
      </c>
      <c r="T24" s="36">
        <f t="shared" si="7"/>
        <v>12500</v>
      </c>
      <c r="V24" s="230"/>
    </row>
    <row r="25" spans="1:22" x14ac:dyDescent="0.35">
      <c r="A25" s="24"/>
      <c r="B25" s="24"/>
      <c r="C25" s="47" t="s">
        <v>126</v>
      </c>
      <c r="D25" s="48">
        <f>SUM(D18:D24)</f>
        <v>18500</v>
      </c>
      <c r="E25" s="48">
        <f>SUM(E18:E24)</f>
        <v>90000</v>
      </c>
      <c r="F25" s="48">
        <f>SUM(F18:F24)</f>
        <v>0</v>
      </c>
      <c r="G25" s="35">
        <f t="shared" si="0"/>
        <v>108500</v>
      </c>
      <c r="H25" s="49">
        <f>SUM(H20:H24)</f>
        <v>9253</v>
      </c>
      <c r="I25" s="49">
        <f t="shared" ref="I25:K25" si="8">SUM(I20:I24)</f>
        <v>3327.9280436898453</v>
      </c>
      <c r="J25" s="49">
        <f t="shared" si="8"/>
        <v>0</v>
      </c>
      <c r="K25" s="49">
        <f t="shared" si="8"/>
        <v>12580.928043689846</v>
      </c>
      <c r="L25" s="49">
        <f>SUM(L18:L24)</f>
        <v>54418.13</v>
      </c>
      <c r="M25" s="49">
        <f t="shared" ref="M25:O25" si="9">SUM(M18:M24)</f>
        <v>10077.64</v>
      </c>
      <c r="N25" s="49">
        <f t="shared" si="9"/>
        <v>2954.71</v>
      </c>
      <c r="O25" s="49">
        <f t="shared" si="9"/>
        <v>67450.48</v>
      </c>
      <c r="P25" s="49">
        <f>SUM(P18:P24)</f>
        <v>0</v>
      </c>
      <c r="Q25" s="49">
        <f t="shared" ref="Q25:T25" si="10">SUM(Q18:Q24)</f>
        <v>0</v>
      </c>
      <c r="R25" s="49">
        <f t="shared" si="10"/>
        <v>0</v>
      </c>
      <c r="S25" s="49">
        <f t="shared" si="10"/>
        <v>0</v>
      </c>
      <c r="T25" s="49">
        <f t="shared" si="10"/>
        <v>80434.94</v>
      </c>
      <c r="V25" s="230"/>
    </row>
    <row r="26" spans="1:22" x14ac:dyDescent="0.35">
      <c r="A26" s="31"/>
      <c r="B26" s="31"/>
      <c r="C26" s="50"/>
      <c r="D26" s="51"/>
      <c r="E26" s="51"/>
      <c r="F26" s="51"/>
      <c r="G26" s="52"/>
      <c r="H26" s="53"/>
      <c r="I26" s="53"/>
      <c r="J26" s="53"/>
      <c r="K26" s="200"/>
      <c r="L26" s="53"/>
      <c r="M26" s="53"/>
      <c r="N26" s="53"/>
      <c r="O26" s="200"/>
      <c r="P26" s="53"/>
      <c r="Q26" s="53"/>
      <c r="R26" s="53"/>
      <c r="S26" s="200"/>
      <c r="T26" s="54"/>
      <c r="V26" s="230"/>
    </row>
    <row r="27" spans="1:22" x14ac:dyDescent="0.35">
      <c r="A27" s="24"/>
      <c r="B27" s="24"/>
      <c r="C27" s="318" t="s">
        <v>127</v>
      </c>
      <c r="D27" s="318"/>
      <c r="E27" s="318"/>
      <c r="F27" s="318"/>
      <c r="G27" s="318"/>
      <c r="H27" s="318"/>
      <c r="I27" s="318"/>
      <c r="J27" s="318"/>
      <c r="K27" s="318"/>
      <c r="L27" s="318"/>
      <c r="M27" s="318"/>
      <c r="N27" s="318"/>
      <c r="O27" s="318"/>
      <c r="P27" s="318"/>
      <c r="Q27" s="318"/>
      <c r="R27" s="318"/>
      <c r="S27" s="318"/>
      <c r="T27" s="318"/>
      <c r="V27" s="230"/>
    </row>
    <row r="28" spans="1:22" x14ac:dyDescent="0.35">
      <c r="A28" s="24"/>
      <c r="B28" s="24"/>
      <c r="C28" s="33" t="s">
        <v>128</v>
      </c>
      <c r="D28" s="35">
        <f>D36</f>
        <v>153000</v>
      </c>
      <c r="E28" s="35">
        <f>E36</f>
        <v>180000</v>
      </c>
      <c r="F28" s="35">
        <f>F36</f>
        <v>0</v>
      </c>
      <c r="G28" s="35">
        <f t="shared" ref="G28:G36" si="11">SUM(D28:F28)</f>
        <v>333000</v>
      </c>
      <c r="H28" s="37">
        <f>+H36</f>
        <v>122156.492</v>
      </c>
      <c r="I28" s="37">
        <f t="shared" ref="I28:J28" si="12">+I36</f>
        <v>6179.8400000000038</v>
      </c>
      <c r="J28" s="37">
        <f t="shared" si="12"/>
        <v>865.71143462358305</v>
      </c>
      <c r="K28" s="37">
        <f t="shared" ref="K28" si="13">+K36</f>
        <v>127198.43217224706</v>
      </c>
      <c r="L28" s="37">
        <f>+L36</f>
        <v>19961.61</v>
      </c>
      <c r="M28" s="37">
        <f t="shared" ref="M28:O28" si="14">+M36</f>
        <v>35079.69</v>
      </c>
      <c r="N28" s="37">
        <f t="shared" si="14"/>
        <v>3045.29</v>
      </c>
      <c r="O28" s="37">
        <f t="shared" si="14"/>
        <v>58086.59</v>
      </c>
      <c r="P28" s="37">
        <f>+P36</f>
        <v>0</v>
      </c>
      <c r="Q28" s="37">
        <f t="shared" ref="Q28:S28" si="15">+Q36</f>
        <v>0</v>
      </c>
      <c r="R28" s="37">
        <f t="shared" si="15"/>
        <v>0</v>
      </c>
      <c r="S28" s="37">
        <f t="shared" si="15"/>
        <v>0</v>
      </c>
      <c r="T28" s="38">
        <f>+T36</f>
        <v>187288.63343462357</v>
      </c>
      <c r="V28" s="230"/>
    </row>
    <row r="29" spans="1:22" x14ac:dyDescent="0.35">
      <c r="A29" s="24"/>
      <c r="B29" s="24"/>
      <c r="C29" s="39" t="s">
        <v>119</v>
      </c>
      <c r="D29" s="40">
        <v>0</v>
      </c>
      <c r="E29" s="41"/>
      <c r="F29" s="41"/>
      <c r="G29" s="35">
        <f>SUM(D29:F29)</f>
        <v>0</v>
      </c>
      <c r="H29" s="42"/>
      <c r="I29" s="185">
        <v>0</v>
      </c>
      <c r="J29" s="185"/>
      <c r="K29" s="201">
        <f>SUM(H29:J29)</f>
        <v>0</v>
      </c>
      <c r="L29" s="55"/>
      <c r="M29" s="55"/>
      <c r="N29" s="55"/>
      <c r="O29" s="204">
        <f>+SUM(L29:N29)</f>
        <v>0</v>
      </c>
      <c r="P29" s="43"/>
      <c r="Q29" s="43"/>
      <c r="R29" s="43"/>
      <c r="S29" s="36">
        <f>SUM(P29:R29)</f>
        <v>0</v>
      </c>
      <c r="T29" s="36">
        <f>+S29+O29+K29</f>
        <v>0</v>
      </c>
      <c r="V29" s="230"/>
    </row>
    <row r="30" spans="1:22" x14ac:dyDescent="0.35">
      <c r="A30" s="24"/>
      <c r="B30" s="24"/>
      <c r="C30" s="39" t="s">
        <v>120</v>
      </c>
      <c r="D30" s="40">
        <v>10000</v>
      </c>
      <c r="E30" s="41">
        <v>4000</v>
      </c>
      <c r="F30" s="41"/>
      <c r="G30" s="35">
        <f t="shared" si="11"/>
        <v>14000</v>
      </c>
      <c r="H30" s="42"/>
      <c r="I30" s="185">
        <v>2003.6112623765111</v>
      </c>
      <c r="J30" s="185"/>
      <c r="K30" s="201">
        <f t="shared" ref="K30:K35" si="16">SUM(H30:J30)</f>
        <v>2003.6112623765111</v>
      </c>
      <c r="L30" s="55">
        <v>594.66</v>
      </c>
      <c r="M30" s="55">
        <v>159.69</v>
      </c>
      <c r="N30" s="55"/>
      <c r="O30" s="204">
        <f t="shared" ref="O30:O35" si="17">+SUM(L30:N30)</f>
        <v>754.34999999999991</v>
      </c>
      <c r="P30" s="43"/>
      <c r="Q30" s="43"/>
      <c r="R30" s="43"/>
      <c r="S30" s="36">
        <f t="shared" ref="S30:S35" si="18">SUM(P30:R30)</f>
        <v>0</v>
      </c>
      <c r="T30" s="36">
        <f t="shared" ref="T30:T35" si="19">+S30+O30+K30</f>
        <v>2757.9612623765111</v>
      </c>
      <c r="V30" s="230"/>
    </row>
    <row r="31" spans="1:22" x14ac:dyDescent="0.35">
      <c r="A31" s="24"/>
      <c r="B31" s="24"/>
      <c r="C31" s="39" t="s">
        <v>121</v>
      </c>
      <c r="D31" s="40">
        <v>19000</v>
      </c>
      <c r="E31" s="44"/>
      <c r="F31" s="44"/>
      <c r="G31" s="35">
        <f t="shared" si="11"/>
        <v>19000</v>
      </c>
      <c r="H31" s="42"/>
      <c r="I31" s="185">
        <v>3806.8613985153711</v>
      </c>
      <c r="J31" s="185"/>
      <c r="K31" s="201">
        <f t="shared" si="16"/>
        <v>3806.8613985153711</v>
      </c>
      <c r="L31" s="55"/>
      <c r="M31" s="55"/>
      <c r="N31" s="55"/>
      <c r="O31" s="204">
        <f t="shared" si="17"/>
        <v>0</v>
      </c>
      <c r="P31" s="43"/>
      <c r="Q31" s="43"/>
      <c r="R31" s="43"/>
      <c r="S31" s="36">
        <f t="shared" si="18"/>
        <v>0</v>
      </c>
      <c r="T31" s="36">
        <f t="shared" si="19"/>
        <v>3806.8613985153711</v>
      </c>
      <c r="V31" s="230"/>
    </row>
    <row r="32" spans="1:22" x14ac:dyDescent="0.35">
      <c r="A32" s="24"/>
      <c r="B32" s="24"/>
      <c r="C32" s="45" t="s">
        <v>122</v>
      </c>
      <c r="D32" s="40">
        <v>87000</v>
      </c>
      <c r="E32" s="44">
        <v>30000</v>
      </c>
      <c r="F32" s="44"/>
      <c r="G32" s="35">
        <f t="shared" si="11"/>
        <v>117000</v>
      </c>
      <c r="H32" s="42">
        <f>86239.47-0.35</f>
        <v>86239.12</v>
      </c>
      <c r="I32" s="185">
        <v>152.45077373170488</v>
      </c>
      <c r="J32" s="185"/>
      <c r="K32" s="201">
        <f t="shared" si="16"/>
        <v>86391.570773731699</v>
      </c>
      <c r="L32" s="55"/>
      <c r="M32" s="55">
        <v>25126</v>
      </c>
      <c r="N32" s="55"/>
      <c r="O32" s="204">
        <f t="shared" si="17"/>
        <v>25126</v>
      </c>
      <c r="P32" s="43"/>
      <c r="Q32" s="43"/>
      <c r="R32" s="43"/>
      <c r="S32" s="36">
        <f t="shared" si="18"/>
        <v>0</v>
      </c>
      <c r="T32" s="36">
        <f t="shared" si="19"/>
        <v>111517.5707737317</v>
      </c>
      <c r="V32" s="230"/>
    </row>
    <row r="33" spans="1:22" x14ac:dyDescent="0.35">
      <c r="A33" s="24"/>
      <c r="B33" s="24"/>
      <c r="C33" s="39" t="s">
        <v>123</v>
      </c>
      <c r="D33" s="40">
        <v>27000</v>
      </c>
      <c r="E33" s="44">
        <v>90000</v>
      </c>
      <c r="F33" s="44"/>
      <c r="G33" s="35">
        <f t="shared" si="11"/>
        <v>117000</v>
      </c>
      <c r="H33" s="42">
        <v>25917.371999999999</v>
      </c>
      <c r="I33" s="185">
        <v>216.91656537641586</v>
      </c>
      <c r="J33" s="185">
        <v>865.71143462358305</v>
      </c>
      <c r="K33" s="201">
        <f t="shared" si="16"/>
        <v>27000</v>
      </c>
      <c r="L33" s="55">
        <v>12302</v>
      </c>
      <c r="M33" s="55">
        <v>9794</v>
      </c>
      <c r="N33" s="55"/>
      <c r="O33" s="204">
        <f t="shared" si="17"/>
        <v>22096</v>
      </c>
      <c r="P33" s="43"/>
      <c r="Q33" s="43"/>
      <c r="R33" s="43"/>
      <c r="S33" s="36">
        <f t="shared" si="18"/>
        <v>0</v>
      </c>
      <c r="T33" s="36">
        <f t="shared" si="19"/>
        <v>49096</v>
      </c>
      <c r="V33" s="230"/>
    </row>
    <row r="34" spans="1:22" x14ac:dyDescent="0.35">
      <c r="A34" s="24"/>
      <c r="B34" s="24"/>
      <c r="C34" s="39" t="s">
        <v>124</v>
      </c>
      <c r="D34" s="40">
        <v>0</v>
      </c>
      <c r="E34" s="44"/>
      <c r="F34" s="44"/>
      <c r="G34" s="35">
        <f t="shared" si="11"/>
        <v>0</v>
      </c>
      <c r="H34" s="42"/>
      <c r="I34" s="185">
        <v>0</v>
      </c>
      <c r="J34" s="185"/>
      <c r="K34" s="201">
        <f t="shared" si="16"/>
        <v>0</v>
      </c>
      <c r="L34" s="55"/>
      <c r="M34" s="55"/>
      <c r="N34" s="55"/>
      <c r="O34" s="204">
        <f t="shared" si="17"/>
        <v>0</v>
      </c>
      <c r="P34" s="43"/>
      <c r="Q34" s="43"/>
      <c r="R34" s="43"/>
      <c r="S34" s="36">
        <f t="shared" si="18"/>
        <v>0</v>
      </c>
      <c r="T34" s="36">
        <f t="shared" si="19"/>
        <v>0</v>
      </c>
      <c r="V34" s="230"/>
    </row>
    <row r="35" spans="1:22" x14ac:dyDescent="0.35">
      <c r="A35" s="24"/>
      <c r="B35" s="24"/>
      <c r="C35" s="39" t="s">
        <v>125</v>
      </c>
      <c r="D35" s="40">
        <v>10000</v>
      </c>
      <c r="E35" s="44">
        <v>56000</v>
      </c>
      <c r="F35" s="44"/>
      <c r="G35" s="35">
        <f t="shared" si="11"/>
        <v>66000</v>
      </c>
      <c r="H35" s="40">
        <v>10000</v>
      </c>
      <c r="I35" s="186">
        <v>0</v>
      </c>
      <c r="J35" s="186"/>
      <c r="K35" s="201">
        <f t="shared" si="16"/>
        <v>10000</v>
      </c>
      <c r="L35" s="55">
        <v>7064.95</v>
      </c>
      <c r="M35" s="55"/>
      <c r="N35" s="55">
        <v>3045.29</v>
      </c>
      <c r="O35" s="204">
        <f t="shared" si="17"/>
        <v>10110.24</v>
      </c>
      <c r="P35" s="43"/>
      <c r="Q35" s="43"/>
      <c r="R35" s="43"/>
      <c r="S35" s="36">
        <f t="shared" si="18"/>
        <v>0</v>
      </c>
      <c r="T35" s="36">
        <f t="shared" si="19"/>
        <v>20110.239999999998</v>
      </c>
      <c r="V35" s="230"/>
    </row>
    <row r="36" spans="1:22" x14ac:dyDescent="0.35">
      <c r="A36" s="24"/>
      <c r="B36" s="24"/>
      <c r="C36" s="47" t="s">
        <v>126</v>
      </c>
      <c r="D36" s="48">
        <f>SUM(D29:D35)</f>
        <v>153000</v>
      </c>
      <c r="E36" s="48">
        <f>SUM(E29:E35)</f>
        <v>180000</v>
      </c>
      <c r="F36" s="48">
        <f>SUM(F29:F35)</f>
        <v>0</v>
      </c>
      <c r="G36" s="56">
        <f t="shared" si="11"/>
        <v>333000</v>
      </c>
      <c r="H36" s="58">
        <f>SUM(H31:H35)</f>
        <v>122156.492</v>
      </c>
      <c r="I36" s="58">
        <f>SUM(I29:I35)</f>
        <v>6179.8400000000038</v>
      </c>
      <c r="J36" s="58">
        <f t="shared" ref="J36:K36" si="20">SUM(J31:J35)</f>
        <v>865.71143462358305</v>
      </c>
      <c r="K36" s="58">
        <f t="shared" si="20"/>
        <v>127198.43217224706</v>
      </c>
      <c r="L36" s="58">
        <f>SUM(L29:L35)</f>
        <v>19961.61</v>
      </c>
      <c r="M36" s="58">
        <f t="shared" ref="M36:O36" si="21">SUM(M29:M35)</f>
        <v>35079.69</v>
      </c>
      <c r="N36" s="58">
        <f t="shared" si="21"/>
        <v>3045.29</v>
      </c>
      <c r="O36" s="58">
        <f t="shared" si="21"/>
        <v>58086.59</v>
      </c>
      <c r="P36" s="58">
        <f>SUM(P29:P35)</f>
        <v>0</v>
      </c>
      <c r="Q36" s="58">
        <f t="shared" ref="Q36:S36" si="22">SUM(Q29:Q35)</f>
        <v>0</v>
      </c>
      <c r="R36" s="58">
        <f t="shared" si="22"/>
        <v>0</v>
      </c>
      <c r="S36" s="58">
        <f t="shared" si="22"/>
        <v>0</v>
      </c>
      <c r="T36" s="57">
        <f>SUM(T29:T35)</f>
        <v>187288.63343462357</v>
      </c>
      <c r="V36" s="230"/>
    </row>
    <row r="37" spans="1:22" x14ac:dyDescent="0.35">
      <c r="A37" s="31"/>
      <c r="B37" s="31"/>
      <c r="C37" s="50"/>
      <c r="D37" s="51"/>
      <c r="E37" s="51"/>
      <c r="F37" s="51"/>
      <c r="G37" s="59"/>
      <c r="H37" s="53"/>
      <c r="I37" s="53"/>
      <c r="J37" s="53"/>
      <c r="K37" s="200"/>
      <c r="L37" s="43"/>
      <c r="M37" s="43"/>
      <c r="N37" s="43"/>
      <c r="O37" s="36"/>
      <c r="P37" s="53"/>
      <c r="Q37" s="53"/>
      <c r="R37" s="53"/>
      <c r="S37" s="200"/>
      <c r="T37" s="54"/>
      <c r="V37" s="230"/>
    </row>
    <row r="38" spans="1:22" hidden="1" x14ac:dyDescent="0.35">
      <c r="A38" s="24"/>
      <c r="B38" s="24"/>
      <c r="C38" s="323" t="s">
        <v>129</v>
      </c>
      <c r="D38" s="324"/>
      <c r="E38" s="324"/>
      <c r="F38" s="324"/>
      <c r="G38" s="324"/>
      <c r="H38" s="324"/>
      <c r="I38" s="324"/>
      <c r="J38" s="324"/>
      <c r="K38" s="324"/>
      <c r="L38" s="324"/>
      <c r="M38" s="324"/>
      <c r="N38" s="324"/>
      <c r="O38" s="324"/>
      <c r="P38" s="324"/>
      <c r="Q38" s="324"/>
      <c r="R38" s="324"/>
      <c r="S38" s="324"/>
      <c r="T38" s="325"/>
      <c r="V38" s="230"/>
    </row>
    <row r="39" spans="1:22" ht="13" hidden="1" thickBot="1" x14ac:dyDescent="0.4">
      <c r="A39" s="24"/>
      <c r="B39" s="24"/>
      <c r="C39" s="60" t="s">
        <v>130</v>
      </c>
      <c r="D39" s="61">
        <f>'[2]1) Tableau budgétaire 1'!D44</f>
        <v>0</v>
      </c>
      <c r="E39" s="61">
        <f>'[2]1) Tableau budgétaire 1'!E44</f>
        <v>0</v>
      </c>
      <c r="F39" s="61"/>
      <c r="G39" s="61"/>
      <c r="H39" s="37">
        <f>+H47</f>
        <v>0</v>
      </c>
      <c r="I39" s="37"/>
      <c r="J39" s="37"/>
      <c r="K39" s="38"/>
      <c r="L39" s="37">
        <f>+L47</f>
        <v>0</v>
      </c>
      <c r="M39" s="37"/>
      <c r="N39" s="37"/>
      <c r="O39" s="38"/>
      <c r="P39" s="37">
        <f>+P47</f>
        <v>0</v>
      </c>
      <c r="Q39" s="37"/>
      <c r="R39" s="37"/>
      <c r="S39" s="38"/>
      <c r="T39" s="38">
        <f>+T47</f>
        <v>0</v>
      </c>
      <c r="V39" s="230"/>
    </row>
    <row r="40" spans="1:22" hidden="1" x14ac:dyDescent="0.35">
      <c r="A40" s="24"/>
      <c r="B40" s="24"/>
      <c r="C40" s="62" t="s">
        <v>119</v>
      </c>
      <c r="D40" s="63"/>
      <c r="E40" s="64"/>
      <c r="F40" s="41"/>
      <c r="G40" s="65">
        <f t="shared" ref="G40:G47" si="23">SUM(D40:F40)</f>
        <v>0</v>
      </c>
      <c r="H40" s="42"/>
      <c r="I40" s="185"/>
      <c r="J40" s="185"/>
      <c r="K40" s="201"/>
      <c r="L40" s="55"/>
      <c r="M40" s="55"/>
      <c r="N40" s="55"/>
      <c r="O40" s="204"/>
      <c r="P40" s="43"/>
      <c r="Q40" s="43"/>
      <c r="R40" s="43"/>
      <c r="S40" s="36"/>
      <c r="T40" s="36"/>
      <c r="V40" s="230"/>
    </row>
    <row r="41" spans="1:22" hidden="1" x14ac:dyDescent="0.35">
      <c r="A41" s="31"/>
      <c r="B41" s="31"/>
      <c r="C41" s="39" t="s">
        <v>120</v>
      </c>
      <c r="D41" s="44"/>
      <c r="E41" s="41"/>
      <c r="F41" s="44"/>
      <c r="G41" s="35">
        <f t="shared" si="23"/>
        <v>0</v>
      </c>
      <c r="H41" s="42"/>
      <c r="I41" s="185"/>
      <c r="J41" s="185"/>
      <c r="K41" s="201"/>
      <c r="L41" s="55"/>
      <c r="M41" s="55"/>
      <c r="N41" s="55"/>
      <c r="O41" s="204"/>
      <c r="P41" s="43"/>
      <c r="Q41" s="43"/>
      <c r="R41" s="43"/>
      <c r="S41" s="36"/>
      <c r="T41" s="36"/>
      <c r="V41" s="230"/>
    </row>
    <row r="42" spans="1:22" hidden="1" x14ac:dyDescent="0.35">
      <c r="A42" s="31"/>
      <c r="B42" s="31"/>
      <c r="C42" s="39" t="s">
        <v>121</v>
      </c>
      <c r="D42" s="44"/>
      <c r="E42" s="44"/>
      <c r="F42" s="44"/>
      <c r="G42" s="35">
        <f t="shared" si="23"/>
        <v>0</v>
      </c>
      <c r="H42" s="42"/>
      <c r="I42" s="185"/>
      <c r="J42" s="185"/>
      <c r="K42" s="201"/>
      <c r="L42" s="55"/>
      <c r="M42" s="55"/>
      <c r="N42" s="55"/>
      <c r="O42" s="204"/>
      <c r="P42" s="43"/>
      <c r="Q42" s="43"/>
      <c r="R42" s="43"/>
      <c r="S42" s="36"/>
      <c r="T42" s="36"/>
      <c r="V42" s="230"/>
    </row>
    <row r="43" spans="1:22" hidden="1" x14ac:dyDescent="0.35">
      <c r="A43" s="31"/>
      <c r="B43" s="31"/>
      <c r="C43" s="45" t="s">
        <v>122</v>
      </c>
      <c r="D43" s="44">
        <v>0</v>
      </c>
      <c r="E43" s="44"/>
      <c r="F43" s="44"/>
      <c r="G43" s="35">
        <f t="shared" si="23"/>
        <v>0</v>
      </c>
      <c r="H43" s="42"/>
      <c r="I43" s="185"/>
      <c r="J43" s="185"/>
      <c r="K43" s="201"/>
      <c r="L43" s="55"/>
      <c r="M43" s="55"/>
      <c r="N43" s="55"/>
      <c r="O43" s="204"/>
      <c r="P43" s="43"/>
      <c r="Q43" s="43"/>
      <c r="R43" s="43"/>
      <c r="S43" s="36"/>
      <c r="T43" s="36"/>
      <c r="V43" s="230"/>
    </row>
    <row r="44" spans="1:22" hidden="1" x14ac:dyDescent="0.35">
      <c r="A44" s="24"/>
      <c r="B44" s="24"/>
      <c r="C44" s="39" t="s">
        <v>123</v>
      </c>
      <c r="D44" s="44">
        <v>0</v>
      </c>
      <c r="E44" s="44"/>
      <c r="F44" s="44"/>
      <c r="G44" s="35">
        <f t="shared" si="23"/>
        <v>0</v>
      </c>
      <c r="H44" s="42"/>
      <c r="I44" s="185"/>
      <c r="J44" s="185"/>
      <c r="K44" s="201"/>
      <c r="L44" s="55"/>
      <c r="M44" s="55"/>
      <c r="N44" s="55"/>
      <c r="O44" s="204"/>
      <c r="P44" s="43"/>
      <c r="Q44" s="43"/>
      <c r="R44" s="43"/>
      <c r="S44" s="36"/>
      <c r="T44" s="36"/>
      <c r="V44" s="230"/>
    </row>
    <row r="45" spans="1:22" hidden="1" x14ac:dyDescent="0.35">
      <c r="A45" s="24"/>
      <c r="B45" s="24"/>
      <c r="C45" s="39" t="s">
        <v>124</v>
      </c>
      <c r="D45" s="44"/>
      <c r="E45" s="44"/>
      <c r="F45" s="44"/>
      <c r="G45" s="35">
        <f t="shared" si="23"/>
        <v>0</v>
      </c>
      <c r="H45" s="42"/>
      <c r="I45" s="185"/>
      <c r="J45" s="185"/>
      <c r="K45" s="201"/>
      <c r="L45" s="55"/>
      <c r="M45" s="55"/>
      <c r="N45" s="55"/>
      <c r="O45" s="204"/>
      <c r="P45" s="43"/>
      <c r="Q45" s="43"/>
      <c r="R45" s="43"/>
      <c r="S45" s="36"/>
      <c r="T45" s="36"/>
      <c r="V45" s="230"/>
    </row>
    <row r="46" spans="1:22" hidden="1" x14ac:dyDescent="0.35">
      <c r="A46" s="24"/>
      <c r="B46" s="24"/>
      <c r="C46" s="39" t="s">
        <v>125</v>
      </c>
      <c r="D46" s="44"/>
      <c r="E46" s="44"/>
      <c r="F46" s="44"/>
      <c r="G46" s="35">
        <f t="shared" si="23"/>
        <v>0</v>
      </c>
      <c r="H46" s="40"/>
      <c r="I46" s="186"/>
      <c r="J46" s="186"/>
      <c r="K46" s="202"/>
      <c r="L46" s="55"/>
      <c r="M46" s="55"/>
      <c r="N46" s="55"/>
      <c r="O46" s="204"/>
      <c r="P46" s="43"/>
      <c r="Q46" s="43"/>
      <c r="R46" s="43"/>
      <c r="S46" s="36"/>
      <c r="T46" s="36"/>
      <c r="V46" s="230"/>
    </row>
    <row r="47" spans="1:22" hidden="1" x14ac:dyDescent="0.35">
      <c r="A47" s="24"/>
      <c r="B47" s="24"/>
      <c r="C47" s="66" t="s">
        <v>126</v>
      </c>
      <c r="D47" s="67">
        <f>SUM(D40:D46)</f>
        <v>0</v>
      </c>
      <c r="E47" s="67">
        <f>SUM(E40:E46)</f>
        <v>0</v>
      </c>
      <c r="F47" s="67">
        <f>SUM(F40:F46)</f>
        <v>0</v>
      </c>
      <c r="G47" s="68">
        <f t="shared" si="23"/>
        <v>0</v>
      </c>
      <c r="H47" s="58">
        <f>SUM(H42:H46)</f>
        <v>0</v>
      </c>
      <c r="I47" s="58"/>
      <c r="J47" s="58"/>
      <c r="K47" s="57"/>
      <c r="L47" s="58">
        <f>SUM(L40:L46)</f>
        <v>0</v>
      </c>
      <c r="M47" s="58"/>
      <c r="N47" s="58"/>
      <c r="O47" s="57"/>
      <c r="P47" s="58">
        <f>SUM(P40:P46)</f>
        <v>0</v>
      </c>
      <c r="Q47" s="58"/>
      <c r="R47" s="58"/>
      <c r="S47" s="57"/>
      <c r="T47" s="57">
        <f>SUM(T40:T46)</f>
        <v>0</v>
      </c>
      <c r="V47" s="230"/>
    </row>
    <row r="48" spans="1:22" hidden="1" x14ac:dyDescent="0.35">
      <c r="A48" s="24"/>
      <c r="B48" s="24"/>
      <c r="C48" s="69"/>
      <c r="D48" s="70"/>
      <c r="E48" s="70"/>
      <c r="F48" s="70"/>
      <c r="G48" s="71"/>
      <c r="H48" s="27"/>
      <c r="I48" s="27"/>
      <c r="J48" s="27"/>
      <c r="K48" s="203"/>
      <c r="L48" s="27"/>
      <c r="M48" s="27"/>
      <c r="N48" s="27"/>
      <c r="O48" s="203"/>
      <c r="P48" s="27"/>
      <c r="Q48" s="27"/>
      <c r="R48" s="27"/>
      <c r="S48" s="203"/>
      <c r="V48" s="230"/>
    </row>
    <row r="49" spans="1:22" hidden="1" x14ac:dyDescent="0.35">
      <c r="A49" s="31"/>
      <c r="B49" s="31"/>
      <c r="C49" s="326" t="s">
        <v>131</v>
      </c>
      <c r="D49" s="327"/>
      <c r="E49" s="327"/>
      <c r="F49" s="327"/>
      <c r="G49" s="328"/>
      <c r="H49" s="27"/>
      <c r="I49" s="27"/>
      <c r="J49" s="27"/>
      <c r="K49" s="203"/>
      <c r="L49" s="27"/>
      <c r="M49" s="27"/>
      <c r="N49" s="27"/>
      <c r="O49" s="203"/>
      <c r="P49" s="27"/>
      <c r="Q49" s="27"/>
      <c r="R49" s="27"/>
      <c r="S49" s="203"/>
      <c r="V49" s="230"/>
    </row>
    <row r="50" spans="1:22" ht="13" hidden="1" thickBot="1" x14ac:dyDescent="0.4">
      <c r="A50" s="24"/>
      <c r="B50" s="24"/>
      <c r="C50" s="60" t="s">
        <v>132</v>
      </c>
      <c r="D50" s="61">
        <f>'[2]1) Tableau budgétaire 1'!D54</f>
        <v>0</v>
      </c>
      <c r="E50" s="61">
        <f>'[2]1) Tableau budgétaire 1'!E54</f>
        <v>0</v>
      </c>
      <c r="F50" s="61">
        <f>'[2]1) Tableau budgétaire 1'!F54</f>
        <v>0</v>
      </c>
      <c r="G50" s="61">
        <f t="shared" ref="G50:G58" si="24">SUM(D50:F50)</f>
        <v>0</v>
      </c>
      <c r="H50" s="37">
        <f>+H58</f>
        <v>0</v>
      </c>
      <c r="I50" s="37"/>
      <c r="J50" s="37"/>
      <c r="K50" s="38"/>
      <c r="L50" s="37">
        <f>+L58</f>
        <v>0</v>
      </c>
      <c r="M50" s="37"/>
      <c r="N50" s="37"/>
      <c r="O50" s="38"/>
      <c r="P50" s="37">
        <f>+P58</f>
        <v>0</v>
      </c>
      <c r="Q50" s="37"/>
      <c r="R50" s="37"/>
      <c r="S50" s="38"/>
      <c r="T50" s="38">
        <f>+T58</f>
        <v>0</v>
      </c>
      <c r="V50" s="230"/>
    </row>
    <row r="51" spans="1:22" hidden="1" x14ac:dyDescent="0.35">
      <c r="A51" s="24"/>
      <c r="B51" s="24"/>
      <c r="C51" s="62" t="s">
        <v>119</v>
      </c>
      <c r="D51" s="63"/>
      <c r="E51" s="64"/>
      <c r="F51" s="64"/>
      <c r="G51" s="65">
        <f t="shared" si="24"/>
        <v>0</v>
      </c>
      <c r="H51" s="42"/>
      <c r="I51" s="185"/>
      <c r="J51" s="185"/>
      <c r="K51" s="201"/>
      <c r="L51" s="55"/>
      <c r="M51" s="55"/>
      <c r="N51" s="55"/>
      <c r="O51" s="204"/>
      <c r="P51" s="43"/>
      <c r="Q51" s="43"/>
      <c r="R51" s="43"/>
      <c r="S51" s="36"/>
      <c r="T51" s="36"/>
      <c r="V51" s="230"/>
    </row>
    <row r="52" spans="1:22" hidden="1" x14ac:dyDescent="0.35">
      <c r="A52" s="24"/>
      <c r="B52" s="24"/>
      <c r="C52" s="39" t="s">
        <v>120</v>
      </c>
      <c r="D52" s="44"/>
      <c r="E52" s="41"/>
      <c r="F52" s="41"/>
      <c r="G52" s="35">
        <f t="shared" si="24"/>
        <v>0</v>
      </c>
      <c r="H52" s="42"/>
      <c r="I52" s="185"/>
      <c r="J52" s="185"/>
      <c r="K52" s="201"/>
      <c r="L52" s="55"/>
      <c r="M52" s="55"/>
      <c r="N52" s="55"/>
      <c r="O52" s="204"/>
      <c r="P52" s="43"/>
      <c r="Q52" s="43"/>
      <c r="R52" s="43"/>
      <c r="S52" s="36"/>
      <c r="T52" s="36"/>
      <c r="V52" s="230"/>
    </row>
    <row r="53" spans="1:22" hidden="1" x14ac:dyDescent="0.35">
      <c r="A53" s="24"/>
      <c r="B53" s="24"/>
      <c r="C53" s="39" t="s">
        <v>121</v>
      </c>
      <c r="D53" s="44"/>
      <c r="E53" s="44"/>
      <c r="F53" s="44"/>
      <c r="G53" s="35">
        <f t="shared" si="24"/>
        <v>0</v>
      </c>
      <c r="H53" s="42"/>
      <c r="I53" s="185"/>
      <c r="J53" s="185"/>
      <c r="K53" s="201"/>
      <c r="L53" s="55"/>
      <c r="M53" s="55"/>
      <c r="N53" s="55"/>
      <c r="O53" s="204"/>
      <c r="P53" s="43"/>
      <c r="Q53" s="43"/>
      <c r="R53" s="43"/>
      <c r="S53" s="36"/>
      <c r="T53" s="36"/>
      <c r="V53" s="230"/>
    </row>
    <row r="54" spans="1:22" hidden="1" x14ac:dyDescent="0.35">
      <c r="A54" s="31"/>
      <c r="B54" s="31"/>
      <c r="C54" s="45" t="s">
        <v>122</v>
      </c>
      <c r="D54" s="44"/>
      <c r="E54" s="44"/>
      <c r="F54" s="44"/>
      <c r="G54" s="35">
        <f t="shared" si="24"/>
        <v>0</v>
      </c>
      <c r="H54" s="42"/>
      <c r="I54" s="185"/>
      <c r="J54" s="185"/>
      <c r="K54" s="201"/>
      <c r="L54" s="55"/>
      <c r="M54" s="55"/>
      <c r="N54" s="55"/>
      <c r="O54" s="204"/>
      <c r="P54" s="43"/>
      <c r="Q54" s="43"/>
      <c r="R54" s="43"/>
      <c r="S54" s="36"/>
      <c r="T54" s="36"/>
      <c r="V54" s="230"/>
    </row>
    <row r="55" spans="1:22" hidden="1" x14ac:dyDescent="0.35">
      <c r="A55" s="24"/>
      <c r="B55" s="24"/>
      <c r="C55" s="39" t="s">
        <v>123</v>
      </c>
      <c r="D55" s="44"/>
      <c r="E55" s="44"/>
      <c r="F55" s="44"/>
      <c r="G55" s="35">
        <f t="shared" si="24"/>
        <v>0</v>
      </c>
      <c r="H55" s="42"/>
      <c r="I55" s="185"/>
      <c r="J55" s="185"/>
      <c r="K55" s="201"/>
      <c r="L55" s="55"/>
      <c r="M55" s="55"/>
      <c r="N55" s="55"/>
      <c r="O55" s="204"/>
      <c r="P55" s="43"/>
      <c r="Q55" s="43"/>
      <c r="R55" s="43"/>
      <c r="S55" s="36"/>
      <c r="T55" s="36"/>
      <c r="V55" s="230"/>
    </row>
    <row r="56" spans="1:22" hidden="1" x14ac:dyDescent="0.35">
      <c r="A56" s="24"/>
      <c r="B56" s="24"/>
      <c r="C56" s="39" t="s">
        <v>124</v>
      </c>
      <c r="D56" s="44"/>
      <c r="E56" s="44"/>
      <c r="F56" s="44"/>
      <c r="G56" s="35">
        <f t="shared" si="24"/>
        <v>0</v>
      </c>
      <c r="H56" s="42"/>
      <c r="I56" s="185"/>
      <c r="J56" s="185"/>
      <c r="K56" s="201"/>
      <c r="L56" s="55"/>
      <c r="M56" s="55"/>
      <c r="N56" s="55"/>
      <c r="O56" s="204"/>
      <c r="P56" s="43"/>
      <c r="Q56" s="43"/>
      <c r="R56" s="43"/>
      <c r="S56" s="36"/>
      <c r="T56" s="36"/>
      <c r="V56" s="230"/>
    </row>
    <row r="57" spans="1:22" hidden="1" x14ac:dyDescent="0.35">
      <c r="A57" s="24"/>
      <c r="B57" s="24"/>
      <c r="C57" s="39" t="s">
        <v>125</v>
      </c>
      <c r="D57" s="44"/>
      <c r="E57" s="44"/>
      <c r="F57" s="44"/>
      <c r="G57" s="35">
        <f t="shared" si="24"/>
        <v>0</v>
      </c>
      <c r="H57" s="40"/>
      <c r="I57" s="186"/>
      <c r="J57" s="186"/>
      <c r="K57" s="202"/>
      <c r="L57" s="55"/>
      <c r="M57" s="55"/>
      <c r="N57" s="55"/>
      <c r="O57" s="204"/>
      <c r="P57" s="43"/>
      <c r="Q57" s="43"/>
      <c r="R57" s="43"/>
      <c r="S57" s="36"/>
      <c r="T57" s="36"/>
      <c r="V57" s="230"/>
    </row>
    <row r="58" spans="1:22" hidden="1" x14ac:dyDescent="0.35">
      <c r="A58" s="24"/>
      <c r="B58" s="24"/>
      <c r="C58" s="47" t="s">
        <v>126</v>
      </c>
      <c r="D58" s="48">
        <f>SUM(D51:D57)</f>
        <v>0</v>
      </c>
      <c r="E58" s="48">
        <f>SUM(E51:E57)</f>
        <v>0</v>
      </c>
      <c r="F58" s="48">
        <f>SUM(F51:F57)</f>
        <v>0</v>
      </c>
      <c r="G58" s="35">
        <f t="shared" si="24"/>
        <v>0</v>
      </c>
      <c r="H58" s="58">
        <f>SUM(H53:H57)</f>
        <v>0</v>
      </c>
      <c r="I58" s="58"/>
      <c r="J58" s="58"/>
      <c r="K58" s="57"/>
      <c r="L58" s="58">
        <f>SUM(L51:L57)</f>
        <v>0</v>
      </c>
      <c r="M58" s="58"/>
      <c r="N58" s="58"/>
      <c r="O58" s="57"/>
      <c r="P58" s="58">
        <f>SUM(P51:P57)</f>
        <v>0</v>
      </c>
      <c r="Q58" s="58"/>
      <c r="R58" s="58"/>
      <c r="S58" s="57"/>
      <c r="T58" s="57">
        <f>SUM(T51:T57)</f>
        <v>0</v>
      </c>
      <c r="V58" s="230"/>
    </row>
    <row r="59" spans="1:22" x14ac:dyDescent="0.35">
      <c r="A59" s="31"/>
      <c r="B59" s="31"/>
      <c r="C59" s="72"/>
      <c r="D59" s="73"/>
      <c r="E59" s="73"/>
      <c r="F59" s="73"/>
      <c r="G59" s="74"/>
      <c r="V59" s="230"/>
    </row>
    <row r="60" spans="1:22" x14ac:dyDescent="0.35">
      <c r="A60" s="24"/>
      <c r="B60" s="318" t="s">
        <v>133</v>
      </c>
      <c r="C60" s="318"/>
      <c r="D60" s="318"/>
      <c r="E60" s="318"/>
      <c r="F60" s="318"/>
      <c r="G60" s="318"/>
      <c r="H60" s="318"/>
      <c r="I60" s="318"/>
      <c r="J60" s="318"/>
      <c r="K60" s="318"/>
      <c r="L60" s="318"/>
      <c r="M60" s="318"/>
      <c r="N60" s="318"/>
      <c r="O60" s="318"/>
      <c r="P60" s="318"/>
      <c r="Q60" s="318"/>
      <c r="R60" s="318"/>
      <c r="S60" s="318"/>
      <c r="T60" s="318"/>
      <c r="V60" s="230"/>
    </row>
    <row r="61" spans="1:22" x14ac:dyDescent="0.35">
      <c r="A61" s="24"/>
      <c r="B61" s="53"/>
      <c r="C61" s="318" t="s">
        <v>47</v>
      </c>
      <c r="D61" s="318"/>
      <c r="E61" s="318"/>
      <c r="F61" s="318"/>
      <c r="G61" s="318"/>
      <c r="H61" s="318"/>
      <c r="I61" s="318"/>
      <c r="J61" s="318"/>
      <c r="K61" s="318"/>
      <c r="L61" s="318"/>
      <c r="M61" s="318"/>
      <c r="N61" s="318"/>
      <c r="O61" s="318"/>
      <c r="P61" s="318"/>
      <c r="Q61" s="318"/>
      <c r="R61" s="318"/>
      <c r="S61" s="318"/>
      <c r="T61" s="318"/>
      <c r="V61" s="230"/>
    </row>
    <row r="62" spans="1:22" x14ac:dyDescent="0.35">
      <c r="A62" s="24"/>
      <c r="B62" s="24"/>
      <c r="C62" s="33" t="s">
        <v>134</v>
      </c>
      <c r="D62" s="35">
        <f>D70</f>
        <v>481500</v>
      </c>
      <c r="E62" s="35">
        <f>E70</f>
        <v>68000</v>
      </c>
      <c r="F62" s="35">
        <f>F70</f>
        <v>0</v>
      </c>
      <c r="G62" s="35">
        <f t="shared" ref="G62:G70" si="25">SUM(D62:F62)</f>
        <v>549500</v>
      </c>
      <c r="H62" s="37">
        <f>+H70</f>
        <v>366599.67299999995</v>
      </c>
      <c r="I62" s="37">
        <f t="shared" ref="I62:K62" si="26">+I70</f>
        <v>114900.33000000002</v>
      </c>
      <c r="J62" s="37">
        <f t="shared" si="26"/>
        <v>0</v>
      </c>
      <c r="K62" s="37">
        <f t="shared" si="26"/>
        <v>481500.00299999997</v>
      </c>
      <c r="L62" s="37">
        <f>+L70</f>
        <v>14359</v>
      </c>
      <c r="M62" s="37">
        <f t="shared" ref="M62:O62" si="27">+M70</f>
        <v>0</v>
      </c>
      <c r="N62" s="37">
        <f t="shared" si="27"/>
        <v>0</v>
      </c>
      <c r="O62" s="37">
        <f t="shared" si="27"/>
        <v>14359</v>
      </c>
      <c r="P62" s="37">
        <f>+P70</f>
        <v>0</v>
      </c>
      <c r="Q62" s="37">
        <f t="shared" ref="Q62:S62" si="28">+Q70</f>
        <v>0</v>
      </c>
      <c r="R62" s="37">
        <f t="shared" si="28"/>
        <v>0</v>
      </c>
      <c r="S62" s="37">
        <f t="shared" si="28"/>
        <v>0</v>
      </c>
      <c r="T62" s="38">
        <f>+SUM(T63:T69)</f>
        <v>495859.00299999997</v>
      </c>
      <c r="V62" s="230"/>
    </row>
    <row r="63" spans="1:22" x14ac:dyDescent="0.35">
      <c r="A63" s="24"/>
      <c r="B63" s="24"/>
      <c r="C63" s="39" t="s">
        <v>119</v>
      </c>
      <c r="D63" s="40">
        <v>0</v>
      </c>
      <c r="E63" s="41"/>
      <c r="F63" s="41"/>
      <c r="G63" s="35">
        <f t="shared" si="25"/>
        <v>0</v>
      </c>
      <c r="H63" s="42"/>
      <c r="I63" s="185">
        <v>0</v>
      </c>
      <c r="J63" s="185"/>
      <c r="K63" s="201">
        <f>SUM(H63:J63)</f>
        <v>0</v>
      </c>
      <c r="L63" s="55"/>
      <c r="M63" s="55"/>
      <c r="N63" s="55"/>
      <c r="O63" s="204">
        <f>SUM(L63:N63)</f>
        <v>0</v>
      </c>
      <c r="P63" s="43"/>
      <c r="Q63" s="43"/>
      <c r="R63" s="43"/>
      <c r="S63" s="36">
        <f>SUM(P63:R63)</f>
        <v>0</v>
      </c>
      <c r="T63" s="36">
        <f>+S63+O63+K63</f>
        <v>0</v>
      </c>
      <c r="V63" s="230"/>
    </row>
    <row r="64" spans="1:22" x14ac:dyDescent="0.35">
      <c r="A64" s="24"/>
      <c r="B64" s="24"/>
      <c r="C64" s="39" t="s">
        <v>120</v>
      </c>
      <c r="D64" s="40">
        <v>5000</v>
      </c>
      <c r="E64" s="41">
        <v>2500</v>
      </c>
      <c r="F64" s="41"/>
      <c r="G64" s="35">
        <f t="shared" si="25"/>
        <v>7500</v>
      </c>
      <c r="H64" s="42">
        <v>453.35</v>
      </c>
      <c r="I64" s="185">
        <v>4546.6501187111498</v>
      </c>
      <c r="J64" s="185"/>
      <c r="K64" s="201">
        <f t="shared" ref="K64:K69" si="29">SUM(H64:J64)</f>
        <v>5000.0001187111502</v>
      </c>
      <c r="L64" s="55"/>
      <c r="M64" s="55"/>
      <c r="N64" s="55"/>
      <c r="O64" s="204">
        <f t="shared" ref="O64:O69" si="30">SUM(L64:N64)</f>
        <v>0</v>
      </c>
      <c r="P64" s="43"/>
      <c r="Q64" s="43"/>
      <c r="R64" s="43"/>
      <c r="S64" s="36">
        <f t="shared" ref="S64:S69" si="31">SUM(P64:R64)</f>
        <v>0</v>
      </c>
      <c r="T64" s="36">
        <f t="shared" ref="T64:T69" si="32">+S64+O64+K64</f>
        <v>5000.0001187111502</v>
      </c>
      <c r="V64" s="230"/>
    </row>
    <row r="65" spans="1:24" x14ac:dyDescent="0.35">
      <c r="A65" s="24"/>
      <c r="B65" s="24"/>
      <c r="C65" s="39" t="s">
        <v>121</v>
      </c>
      <c r="D65" s="40">
        <v>60000</v>
      </c>
      <c r="E65" s="44"/>
      <c r="F65" s="44"/>
      <c r="G65" s="35">
        <f t="shared" si="25"/>
        <v>60000</v>
      </c>
      <c r="H65" s="42">
        <f>29193.71-6778.495</f>
        <v>22415.215</v>
      </c>
      <c r="I65" s="185">
        <v>37584.785981323184</v>
      </c>
      <c r="J65" s="185"/>
      <c r="K65" s="201">
        <f t="shared" si="29"/>
        <v>60000.000981323188</v>
      </c>
      <c r="L65" s="55"/>
      <c r="M65" s="55"/>
      <c r="N65" s="55"/>
      <c r="O65" s="204">
        <f t="shared" si="30"/>
        <v>0</v>
      </c>
      <c r="P65" s="43"/>
      <c r="Q65" s="43"/>
      <c r="R65" s="43"/>
      <c r="S65" s="36">
        <f t="shared" si="31"/>
        <v>0</v>
      </c>
      <c r="T65" s="36">
        <f t="shared" si="32"/>
        <v>60000.000981323188</v>
      </c>
      <c r="V65" s="230"/>
    </row>
    <row r="66" spans="1:24" x14ac:dyDescent="0.35">
      <c r="A66" s="24"/>
      <c r="B66" s="24"/>
      <c r="C66" s="45" t="s">
        <v>122</v>
      </c>
      <c r="D66" s="40">
        <v>70000</v>
      </c>
      <c r="E66" s="44">
        <v>1500</v>
      </c>
      <c r="F66" s="44"/>
      <c r="G66" s="35">
        <f t="shared" si="25"/>
        <v>71500</v>
      </c>
      <c r="H66" s="42">
        <v>11918.499999999998</v>
      </c>
      <c r="I66" s="185">
        <v>58081.501516483928</v>
      </c>
      <c r="J66" s="185"/>
      <c r="K66" s="201">
        <f t="shared" si="29"/>
        <v>70000.001516483928</v>
      </c>
      <c r="L66" s="55"/>
      <c r="M66" s="55"/>
      <c r="N66" s="55"/>
      <c r="O66" s="204">
        <f t="shared" si="30"/>
        <v>0</v>
      </c>
      <c r="P66" s="43"/>
      <c r="Q66" s="43"/>
      <c r="R66" s="43"/>
      <c r="S66" s="36">
        <f t="shared" si="31"/>
        <v>0</v>
      </c>
      <c r="T66" s="36">
        <f t="shared" si="32"/>
        <v>70000.001516483928</v>
      </c>
      <c r="V66" s="230"/>
    </row>
    <row r="67" spans="1:24" x14ac:dyDescent="0.35">
      <c r="A67" s="24"/>
      <c r="B67" s="24"/>
      <c r="C67" s="39" t="s">
        <v>123</v>
      </c>
      <c r="D67" s="40">
        <v>15000</v>
      </c>
      <c r="E67" s="44">
        <v>45000</v>
      </c>
      <c r="F67" s="44"/>
      <c r="G67" s="35">
        <f t="shared" si="25"/>
        <v>60000</v>
      </c>
      <c r="H67" s="40">
        <v>15000</v>
      </c>
      <c r="I67" s="186">
        <v>0</v>
      </c>
      <c r="J67" s="186"/>
      <c r="K67" s="201">
        <f t="shared" si="29"/>
        <v>15000</v>
      </c>
      <c r="L67" s="55">
        <v>12458</v>
      </c>
      <c r="M67" s="55"/>
      <c r="N67" s="55"/>
      <c r="O67" s="204">
        <f t="shared" si="30"/>
        <v>12458</v>
      </c>
      <c r="P67" s="43"/>
      <c r="Q67" s="43"/>
      <c r="R67" s="43"/>
      <c r="S67" s="36">
        <f t="shared" si="31"/>
        <v>0</v>
      </c>
      <c r="T67" s="36">
        <f t="shared" si="32"/>
        <v>27458</v>
      </c>
      <c r="V67" s="230"/>
    </row>
    <row r="68" spans="1:24" x14ac:dyDescent="0.35">
      <c r="A68" s="31"/>
      <c r="B68" s="24"/>
      <c r="C68" s="39" t="s">
        <v>124</v>
      </c>
      <c r="D68" s="40">
        <v>230000</v>
      </c>
      <c r="E68" s="44"/>
      <c r="F68" s="44"/>
      <c r="G68" s="35">
        <f t="shared" si="25"/>
        <v>230000</v>
      </c>
      <c r="H68" s="40">
        <f>387007.8-172695.192</f>
        <v>214312.60799999998</v>
      </c>
      <c r="I68" s="186">
        <v>15687.392409591335</v>
      </c>
      <c r="J68" s="186"/>
      <c r="K68" s="201">
        <f t="shared" si="29"/>
        <v>230000.0004095913</v>
      </c>
      <c r="L68" s="55"/>
      <c r="M68" s="55"/>
      <c r="N68" s="55"/>
      <c r="O68" s="204">
        <f t="shared" si="30"/>
        <v>0</v>
      </c>
      <c r="P68" s="43"/>
      <c r="Q68" s="43"/>
      <c r="R68" s="43"/>
      <c r="S68" s="36">
        <f t="shared" si="31"/>
        <v>0</v>
      </c>
      <c r="T68" s="36">
        <f t="shared" si="32"/>
        <v>230000.0004095913</v>
      </c>
      <c r="V68" s="230"/>
    </row>
    <row r="69" spans="1:24" x14ac:dyDescent="0.35">
      <c r="A69" s="31"/>
      <c r="B69" s="24"/>
      <c r="C69" s="39" t="s">
        <v>125</v>
      </c>
      <c r="D69" s="40">
        <v>101500</v>
      </c>
      <c r="E69" s="44">
        <v>19000</v>
      </c>
      <c r="F69" s="44"/>
      <c r="G69" s="35">
        <f t="shared" si="25"/>
        <v>120500</v>
      </c>
      <c r="H69" s="40">
        <v>102500</v>
      </c>
      <c r="I69" s="186">
        <v>-1000.0000261095861</v>
      </c>
      <c r="J69" s="186"/>
      <c r="K69" s="201">
        <f t="shared" si="29"/>
        <v>101499.99997389042</v>
      </c>
      <c r="L69" s="55">
        <v>1901</v>
      </c>
      <c r="M69" s="55"/>
      <c r="N69" s="55"/>
      <c r="O69" s="204">
        <f t="shared" si="30"/>
        <v>1901</v>
      </c>
      <c r="P69" s="43"/>
      <c r="Q69" s="43"/>
      <c r="R69" s="43"/>
      <c r="S69" s="36">
        <f t="shared" si="31"/>
        <v>0</v>
      </c>
      <c r="T69" s="36">
        <f t="shared" si="32"/>
        <v>103400.99997389042</v>
      </c>
      <c r="V69" s="230"/>
    </row>
    <row r="70" spans="1:24" x14ac:dyDescent="0.35">
      <c r="A70" s="24"/>
      <c r="B70" s="24"/>
      <c r="C70" s="47" t="s">
        <v>126</v>
      </c>
      <c r="D70" s="48">
        <f>SUM(D63:D69)</f>
        <v>481500</v>
      </c>
      <c r="E70" s="48">
        <f>SUM(E63:E69)</f>
        <v>68000</v>
      </c>
      <c r="F70" s="48">
        <f>SUM(F63:F69)</f>
        <v>0</v>
      </c>
      <c r="G70" s="35">
        <f t="shared" si="25"/>
        <v>549500</v>
      </c>
      <c r="H70" s="58">
        <f>SUM(H63:H69)</f>
        <v>366599.67299999995</v>
      </c>
      <c r="I70" s="58">
        <f t="shared" ref="I70:K70" si="33">SUM(I63:I69)</f>
        <v>114900.33000000002</v>
      </c>
      <c r="J70" s="58">
        <f t="shared" si="33"/>
        <v>0</v>
      </c>
      <c r="K70" s="58">
        <f t="shared" si="33"/>
        <v>481500.00299999997</v>
      </c>
      <c r="L70" s="58">
        <f>SUM(L63:L69)</f>
        <v>14359</v>
      </c>
      <c r="M70" s="58">
        <f t="shared" ref="M70:O70" si="34">SUM(M63:M69)</f>
        <v>0</v>
      </c>
      <c r="N70" s="58">
        <f t="shared" si="34"/>
        <v>0</v>
      </c>
      <c r="O70" s="58">
        <f t="shared" si="34"/>
        <v>14359</v>
      </c>
      <c r="P70" s="58">
        <f>SUM(P63:P69)</f>
        <v>0</v>
      </c>
      <c r="Q70" s="58">
        <f t="shared" ref="Q70:S70" si="35">SUM(Q63:Q69)</f>
        <v>0</v>
      </c>
      <c r="R70" s="58">
        <f t="shared" si="35"/>
        <v>0</v>
      </c>
      <c r="S70" s="58">
        <f t="shared" si="35"/>
        <v>0</v>
      </c>
      <c r="T70" s="57">
        <f>SUM(T63:T69)</f>
        <v>495859.00299999997</v>
      </c>
      <c r="V70" s="230"/>
    </row>
    <row r="71" spans="1:24" x14ac:dyDescent="0.35">
      <c r="A71" s="31"/>
      <c r="B71" s="31"/>
      <c r="C71" s="75"/>
      <c r="D71" s="73"/>
      <c r="E71" s="73"/>
      <c r="F71" s="73"/>
      <c r="G71" s="74"/>
      <c r="L71" s="76"/>
      <c r="M71" s="76"/>
      <c r="N71" s="76"/>
      <c r="O71" s="207"/>
      <c r="V71" s="230"/>
    </row>
    <row r="72" spans="1:24" x14ac:dyDescent="0.35">
      <c r="A72" s="24"/>
      <c r="B72" s="31"/>
      <c r="C72" s="318" t="s">
        <v>59</v>
      </c>
      <c r="D72" s="318"/>
      <c r="E72" s="318"/>
      <c r="F72" s="318"/>
      <c r="G72" s="318"/>
      <c r="H72" s="318"/>
      <c r="I72" s="318"/>
      <c r="J72" s="318"/>
      <c r="K72" s="318"/>
      <c r="L72" s="318"/>
      <c r="M72" s="318"/>
      <c r="N72" s="318"/>
      <c r="O72" s="318"/>
      <c r="P72" s="318"/>
      <c r="Q72" s="318"/>
      <c r="R72" s="318"/>
      <c r="S72" s="318"/>
      <c r="T72" s="318"/>
      <c r="V72" s="230"/>
    </row>
    <row r="73" spans="1:24" x14ac:dyDescent="0.35">
      <c r="A73" s="24"/>
      <c r="B73" s="24"/>
      <c r="C73" s="33" t="s">
        <v>135</v>
      </c>
      <c r="D73" s="35">
        <f>+D81</f>
        <v>498500</v>
      </c>
      <c r="E73" s="35">
        <f>+E81</f>
        <v>20000</v>
      </c>
      <c r="F73" s="35">
        <f>+F81</f>
        <v>0</v>
      </c>
      <c r="G73" s="35">
        <f t="shared" ref="G73:G81" si="36">SUM(D73:F73)</f>
        <v>518500</v>
      </c>
      <c r="H73" s="37">
        <f>SUM(H74:H80)</f>
        <v>52090.212</v>
      </c>
      <c r="I73" s="37">
        <f t="shared" ref="I73:K73" si="37">SUM(I74:I80)</f>
        <v>98067.039999999979</v>
      </c>
      <c r="J73" s="37">
        <f t="shared" si="37"/>
        <v>152499.924781348</v>
      </c>
      <c r="K73" s="37">
        <f t="shared" si="37"/>
        <v>302657.17678134795</v>
      </c>
      <c r="L73" s="37">
        <f>SUM(L74:L80)</f>
        <v>0</v>
      </c>
      <c r="M73" s="37">
        <f t="shared" ref="M73:O73" si="38">SUM(M74:M80)</f>
        <v>0</v>
      </c>
      <c r="N73" s="37">
        <f t="shared" si="38"/>
        <v>0</v>
      </c>
      <c r="O73" s="37">
        <f t="shared" si="38"/>
        <v>0</v>
      </c>
      <c r="P73" s="37">
        <f>SUM(P74:P80)</f>
        <v>0</v>
      </c>
      <c r="Q73" s="37">
        <f t="shared" ref="Q73:S73" si="39">SUM(Q74:Q80)</f>
        <v>0</v>
      </c>
      <c r="R73" s="37">
        <f t="shared" si="39"/>
        <v>0</v>
      </c>
      <c r="S73" s="37">
        <f t="shared" si="39"/>
        <v>0</v>
      </c>
      <c r="T73" s="38">
        <f>SUM(T74:T80)</f>
        <v>302657.17678134795</v>
      </c>
      <c r="V73" s="230"/>
    </row>
    <row r="74" spans="1:24" x14ac:dyDescent="0.35">
      <c r="A74" s="24"/>
      <c r="B74" s="24"/>
      <c r="C74" s="39" t="s">
        <v>119</v>
      </c>
      <c r="D74" s="40">
        <v>0</v>
      </c>
      <c r="E74" s="41"/>
      <c r="F74" s="41"/>
      <c r="G74" s="35">
        <f t="shared" si="36"/>
        <v>0</v>
      </c>
      <c r="H74" s="42"/>
      <c r="I74" s="185">
        <v>0</v>
      </c>
      <c r="J74" s="185"/>
      <c r="K74" s="201">
        <f>SUM(H74:J74)</f>
        <v>0</v>
      </c>
      <c r="L74" s="55"/>
      <c r="M74" s="55"/>
      <c r="N74" s="55"/>
      <c r="O74" s="204">
        <f>SUM(L74:N74)</f>
        <v>0</v>
      </c>
      <c r="P74" s="43"/>
      <c r="Q74" s="43"/>
      <c r="R74" s="43"/>
      <c r="S74" s="36">
        <f>SUM(P74:R74)</f>
        <v>0</v>
      </c>
      <c r="T74" s="36">
        <f>+S74+O74+K74</f>
        <v>0</v>
      </c>
      <c r="V74" s="230"/>
    </row>
    <row r="75" spans="1:24" x14ac:dyDescent="0.35">
      <c r="A75" s="24"/>
      <c r="B75" s="24"/>
      <c r="C75" s="39" t="s">
        <v>120</v>
      </c>
      <c r="D75" s="40">
        <v>10000</v>
      </c>
      <c r="E75" s="41"/>
      <c r="F75" s="41"/>
      <c r="G75" s="35">
        <f t="shared" si="36"/>
        <v>10000</v>
      </c>
      <c r="H75" s="42">
        <v>193.11</v>
      </c>
      <c r="I75" s="185">
        <v>2154.3718344849549</v>
      </c>
      <c r="J75" s="185"/>
      <c r="K75" s="201">
        <f t="shared" ref="K75:K80" si="40">SUM(H75:J75)</f>
        <v>2347.481834484955</v>
      </c>
      <c r="L75" s="55"/>
      <c r="M75" s="55"/>
      <c r="N75" s="55"/>
      <c r="O75" s="204">
        <f t="shared" ref="O75:O80" si="41">SUM(L75:N75)</f>
        <v>0</v>
      </c>
      <c r="P75" s="43"/>
      <c r="Q75" s="43"/>
      <c r="R75" s="43"/>
      <c r="S75" s="36">
        <f t="shared" ref="S75:S80" si="42">SUM(P75:R75)</f>
        <v>0</v>
      </c>
      <c r="T75" s="36">
        <f t="shared" ref="T75:T80" si="43">+S75+O75+K75</f>
        <v>2347.481834484955</v>
      </c>
      <c r="V75" s="230"/>
      <c r="X75" s="46"/>
    </row>
    <row r="76" spans="1:24" x14ac:dyDescent="0.35">
      <c r="A76" s="24"/>
      <c r="B76" s="24"/>
      <c r="C76" s="39" t="s">
        <v>121</v>
      </c>
      <c r="D76" s="40">
        <v>20000</v>
      </c>
      <c r="E76" s="44"/>
      <c r="F76" s="44"/>
      <c r="G76" s="35">
        <f t="shared" si="36"/>
        <v>20000</v>
      </c>
      <c r="H76" s="42"/>
      <c r="I76" s="185">
        <v>4393.5882516984593</v>
      </c>
      <c r="J76" s="185"/>
      <c r="K76" s="201">
        <f t="shared" si="40"/>
        <v>4393.5882516984593</v>
      </c>
      <c r="L76" s="55"/>
      <c r="M76" s="55"/>
      <c r="N76" s="55"/>
      <c r="O76" s="204">
        <f t="shared" si="41"/>
        <v>0</v>
      </c>
      <c r="P76" s="43"/>
      <c r="Q76" s="43"/>
      <c r="R76" s="43"/>
      <c r="S76" s="36">
        <f t="shared" si="42"/>
        <v>0</v>
      </c>
      <c r="T76" s="36">
        <f t="shared" si="43"/>
        <v>4393.5882516984593</v>
      </c>
      <c r="V76" s="230"/>
    </row>
    <row r="77" spans="1:24" x14ac:dyDescent="0.35">
      <c r="A77" s="24"/>
      <c r="B77" s="24"/>
      <c r="C77" s="45" t="s">
        <v>122</v>
      </c>
      <c r="D77" s="40">
        <v>56000</v>
      </c>
      <c r="E77" s="44">
        <v>5000</v>
      </c>
      <c r="F77" s="44"/>
      <c r="G77" s="35">
        <f t="shared" si="36"/>
        <v>61000</v>
      </c>
      <c r="H77" s="42"/>
      <c r="I77" s="185">
        <v>12302.047104755688</v>
      </c>
      <c r="J77" s="185">
        <v>35000</v>
      </c>
      <c r="K77" s="201">
        <f t="shared" si="40"/>
        <v>47302.047104755686</v>
      </c>
      <c r="L77" s="55"/>
      <c r="M77" s="55"/>
      <c r="N77" s="55"/>
      <c r="O77" s="204">
        <f t="shared" si="41"/>
        <v>0</v>
      </c>
      <c r="P77" s="43"/>
      <c r="Q77" s="43"/>
      <c r="R77" s="43"/>
      <c r="S77" s="36">
        <f t="shared" si="42"/>
        <v>0</v>
      </c>
      <c r="T77" s="36">
        <f t="shared" si="43"/>
        <v>47302.047104755686</v>
      </c>
      <c r="V77" s="230"/>
    </row>
    <row r="78" spans="1:24" x14ac:dyDescent="0.35">
      <c r="A78" s="24"/>
      <c r="B78" s="24"/>
      <c r="C78" s="39" t="s">
        <v>123</v>
      </c>
      <c r="D78" s="40">
        <v>15000</v>
      </c>
      <c r="E78" s="44">
        <v>10000</v>
      </c>
      <c r="F78" s="44"/>
      <c r="G78" s="35">
        <f t="shared" si="36"/>
        <v>25000</v>
      </c>
      <c r="H78" s="40">
        <v>15000</v>
      </c>
      <c r="I78" s="186">
        <v>0</v>
      </c>
      <c r="J78" s="186"/>
      <c r="K78" s="201">
        <f t="shared" si="40"/>
        <v>15000</v>
      </c>
      <c r="L78" s="55"/>
      <c r="M78" s="55"/>
      <c r="N78" s="55"/>
      <c r="O78" s="204">
        <f t="shared" si="41"/>
        <v>0</v>
      </c>
      <c r="P78" s="43"/>
      <c r="Q78" s="43"/>
      <c r="R78" s="43"/>
      <c r="S78" s="36">
        <f t="shared" si="42"/>
        <v>0</v>
      </c>
      <c r="T78" s="36">
        <f t="shared" si="43"/>
        <v>15000</v>
      </c>
      <c r="V78" s="230"/>
    </row>
    <row r="79" spans="1:24" x14ac:dyDescent="0.35">
      <c r="A79" s="24"/>
      <c r="B79" s="24"/>
      <c r="C79" s="39" t="s">
        <v>124</v>
      </c>
      <c r="D79" s="40">
        <v>372500</v>
      </c>
      <c r="E79" s="44" t="s">
        <v>161</v>
      </c>
      <c r="F79" s="44"/>
      <c r="G79" s="35">
        <f t="shared" si="36"/>
        <v>372500</v>
      </c>
      <c r="H79" s="42">
        <f>55070.9-43173.798</f>
        <v>11897.101999999999</v>
      </c>
      <c r="I79" s="185">
        <v>79217.032809060882</v>
      </c>
      <c r="J79" s="186">
        <v>117499.924781348</v>
      </c>
      <c r="K79" s="201">
        <f t="shared" si="40"/>
        <v>208614.05959040887</v>
      </c>
      <c r="L79" s="55"/>
      <c r="M79" s="55"/>
      <c r="N79" s="55"/>
      <c r="O79" s="204">
        <f t="shared" si="41"/>
        <v>0</v>
      </c>
      <c r="P79" s="43"/>
      <c r="Q79" s="43"/>
      <c r="R79" s="43"/>
      <c r="S79" s="36">
        <f t="shared" si="42"/>
        <v>0</v>
      </c>
      <c r="T79" s="36">
        <f t="shared" si="43"/>
        <v>208614.05959040887</v>
      </c>
      <c r="V79" s="230"/>
    </row>
    <row r="80" spans="1:24" x14ac:dyDescent="0.35">
      <c r="A80" s="24"/>
      <c r="B80" s="24"/>
      <c r="C80" s="39" t="s">
        <v>125</v>
      </c>
      <c r="D80" s="40">
        <v>25000</v>
      </c>
      <c r="E80" s="44">
        <v>5000</v>
      </c>
      <c r="F80" s="44"/>
      <c r="G80" s="35">
        <f t="shared" si="36"/>
        <v>30000</v>
      </c>
      <c r="H80" s="40">
        <v>25000</v>
      </c>
      <c r="I80" s="186">
        <v>0</v>
      </c>
      <c r="J80" s="186"/>
      <c r="K80" s="201">
        <f t="shared" si="40"/>
        <v>25000</v>
      </c>
      <c r="L80" s="55"/>
      <c r="M80" s="55"/>
      <c r="N80" s="55"/>
      <c r="O80" s="204">
        <f t="shared" si="41"/>
        <v>0</v>
      </c>
      <c r="P80" s="43"/>
      <c r="Q80" s="43"/>
      <c r="R80" s="43"/>
      <c r="S80" s="36">
        <f t="shared" si="42"/>
        <v>0</v>
      </c>
      <c r="T80" s="36">
        <f t="shared" si="43"/>
        <v>25000</v>
      </c>
      <c r="V80" s="230"/>
    </row>
    <row r="81" spans="1:22" x14ac:dyDescent="0.35">
      <c r="A81" s="24"/>
      <c r="B81" s="24"/>
      <c r="C81" s="47" t="s">
        <v>126</v>
      </c>
      <c r="D81" s="48">
        <f>SUM(D74:D80)</f>
        <v>498500</v>
      </c>
      <c r="E81" s="48">
        <f>SUM(E74:E80)</f>
        <v>20000</v>
      </c>
      <c r="F81" s="48">
        <f>SUM(F74:F80)</f>
        <v>0</v>
      </c>
      <c r="G81" s="35">
        <f t="shared" si="36"/>
        <v>518500</v>
      </c>
      <c r="H81" s="58">
        <f>SUM(H74:H80)</f>
        <v>52090.212</v>
      </c>
      <c r="I81" s="58">
        <f>SUM(I74:I80)</f>
        <v>98067.039999999979</v>
      </c>
      <c r="J81" s="58">
        <f>SUM(J74:J80)</f>
        <v>152499.924781348</v>
      </c>
      <c r="K81" s="58">
        <f t="shared" ref="K81" si="44">SUM(K74:S80)</f>
        <v>302657.17678134795</v>
      </c>
      <c r="L81" s="58">
        <f>SUM(L74:L80)</f>
        <v>0</v>
      </c>
      <c r="M81" s="58">
        <f t="shared" ref="M81:O81" si="45">SUM(M74:M80)</f>
        <v>0</v>
      </c>
      <c r="N81" s="58">
        <f t="shared" si="45"/>
        <v>0</v>
      </c>
      <c r="O81" s="58">
        <f t="shared" si="45"/>
        <v>0</v>
      </c>
      <c r="P81" s="58">
        <f>SUM(P74:P80)</f>
        <v>0</v>
      </c>
      <c r="Q81" s="58">
        <f t="shared" ref="Q81:S81" si="46">SUM(Q74:Q80)</f>
        <v>0</v>
      </c>
      <c r="R81" s="58">
        <f t="shared" si="46"/>
        <v>0</v>
      </c>
      <c r="S81" s="58">
        <f t="shared" si="46"/>
        <v>0</v>
      </c>
      <c r="T81" s="57">
        <f>SUM(T74:T80)</f>
        <v>302657.17678134795</v>
      </c>
      <c r="V81" s="230"/>
    </row>
    <row r="82" spans="1:22" x14ac:dyDescent="0.35">
      <c r="A82" s="31"/>
      <c r="B82" s="31"/>
      <c r="C82" s="75"/>
      <c r="D82" s="73"/>
      <c r="E82" s="73"/>
      <c r="F82" s="73"/>
      <c r="G82" s="74"/>
      <c r="L82" s="76"/>
      <c r="M82" s="76"/>
      <c r="N82" s="76"/>
      <c r="O82" s="207"/>
      <c r="V82" s="230"/>
    </row>
    <row r="83" spans="1:22" hidden="1" x14ac:dyDescent="0.35">
      <c r="A83" s="24"/>
      <c r="B83" s="24"/>
      <c r="C83" s="318"/>
      <c r="D83" s="318"/>
      <c r="E83" s="318"/>
      <c r="F83" s="318"/>
      <c r="G83" s="318"/>
      <c r="H83" s="318"/>
      <c r="I83" s="318"/>
      <c r="J83" s="318"/>
      <c r="K83" s="318"/>
      <c r="L83" s="318"/>
      <c r="M83" s="318"/>
      <c r="N83" s="318"/>
      <c r="O83" s="318"/>
      <c r="P83" s="318"/>
      <c r="Q83" s="318"/>
      <c r="R83" s="318"/>
      <c r="S83" s="318"/>
      <c r="T83" s="318"/>
      <c r="V83" s="230"/>
    </row>
    <row r="84" spans="1:22" ht="13" hidden="1" thickBot="1" x14ac:dyDescent="0.4">
      <c r="A84" s="24"/>
      <c r="B84" s="31"/>
      <c r="C84" s="77"/>
      <c r="D84" s="78"/>
      <c r="E84" s="78"/>
      <c r="F84" s="78"/>
      <c r="G84" s="78"/>
      <c r="H84" s="37">
        <f>+H92</f>
        <v>0</v>
      </c>
      <c r="I84" s="37"/>
      <c r="J84" s="37"/>
      <c r="K84" s="38"/>
      <c r="L84" s="37">
        <f>+L92</f>
        <v>0</v>
      </c>
      <c r="M84" s="37"/>
      <c r="N84" s="37"/>
      <c r="O84" s="38"/>
      <c r="P84" s="37">
        <f>+P92</f>
        <v>0</v>
      </c>
      <c r="Q84" s="37"/>
      <c r="R84" s="37"/>
      <c r="S84" s="38"/>
      <c r="T84" s="38">
        <f>+T92</f>
        <v>0</v>
      </c>
      <c r="V84" s="230"/>
    </row>
    <row r="85" spans="1:22" hidden="1" x14ac:dyDescent="0.35">
      <c r="A85" s="24"/>
      <c r="B85" s="24"/>
      <c r="C85" s="62"/>
      <c r="D85" s="63"/>
      <c r="E85" s="64"/>
      <c r="F85" s="64"/>
      <c r="G85" s="65"/>
      <c r="H85" s="42"/>
      <c r="I85" s="185"/>
      <c r="J85" s="185"/>
      <c r="K85" s="201"/>
      <c r="L85" s="55"/>
      <c r="M85" s="55"/>
      <c r="N85" s="55"/>
      <c r="O85" s="204"/>
      <c r="P85" s="43"/>
      <c r="Q85" s="43"/>
      <c r="R85" s="43"/>
      <c r="S85" s="36"/>
      <c r="T85" s="36"/>
      <c r="V85" s="230"/>
    </row>
    <row r="86" spans="1:22" hidden="1" x14ac:dyDescent="0.35">
      <c r="A86" s="24"/>
      <c r="B86" s="24"/>
      <c r="C86" s="39"/>
      <c r="D86" s="44"/>
      <c r="E86" s="41"/>
      <c r="F86" s="41"/>
      <c r="G86" s="35"/>
      <c r="H86" s="42"/>
      <c r="I86" s="185"/>
      <c r="J86" s="185"/>
      <c r="K86" s="201"/>
      <c r="L86" s="55"/>
      <c r="M86" s="55"/>
      <c r="N86" s="55"/>
      <c r="O86" s="204"/>
      <c r="P86" s="43"/>
      <c r="Q86" s="43"/>
      <c r="R86" s="43"/>
      <c r="S86" s="36"/>
      <c r="T86" s="36"/>
      <c r="V86" s="230"/>
    </row>
    <row r="87" spans="1:22" hidden="1" x14ac:dyDescent="0.35">
      <c r="A87" s="31"/>
      <c r="B87" s="24"/>
      <c r="C87" s="39"/>
      <c r="D87" s="44"/>
      <c r="E87" s="44"/>
      <c r="F87" s="44"/>
      <c r="G87" s="35"/>
      <c r="H87" s="42"/>
      <c r="I87" s="185"/>
      <c r="J87" s="185"/>
      <c r="K87" s="201"/>
      <c r="L87" s="55"/>
      <c r="M87" s="55"/>
      <c r="N87" s="55"/>
      <c r="O87" s="204"/>
      <c r="P87" s="43"/>
      <c r="Q87" s="43"/>
      <c r="R87" s="43"/>
      <c r="S87" s="36"/>
      <c r="T87" s="36"/>
      <c r="V87" s="230"/>
    </row>
    <row r="88" spans="1:22" hidden="1" x14ac:dyDescent="0.35">
      <c r="A88" s="24"/>
      <c r="B88" s="31"/>
      <c r="C88" s="45"/>
      <c r="D88" s="44"/>
      <c r="E88" s="44"/>
      <c r="F88" s="44"/>
      <c r="G88" s="35"/>
      <c r="H88" s="42"/>
      <c r="I88" s="185"/>
      <c r="J88" s="185"/>
      <c r="K88" s="201"/>
      <c r="L88" s="55"/>
      <c r="M88" s="55"/>
      <c r="N88" s="55"/>
      <c r="O88" s="204"/>
      <c r="P88" s="43"/>
      <c r="Q88" s="43"/>
      <c r="R88" s="43"/>
      <c r="S88" s="36"/>
      <c r="T88" s="36"/>
      <c r="V88" s="230"/>
    </row>
    <row r="89" spans="1:22" hidden="1" x14ac:dyDescent="0.35">
      <c r="A89" s="24"/>
      <c r="B89" s="31"/>
      <c r="C89" s="39"/>
      <c r="D89" s="44"/>
      <c r="E89" s="44"/>
      <c r="F89" s="44"/>
      <c r="G89" s="35"/>
      <c r="H89" s="42"/>
      <c r="I89" s="185"/>
      <c r="J89" s="185"/>
      <c r="K89" s="201"/>
      <c r="L89" s="55"/>
      <c r="M89" s="55"/>
      <c r="N89" s="55"/>
      <c r="O89" s="204"/>
      <c r="P89" s="43"/>
      <c r="Q89" s="43"/>
      <c r="R89" s="43"/>
      <c r="S89" s="36"/>
      <c r="T89" s="36"/>
      <c r="V89" s="230"/>
    </row>
    <row r="90" spans="1:22" hidden="1" x14ac:dyDescent="0.35">
      <c r="A90" s="24"/>
      <c r="B90" s="31"/>
      <c r="C90" s="39"/>
      <c r="D90" s="44"/>
      <c r="E90" s="44"/>
      <c r="F90" s="44"/>
      <c r="G90" s="35"/>
      <c r="H90" s="42"/>
      <c r="I90" s="185"/>
      <c r="J90" s="185"/>
      <c r="K90" s="201"/>
      <c r="L90" s="55"/>
      <c r="M90" s="55"/>
      <c r="N90" s="55"/>
      <c r="O90" s="204"/>
      <c r="P90" s="43"/>
      <c r="Q90" s="43"/>
      <c r="R90" s="43"/>
      <c r="S90" s="36"/>
      <c r="T90" s="36"/>
      <c r="V90" s="230"/>
    </row>
    <row r="91" spans="1:22" hidden="1" x14ac:dyDescent="0.35">
      <c r="A91" s="24"/>
      <c r="B91" s="24"/>
      <c r="C91" s="39"/>
      <c r="D91" s="44"/>
      <c r="E91" s="44"/>
      <c r="F91" s="44"/>
      <c r="G91" s="35"/>
      <c r="H91" s="40"/>
      <c r="I91" s="186"/>
      <c r="J91" s="186"/>
      <c r="K91" s="202"/>
      <c r="L91" s="55"/>
      <c r="M91" s="55"/>
      <c r="N91" s="55"/>
      <c r="O91" s="204"/>
      <c r="P91" s="43"/>
      <c r="Q91" s="43"/>
      <c r="R91" s="43"/>
      <c r="S91" s="36"/>
      <c r="T91" s="36"/>
      <c r="V91" s="230"/>
    </row>
    <row r="92" spans="1:22" hidden="1" x14ac:dyDescent="0.35">
      <c r="A92" s="24"/>
      <c r="B92" s="24"/>
      <c r="C92" s="47"/>
      <c r="D92" s="48"/>
      <c r="E92" s="48"/>
      <c r="F92" s="48"/>
      <c r="G92" s="35"/>
      <c r="H92" s="58">
        <f>SUM(H87:H91)</f>
        <v>0</v>
      </c>
      <c r="I92" s="58"/>
      <c r="J92" s="58"/>
      <c r="K92" s="57"/>
      <c r="L92" s="58">
        <f>SUM(L85:L91)</f>
        <v>0</v>
      </c>
      <c r="M92" s="58"/>
      <c r="N92" s="58"/>
      <c r="O92" s="57"/>
      <c r="P92" s="58">
        <f>SUM(P85:P91)</f>
        <v>0</v>
      </c>
      <c r="Q92" s="58"/>
      <c r="R92" s="58"/>
      <c r="S92" s="57"/>
      <c r="T92" s="57">
        <f>SUM(T85:T91)</f>
        <v>0</v>
      </c>
      <c r="V92" s="230"/>
    </row>
    <row r="93" spans="1:22" hidden="1" x14ac:dyDescent="0.35">
      <c r="A93" s="31"/>
      <c r="B93" s="31"/>
      <c r="C93" s="50"/>
      <c r="D93" s="51"/>
      <c r="E93" s="51"/>
      <c r="F93" s="51"/>
      <c r="G93" s="59"/>
      <c r="V93" s="230"/>
    </row>
    <row r="94" spans="1:22" hidden="1" x14ac:dyDescent="0.35">
      <c r="A94" s="24"/>
      <c r="B94" s="24"/>
      <c r="C94" s="323"/>
      <c r="D94" s="324"/>
      <c r="E94" s="324"/>
      <c r="F94" s="324"/>
      <c r="G94" s="325"/>
      <c r="V94" s="230"/>
    </row>
    <row r="95" spans="1:22" ht="13" hidden="1" thickBot="1" x14ac:dyDescent="0.4">
      <c r="A95" s="24"/>
      <c r="B95" s="24"/>
      <c r="C95" s="60"/>
      <c r="D95" s="61"/>
      <c r="E95" s="61"/>
      <c r="F95" s="61"/>
      <c r="G95" s="61"/>
      <c r="H95" s="37">
        <f>+H103</f>
        <v>0</v>
      </c>
      <c r="I95" s="37"/>
      <c r="J95" s="37"/>
      <c r="K95" s="38"/>
      <c r="L95" s="37">
        <f>+L103</f>
        <v>0</v>
      </c>
      <c r="M95" s="37"/>
      <c r="N95" s="37"/>
      <c r="O95" s="38"/>
      <c r="P95" s="37">
        <f>+P103</f>
        <v>0</v>
      </c>
      <c r="Q95" s="37"/>
      <c r="R95" s="37"/>
      <c r="S95" s="38"/>
      <c r="T95" s="38">
        <f>+T103</f>
        <v>0</v>
      </c>
      <c r="V95" s="230"/>
    </row>
    <row r="96" spans="1:22" hidden="1" x14ac:dyDescent="0.35">
      <c r="A96" s="24"/>
      <c r="B96" s="24"/>
      <c r="C96" s="62"/>
      <c r="D96" s="63"/>
      <c r="E96" s="64"/>
      <c r="F96" s="64"/>
      <c r="G96" s="65"/>
      <c r="H96" s="42"/>
      <c r="I96" s="185"/>
      <c r="J96" s="185"/>
      <c r="K96" s="201"/>
      <c r="L96" s="55"/>
      <c r="M96" s="55"/>
      <c r="N96" s="55"/>
      <c r="O96" s="204"/>
      <c r="P96" s="43"/>
      <c r="Q96" s="43"/>
      <c r="R96" s="43"/>
      <c r="S96" s="36"/>
      <c r="T96" s="36"/>
      <c r="V96" s="230"/>
    </row>
    <row r="97" spans="1:22" hidden="1" x14ac:dyDescent="0.35">
      <c r="A97" s="24"/>
      <c r="B97" s="31"/>
      <c r="C97" s="39"/>
      <c r="D97" s="44"/>
      <c r="E97" s="41"/>
      <c r="F97" s="41"/>
      <c r="G97" s="35"/>
      <c r="H97" s="42"/>
      <c r="I97" s="185"/>
      <c r="J97" s="185"/>
      <c r="K97" s="201"/>
      <c r="L97" s="55"/>
      <c r="M97" s="55"/>
      <c r="N97" s="55"/>
      <c r="O97" s="204"/>
      <c r="P97" s="43"/>
      <c r="Q97" s="43"/>
      <c r="R97" s="43"/>
      <c r="S97" s="36"/>
      <c r="T97" s="36"/>
      <c r="V97" s="230"/>
    </row>
    <row r="98" spans="1:22" hidden="1" x14ac:dyDescent="0.35">
      <c r="A98" s="24"/>
      <c r="B98" s="24"/>
      <c r="C98" s="39"/>
      <c r="D98" s="44"/>
      <c r="E98" s="44"/>
      <c r="F98" s="44"/>
      <c r="G98" s="35"/>
      <c r="H98" s="42"/>
      <c r="I98" s="185"/>
      <c r="J98" s="185"/>
      <c r="K98" s="201"/>
      <c r="L98" s="55"/>
      <c r="M98" s="55"/>
      <c r="N98" s="55"/>
      <c r="O98" s="204"/>
      <c r="P98" s="43"/>
      <c r="Q98" s="43"/>
      <c r="R98" s="43"/>
      <c r="S98" s="36"/>
      <c r="T98" s="36"/>
      <c r="V98" s="230"/>
    </row>
    <row r="99" spans="1:22" hidden="1" x14ac:dyDescent="0.35">
      <c r="A99" s="24"/>
      <c r="B99" s="24"/>
      <c r="C99" s="45"/>
      <c r="D99" s="44"/>
      <c r="E99" s="44"/>
      <c r="F99" s="44"/>
      <c r="G99" s="35"/>
      <c r="H99" s="42"/>
      <c r="I99" s="185"/>
      <c r="J99" s="185"/>
      <c r="K99" s="201"/>
      <c r="L99" s="55"/>
      <c r="M99" s="55"/>
      <c r="N99" s="55"/>
      <c r="O99" s="204"/>
      <c r="P99" s="43"/>
      <c r="Q99" s="43"/>
      <c r="R99" s="43"/>
      <c r="S99" s="36"/>
      <c r="T99" s="36"/>
      <c r="V99" s="230"/>
    </row>
    <row r="100" spans="1:22" hidden="1" x14ac:dyDescent="0.35">
      <c r="A100" s="24"/>
      <c r="B100" s="24"/>
      <c r="C100" s="39"/>
      <c r="D100" s="44"/>
      <c r="E100" s="44"/>
      <c r="F100" s="44"/>
      <c r="G100" s="35"/>
      <c r="H100" s="42"/>
      <c r="I100" s="185"/>
      <c r="J100" s="185"/>
      <c r="K100" s="201"/>
      <c r="L100" s="55"/>
      <c r="M100" s="55"/>
      <c r="N100" s="55"/>
      <c r="O100" s="204"/>
      <c r="P100" s="43"/>
      <c r="Q100" s="43"/>
      <c r="R100" s="43"/>
      <c r="S100" s="36"/>
      <c r="T100" s="36"/>
      <c r="V100" s="230"/>
    </row>
    <row r="101" spans="1:22" hidden="1" x14ac:dyDescent="0.35">
      <c r="A101" s="24"/>
      <c r="B101" s="24"/>
      <c r="C101" s="39"/>
      <c r="D101" s="44"/>
      <c r="E101" s="44"/>
      <c r="F101" s="44"/>
      <c r="G101" s="35"/>
      <c r="H101" s="42"/>
      <c r="I101" s="185"/>
      <c r="J101" s="185"/>
      <c r="K101" s="201"/>
      <c r="L101" s="55"/>
      <c r="M101" s="55"/>
      <c r="N101" s="55"/>
      <c r="O101" s="204"/>
      <c r="P101" s="43"/>
      <c r="Q101" s="43"/>
      <c r="R101" s="43"/>
      <c r="S101" s="36"/>
      <c r="T101" s="36"/>
      <c r="V101" s="230"/>
    </row>
    <row r="102" spans="1:22" hidden="1" x14ac:dyDescent="0.35">
      <c r="A102" s="24"/>
      <c r="B102" s="31"/>
      <c r="C102" s="39"/>
      <c r="D102" s="44"/>
      <c r="E102" s="44"/>
      <c r="F102" s="44"/>
      <c r="G102" s="35"/>
      <c r="H102" s="40"/>
      <c r="I102" s="186"/>
      <c r="J102" s="186"/>
      <c r="K102" s="202"/>
      <c r="L102" s="55"/>
      <c r="M102" s="55"/>
      <c r="N102" s="55"/>
      <c r="O102" s="204"/>
      <c r="P102" s="43"/>
      <c r="Q102" s="43"/>
      <c r="R102" s="43"/>
      <c r="S102" s="36"/>
      <c r="T102" s="36"/>
      <c r="V102" s="230"/>
    </row>
    <row r="103" spans="1:22" hidden="1" x14ac:dyDescent="0.35">
      <c r="A103" s="24"/>
      <c r="B103" s="24"/>
      <c r="C103" s="47"/>
      <c r="D103" s="48"/>
      <c r="E103" s="48"/>
      <c r="F103" s="48"/>
      <c r="G103" s="35"/>
      <c r="H103" s="58">
        <f>SUM(H98:H102)</f>
        <v>0</v>
      </c>
      <c r="I103" s="58"/>
      <c r="J103" s="58"/>
      <c r="K103" s="57"/>
      <c r="L103" s="58">
        <f>SUM(L96:L102)</f>
        <v>0</v>
      </c>
      <c r="M103" s="58"/>
      <c r="N103" s="58"/>
      <c r="O103" s="57"/>
      <c r="P103" s="58">
        <f>SUM(P96:P102)</f>
        <v>0</v>
      </c>
      <c r="Q103" s="58"/>
      <c r="R103" s="58"/>
      <c r="S103" s="57"/>
      <c r="T103" s="57">
        <f>SUM(T96:T102)</f>
        <v>0</v>
      </c>
      <c r="V103" s="230"/>
    </row>
    <row r="104" spans="1:22" x14ac:dyDescent="0.35">
      <c r="A104" s="24"/>
      <c r="B104" s="24"/>
      <c r="C104" s="24"/>
      <c r="D104" s="26"/>
      <c r="E104" s="26"/>
      <c r="F104" s="26"/>
      <c r="G104" s="26"/>
      <c r="V104" s="230"/>
    </row>
    <row r="105" spans="1:22" x14ac:dyDescent="0.35">
      <c r="A105" s="24"/>
      <c r="B105" s="318" t="s">
        <v>136</v>
      </c>
      <c r="C105" s="318"/>
      <c r="D105" s="318"/>
      <c r="E105" s="318"/>
      <c r="F105" s="318"/>
      <c r="G105" s="318"/>
      <c r="H105" s="318"/>
      <c r="I105" s="318"/>
      <c r="J105" s="318"/>
      <c r="K105" s="318"/>
      <c r="L105" s="318"/>
      <c r="M105" s="318"/>
      <c r="N105" s="318"/>
      <c r="O105" s="318"/>
      <c r="P105" s="318"/>
      <c r="Q105" s="318"/>
      <c r="R105" s="318"/>
      <c r="S105" s="318"/>
      <c r="T105" s="318"/>
      <c r="V105" s="230"/>
    </row>
    <row r="106" spans="1:22" x14ac:dyDescent="0.35">
      <c r="A106" s="24"/>
      <c r="B106" s="53"/>
      <c r="C106" s="318" t="s">
        <v>71</v>
      </c>
      <c r="D106" s="318"/>
      <c r="E106" s="318"/>
      <c r="F106" s="318"/>
      <c r="G106" s="318"/>
      <c r="H106" s="318"/>
      <c r="I106" s="318"/>
      <c r="J106" s="318"/>
      <c r="K106" s="318"/>
      <c r="L106" s="318"/>
      <c r="M106" s="318"/>
      <c r="N106" s="318"/>
      <c r="O106" s="318"/>
      <c r="P106" s="318"/>
      <c r="Q106" s="318"/>
      <c r="R106" s="318"/>
      <c r="S106" s="318"/>
      <c r="T106" s="318"/>
      <c r="V106" s="230"/>
    </row>
    <row r="107" spans="1:22" x14ac:dyDescent="0.35">
      <c r="A107" s="24"/>
      <c r="B107" s="24"/>
      <c r="C107" s="33" t="s">
        <v>137</v>
      </c>
      <c r="D107" s="35">
        <f>D115</f>
        <v>0</v>
      </c>
      <c r="E107" s="35">
        <f>E115</f>
        <v>0</v>
      </c>
      <c r="F107" s="35">
        <f>F115</f>
        <v>35000</v>
      </c>
      <c r="G107" s="35">
        <f t="shared" ref="G107:G115" si="47">SUM(D107:F107)</f>
        <v>35000</v>
      </c>
      <c r="H107" s="37">
        <f>SUM(H108:H114)</f>
        <v>0</v>
      </c>
      <c r="I107" s="37">
        <f t="shared" ref="I107:K107" si="48">SUM(I108:I114)</f>
        <v>0</v>
      </c>
      <c r="J107" s="37">
        <f t="shared" si="48"/>
        <v>0</v>
      </c>
      <c r="K107" s="37">
        <f t="shared" si="48"/>
        <v>0</v>
      </c>
      <c r="L107" s="37">
        <f>SUM(L108:L114)</f>
        <v>0</v>
      </c>
      <c r="M107" s="37">
        <f t="shared" ref="M107:O107" si="49">SUM(M108:M114)</f>
        <v>0</v>
      </c>
      <c r="N107" s="37">
        <f t="shared" si="49"/>
        <v>0</v>
      </c>
      <c r="O107" s="37">
        <f t="shared" si="49"/>
        <v>0</v>
      </c>
      <c r="P107" s="37">
        <f>SUM(P108:P114)</f>
        <v>34268.94997592998</v>
      </c>
      <c r="Q107" s="37">
        <f t="shared" ref="Q107:S107" si="50">SUM(Q108:Q114)</f>
        <v>0</v>
      </c>
      <c r="R107" s="37">
        <f t="shared" si="50"/>
        <v>0</v>
      </c>
      <c r="S107" s="37">
        <f t="shared" si="50"/>
        <v>34268.94997592998</v>
      </c>
      <c r="T107" s="38">
        <f>SUM(T108:T114)</f>
        <v>34268.94997592998</v>
      </c>
      <c r="V107" s="230"/>
    </row>
    <row r="108" spans="1:22" x14ac:dyDescent="0.35">
      <c r="A108" s="24"/>
      <c r="B108" s="24"/>
      <c r="C108" s="39" t="s">
        <v>119</v>
      </c>
      <c r="D108" s="44"/>
      <c r="E108" s="232"/>
      <c r="F108" s="44">
        <v>7000</v>
      </c>
      <c r="G108" s="35">
        <f t="shared" si="47"/>
        <v>7000</v>
      </c>
      <c r="H108" s="43"/>
      <c r="I108" s="55"/>
      <c r="J108" s="55"/>
      <c r="K108" s="204">
        <f>SUM(H108:J108)</f>
        <v>0</v>
      </c>
      <c r="L108" s="55"/>
      <c r="M108" s="189"/>
      <c r="N108" s="189"/>
      <c r="O108" s="208">
        <f>+SUM(L108:N108)</f>
        <v>0</v>
      </c>
      <c r="P108" s="79">
        <v>9110.3132954048142</v>
      </c>
      <c r="Q108" s="189"/>
      <c r="R108" s="189"/>
      <c r="S108" s="208">
        <f>SUM(P108:R108)</f>
        <v>9110.3132954048142</v>
      </c>
      <c r="T108" s="36">
        <f>+S108+K108+O108</f>
        <v>9110.3132954048142</v>
      </c>
      <c r="V108" s="230"/>
    </row>
    <row r="109" spans="1:22" x14ac:dyDescent="0.35">
      <c r="A109" s="24"/>
      <c r="B109" s="24"/>
      <c r="C109" s="39" t="s">
        <v>120</v>
      </c>
      <c r="D109" s="44"/>
      <c r="E109" s="232"/>
      <c r="F109" s="44"/>
      <c r="G109" s="35">
        <f t="shared" si="47"/>
        <v>0</v>
      </c>
      <c r="H109" s="43"/>
      <c r="I109" s="55"/>
      <c r="J109" s="55"/>
      <c r="K109" s="204">
        <f t="shared" ref="K109:K114" si="51">SUM(H109:J109)</f>
        <v>0</v>
      </c>
      <c r="L109" s="55"/>
      <c r="M109" s="189"/>
      <c r="N109" s="189"/>
      <c r="O109" s="208">
        <f t="shared" ref="O109:O114" si="52">+SUM(L109:N109)</f>
        <v>0</v>
      </c>
      <c r="P109" s="79">
        <v>0</v>
      </c>
      <c r="Q109" s="189"/>
      <c r="R109" s="189"/>
      <c r="S109" s="208">
        <f t="shared" ref="S109:S114" si="53">SUM(P109:R109)</f>
        <v>0</v>
      </c>
      <c r="T109" s="36">
        <f t="shared" ref="T109:T114" si="54">+S109+K109+O109</f>
        <v>0</v>
      </c>
      <c r="V109" s="230"/>
    </row>
    <row r="110" spans="1:22" x14ac:dyDescent="0.35">
      <c r="A110" s="24"/>
      <c r="B110" s="24"/>
      <c r="C110" s="39" t="s">
        <v>121</v>
      </c>
      <c r="D110" s="44"/>
      <c r="E110" s="44"/>
      <c r="F110" s="44">
        <v>2100</v>
      </c>
      <c r="G110" s="35">
        <f t="shared" si="47"/>
        <v>2100</v>
      </c>
      <c r="H110" s="43"/>
      <c r="I110" s="55"/>
      <c r="J110" s="55"/>
      <c r="K110" s="204">
        <f t="shared" si="51"/>
        <v>0</v>
      </c>
      <c r="L110" s="55"/>
      <c r="M110" s="189"/>
      <c r="N110" s="189"/>
      <c r="O110" s="208">
        <f t="shared" si="52"/>
        <v>0</v>
      </c>
      <c r="P110" s="79">
        <v>2233.0415754923415</v>
      </c>
      <c r="Q110" s="189"/>
      <c r="R110" s="189"/>
      <c r="S110" s="208">
        <f t="shared" si="53"/>
        <v>2233.0415754923415</v>
      </c>
      <c r="T110" s="36">
        <f t="shared" si="54"/>
        <v>2233.0415754923415</v>
      </c>
      <c r="V110" s="230"/>
    </row>
    <row r="111" spans="1:22" x14ac:dyDescent="0.35">
      <c r="A111" s="24"/>
      <c r="B111" s="24"/>
      <c r="C111" s="45" t="s">
        <v>122</v>
      </c>
      <c r="D111" s="44"/>
      <c r="E111" s="44"/>
      <c r="F111" s="44">
        <v>14350</v>
      </c>
      <c r="G111" s="35">
        <f t="shared" si="47"/>
        <v>14350</v>
      </c>
      <c r="H111" s="43"/>
      <c r="I111" s="55"/>
      <c r="J111" s="55"/>
      <c r="K111" s="204">
        <f t="shared" si="51"/>
        <v>0</v>
      </c>
      <c r="L111" s="55"/>
      <c r="M111" s="189"/>
      <c r="N111" s="189"/>
      <c r="O111" s="208">
        <f t="shared" si="52"/>
        <v>0</v>
      </c>
      <c r="P111" s="79">
        <v>11996.207881838076</v>
      </c>
      <c r="Q111" s="189"/>
      <c r="R111" s="189"/>
      <c r="S111" s="208">
        <f t="shared" si="53"/>
        <v>11996.207881838076</v>
      </c>
      <c r="T111" s="36">
        <f t="shared" si="54"/>
        <v>11996.207881838076</v>
      </c>
      <c r="V111" s="230"/>
    </row>
    <row r="112" spans="1:22" x14ac:dyDescent="0.35">
      <c r="A112" s="24"/>
      <c r="B112" s="24"/>
      <c r="C112" s="39" t="s">
        <v>123</v>
      </c>
      <c r="D112" s="80"/>
      <c r="E112" s="44"/>
      <c r="F112" s="44">
        <v>7000</v>
      </c>
      <c r="G112" s="35">
        <f>SUM(E112:F112)</f>
        <v>7000</v>
      </c>
      <c r="H112" s="43"/>
      <c r="I112" s="55"/>
      <c r="J112" s="55"/>
      <c r="K112" s="204">
        <f t="shared" si="51"/>
        <v>0</v>
      </c>
      <c r="L112" s="55"/>
      <c r="M112" s="189"/>
      <c r="N112" s="189"/>
      <c r="O112" s="208">
        <f t="shared" si="52"/>
        <v>0</v>
      </c>
      <c r="P112" s="79">
        <v>8184.0481400437639</v>
      </c>
      <c r="Q112" s="189"/>
      <c r="R112" s="189"/>
      <c r="S112" s="208">
        <f t="shared" si="53"/>
        <v>8184.0481400437639</v>
      </c>
      <c r="T112" s="36">
        <f t="shared" si="54"/>
        <v>8184.0481400437639</v>
      </c>
      <c r="V112" s="230"/>
    </row>
    <row r="113" spans="1:22" x14ac:dyDescent="0.35">
      <c r="A113" s="24"/>
      <c r="B113" s="24"/>
      <c r="C113" s="39" t="s">
        <v>124</v>
      </c>
      <c r="D113" s="44"/>
      <c r="E113" s="44"/>
      <c r="F113" s="44"/>
      <c r="G113" s="35">
        <f t="shared" si="47"/>
        <v>0</v>
      </c>
      <c r="H113" s="43"/>
      <c r="I113" s="55"/>
      <c r="J113" s="55"/>
      <c r="K113" s="204">
        <f t="shared" si="51"/>
        <v>0</v>
      </c>
      <c r="L113" s="55"/>
      <c r="M113" s="189"/>
      <c r="N113" s="189"/>
      <c r="O113" s="208">
        <f t="shared" si="52"/>
        <v>0</v>
      </c>
      <c r="P113" s="79"/>
      <c r="Q113" s="189"/>
      <c r="R113" s="189"/>
      <c r="S113" s="208">
        <f t="shared" si="53"/>
        <v>0</v>
      </c>
      <c r="T113" s="36">
        <f t="shared" si="54"/>
        <v>0</v>
      </c>
      <c r="V113" s="230"/>
    </row>
    <row r="114" spans="1:22" x14ac:dyDescent="0.35">
      <c r="A114" s="24"/>
      <c r="B114" s="24"/>
      <c r="C114" s="39" t="s">
        <v>125</v>
      </c>
      <c r="D114" s="44"/>
      <c r="E114" s="44"/>
      <c r="F114" s="44">
        <v>4550</v>
      </c>
      <c r="G114" s="35">
        <f t="shared" si="47"/>
        <v>4550</v>
      </c>
      <c r="H114" s="43"/>
      <c r="I114" s="55"/>
      <c r="J114" s="55"/>
      <c r="K114" s="204">
        <f t="shared" si="51"/>
        <v>0</v>
      </c>
      <c r="L114" s="55"/>
      <c r="M114" s="189"/>
      <c r="N114" s="189"/>
      <c r="O114" s="208">
        <f t="shared" si="52"/>
        <v>0</v>
      </c>
      <c r="P114" s="79">
        <v>2745.3390831509846</v>
      </c>
      <c r="Q114" s="189"/>
      <c r="R114" s="189"/>
      <c r="S114" s="208">
        <f t="shared" si="53"/>
        <v>2745.3390831509846</v>
      </c>
      <c r="T114" s="36">
        <f t="shared" si="54"/>
        <v>2745.3390831509846</v>
      </c>
      <c r="V114" s="230"/>
    </row>
    <row r="115" spans="1:22" x14ac:dyDescent="0.35">
      <c r="A115" s="24"/>
      <c r="B115" s="24"/>
      <c r="C115" s="47" t="s">
        <v>126</v>
      </c>
      <c r="D115" s="48">
        <f>SUM(D108:D114)</f>
        <v>0</v>
      </c>
      <c r="E115" s="48">
        <f>SUM(E108:E114)</f>
        <v>0</v>
      </c>
      <c r="F115" s="48">
        <f>SUM(F108:F114)</f>
        <v>35000</v>
      </c>
      <c r="G115" s="35">
        <f t="shared" si="47"/>
        <v>35000</v>
      </c>
      <c r="H115" s="58">
        <f t="shared" ref="H115:T115" si="55">SUM(H108:H114)</f>
        <v>0</v>
      </c>
      <c r="I115" s="58">
        <f t="shared" si="55"/>
        <v>0</v>
      </c>
      <c r="J115" s="58">
        <f t="shared" si="55"/>
        <v>0</v>
      </c>
      <c r="K115" s="58">
        <f t="shared" si="55"/>
        <v>0</v>
      </c>
      <c r="L115" s="58">
        <f t="shared" si="55"/>
        <v>0</v>
      </c>
      <c r="M115" s="58">
        <f t="shared" si="55"/>
        <v>0</v>
      </c>
      <c r="N115" s="58">
        <f t="shared" si="55"/>
        <v>0</v>
      </c>
      <c r="O115" s="58">
        <f t="shared" si="55"/>
        <v>0</v>
      </c>
      <c r="P115" s="58">
        <f>SUM(P108:P114)</f>
        <v>34268.94997592998</v>
      </c>
      <c r="Q115" s="58">
        <f t="shared" ref="Q115:S115" si="56">SUM(Q108:Q114)</f>
        <v>0</v>
      </c>
      <c r="R115" s="58">
        <f t="shared" si="56"/>
        <v>0</v>
      </c>
      <c r="S115" s="58">
        <f t="shared" si="56"/>
        <v>34268.94997592998</v>
      </c>
      <c r="T115" s="57">
        <f t="shared" si="55"/>
        <v>34268.94997592998</v>
      </c>
      <c r="V115" s="230"/>
    </row>
    <row r="116" spans="1:22" x14ac:dyDescent="0.35">
      <c r="A116" s="31"/>
      <c r="B116" s="31"/>
      <c r="C116" s="75"/>
      <c r="D116" s="73"/>
      <c r="E116" s="73"/>
      <c r="F116" s="73"/>
      <c r="G116" s="74"/>
      <c r="V116" s="230"/>
    </row>
    <row r="117" spans="1:22" x14ac:dyDescent="0.35">
      <c r="A117" s="24"/>
      <c r="B117" s="24"/>
      <c r="C117" s="318" t="s">
        <v>138</v>
      </c>
      <c r="D117" s="318"/>
      <c r="E117" s="318"/>
      <c r="F117" s="318"/>
      <c r="G117" s="318"/>
      <c r="H117" s="318"/>
      <c r="I117" s="318"/>
      <c r="J117" s="318"/>
      <c r="K117" s="318"/>
      <c r="L117" s="318"/>
      <c r="M117" s="318"/>
      <c r="N117" s="318"/>
      <c r="O117" s="318"/>
      <c r="P117" s="318"/>
      <c r="Q117" s="318"/>
      <c r="R117" s="318"/>
      <c r="S117" s="318"/>
      <c r="T117" s="318"/>
      <c r="V117" s="230"/>
    </row>
    <row r="118" spans="1:22" x14ac:dyDescent="0.35">
      <c r="A118" s="24"/>
      <c r="B118" s="24"/>
      <c r="C118" s="33" t="s">
        <v>139</v>
      </c>
      <c r="D118" s="35">
        <f>D126</f>
        <v>0</v>
      </c>
      <c r="E118" s="35">
        <f>E126</f>
        <v>0</v>
      </c>
      <c r="F118" s="35">
        <f>F126</f>
        <v>315600</v>
      </c>
      <c r="G118" s="35">
        <f>SUM(D118:F118)</f>
        <v>315600</v>
      </c>
      <c r="H118" s="37">
        <f>SUM(H119:H125)</f>
        <v>0</v>
      </c>
      <c r="I118" s="37">
        <f t="shared" ref="I118:K118" si="57">SUM(I119:I125)</f>
        <v>0</v>
      </c>
      <c r="J118" s="37">
        <f t="shared" si="57"/>
        <v>0</v>
      </c>
      <c r="K118" s="37">
        <f t="shared" si="57"/>
        <v>0</v>
      </c>
      <c r="L118" s="37">
        <f>SUM(L119:L125)</f>
        <v>0</v>
      </c>
      <c r="M118" s="37">
        <f t="shared" ref="M118:O118" si="58">SUM(M119:M125)</f>
        <v>0</v>
      </c>
      <c r="N118" s="37">
        <f t="shared" si="58"/>
        <v>0</v>
      </c>
      <c r="O118" s="37">
        <f t="shared" si="58"/>
        <v>0</v>
      </c>
      <c r="P118" s="37">
        <f>SUM(P119:P125)</f>
        <v>130705.23719900395</v>
      </c>
      <c r="Q118" s="37">
        <f t="shared" ref="Q118:S118" si="59">SUM(Q119:Q125)</f>
        <v>0</v>
      </c>
      <c r="R118" s="37">
        <f t="shared" si="59"/>
        <v>49943.470460774319</v>
      </c>
      <c r="S118" s="37">
        <f t="shared" si="59"/>
        <v>180648.70765977827</v>
      </c>
      <c r="T118" s="38">
        <f>SUM(T119:T125)</f>
        <v>180648.70765977827</v>
      </c>
      <c r="V118" s="230"/>
    </row>
    <row r="119" spans="1:22" x14ac:dyDescent="0.35">
      <c r="A119" s="24"/>
      <c r="B119" s="24"/>
      <c r="C119" s="39" t="s">
        <v>119</v>
      </c>
      <c r="D119" s="44"/>
      <c r="E119" s="41"/>
      <c r="F119" s="41">
        <v>48287</v>
      </c>
      <c r="G119" s="35">
        <f t="shared" ref="G119:G125" si="60">SUM(D119:F119)</f>
        <v>48287</v>
      </c>
      <c r="H119" s="43"/>
      <c r="I119" s="55"/>
      <c r="J119" s="55"/>
      <c r="K119" s="204">
        <f>SUM(H119:J119)</f>
        <v>0</v>
      </c>
      <c r="L119" s="55"/>
      <c r="M119" s="189"/>
      <c r="N119" s="189"/>
      <c r="O119" s="208">
        <f>+SUM(L119:N119)</f>
        <v>0</v>
      </c>
      <c r="P119" s="79">
        <v>29768.092877439827</v>
      </c>
      <c r="Q119" s="189"/>
      <c r="R119" s="189">
        <v>11661.806310722099</v>
      </c>
      <c r="S119" s="208">
        <f>SUM(P119:R119)</f>
        <v>41429.899188161929</v>
      </c>
      <c r="T119" s="36">
        <f>+S119+O119+K119</f>
        <v>41429.899188161929</v>
      </c>
      <c r="V119" s="230"/>
    </row>
    <row r="120" spans="1:22" x14ac:dyDescent="0.35">
      <c r="A120" s="24"/>
      <c r="B120" s="24"/>
      <c r="C120" s="39" t="s">
        <v>120</v>
      </c>
      <c r="D120" s="44"/>
      <c r="E120" s="41"/>
      <c r="F120" s="41"/>
      <c r="G120" s="35">
        <f t="shared" si="60"/>
        <v>0</v>
      </c>
      <c r="H120" s="43"/>
      <c r="I120" s="55"/>
      <c r="J120" s="55"/>
      <c r="K120" s="204">
        <f t="shared" ref="K120:K125" si="61">SUM(H120:J120)</f>
        <v>0</v>
      </c>
      <c r="L120" s="55"/>
      <c r="M120" s="189"/>
      <c r="N120" s="189"/>
      <c r="O120" s="208">
        <f t="shared" ref="O120:O125" si="62">+SUM(L120:N120)</f>
        <v>0</v>
      </c>
      <c r="P120" s="79">
        <v>0</v>
      </c>
      <c r="Q120" s="189"/>
      <c r="R120" s="189">
        <v>0</v>
      </c>
      <c r="S120" s="208">
        <f t="shared" ref="S120:S125" si="63">SUM(P120:R120)</f>
        <v>0</v>
      </c>
      <c r="T120" s="36">
        <f t="shared" ref="T120:T125" si="64">+S120+O120+K120</f>
        <v>0</v>
      </c>
      <c r="V120" s="230"/>
    </row>
    <row r="121" spans="1:22" x14ac:dyDescent="0.35">
      <c r="A121" s="24"/>
      <c r="B121" s="24"/>
      <c r="C121" s="39" t="s">
        <v>121</v>
      </c>
      <c r="D121" s="44"/>
      <c r="E121" s="44"/>
      <c r="F121" s="44">
        <v>6312</v>
      </c>
      <c r="G121" s="35">
        <f t="shared" si="60"/>
        <v>6312</v>
      </c>
      <c r="H121" s="43"/>
      <c r="I121" s="55"/>
      <c r="J121" s="55"/>
      <c r="K121" s="204">
        <f t="shared" si="61"/>
        <v>0</v>
      </c>
      <c r="L121" s="55"/>
      <c r="M121" s="189"/>
      <c r="N121" s="189"/>
      <c r="O121" s="208">
        <f t="shared" si="62"/>
        <v>0</v>
      </c>
      <c r="P121" s="79">
        <v>5635.5579868708974</v>
      </c>
      <c r="Q121" s="189"/>
      <c r="R121" s="189">
        <v>0</v>
      </c>
      <c r="S121" s="208">
        <f>SUM(P121:R121)</f>
        <v>5635.5579868708974</v>
      </c>
      <c r="T121" s="36">
        <f t="shared" si="64"/>
        <v>5635.5579868708974</v>
      </c>
      <c r="V121" s="230"/>
    </row>
    <row r="122" spans="1:22" x14ac:dyDescent="0.35">
      <c r="A122" s="24"/>
      <c r="B122" s="24"/>
      <c r="C122" s="45" t="s">
        <v>122</v>
      </c>
      <c r="D122" s="44"/>
      <c r="E122" s="44"/>
      <c r="F122" s="44">
        <v>18936</v>
      </c>
      <c r="G122" s="35">
        <f t="shared" si="60"/>
        <v>18936</v>
      </c>
      <c r="H122" s="43"/>
      <c r="I122" s="55"/>
      <c r="J122" s="55"/>
      <c r="K122" s="204">
        <f t="shared" si="61"/>
        <v>0</v>
      </c>
      <c r="L122" s="55"/>
      <c r="M122" s="189"/>
      <c r="N122" s="189"/>
      <c r="O122" s="208">
        <f t="shared" si="62"/>
        <v>0</v>
      </c>
      <c r="P122" s="79">
        <v>12160.99428934911</v>
      </c>
      <c r="Q122" s="189"/>
      <c r="R122" s="189">
        <v>5657.9575271492395</v>
      </c>
      <c r="S122" s="208">
        <f t="shared" si="63"/>
        <v>17818.951816498349</v>
      </c>
      <c r="T122" s="36">
        <f t="shared" si="64"/>
        <v>17818.951816498349</v>
      </c>
      <c r="V122" s="230"/>
    </row>
    <row r="123" spans="1:22" x14ac:dyDescent="0.35">
      <c r="A123" s="24"/>
      <c r="B123" s="24"/>
      <c r="C123" s="39" t="s">
        <v>123</v>
      </c>
      <c r="D123" s="44"/>
      <c r="E123" s="44"/>
      <c r="F123" s="44">
        <v>31560</v>
      </c>
      <c r="G123" s="35">
        <f t="shared" si="60"/>
        <v>31560</v>
      </c>
      <c r="H123" s="43"/>
      <c r="I123" s="55"/>
      <c r="J123" s="55"/>
      <c r="K123" s="204">
        <f t="shared" si="61"/>
        <v>0</v>
      </c>
      <c r="L123" s="55"/>
      <c r="M123" s="189"/>
      <c r="N123" s="189"/>
      <c r="O123" s="208">
        <f t="shared" si="62"/>
        <v>0</v>
      </c>
      <c r="P123" s="79">
        <v>19868.653172866521</v>
      </c>
      <c r="Q123" s="189"/>
      <c r="R123" s="189">
        <v>7372.9759299781153</v>
      </c>
      <c r="S123" s="208">
        <f t="shared" si="63"/>
        <v>27241.629102844636</v>
      </c>
      <c r="T123" s="36">
        <f>+S123+O123+K123</f>
        <v>27241.629102844636</v>
      </c>
      <c r="V123" s="230"/>
    </row>
    <row r="124" spans="1:22" x14ac:dyDescent="0.35">
      <c r="A124" s="24"/>
      <c r="B124" s="24"/>
      <c r="C124" s="39" t="s">
        <v>124</v>
      </c>
      <c r="D124" s="44"/>
      <c r="E124" s="44"/>
      <c r="F124" s="44">
        <v>186204</v>
      </c>
      <c r="G124" s="35">
        <f t="shared" si="60"/>
        <v>186204</v>
      </c>
      <c r="H124" s="43"/>
      <c r="I124" s="55"/>
      <c r="J124" s="55"/>
      <c r="K124" s="204">
        <f t="shared" si="61"/>
        <v>0</v>
      </c>
      <c r="L124" s="55"/>
      <c r="M124" s="189"/>
      <c r="N124" s="189"/>
      <c r="O124" s="208">
        <f t="shared" si="62"/>
        <v>0</v>
      </c>
      <c r="P124" s="79">
        <v>53795.809047532297</v>
      </c>
      <c r="Q124" s="189"/>
      <c r="R124" s="189">
        <v>25250.73069292487</v>
      </c>
      <c r="S124" s="208">
        <f t="shared" si="63"/>
        <v>79046.53974045717</v>
      </c>
      <c r="T124" s="36">
        <f t="shared" si="64"/>
        <v>79046.53974045717</v>
      </c>
      <c r="V124" s="230"/>
    </row>
    <row r="125" spans="1:22" x14ac:dyDescent="0.35">
      <c r="A125" s="24"/>
      <c r="B125" s="24"/>
      <c r="C125" s="39" t="s">
        <v>125</v>
      </c>
      <c r="D125" s="44"/>
      <c r="E125" s="44"/>
      <c r="F125" s="44">
        <v>24301</v>
      </c>
      <c r="G125" s="35">
        <f t="shared" si="60"/>
        <v>24301</v>
      </c>
      <c r="H125" s="43"/>
      <c r="I125" s="55"/>
      <c r="J125" s="55"/>
      <c r="K125" s="204">
        <f t="shared" si="61"/>
        <v>0</v>
      </c>
      <c r="L125" s="55"/>
      <c r="M125" s="189"/>
      <c r="N125" s="189"/>
      <c r="O125" s="208">
        <f t="shared" si="62"/>
        <v>0</v>
      </c>
      <c r="P125" s="79">
        <v>9476.1298249452921</v>
      </c>
      <c r="Q125" s="189"/>
      <c r="R125" s="189">
        <v>0</v>
      </c>
      <c r="S125" s="208">
        <f t="shared" si="63"/>
        <v>9476.1298249452921</v>
      </c>
      <c r="T125" s="36">
        <f t="shared" si="64"/>
        <v>9476.1298249452921</v>
      </c>
      <c r="V125" s="230"/>
    </row>
    <row r="126" spans="1:22" x14ac:dyDescent="0.35">
      <c r="A126" s="24"/>
      <c r="B126" s="24"/>
      <c r="C126" s="47" t="s">
        <v>126</v>
      </c>
      <c r="D126" s="48">
        <f>SUM(D119:D125)</f>
        <v>0</v>
      </c>
      <c r="E126" s="48">
        <f>SUM(E119:E125)</f>
        <v>0</v>
      </c>
      <c r="F126" s="48">
        <f>SUM(F119:F125)</f>
        <v>315600</v>
      </c>
      <c r="G126" s="35">
        <f>SUM(D126:F126)</f>
        <v>315600</v>
      </c>
      <c r="H126" s="58">
        <f t="shared" ref="H126:T126" si="65">SUM(H119:H125)</f>
        <v>0</v>
      </c>
      <c r="I126" s="58">
        <f t="shared" si="65"/>
        <v>0</v>
      </c>
      <c r="J126" s="58">
        <f t="shared" si="65"/>
        <v>0</v>
      </c>
      <c r="K126" s="58">
        <f t="shared" si="65"/>
        <v>0</v>
      </c>
      <c r="L126" s="58">
        <f>SUM(L119:L125)</f>
        <v>0</v>
      </c>
      <c r="M126" s="58">
        <f t="shared" ref="M126:O126" si="66">SUM(M119:M125)</f>
        <v>0</v>
      </c>
      <c r="N126" s="58">
        <f t="shared" si="66"/>
        <v>0</v>
      </c>
      <c r="O126" s="58">
        <f t="shared" si="66"/>
        <v>0</v>
      </c>
      <c r="P126" s="58">
        <f t="shared" si="65"/>
        <v>130705.23719900395</v>
      </c>
      <c r="Q126" s="58">
        <f t="shared" si="65"/>
        <v>0</v>
      </c>
      <c r="R126" s="58">
        <f t="shared" si="65"/>
        <v>49943.470460774319</v>
      </c>
      <c r="S126" s="58">
        <f t="shared" si="65"/>
        <v>180648.70765977827</v>
      </c>
      <c r="T126" s="57">
        <f t="shared" si="65"/>
        <v>180648.70765977827</v>
      </c>
      <c r="V126" s="230"/>
    </row>
    <row r="127" spans="1:22" x14ac:dyDescent="0.35">
      <c r="A127" s="31"/>
      <c r="B127" s="31"/>
      <c r="C127" s="75"/>
      <c r="D127" s="73"/>
      <c r="E127" s="73"/>
      <c r="F127" s="73"/>
      <c r="G127" s="74"/>
      <c r="V127" s="230"/>
    </row>
    <row r="128" spans="1:22" x14ac:dyDescent="0.35">
      <c r="A128" s="24"/>
      <c r="B128" s="24"/>
      <c r="C128" s="318" t="s">
        <v>84</v>
      </c>
      <c r="D128" s="318"/>
      <c r="E128" s="318"/>
      <c r="F128" s="318"/>
      <c r="G128" s="318"/>
      <c r="H128" s="318"/>
      <c r="I128" s="318"/>
      <c r="J128" s="318"/>
      <c r="K128" s="318"/>
      <c r="L128" s="318"/>
      <c r="M128" s="318"/>
      <c r="N128" s="318"/>
      <c r="O128" s="318"/>
      <c r="P128" s="318"/>
      <c r="Q128" s="318"/>
      <c r="R128" s="318"/>
      <c r="S128" s="318"/>
      <c r="T128" s="318"/>
      <c r="V128" s="230"/>
    </row>
    <row r="129" spans="1:22" x14ac:dyDescent="0.35">
      <c r="A129" s="24"/>
      <c r="B129" s="24"/>
      <c r="C129" s="33" t="s">
        <v>140</v>
      </c>
      <c r="D129" s="35">
        <f>D137</f>
        <v>20800</v>
      </c>
      <c r="E129" s="35">
        <f>E137</f>
        <v>235000</v>
      </c>
      <c r="F129" s="35">
        <f>F137</f>
        <v>0</v>
      </c>
      <c r="G129" s="35">
        <f t="shared" ref="G129:G137" si="67">SUM(D129:F129)</f>
        <v>255800</v>
      </c>
      <c r="H129" s="37">
        <f>+H137</f>
        <v>11112.281999999999</v>
      </c>
      <c r="I129" s="37">
        <f t="shared" ref="I129:K129" si="68">+I137</f>
        <v>1792.7199999999998</v>
      </c>
      <c r="J129" s="37">
        <f t="shared" si="68"/>
        <v>3168.29266031113</v>
      </c>
      <c r="K129" s="37">
        <f t="shared" si="68"/>
        <v>16073.29466031113</v>
      </c>
      <c r="L129" s="37">
        <f>SUM(L130:L136)</f>
        <v>12823.899999999998</v>
      </c>
      <c r="M129" s="37">
        <f t="shared" ref="M129:O129" si="69">SUM(M130:M136)</f>
        <v>83996.79</v>
      </c>
      <c r="N129" s="37">
        <f t="shared" si="69"/>
        <v>0</v>
      </c>
      <c r="O129" s="37">
        <f t="shared" si="69"/>
        <v>96820.689999999988</v>
      </c>
      <c r="P129" s="37">
        <f>SUM(P130:P136)</f>
        <v>0</v>
      </c>
      <c r="Q129" s="37">
        <f t="shared" ref="Q129:S129" si="70">SUM(Q130:Q136)</f>
        <v>0</v>
      </c>
      <c r="R129" s="37">
        <f t="shared" si="70"/>
        <v>0</v>
      </c>
      <c r="S129" s="37">
        <f t="shared" si="70"/>
        <v>0</v>
      </c>
      <c r="T129" s="38">
        <f>SUM(T130:T136)</f>
        <v>112893.98466031112</v>
      </c>
      <c r="V129" s="230"/>
    </row>
    <row r="130" spans="1:22" x14ac:dyDescent="0.35">
      <c r="A130" s="24"/>
      <c r="B130" s="24"/>
      <c r="C130" s="39" t="s">
        <v>119</v>
      </c>
      <c r="D130" s="40">
        <v>0</v>
      </c>
      <c r="E130" s="41"/>
      <c r="F130" s="41"/>
      <c r="G130" s="35">
        <f t="shared" si="67"/>
        <v>0</v>
      </c>
      <c r="H130" s="43"/>
      <c r="I130" s="81">
        <v>0</v>
      </c>
      <c r="J130" s="81"/>
      <c r="K130" s="205">
        <f>SUM(H130:J130)</f>
        <v>0</v>
      </c>
      <c r="L130" s="81"/>
      <c r="M130" s="81">
        <v>0</v>
      </c>
      <c r="N130" s="81"/>
      <c r="O130" s="205">
        <f>+SUM(L130:N130)</f>
        <v>0</v>
      </c>
      <c r="P130" s="43"/>
      <c r="Q130" s="43"/>
      <c r="R130" s="43"/>
      <c r="S130" s="36">
        <f>SUM(P130:R130)</f>
        <v>0</v>
      </c>
      <c r="T130" s="36">
        <f>+S130+O130+K130</f>
        <v>0</v>
      </c>
      <c r="V130" s="230"/>
    </row>
    <row r="131" spans="1:22" x14ac:dyDescent="0.35">
      <c r="A131" s="24"/>
      <c r="B131" s="24"/>
      <c r="C131" s="39" t="s">
        <v>120</v>
      </c>
      <c r="D131" s="40">
        <v>5800</v>
      </c>
      <c r="E131" s="41">
        <v>2000</v>
      </c>
      <c r="F131" s="41"/>
      <c r="G131" s="35">
        <f t="shared" si="67"/>
        <v>7800</v>
      </c>
      <c r="H131" s="43"/>
      <c r="I131" s="81">
        <v>1073.2946603111279</v>
      </c>
      <c r="J131" s="81"/>
      <c r="K131" s="205">
        <f t="shared" ref="K131:K136" si="71">SUM(H131:J131)</f>
        <v>1073.2946603111279</v>
      </c>
      <c r="L131" s="81">
        <v>676.47</v>
      </c>
      <c r="M131" s="81">
        <v>0</v>
      </c>
      <c r="N131" s="81"/>
      <c r="O131" s="205">
        <f t="shared" ref="O131:O136" si="72">+SUM(L131:N131)</f>
        <v>676.47</v>
      </c>
      <c r="P131" s="43"/>
      <c r="Q131" s="43"/>
      <c r="R131" s="43"/>
      <c r="S131" s="36">
        <f t="shared" ref="S131:S136" si="73">SUM(P131:R131)</f>
        <v>0</v>
      </c>
      <c r="T131" s="36">
        <f t="shared" ref="T131:T136" si="74">+S131+O131+K131</f>
        <v>1749.764660311128</v>
      </c>
      <c r="V131" s="230"/>
    </row>
    <row r="132" spans="1:22" x14ac:dyDescent="0.35">
      <c r="A132" s="24"/>
      <c r="B132" s="24"/>
      <c r="C132" s="39" t="s">
        <v>121</v>
      </c>
      <c r="D132" s="40">
        <v>0</v>
      </c>
      <c r="E132" s="44"/>
      <c r="F132" s="44"/>
      <c r="G132" s="35">
        <f t="shared" si="67"/>
        <v>0</v>
      </c>
      <c r="H132" s="43"/>
      <c r="I132" s="81">
        <v>0</v>
      </c>
      <c r="J132" s="81"/>
      <c r="K132" s="205">
        <f t="shared" si="71"/>
        <v>0</v>
      </c>
      <c r="L132" s="81"/>
      <c r="M132" s="81">
        <v>0</v>
      </c>
      <c r="N132" s="81"/>
      <c r="O132" s="205">
        <f t="shared" si="72"/>
        <v>0</v>
      </c>
      <c r="P132" s="43"/>
      <c r="Q132" s="43"/>
      <c r="R132" s="43"/>
      <c r="S132" s="36">
        <f t="shared" si="73"/>
        <v>0</v>
      </c>
      <c r="T132" s="36">
        <f t="shared" si="74"/>
        <v>0</v>
      </c>
      <c r="V132" s="230"/>
    </row>
    <row r="133" spans="1:22" x14ac:dyDescent="0.35">
      <c r="A133" s="24"/>
      <c r="B133" s="24"/>
      <c r="C133" s="45" t="s">
        <v>122</v>
      </c>
      <c r="D133" s="40">
        <v>0</v>
      </c>
      <c r="E133" s="44">
        <v>3000</v>
      </c>
      <c r="F133" s="44"/>
      <c r="G133" s="35">
        <f t="shared" si="67"/>
        <v>3000</v>
      </c>
      <c r="H133" s="43"/>
      <c r="I133" s="81">
        <v>0</v>
      </c>
      <c r="J133" s="81"/>
      <c r="K133" s="205">
        <f t="shared" si="71"/>
        <v>0</v>
      </c>
      <c r="L133" s="81"/>
      <c r="M133" s="81">
        <v>0</v>
      </c>
      <c r="N133" s="81"/>
      <c r="O133" s="205">
        <f t="shared" si="72"/>
        <v>0</v>
      </c>
      <c r="P133" s="43"/>
      <c r="Q133" s="43"/>
      <c r="R133" s="43"/>
      <c r="S133" s="36">
        <f t="shared" si="73"/>
        <v>0</v>
      </c>
      <c r="T133" s="36">
        <f t="shared" si="74"/>
        <v>0</v>
      </c>
      <c r="V133" s="230"/>
    </row>
    <row r="134" spans="1:22" x14ac:dyDescent="0.35">
      <c r="A134" s="24"/>
      <c r="B134" s="24"/>
      <c r="C134" s="39" t="s">
        <v>123</v>
      </c>
      <c r="D134" s="40">
        <v>10000</v>
      </c>
      <c r="E134" s="44">
        <v>15000</v>
      </c>
      <c r="F134" s="44"/>
      <c r="G134" s="35">
        <f t="shared" si="67"/>
        <v>25000</v>
      </c>
      <c r="H134" s="44">
        <f>1792.72+4319.562</f>
        <v>6112.2820000000002</v>
      </c>
      <c r="I134" s="187">
        <v>719.42533968887187</v>
      </c>
      <c r="J134" s="187">
        <v>3168.29266031113</v>
      </c>
      <c r="K134" s="205">
        <f t="shared" si="71"/>
        <v>10000.000000000002</v>
      </c>
      <c r="L134" s="81">
        <v>7523.0599999999995</v>
      </c>
      <c r="M134" s="81">
        <v>0</v>
      </c>
      <c r="N134" s="81"/>
      <c r="O134" s="205">
        <f t="shared" si="72"/>
        <v>7523.0599999999995</v>
      </c>
      <c r="P134" s="43"/>
      <c r="Q134" s="43"/>
      <c r="R134" s="43"/>
      <c r="S134" s="36">
        <f t="shared" si="73"/>
        <v>0</v>
      </c>
      <c r="T134" s="36">
        <f t="shared" si="74"/>
        <v>17523.060000000001</v>
      </c>
      <c r="V134" s="230"/>
    </row>
    <row r="135" spans="1:22" x14ac:dyDescent="0.35">
      <c r="A135" s="24"/>
      <c r="B135" s="24"/>
      <c r="C135" s="39" t="s">
        <v>124</v>
      </c>
      <c r="D135" s="40">
        <v>0</v>
      </c>
      <c r="E135" s="44">
        <v>210000</v>
      </c>
      <c r="F135" s="44"/>
      <c r="G135" s="35">
        <f t="shared" si="67"/>
        <v>210000</v>
      </c>
      <c r="H135" s="43"/>
      <c r="I135" s="81">
        <v>0</v>
      </c>
      <c r="J135" s="81"/>
      <c r="K135" s="205">
        <f t="shared" si="71"/>
        <v>0</v>
      </c>
      <c r="L135" s="81"/>
      <c r="M135" s="81">
        <v>83996.79</v>
      </c>
      <c r="N135" s="81"/>
      <c r="O135" s="205">
        <f t="shared" si="72"/>
        <v>83996.79</v>
      </c>
      <c r="P135" s="43"/>
      <c r="Q135" s="43"/>
      <c r="R135" s="43"/>
      <c r="S135" s="36">
        <f t="shared" si="73"/>
        <v>0</v>
      </c>
      <c r="T135" s="36">
        <f t="shared" si="74"/>
        <v>83996.79</v>
      </c>
      <c r="V135" s="230"/>
    </row>
    <row r="136" spans="1:22" x14ac:dyDescent="0.35">
      <c r="A136" s="24"/>
      <c r="B136" s="24"/>
      <c r="C136" s="39" t="s">
        <v>125</v>
      </c>
      <c r="D136" s="40">
        <v>5000</v>
      </c>
      <c r="E136" s="44">
        <v>5000</v>
      </c>
      <c r="F136" s="44"/>
      <c r="G136" s="35">
        <f t="shared" si="67"/>
        <v>10000</v>
      </c>
      <c r="H136" s="40">
        <v>5000</v>
      </c>
      <c r="I136" s="188">
        <v>0</v>
      </c>
      <c r="J136" s="188"/>
      <c r="K136" s="205">
        <f t="shared" si="71"/>
        <v>5000</v>
      </c>
      <c r="L136" s="81">
        <v>4624.37</v>
      </c>
      <c r="M136" s="81">
        <v>0</v>
      </c>
      <c r="N136" s="81"/>
      <c r="O136" s="205">
        <f t="shared" si="72"/>
        <v>4624.37</v>
      </c>
      <c r="P136" s="43"/>
      <c r="Q136" s="43"/>
      <c r="R136" s="43"/>
      <c r="S136" s="36">
        <f t="shared" si="73"/>
        <v>0</v>
      </c>
      <c r="T136" s="36">
        <f t="shared" si="74"/>
        <v>9624.369999999999</v>
      </c>
      <c r="V136" s="230"/>
    </row>
    <row r="137" spans="1:22" x14ac:dyDescent="0.35">
      <c r="A137" s="24"/>
      <c r="B137" s="24"/>
      <c r="C137" s="47" t="s">
        <v>126</v>
      </c>
      <c r="D137" s="48">
        <f>SUM(D130:D136)</f>
        <v>20800</v>
      </c>
      <c r="E137" s="48">
        <f>SUM(E130:E136)</f>
        <v>235000</v>
      </c>
      <c r="F137" s="48">
        <f>SUM(F130:F136)</f>
        <v>0</v>
      </c>
      <c r="G137" s="35">
        <f t="shared" si="67"/>
        <v>255800</v>
      </c>
      <c r="H137" s="58">
        <f>SUM(H130:H136)</f>
        <v>11112.281999999999</v>
      </c>
      <c r="I137" s="58">
        <f t="shared" ref="I137:K137" si="75">SUM(I130:I136)</f>
        <v>1792.7199999999998</v>
      </c>
      <c r="J137" s="58">
        <f t="shared" si="75"/>
        <v>3168.29266031113</v>
      </c>
      <c r="K137" s="58">
        <f t="shared" si="75"/>
        <v>16073.29466031113</v>
      </c>
      <c r="L137" s="58">
        <f t="shared" ref="L137:T137" si="76">SUM(L130:L136)</f>
        <v>12823.899999999998</v>
      </c>
      <c r="M137" s="58">
        <f t="shared" si="76"/>
        <v>83996.79</v>
      </c>
      <c r="N137" s="58">
        <f t="shared" si="76"/>
        <v>0</v>
      </c>
      <c r="O137" s="58">
        <f t="shared" si="76"/>
        <v>96820.689999999988</v>
      </c>
      <c r="P137" s="58">
        <f>SUM(P130:P136)</f>
        <v>0</v>
      </c>
      <c r="Q137" s="58">
        <f t="shared" ref="Q137:S137" si="77">SUM(Q130:Q136)</f>
        <v>0</v>
      </c>
      <c r="R137" s="58">
        <f t="shared" si="77"/>
        <v>0</v>
      </c>
      <c r="S137" s="58">
        <f t="shared" si="77"/>
        <v>0</v>
      </c>
      <c r="T137" s="57">
        <f t="shared" si="76"/>
        <v>112893.98466031112</v>
      </c>
      <c r="V137" s="230"/>
    </row>
    <row r="138" spans="1:22" x14ac:dyDescent="0.35">
      <c r="A138" s="31"/>
      <c r="B138" s="31"/>
      <c r="C138" s="50"/>
      <c r="D138" s="51"/>
      <c r="E138" s="51"/>
      <c r="F138" s="51"/>
      <c r="G138" s="59"/>
      <c r="V138" s="230"/>
    </row>
    <row r="139" spans="1:22" hidden="1" x14ac:dyDescent="0.35">
      <c r="A139" s="24"/>
      <c r="B139" s="24"/>
      <c r="C139" s="82" t="s">
        <v>141</v>
      </c>
      <c r="D139" s="83"/>
      <c r="E139" s="83"/>
      <c r="F139" s="83"/>
      <c r="G139" s="84"/>
      <c r="V139" s="230"/>
    </row>
    <row r="140" spans="1:22" ht="13" hidden="1" thickBot="1" x14ac:dyDescent="0.4">
      <c r="A140" s="24"/>
      <c r="B140" s="24"/>
      <c r="C140" s="60" t="s">
        <v>142</v>
      </c>
      <c r="D140" s="61">
        <f>'[2]1) Tableau budgétaire 1'!D138</f>
        <v>0</v>
      </c>
      <c r="E140" s="61">
        <f>'[2]1) Tableau budgétaire 1'!E138</f>
        <v>0</v>
      </c>
      <c r="F140" s="61">
        <f>'[2]1) Tableau budgétaire 1'!F138</f>
        <v>0</v>
      </c>
      <c r="G140" s="61">
        <f t="shared" ref="G140:G148" si="78">SUM(D140:F140)</f>
        <v>0</v>
      </c>
      <c r="H140" s="37">
        <f>+H148</f>
        <v>0</v>
      </c>
      <c r="I140" s="37"/>
      <c r="J140" s="37"/>
      <c r="K140" s="38"/>
      <c r="L140" s="37">
        <f>+L148</f>
        <v>0</v>
      </c>
      <c r="M140" s="37"/>
      <c r="N140" s="37"/>
      <c r="O140" s="38"/>
      <c r="P140" s="37">
        <f>+P148</f>
        <v>0</v>
      </c>
      <c r="Q140" s="37"/>
      <c r="R140" s="37"/>
      <c r="S140" s="38"/>
      <c r="T140" s="38">
        <f>+T148</f>
        <v>0</v>
      </c>
      <c r="V140" s="230"/>
    </row>
    <row r="141" spans="1:22" hidden="1" x14ac:dyDescent="0.35">
      <c r="A141" s="24"/>
      <c r="B141" s="24"/>
      <c r="C141" s="62" t="s">
        <v>119</v>
      </c>
      <c r="D141" s="63"/>
      <c r="E141" s="64"/>
      <c r="F141" s="64"/>
      <c r="G141" s="65">
        <f t="shared" si="78"/>
        <v>0</v>
      </c>
      <c r="H141" s="42"/>
      <c r="I141" s="185"/>
      <c r="J141" s="185"/>
      <c r="K141" s="201"/>
      <c r="L141" s="55"/>
      <c r="M141" s="55"/>
      <c r="N141" s="55"/>
      <c r="O141" s="204"/>
      <c r="P141" s="43"/>
      <c r="Q141" s="43"/>
      <c r="R141" s="43"/>
      <c r="S141" s="36"/>
      <c r="T141" s="36"/>
      <c r="V141" s="230"/>
    </row>
    <row r="142" spans="1:22" hidden="1" x14ac:dyDescent="0.35">
      <c r="A142" s="24"/>
      <c r="B142" s="24"/>
      <c r="C142" s="39" t="s">
        <v>120</v>
      </c>
      <c r="D142" s="44"/>
      <c r="E142" s="41"/>
      <c r="F142" s="41"/>
      <c r="G142" s="35">
        <f t="shared" si="78"/>
        <v>0</v>
      </c>
      <c r="H142" s="42"/>
      <c r="I142" s="185"/>
      <c r="J142" s="185"/>
      <c r="K142" s="201"/>
      <c r="L142" s="55"/>
      <c r="M142" s="55"/>
      <c r="N142" s="55"/>
      <c r="O142" s="204"/>
      <c r="P142" s="43"/>
      <c r="Q142" s="43"/>
      <c r="R142" s="43"/>
      <c r="S142" s="36"/>
      <c r="T142" s="36"/>
      <c r="V142" s="230"/>
    </row>
    <row r="143" spans="1:22" hidden="1" x14ac:dyDescent="0.35">
      <c r="A143" s="24"/>
      <c r="B143" s="24"/>
      <c r="C143" s="39" t="s">
        <v>121</v>
      </c>
      <c r="D143" s="44"/>
      <c r="E143" s="44"/>
      <c r="F143" s="44"/>
      <c r="G143" s="35">
        <f t="shared" si="78"/>
        <v>0</v>
      </c>
      <c r="H143" s="42"/>
      <c r="I143" s="185"/>
      <c r="J143" s="185"/>
      <c r="K143" s="201"/>
      <c r="L143" s="55"/>
      <c r="M143" s="55"/>
      <c r="N143" s="55"/>
      <c r="O143" s="204"/>
      <c r="P143" s="43"/>
      <c r="Q143" s="43"/>
      <c r="R143" s="43"/>
      <c r="S143" s="36"/>
      <c r="T143" s="36"/>
      <c r="V143" s="230"/>
    </row>
    <row r="144" spans="1:22" hidden="1" x14ac:dyDescent="0.35">
      <c r="A144" s="24"/>
      <c r="B144" s="24"/>
      <c r="C144" s="45" t="s">
        <v>122</v>
      </c>
      <c r="D144" s="44"/>
      <c r="E144" s="44"/>
      <c r="F144" s="44"/>
      <c r="G144" s="35">
        <f t="shared" si="78"/>
        <v>0</v>
      </c>
      <c r="H144" s="42"/>
      <c r="I144" s="185"/>
      <c r="J144" s="185"/>
      <c r="K144" s="201"/>
      <c r="L144" s="55"/>
      <c r="M144" s="55"/>
      <c r="N144" s="55"/>
      <c r="O144" s="204"/>
      <c r="P144" s="43"/>
      <c r="Q144" s="43"/>
      <c r="R144" s="43"/>
      <c r="S144" s="36"/>
      <c r="T144" s="36"/>
      <c r="V144" s="230"/>
    </row>
    <row r="145" spans="1:22" hidden="1" x14ac:dyDescent="0.35">
      <c r="A145" s="24"/>
      <c r="B145" s="24"/>
      <c r="C145" s="39" t="s">
        <v>123</v>
      </c>
      <c r="D145" s="44"/>
      <c r="E145" s="44"/>
      <c r="F145" s="44"/>
      <c r="G145" s="35">
        <f t="shared" si="78"/>
        <v>0</v>
      </c>
      <c r="H145" s="42"/>
      <c r="I145" s="185"/>
      <c r="J145" s="185"/>
      <c r="K145" s="201"/>
      <c r="L145" s="55"/>
      <c r="M145" s="55"/>
      <c r="N145" s="55"/>
      <c r="O145" s="204"/>
      <c r="P145" s="43"/>
      <c r="Q145" s="43"/>
      <c r="R145" s="43"/>
      <c r="S145" s="36"/>
      <c r="T145" s="36"/>
      <c r="V145" s="230"/>
    </row>
    <row r="146" spans="1:22" hidden="1" x14ac:dyDescent="0.35">
      <c r="A146" s="24"/>
      <c r="B146" s="24"/>
      <c r="C146" s="39" t="s">
        <v>124</v>
      </c>
      <c r="D146" s="44"/>
      <c r="E146" s="44"/>
      <c r="F146" s="44"/>
      <c r="G146" s="35">
        <f t="shared" si="78"/>
        <v>0</v>
      </c>
      <c r="H146" s="42"/>
      <c r="I146" s="185"/>
      <c r="J146" s="185"/>
      <c r="K146" s="201"/>
      <c r="L146" s="55"/>
      <c r="M146" s="55"/>
      <c r="N146" s="55"/>
      <c r="O146" s="204"/>
      <c r="P146" s="43"/>
      <c r="Q146" s="43"/>
      <c r="R146" s="43"/>
      <c r="S146" s="36"/>
      <c r="T146" s="36"/>
      <c r="V146" s="230"/>
    </row>
    <row r="147" spans="1:22" hidden="1" x14ac:dyDescent="0.35">
      <c r="A147" s="24"/>
      <c r="B147" s="24"/>
      <c r="C147" s="39" t="s">
        <v>125</v>
      </c>
      <c r="D147" s="44"/>
      <c r="E147" s="44"/>
      <c r="F147" s="44"/>
      <c r="G147" s="35">
        <f t="shared" si="78"/>
        <v>0</v>
      </c>
      <c r="H147" s="40"/>
      <c r="I147" s="186"/>
      <c r="J147" s="186"/>
      <c r="K147" s="202"/>
      <c r="L147" s="55"/>
      <c r="M147" s="55"/>
      <c r="N147" s="55"/>
      <c r="O147" s="204"/>
      <c r="P147" s="43"/>
      <c r="Q147" s="43"/>
      <c r="R147" s="43"/>
      <c r="S147" s="36"/>
      <c r="T147" s="36"/>
      <c r="V147" s="230"/>
    </row>
    <row r="148" spans="1:22" hidden="1" x14ac:dyDescent="0.35">
      <c r="A148" s="24"/>
      <c r="B148" s="24"/>
      <c r="C148" s="47" t="s">
        <v>126</v>
      </c>
      <c r="D148" s="48">
        <f>SUM(D141:D147)</f>
        <v>0</v>
      </c>
      <c r="E148" s="48">
        <f>SUM(E141:E147)</f>
        <v>0</v>
      </c>
      <c r="F148" s="48">
        <f>SUM(F141:F147)</f>
        <v>0</v>
      </c>
      <c r="G148" s="35">
        <f t="shared" si="78"/>
        <v>0</v>
      </c>
      <c r="H148" s="58">
        <f>SUM(H143:H147)</f>
        <v>0</v>
      </c>
      <c r="I148" s="58"/>
      <c r="J148" s="58"/>
      <c r="K148" s="57"/>
      <c r="L148" s="58">
        <f>SUM(L141:L147)</f>
        <v>0</v>
      </c>
      <c r="M148" s="58"/>
      <c r="N148" s="58"/>
      <c r="O148" s="57"/>
      <c r="P148" s="58">
        <f>SUM(P141:P147)</f>
        <v>0</v>
      </c>
      <c r="Q148" s="58"/>
      <c r="R148" s="58"/>
      <c r="S148" s="57"/>
      <c r="T148" s="57">
        <f>SUM(T141:T147)</f>
        <v>0</v>
      </c>
      <c r="V148" s="230"/>
    </row>
    <row r="149" spans="1:22" x14ac:dyDescent="0.35">
      <c r="A149" s="24"/>
      <c r="B149" s="24"/>
      <c r="C149" s="24"/>
      <c r="D149" s="25"/>
      <c r="E149" s="25"/>
      <c r="F149" s="25"/>
      <c r="G149" s="26"/>
      <c r="V149" s="230"/>
    </row>
    <row r="150" spans="1:22" hidden="1" x14ac:dyDescent="0.35">
      <c r="A150" s="24"/>
      <c r="B150" s="323" t="s">
        <v>143</v>
      </c>
      <c r="C150" s="324"/>
      <c r="D150" s="324"/>
      <c r="E150" s="324"/>
      <c r="F150" s="324"/>
      <c r="G150" s="325"/>
      <c r="V150" s="230"/>
    </row>
    <row r="151" spans="1:22" hidden="1" x14ac:dyDescent="0.35">
      <c r="A151" s="24"/>
      <c r="B151" s="24"/>
      <c r="C151" s="323" t="s">
        <v>144</v>
      </c>
      <c r="D151" s="324"/>
      <c r="E151" s="324"/>
      <c r="F151" s="324"/>
      <c r="G151" s="325"/>
      <c r="V151" s="230"/>
    </row>
    <row r="152" spans="1:22" ht="13" hidden="1" thickBot="1" x14ac:dyDescent="0.4">
      <c r="A152" s="24"/>
      <c r="B152" s="24"/>
      <c r="C152" s="60" t="s">
        <v>145</v>
      </c>
      <c r="D152" s="61">
        <f>'[2]1) Tableau budgétaire 1'!D150</f>
        <v>0</v>
      </c>
      <c r="E152" s="61">
        <f>'[2]1) Tableau budgétaire 1'!E150</f>
        <v>0</v>
      </c>
      <c r="F152" s="61">
        <f>'[2]1) Tableau budgétaire 1'!F150</f>
        <v>0</v>
      </c>
      <c r="G152" s="61">
        <f t="shared" ref="G152:G160" si="79">SUM(D152:F152)</f>
        <v>0</v>
      </c>
      <c r="H152" s="37">
        <f>+H160</f>
        <v>0</v>
      </c>
      <c r="I152" s="37"/>
      <c r="J152" s="37"/>
      <c r="K152" s="38"/>
      <c r="L152" s="37">
        <f>+L160</f>
        <v>0</v>
      </c>
      <c r="M152" s="37"/>
      <c r="N152" s="37"/>
      <c r="O152" s="38"/>
      <c r="P152" s="37">
        <f>+P160</f>
        <v>0</v>
      </c>
      <c r="Q152" s="37"/>
      <c r="R152" s="37"/>
      <c r="S152" s="38"/>
      <c r="T152" s="38">
        <f>+T160</f>
        <v>0</v>
      </c>
      <c r="V152" s="230"/>
    </row>
    <row r="153" spans="1:22" hidden="1" x14ac:dyDescent="0.35">
      <c r="A153" s="24"/>
      <c r="B153" s="24"/>
      <c r="C153" s="62" t="s">
        <v>119</v>
      </c>
      <c r="D153" s="63"/>
      <c r="E153" s="64"/>
      <c r="F153" s="64"/>
      <c r="G153" s="65">
        <f t="shared" si="79"/>
        <v>0</v>
      </c>
      <c r="H153" s="42"/>
      <c r="I153" s="185"/>
      <c r="J153" s="185"/>
      <c r="K153" s="201"/>
      <c r="L153" s="55"/>
      <c r="M153" s="55"/>
      <c r="N153" s="55"/>
      <c r="O153" s="204"/>
      <c r="P153" s="43"/>
      <c r="Q153" s="43"/>
      <c r="R153" s="43"/>
      <c r="S153" s="36"/>
      <c r="T153" s="36"/>
      <c r="V153" s="230"/>
    </row>
    <row r="154" spans="1:22" hidden="1" x14ac:dyDescent="0.35">
      <c r="A154" s="24"/>
      <c r="B154" s="24"/>
      <c r="C154" s="39" t="s">
        <v>120</v>
      </c>
      <c r="D154" s="44"/>
      <c r="E154" s="41"/>
      <c r="F154" s="41"/>
      <c r="G154" s="35">
        <f t="shared" si="79"/>
        <v>0</v>
      </c>
      <c r="H154" s="42"/>
      <c r="I154" s="185"/>
      <c r="J154" s="185"/>
      <c r="K154" s="201"/>
      <c r="L154" s="55"/>
      <c r="M154" s="55"/>
      <c r="N154" s="55"/>
      <c r="O154" s="204"/>
      <c r="P154" s="43"/>
      <c r="Q154" s="43"/>
      <c r="R154" s="43"/>
      <c r="S154" s="36"/>
      <c r="T154" s="36"/>
      <c r="V154" s="230"/>
    </row>
    <row r="155" spans="1:22" hidden="1" x14ac:dyDescent="0.35">
      <c r="A155" s="24"/>
      <c r="B155" s="24"/>
      <c r="C155" s="39" t="s">
        <v>121</v>
      </c>
      <c r="D155" s="44"/>
      <c r="E155" s="44"/>
      <c r="F155" s="44"/>
      <c r="G155" s="35">
        <f t="shared" si="79"/>
        <v>0</v>
      </c>
      <c r="H155" s="42"/>
      <c r="I155" s="185"/>
      <c r="J155" s="185"/>
      <c r="K155" s="201"/>
      <c r="L155" s="55"/>
      <c r="M155" s="55"/>
      <c r="N155" s="55"/>
      <c r="O155" s="204"/>
      <c r="P155" s="43"/>
      <c r="Q155" s="43"/>
      <c r="R155" s="43"/>
      <c r="S155" s="36"/>
      <c r="T155" s="36"/>
      <c r="V155" s="230"/>
    </row>
    <row r="156" spans="1:22" hidden="1" x14ac:dyDescent="0.35">
      <c r="A156" s="24"/>
      <c r="B156" s="24"/>
      <c r="C156" s="45" t="s">
        <v>122</v>
      </c>
      <c r="D156" s="44"/>
      <c r="E156" s="44"/>
      <c r="F156" s="44"/>
      <c r="G156" s="35">
        <f t="shared" si="79"/>
        <v>0</v>
      </c>
      <c r="H156" s="42"/>
      <c r="I156" s="185"/>
      <c r="J156" s="185"/>
      <c r="K156" s="201"/>
      <c r="L156" s="55"/>
      <c r="M156" s="55"/>
      <c r="N156" s="55"/>
      <c r="O156" s="204"/>
      <c r="P156" s="43"/>
      <c r="Q156" s="43"/>
      <c r="R156" s="43"/>
      <c r="S156" s="36"/>
      <c r="T156" s="36"/>
      <c r="V156" s="230"/>
    </row>
    <row r="157" spans="1:22" hidden="1" x14ac:dyDescent="0.35">
      <c r="A157" s="24"/>
      <c r="B157" s="24"/>
      <c r="C157" s="39" t="s">
        <v>123</v>
      </c>
      <c r="D157" s="44"/>
      <c r="E157" s="44"/>
      <c r="F157" s="44"/>
      <c r="G157" s="35">
        <f t="shared" si="79"/>
        <v>0</v>
      </c>
      <c r="H157" s="42"/>
      <c r="I157" s="185"/>
      <c r="J157" s="185"/>
      <c r="K157" s="201"/>
      <c r="L157" s="55"/>
      <c r="M157" s="55"/>
      <c r="N157" s="55"/>
      <c r="O157" s="204"/>
      <c r="P157" s="43"/>
      <c r="Q157" s="43"/>
      <c r="R157" s="43"/>
      <c r="S157" s="36"/>
      <c r="T157" s="36"/>
      <c r="V157" s="230"/>
    </row>
    <row r="158" spans="1:22" hidden="1" x14ac:dyDescent="0.35">
      <c r="A158" s="24"/>
      <c r="B158" s="24"/>
      <c r="C158" s="39" t="s">
        <v>124</v>
      </c>
      <c r="D158" s="44"/>
      <c r="E158" s="44"/>
      <c r="F158" s="44"/>
      <c r="G158" s="35">
        <f t="shared" si="79"/>
        <v>0</v>
      </c>
      <c r="H158" s="42"/>
      <c r="I158" s="185"/>
      <c r="J158" s="185"/>
      <c r="K158" s="201"/>
      <c r="L158" s="55"/>
      <c r="M158" s="55"/>
      <c r="N158" s="55"/>
      <c r="O158" s="204"/>
      <c r="P158" s="43"/>
      <c r="Q158" s="43"/>
      <c r="R158" s="43"/>
      <c r="S158" s="36"/>
      <c r="T158" s="36"/>
      <c r="V158" s="230"/>
    </row>
    <row r="159" spans="1:22" hidden="1" x14ac:dyDescent="0.35">
      <c r="A159" s="24"/>
      <c r="B159" s="24"/>
      <c r="C159" s="39" t="s">
        <v>125</v>
      </c>
      <c r="D159" s="44"/>
      <c r="E159" s="44"/>
      <c r="F159" s="44"/>
      <c r="G159" s="35">
        <f t="shared" si="79"/>
        <v>0</v>
      </c>
      <c r="H159" s="40"/>
      <c r="I159" s="186"/>
      <c r="J159" s="186"/>
      <c r="K159" s="202"/>
      <c r="L159" s="55"/>
      <c r="M159" s="55"/>
      <c r="N159" s="55"/>
      <c r="O159" s="204"/>
      <c r="P159" s="43"/>
      <c r="Q159" s="43"/>
      <c r="R159" s="43"/>
      <c r="S159" s="36"/>
      <c r="T159" s="36"/>
      <c r="V159" s="230"/>
    </row>
    <row r="160" spans="1:22" hidden="1" x14ac:dyDescent="0.35">
      <c r="A160" s="24"/>
      <c r="B160" s="24"/>
      <c r="C160" s="47" t="s">
        <v>126</v>
      </c>
      <c r="D160" s="48">
        <f>SUM(D153:D159)</f>
        <v>0</v>
      </c>
      <c r="E160" s="48">
        <f>SUM(E153:E159)</f>
        <v>0</v>
      </c>
      <c r="F160" s="48">
        <f>SUM(F153:F159)</f>
        <v>0</v>
      </c>
      <c r="G160" s="35">
        <f t="shared" si="79"/>
        <v>0</v>
      </c>
      <c r="H160" s="58">
        <f>SUM(H155:H159)</f>
        <v>0</v>
      </c>
      <c r="I160" s="58"/>
      <c r="J160" s="58"/>
      <c r="K160" s="57"/>
      <c r="L160" s="58">
        <f>SUM(L153:L159)</f>
        <v>0</v>
      </c>
      <c r="M160" s="58"/>
      <c r="N160" s="58"/>
      <c r="O160" s="57"/>
      <c r="P160" s="58">
        <f>SUM(P153:P159)</f>
        <v>0</v>
      </c>
      <c r="Q160" s="58"/>
      <c r="R160" s="58"/>
      <c r="S160" s="57"/>
      <c r="T160" s="57">
        <f>SUM(T153:T159)</f>
        <v>0</v>
      </c>
      <c r="V160" s="230"/>
    </row>
    <row r="161" spans="1:22" hidden="1" x14ac:dyDescent="0.35">
      <c r="A161" s="31"/>
      <c r="B161" s="31"/>
      <c r="C161" s="50"/>
      <c r="D161" s="51"/>
      <c r="E161" s="51"/>
      <c r="F161" s="51"/>
      <c r="G161" s="59"/>
      <c r="V161" s="230"/>
    </row>
    <row r="162" spans="1:22" hidden="1" x14ac:dyDescent="0.35">
      <c r="A162" s="24"/>
      <c r="B162" s="24"/>
      <c r="C162" s="323" t="s">
        <v>146</v>
      </c>
      <c r="D162" s="324"/>
      <c r="E162" s="324"/>
      <c r="F162" s="324"/>
      <c r="G162" s="325"/>
      <c r="V162" s="230"/>
    </row>
    <row r="163" spans="1:22" ht="13" hidden="1" thickBot="1" x14ac:dyDescent="0.4">
      <c r="A163" s="24"/>
      <c r="B163" s="24"/>
      <c r="C163" s="60" t="s">
        <v>147</v>
      </c>
      <c r="D163" s="61">
        <f>'[2]1) Tableau budgétaire 1'!D160</f>
        <v>0</v>
      </c>
      <c r="E163" s="61">
        <f>'[2]1) Tableau budgétaire 1'!E160</f>
        <v>0</v>
      </c>
      <c r="F163" s="61">
        <f>'[2]1) Tableau budgétaire 1'!F160</f>
        <v>0</v>
      </c>
      <c r="G163" s="61">
        <f t="shared" ref="G163:G171" si="80">SUM(D163:F163)</f>
        <v>0</v>
      </c>
      <c r="H163" s="37">
        <f>+H171</f>
        <v>0</v>
      </c>
      <c r="I163" s="37"/>
      <c r="J163" s="37"/>
      <c r="K163" s="38"/>
      <c r="L163" s="37">
        <f>+L171</f>
        <v>0</v>
      </c>
      <c r="M163" s="37"/>
      <c r="N163" s="37"/>
      <c r="O163" s="38"/>
      <c r="P163" s="37">
        <f>+P171</f>
        <v>0</v>
      </c>
      <c r="Q163" s="37"/>
      <c r="R163" s="37"/>
      <c r="S163" s="38"/>
      <c r="T163" s="38">
        <f>+T171</f>
        <v>0</v>
      </c>
      <c r="V163" s="230"/>
    </row>
    <row r="164" spans="1:22" hidden="1" x14ac:dyDescent="0.35">
      <c r="A164" s="24"/>
      <c r="B164" s="24"/>
      <c r="C164" s="62" t="s">
        <v>119</v>
      </c>
      <c r="D164" s="63"/>
      <c r="E164" s="64"/>
      <c r="F164" s="64"/>
      <c r="G164" s="65">
        <f t="shared" si="80"/>
        <v>0</v>
      </c>
      <c r="H164" s="42"/>
      <c r="I164" s="185"/>
      <c r="J164" s="185"/>
      <c r="K164" s="201"/>
      <c r="L164" s="55"/>
      <c r="M164" s="55"/>
      <c r="N164" s="55"/>
      <c r="O164" s="204"/>
      <c r="P164" s="43"/>
      <c r="Q164" s="43"/>
      <c r="R164" s="43"/>
      <c r="S164" s="36"/>
      <c r="T164" s="36"/>
      <c r="V164" s="230"/>
    </row>
    <row r="165" spans="1:22" hidden="1" x14ac:dyDescent="0.35">
      <c r="A165" s="24"/>
      <c r="B165" s="24"/>
      <c r="C165" s="39" t="s">
        <v>120</v>
      </c>
      <c r="D165" s="44"/>
      <c r="E165" s="41"/>
      <c r="F165" s="41"/>
      <c r="G165" s="35">
        <f t="shared" si="80"/>
        <v>0</v>
      </c>
      <c r="H165" s="42"/>
      <c r="I165" s="185"/>
      <c r="J165" s="185"/>
      <c r="K165" s="201"/>
      <c r="L165" s="55"/>
      <c r="M165" s="55"/>
      <c r="N165" s="55"/>
      <c r="O165" s="204"/>
      <c r="P165" s="43"/>
      <c r="Q165" s="43"/>
      <c r="R165" s="43"/>
      <c r="S165" s="36"/>
      <c r="T165" s="36"/>
      <c r="V165" s="230"/>
    </row>
    <row r="166" spans="1:22" hidden="1" x14ac:dyDescent="0.35">
      <c r="A166" s="24"/>
      <c r="B166" s="24"/>
      <c r="C166" s="39" t="s">
        <v>121</v>
      </c>
      <c r="D166" s="44"/>
      <c r="E166" s="44"/>
      <c r="F166" s="44"/>
      <c r="G166" s="35">
        <f t="shared" si="80"/>
        <v>0</v>
      </c>
      <c r="H166" s="42"/>
      <c r="I166" s="185"/>
      <c r="J166" s="185"/>
      <c r="K166" s="201"/>
      <c r="L166" s="55"/>
      <c r="M166" s="55"/>
      <c r="N166" s="55"/>
      <c r="O166" s="204"/>
      <c r="P166" s="43"/>
      <c r="Q166" s="43"/>
      <c r="R166" s="43"/>
      <c r="S166" s="36"/>
      <c r="T166" s="36"/>
      <c r="V166" s="230"/>
    </row>
    <row r="167" spans="1:22" hidden="1" x14ac:dyDescent="0.35">
      <c r="A167" s="24"/>
      <c r="B167" s="24"/>
      <c r="C167" s="45" t="s">
        <v>122</v>
      </c>
      <c r="D167" s="44"/>
      <c r="E167" s="44"/>
      <c r="F167" s="44"/>
      <c r="G167" s="35">
        <f t="shared" si="80"/>
        <v>0</v>
      </c>
      <c r="H167" s="42"/>
      <c r="I167" s="185"/>
      <c r="J167" s="185"/>
      <c r="K167" s="201"/>
      <c r="L167" s="55"/>
      <c r="M167" s="55"/>
      <c r="N167" s="55"/>
      <c r="O167" s="204"/>
      <c r="P167" s="43"/>
      <c r="Q167" s="43"/>
      <c r="R167" s="43"/>
      <c r="S167" s="36"/>
      <c r="T167" s="36"/>
      <c r="V167" s="230"/>
    </row>
    <row r="168" spans="1:22" hidden="1" x14ac:dyDescent="0.35">
      <c r="A168" s="24"/>
      <c r="B168" s="24"/>
      <c r="C168" s="39" t="s">
        <v>123</v>
      </c>
      <c r="D168" s="44"/>
      <c r="E168" s="44"/>
      <c r="F168" s="44"/>
      <c r="G168" s="35">
        <f t="shared" si="80"/>
        <v>0</v>
      </c>
      <c r="H168" s="42"/>
      <c r="I168" s="185"/>
      <c r="J168" s="185"/>
      <c r="K168" s="201"/>
      <c r="L168" s="55"/>
      <c r="M168" s="55"/>
      <c r="N168" s="55"/>
      <c r="O168" s="204"/>
      <c r="P168" s="43"/>
      <c r="Q168" s="43"/>
      <c r="R168" s="43"/>
      <c r="S168" s="36"/>
      <c r="T168" s="36"/>
      <c r="V168" s="230"/>
    </row>
    <row r="169" spans="1:22" hidden="1" x14ac:dyDescent="0.35">
      <c r="A169" s="24"/>
      <c r="B169" s="24"/>
      <c r="C169" s="39" t="s">
        <v>124</v>
      </c>
      <c r="D169" s="44"/>
      <c r="E169" s="44"/>
      <c r="F169" s="44"/>
      <c r="G169" s="35">
        <f t="shared" si="80"/>
        <v>0</v>
      </c>
      <c r="H169" s="42"/>
      <c r="I169" s="185"/>
      <c r="J169" s="185"/>
      <c r="K169" s="201"/>
      <c r="L169" s="55"/>
      <c r="M169" s="55"/>
      <c r="N169" s="55"/>
      <c r="O169" s="204"/>
      <c r="P169" s="43"/>
      <c r="Q169" s="43"/>
      <c r="R169" s="43"/>
      <c r="S169" s="36"/>
      <c r="T169" s="36"/>
      <c r="V169" s="230"/>
    </row>
    <row r="170" spans="1:22" hidden="1" x14ac:dyDescent="0.35">
      <c r="A170" s="24"/>
      <c r="B170" s="24"/>
      <c r="C170" s="39" t="s">
        <v>125</v>
      </c>
      <c r="D170" s="44"/>
      <c r="E170" s="44"/>
      <c r="F170" s="44"/>
      <c r="G170" s="35">
        <f t="shared" si="80"/>
        <v>0</v>
      </c>
      <c r="H170" s="40"/>
      <c r="I170" s="186"/>
      <c r="J170" s="186"/>
      <c r="K170" s="202"/>
      <c r="L170" s="55"/>
      <c r="M170" s="55"/>
      <c r="N170" s="55"/>
      <c r="O170" s="204"/>
      <c r="P170" s="43"/>
      <c r="Q170" s="43"/>
      <c r="R170" s="43"/>
      <c r="S170" s="36"/>
      <c r="T170" s="36"/>
      <c r="V170" s="230"/>
    </row>
    <row r="171" spans="1:22" hidden="1" x14ac:dyDescent="0.35">
      <c r="A171" s="24"/>
      <c r="B171" s="24"/>
      <c r="C171" s="47" t="s">
        <v>126</v>
      </c>
      <c r="D171" s="48">
        <f>SUM(D164:D170)</f>
        <v>0</v>
      </c>
      <c r="E171" s="48">
        <f>SUM(E164:E170)</f>
        <v>0</v>
      </c>
      <c r="F171" s="48">
        <f>SUM(F164:F170)</f>
        <v>0</v>
      </c>
      <c r="G171" s="35">
        <f t="shared" si="80"/>
        <v>0</v>
      </c>
      <c r="H171" s="58">
        <f>SUM(H166:H170)</f>
        <v>0</v>
      </c>
      <c r="I171" s="58"/>
      <c r="J171" s="58"/>
      <c r="K171" s="57"/>
      <c r="L171" s="58">
        <f>SUM(L164:L170)</f>
        <v>0</v>
      </c>
      <c r="M171" s="58"/>
      <c r="N171" s="58"/>
      <c r="O171" s="57"/>
      <c r="P171" s="58">
        <f>SUM(P164:P170)</f>
        <v>0</v>
      </c>
      <c r="Q171" s="58"/>
      <c r="R171" s="58"/>
      <c r="S171" s="57"/>
      <c r="T171" s="57">
        <f>SUM(T164:T170)</f>
        <v>0</v>
      </c>
      <c r="V171" s="230"/>
    </row>
    <row r="172" spans="1:22" hidden="1" x14ac:dyDescent="0.35">
      <c r="A172" s="31"/>
      <c r="B172" s="31"/>
      <c r="C172" s="50"/>
      <c r="D172" s="51"/>
      <c r="E172" s="51"/>
      <c r="F172" s="51"/>
      <c r="G172" s="59"/>
      <c r="V172" s="230"/>
    </row>
    <row r="173" spans="1:22" hidden="1" x14ac:dyDescent="0.35">
      <c r="A173" s="24"/>
      <c r="B173" s="24"/>
      <c r="C173" s="323" t="s">
        <v>148</v>
      </c>
      <c r="D173" s="324"/>
      <c r="E173" s="324"/>
      <c r="F173" s="324"/>
      <c r="G173" s="325"/>
      <c r="V173" s="230"/>
    </row>
    <row r="174" spans="1:22" ht="13" hidden="1" thickBot="1" x14ac:dyDescent="0.4">
      <c r="A174" s="24"/>
      <c r="B174" s="24"/>
      <c r="C174" s="60" t="s">
        <v>149</v>
      </c>
      <c r="D174" s="61">
        <f>'[2]1) Tableau budgétaire 1'!D170</f>
        <v>0</v>
      </c>
      <c r="E174" s="61">
        <f>'[2]1) Tableau budgétaire 1'!E170</f>
        <v>0</v>
      </c>
      <c r="F174" s="61">
        <f>'[2]1) Tableau budgétaire 1'!F170</f>
        <v>0</v>
      </c>
      <c r="G174" s="61">
        <f t="shared" ref="G174:G182" si="81">SUM(D174:F174)</f>
        <v>0</v>
      </c>
      <c r="H174" s="37">
        <f>+H182</f>
        <v>0</v>
      </c>
      <c r="I174" s="37"/>
      <c r="J174" s="37"/>
      <c r="K174" s="38"/>
      <c r="L174" s="37">
        <f>+L182</f>
        <v>0</v>
      </c>
      <c r="M174" s="37"/>
      <c r="N174" s="37"/>
      <c r="O174" s="38"/>
      <c r="P174" s="37">
        <f>+P182</f>
        <v>0</v>
      </c>
      <c r="Q174" s="37"/>
      <c r="R174" s="37"/>
      <c r="S174" s="38"/>
      <c r="T174" s="38">
        <f>+T182</f>
        <v>0</v>
      </c>
      <c r="V174" s="230"/>
    </row>
    <row r="175" spans="1:22" hidden="1" x14ac:dyDescent="0.35">
      <c r="A175" s="24"/>
      <c r="B175" s="24"/>
      <c r="C175" s="62" t="s">
        <v>119</v>
      </c>
      <c r="D175" s="63"/>
      <c r="E175" s="64"/>
      <c r="F175" s="64"/>
      <c r="G175" s="65">
        <f t="shared" si="81"/>
        <v>0</v>
      </c>
      <c r="H175" s="42"/>
      <c r="I175" s="185"/>
      <c r="J175" s="185"/>
      <c r="K175" s="201"/>
      <c r="L175" s="55"/>
      <c r="M175" s="55"/>
      <c r="N175" s="55"/>
      <c r="O175" s="204"/>
      <c r="P175" s="43"/>
      <c r="Q175" s="43"/>
      <c r="R175" s="43"/>
      <c r="S175" s="36"/>
      <c r="T175" s="36"/>
      <c r="V175" s="230"/>
    </row>
    <row r="176" spans="1:22" hidden="1" x14ac:dyDescent="0.35">
      <c r="A176" s="24"/>
      <c r="B176" s="24"/>
      <c r="C176" s="39" t="s">
        <v>120</v>
      </c>
      <c r="D176" s="44"/>
      <c r="E176" s="41"/>
      <c r="F176" s="41"/>
      <c r="G176" s="35">
        <f t="shared" si="81"/>
        <v>0</v>
      </c>
      <c r="H176" s="42"/>
      <c r="I176" s="185"/>
      <c r="J176" s="185"/>
      <c r="K176" s="201"/>
      <c r="L176" s="55"/>
      <c r="M176" s="55"/>
      <c r="N176" s="55"/>
      <c r="O176" s="204"/>
      <c r="P176" s="43"/>
      <c r="Q176" s="43"/>
      <c r="R176" s="43"/>
      <c r="S176" s="36"/>
      <c r="T176" s="36"/>
      <c r="V176" s="230"/>
    </row>
    <row r="177" spans="1:22" hidden="1" x14ac:dyDescent="0.35">
      <c r="A177" s="24"/>
      <c r="B177" s="24"/>
      <c r="C177" s="39" t="s">
        <v>121</v>
      </c>
      <c r="D177" s="44"/>
      <c r="E177" s="44"/>
      <c r="F177" s="44"/>
      <c r="G177" s="35">
        <f t="shared" si="81"/>
        <v>0</v>
      </c>
      <c r="H177" s="42"/>
      <c r="I177" s="185"/>
      <c r="J177" s="185"/>
      <c r="K177" s="201"/>
      <c r="L177" s="55"/>
      <c r="M177" s="55"/>
      <c r="N177" s="55"/>
      <c r="O177" s="204"/>
      <c r="P177" s="43"/>
      <c r="Q177" s="43"/>
      <c r="R177" s="43"/>
      <c r="S177" s="36"/>
      <c r="T177" s="36"/>
      <c r="V177" s="230"/>
    </row>
    <row r="178" spans="1:22" hidden="1" x14ac:dyDescent="0.35">
      <c r="A178" s="24"/>
      <c r="B178" s="24"/>
      <c r="C178" s="45" t="s">
        <v>122</v>
      </c>
      <c r="D178" s="44"/>
      <c r="E178" s="44"/>
      <c r="F178" s="44"/>
      <c r="G178" s="35">
        <f t="shared" si="81"/>
        <v>0</v>
      </c>
      <c r="H178" s="42"/>
      <c r="I178" s="185"/>
      <c r="J178" s="185"/>
      <c r="K178" s="201"/>
      <c r="L178" s="55"/>
      <c r="M178" s="55"/>
      <c r="N178" s="55"/>
      <c r="O178" s="204"/>
      <c r="P178" s="43"/>
      <c r="Q178" s="43"/>
      <c r="R178" s="43"/>
      <c r="S178" s="36"/>
      <c r="T178" s="36"/>
      <c r="V178" s="230"/>
    </row>
    <row r="179" spans="1:22" hidden="1" x14ac:dyDescent="0.35">
      <c r="A179" s="24"/>
      <c r="B179" s="24"/>
      <c r="C179" s="39" t="s">
        <v>123</v>
      </c>
      <c r="D179" s="44"/>
      <c r="E179" s="44"/>
      <c r="F179" s="44"/>
      <c r="G179" s="35">
        <f t="shared" si="81"/>
        <v>0</v>
      </c>
      <c r="H179" s="42"/>
      <c r="I179" s="185"/>
      <c r="J179" s="185"/>
      <c r="K179" s="201"/>
      <c r="L179" s="55"/>
      <c r="M179" s="55"/>
      <c r="N179" s="55"/>
      <c r="O179" s="204"/>
      <c r="P179" s="43"/>
      <c r="Q179" s="43"/>
      <c r="R179" s="43"/>
      <c r="S179" s="36"/>
      <c r="T179" s="36"/>
      <c r="V179" s="230"/>
    </row>
    <row r="180" spans="1:22" hidden="1" x14ac:dyDescent="0.35">
      <c r="A180" s="24"/>
      <c r="B180" s="24"/>
      <c r="C180" s="39" t="s">
        <v>124</v>
      </c>
      <c r="D180" s="44"/>
      <c r="E180" s="44"/>
      <c r="F180" s="44"/>
      <c r="G180" s="35">
        <f t="shared" si="81"/>
        <v>0</v>
      </c>
      <c r="H180" s="42"/>
      <c r="I180" s="185"/>
      <c r="J180" s="185"/>
      <c r="K180" s="201"/>
      <c r="L180" s="55"/>
      <c r="M180" s="55"/>
      <c r="N180" s="55"/>
      <c r="O180" s="204"/>
      <c r="P180" s="43"/>
      <c r="Q180" s="43"/>
      <c r="R180" s="43"/>
      <c r="S180" s="36"/>
      <c r="T180" s="36"/>
      <c r="V180" s="230"/>
    </row>
    <row r="181" spans="1:22" hidden="1" x14ac:dyDescent="0.35">
      <c r="A181" s="24"/>
      <c r="B181" s="24"/>
      <c r="C181" s="39" t="s">
        <v>125</v>
      </c>
      <c r="D181" s="44"/>
      <c r="E181" s="44"/>
      <c r="F181" s="44"/>
      <c r="G181" s="35">
        <f t="shared" si="81"/>
        <v>0</v>
      </c>
      <c r="H181" s="40"/>
      <c r="I181" s="186"/>
      <c r="J181" s="186"/>
      <c r="K181" s="202"/>
      <c r="L181" s="55"/>
      <c r="M181" s="55"/>
      <c r="N181" s="55"/>
      <c r="O181" s="204"/>
      <c r="P181" s="43"/>
      <c r="Q181" s="43"/>
      <c r="R181" s="43"/>
      <c r="S181" s="36"/>
      <c r="T181" s="36"/>
      <c r="V181" s="230"/>
    </row>
    <row r="182" spans="1:22" hidden="1" x14ac:dyDescent="0.35">
      <c r="A182" s="24"/>
      <c r="B182" s="24"/>
      <c r="C182" s="47" t="s">
        <v>126</v>
      </c>
      <c r="D182" s="48">
        <f>SUM(D175:D181)</f>
        <v>0</v>
      </c>
      <c r="E182" s="48">
        <f>SUM(E175:E181)</f>
        <v>0</v>
      </c>
      <c r="F182" s="48">
        <f>SUM(F175:F181)</f>
        <v>0</v>
      </c>
      <c r="G182" s="35">
        <f t="shared" si="81"/>
        <v>0</v>
      </c>
      <c r="H182" s="58">
        <f>SUM(H177:H181)</f>
        <v>0</v>
      </c>
      <c r="I182" s="58"/>
      <c r="J182" s="58"/>
      <c r="K182" s="57"/>
      <c r="L182" s="58">
        <f>SUM(L175:L181)</f>
        <v>0</v>
      </c>
      <c r="M182" s="58"/>
      <c r="N182" s="58"/>
      <c r="O182" s="57"/>
      <c r="P182" s="58">
        <f>SUM(P175:P181)</f>
        <v>0</v>
      </c>
      <c r="Q182" s="58"/>
      <c r="R182" s="58"/>
      <c r="S182" s="57"/>
      <c r="T182" s="57">
        <f>SUM(T175:T181)</f>
        <v>0</v>
      </c>
      <c r="V182" s="230"/>
    </row>
    <row r="183" spans="1:22" hidden="1" x14ac:dyDescent="0.35">
      <c r="A183" s="31"/>
      <c r="B183" s="31"/>
      <c r="C183" s="50"/>
      <c r="D183" s="51"/>
      <c r="E183" s="51"/>
      <c r="F183" s="51"/>
      <c r="G183" s="59"/>
      <c r="V183" s="230"/>
    </row>
    <row r="184" spans="1:22" hidden="1" x14ac:dyDescent="0.35">
      <c r="A184" s="24"/>
      <c r="B184" s="24"/>
      <c r="C184" s="323" t="s">
        <v>150</v>
      </c>
      <c r="D184" s="324"/>
      <c r="E184" s="324"/>
      <c r="F184" s="324"/>
      <c r="G184" s="325"/>
      <c r="V184" s="230"/>
    </row>
    <row r="185" spans="1:22" ht="13" hidden="1" thickBot="1" x14ac:dyDescent="0.4">
      <c r="A185" s="24"/>
      <c r="B185" s="24"/>
      <c r="C185" s="60" t="s">
        <v>151</v>
      </c>
      <c r="D185" s="61">
        <f>'[2]1) Tableau budgétaire 1'!D180</f>
        <v>0</v>
      </c>
      <c r="E185" s="61">
        <f>'[2]1) Tableau budgétaire 1'!E180</f>
        <v>0</v>
      </c>
      <c r="F185" s="61">
        <f>'[2]1) Tableau budgétaire 1'!F180</f>
        <v>0</v>
      </c>
      <c r="G185" s="61">
        <f t="shared" ref="G185:G193" si="82">SUM(D185:F185)</f>
        <v>0</v>
      </c>
      <c r="H185" s="37">
        <f>+H193</f>
        <v>0</v>
      </c>
      <c r="I185" s="37"/>
      <c r="J185" s="37"/>
      <c r="K185" s="38"/>
      <c r="L185" s="37">
        <f>+L193</f>
        <v>0</v>
      </c>
      <c r="M185" s="37"/>
      <c r="N185" s="37"/>
      <c r="O185" s="38"/>
      <c r="P185" s="37">
        <f>+P193</f>
        <v>0</v>
      </c>
      <c r="Q185" s="37"/>
      <c r="R185" s="37"/>
      <c r="S185" s="38"/>
      <c r="T185" s="38">
        <f>+T193</f>
        <v>0</v>
      </c>
      <c r="V185" s="230"/>
    </row>
    <row r="186" spans="1:22" hidden="1" x14ac:dyDescent="0.35">
      <c r="A186" s="24"/>
      <c r="B186" s="24"/>
      <c r="C186" s="62" t="s">
        <v>119</v>
      </c>
      <c r="D186" s="63"/>
      <c r="E186" s="64"/>
      <c r="F186" s="64"/>
      <c r="G186" s="65">
        <f t="shared" si="82"/>
        <v>0</v>
      </c>
      <c r="H186" s="42"/>
      <c r="I186" s="185"/>
      <c r="J186" s="185"/>
      <c r="K186" s="201"/>
      <c r="L186" s="55"/>
      <c r="M186" s="55"/>
      <c r="N186" s="55"/>
      <c r="O186" s="204"/>
      <c r="P186" s="43"/>
      <c r="Q186" s="43"/>
      <c r="R186" s="43"/>
      <c r="S186" s="36"/>
      <c r="T186" s="36"/>
      <c r="V186" s="230"/>
    </row>
    <row r="187" spans="1:22" hidden="1" x14ac:dyDescent="0.35">
      <c r="A187" s="24"/>
      <c r="B187" s="24"/>
      <c r="C187" s="39" t="s">
        <v>120</v>
      </c>
      <c r="D187" s="44"/>
      <c r="E187" s="41"/>
      <c r="F187" s="41"/>
      <c r="G187" s="35">
        <f t="shared" si="82"/>
        <v>0</v>
      </c>
      <c r="H187" s="42"/>
      <c r="I187" s="185"/>
      <c r="J187" s="185"/>
      <c r="K187" s="201"/>
      <c r="L187" s="55"/>
      <c r="M187" s="55"/>
      <c r="N187" s="55"/>
      <c r="O187" s="204"/>
      <c r="P187" s="43"/>
      <c r="Q187" s="43"/>
      <c r="R187" s="43"/>
      <c r="S187" s="36"/>
      <c r="T187" s="36"/>
      <c r="V187" s="230"/>
    </row>
    <row r="188" spans="1:22" hidden="1" x14ac:dyDescent="0.35">
      <c r="A188" s="24"/>
      <c r="B188" s="24"/>
      <c r="C188" s="39" t="s">
        <v>121</v>
      </c>
      <c r="D188" s="44"/>
      <c r="E188" s="44"/>
      <c r="F188" s="44"/>
      <c r="G188" s="35">
        <f t="shared" si="82"/>
        <v>0</v>
      </c>
      <c r="H188" s="42"/>
      <c r="I188" s="185"/>
      <c r="J188" s="185"/>
      <c r="K188" s="201"/>
      <c r="L188" s="55"/>
      <c r="M188" s="55"/>
      <c r="N188" s="55"/>
      <c r="O188" s="204"/>
      <c r="P188" s="43"/>
      <c r="Q188" s="43"/>
      <c r="R188" s="43"/>
      <c r="S188" s="36"/>
      <c r="T188" s="36"/>
      <c r="V188" s="230"/>
    </row>
    <row r="189" spans="1:22" hidden="1" x14ac:dyDescent="0.35">
      <c r="A189" s="24"/>
      <c r="B189" s="24"/>
      <c r="C189" s="45" t="s">
        <v>122</v>
      </c>
      <c r="D189" s="44"/>
      <c r="E189" s="44"/>
      <c r="F189" s="44"/>
      <c r="G189" s="35">
        <f t="shared" si="82"/>
        <v>0</v>
      </c>
      <c r="H189" s="42"/>
      <c r="I189" s="185"/>
      <c r="J189" s="185"/>
      <c r="K189" s="201"/>
      <c r="L189" s="55"/>
      <c r="M189" s="55"/>
      <c r="N189" s="55"/>
      <c r="O189" s="204"/>
      <c r="P189" s="43"/>
      <c r="Q189" s="43"/>
      <c r="R189" s="43"/>
      <c r="S189" s="36"/>
      <c r="T189" s="36"/>
      <c r="V189" s="230"/>
    </row>
    <row r="190" spans="1:22" hidden="1" x14ac:dyDescent="0.35">
      <c r="A190" s="24"/>
      <c r="B190" s="24"/>
      <c r="C190" s="39" t="s">
        <v>123</v>
      </c>
      <c r="D190" s="44"/>
      <c r="E190" s="44"/>
      <c r="F190" s="44"/>
      <c r="G190" s="35">
        <f t="shared" si="82"/>
        <v>0</v>
      </c>
      <c r="H190" s="42"/>
      <c r="I190" s="185"/>
      <c r="J190" s="185"/>
      <c r="K190" s="201"/>
      <c r="L190" s="55"/>
      <c r="M190" s="55"/>
      <c r="N190" s="55"/>
      <c r="O190" s="204"/>
      <c r="P190" s="43"/>
      <c r="Q190" s="43"/>
      <c r="R190" s="43"/>
      <c r="S190" s="36"/>
      <c r="T190" s="36"/>
      <c r="V190" s="230"/>
    </row>
    <row r="191" spans="1:22" hidden="1" x14ac:dyDescent="0.35">
      <c r="A191" s="24"/>
      <c r="B191" s="24"/>
      <c r="C191" s="39" t="s">
        <v>124</v>
      </c>
      <c r="D191" s="44"/>
      <c r="E191" s="44"/>
      <c r="F191" s="44"/>
      <c r="G191" s="35">
        <f t="shared" si="82"/>
        <v>0</v>
      </c>
      <c r="H191" s="42"/>
      <c r="I191" s="185"/>
      <c r="J191" s="185"/>
      <c r="K191" s="201"/>
      <c r="L191" s="55"/>
      <c r="M191" s="55"/>
      <c r="N191" s="55"/>
      <c r="O191" s="204"/>
      <c r="P191" s="43"/>
      <c r="Q191" s="43"/>
      <c r="R191" s="43"/>
      <c r="S191" s="36"/>
      <c r="T191" s="36"/>
      <c r="V191" s="230"/>
    </row>
    <row r="192" spans="1:22" hidden="1" x14ac:dyDescent="0.35">
      <c r="A192" s="24"/>
      <c r="B192" s="24"/>
      <c r="C192" s="39" t="s">
        <v>125</v>
      </c>
      <c r="D192" s="44"/>
      <c r="E192" s="44"/>
      <c r="F192" s="44"/>
      <c r="G192" s="35">
        <f t="shared" si="82"/>
        <v>0</v>
      </c>
      <c r="H192" s="40"/>
      <c r="I192" s="186"/>
      <c r="J192" s="186"/>
      <c r="K192" s="202"/>
      <c r="L192" s="55"/>
      <c r="M192" s="55"/>
      <c r="N192" s="55"/>
      <c r="O192" s="204"/>
      <c r="P192" s="43"/>
      <c r="Q192" s="43"/>
      <c r="R192" s="43"/>
      <c r="S192" s="36"/>
      <c r="T192" s="36"/>
      <c r="V192" s="230"/>
    </row>
    <row r="193" spans="1:22" hidden="1" x14ac:dyDescent="0.35">
      <c r="A193" s="24"/>
      <c r="B193" s="24"/>
      <c r="C193" s="47" t="s">
        <v>126</v>
      </c>
      <c r="D193" s="48">
        <f>SUM(D186:D192)</f>
        <v>0</v>
      </c>
      <c r="E193" s="48">
        <f>SUM(E186:E192)</f>
        <v>0</v>
      </c>
      <c r="F193" s="48">
        <f>SUM(F186:F192)</f>
        <v>0</v>
      </c>
      <c r="G193" s="35">
        <f t="shared" si="82"/>
        <v>0</v>
      </c>
      <c r="H193" s="58">
        <f>SUM(H188:H192)</f>
        <v>0</v>
      </c>
      <c r="I193" s="58"/>
      <c r="J193" s="58"/>
      <c r="K193" s="57"/>
      <c r="L193" s="58">
        <f>SUM(L186:L192)</f>
        <v>0</v>
      </c>
      <c r="M193" s="58"/>
      <c r="N193" s="58"/>
      <c r="O193" s="57"/>
      <c r="P193" s="58">
        <f>SUM(P186:P192)</f>
        <v>0</v>
      </c>
      <c r="Q193" s="58"/>
      <c r="R193" s="58"/>
      <c r="S193" s="57"/>
      <c r="T193" s="57">
        <f>SUM(T186:T192)</f>
        <v>0</v>
      </c>
      <c r="V193" s="230"/>
    </row>
    <row r="194" spans="1:22" x14ac:dyDescent="0.35">
      <c r="A194" s="24"/>
      <c r="B194" s="24"/>
      <c r="C194" s="24"/>
      <c r="D194" s="25"/>
      <c r="E194" s="25"/>
      <c r="F194" s="25"/>
      <c r="G194" s="26"/>
      <c r="L194" s="85"/>
      <c r="M194" s="85"/>
      <c r="N194" s="85"/>
      <c r="O194" s="209"/>
      <c r="V194" s="230"/>
    </row>
    <row r="195" spans="1:22" x14ac:dyDescent="0.35">
      <c r="A195" s="24"/>
      <c r="B195" s="24"/>
      <c r="C195" s="318" t="s">
        <v>152</v>
      </c>
      <c r="D195" s="318"/>
      <c r="E195" s="318"/>
      <c r="F195" s="318"/>
      <c r="G195" s="318"/>
      <c r="H195" s="318"/>
      <c r="I195" s="318"/>
      <c r="J195" s="318"/>
      <c r="K195" s="318"/>
      <c r="L195" s="318"/>
      <c r="M195" s="318"/>
      <c r="N195" s="318"/>
      <c r="O195" s="318"/>
      <c r="P195" s="318"/>
      <c r="Q195" s="318"/>
      <c r="R195" s="318"/>
      <c r="S195" s="318"/>
      <c r="T195" s="318"/>
      <c r="V195" s="230"/>
    </row>
    <row r="196" spans="1:22" x14ac:dyDescent="0.35">
      <c r="A196" s="24"/>
      <c r="B196" s="24"/>
      <c r="C196" s="33" t="s">
        <v>153</v>
      </c>
      <c r="D196" s="35">
        <f>'RF par produits'!C70</f>
        <v>416485</v>
      </c>
      <c r="E196" s="35">
        <f>'RF par produits'!D70</f>
        <v>720409</v>
      </c>
      <c r="F196" s="35">
        <f>'RF par produits'!E70</f>
        <v>116690</v>
      </c>
      <c r="G196" s="35">
        <f>SUM(D196:F196)</f>
        <v>1253584</v>
      </c>
      <c r="H196" s="37">
        <f>SUM(H197:H203)</f>
        <v>311132.42099999997</v>
      </c>
      <c r="I196" s="37">
        <f t="shared" ref="I196:K196" si="83">SUM(I197:I203)</f>
        <v>21325.012200000059</v>
      </c>
      <c r="J196" s="37">
        <f t="shared" si="83"/>
        <v>4193.1353457634796</v>
      </c>
      <c r="K196" s="37">
        <f t="shared" si="83"/>
        <v>336650.56854576356</v>
      </c>
      <c r="L196" s="37">
        <f>SUM(L197:L203)</f>
        <v>505923.65999999992</v>
      </c>
      <c r="M196" s="37">
        <f t="shared" ref="M196:O196" si="84">SUM(M197:M203)</f>
        <v>15317.17</v>
      </c>
      <c r="N196" s="37">
        <f t="shared" si="84"/>
        <v>28700</v>
      </c>
      <c r="O196" s="37">
        <f t="shared" si="84"/>
        <v>549940.83000000007</v>
      </c>
      <c r="P196" s="37">
        <f>SUM(P197:P203)</f>
        <v>77591.373787407429</v>
      </c>
      <c r="Q196" s="37">
        <f t="shared" ref="Q196:S196" si="85">SUM(Q197:Q203)</f>
        <v>0</v>
      </c>
      <c r="R196" s="37">
        <f t="shared" si="85"/>
        <v>10010.749180138764</v>
      </c>
      <c r="S196" s="37">
        <f t="shared" si="85"/>
        <v>87602.122967546195</v>
      </c>
      <c r="T196" s="38">
        <f>+SUM(T197:T203)</f>
        <v>974193.5215133098</v>
      </c>
      <c r="V196" s="230"/>
    </row>
    <row r="197" spans="1:22" x14ac:dyDescent="0.35">
      <c r="A197" s="24"/>
      <c r="B197" s="24"/>
      <c r="C197" s="39" t="s">
        <v>119</v>
      </c>
      <c r="D197" s="40">
        <v>89000</v>
      </c>
      <c r="E197" s="44">
        <v>522647.44</v>
      </c>
      <c r="F197" s="44">
        <v>50000</v>
      </c>
      <c r="G197" s="35">
        <f t="shared" ref="G197:G203" si="86">SUM(D197:F197)</f>
        <v>661647.43999999994</v>
      </c>
      <c r="H197" s="86">
        <f>65198.44-562.550000000003</f>
        <v>64635.89</v>
      </c>
      <c r="I197" s="86">
        <v>4931.6774959267332</v>
      </c>
      <c r="J197" s="86"/>
      <c r="K197" s="206">
        <f>SUM(H197:J197)</f>
        <v>69567.567495926734</v>
      </c>
      <c r="L197" s="86">
        <v>388776.13</v>
      </c>
      <c r="M197" s="220">
        <v>9346.1</v>
      </c>
      <c r="N197" s="190">
        <v>21000</v>
      </c>
      <c r="O197" s="210">
        <f>SUM(L197:N197)</f>
        <v>419122.23</v>
      </c>
      <c r="P197" s="79">
        <v>35027.445562363238</v>
      </c>
      <c r="Q197" s="189"/>
      <c r="R197" s="189"/>
      <c r="S197" s="208">
        <f>SUM(P197:R197)</f>
        <v>35027.445562363238</v>
      </c>
      <c r="T197" s="36">
        <f>+S197+O197+K197</f>
        <v>523717.24305828998</v>
      </c>
      <c r="V197" s="230"/>
    </row>
    <row r="198" spans="1:22" x14ac:dyDescent="0.35">
      <c r="A198" s="24"/>
      <c r="B198" s="24"/>
      <c r="C198" s="39" t="s">
        <v>120</v>
      </c>
      <c r="D198" s="87">
        <v>30000</v>
      </c>
      <c r="E198" s="41">
        <v>8000</v>
      </c>
      <c r="F198" s="41"/>
      <c r="G198" s="35">
        <f>SUM(D198:F198)</f>
        <v>38000</v>
      </c>
      <c r="H198" s="86">
        <v>7329.64</v>
      </c>
      <c r="I198" s="86">
        <v>4588.8359655475861</v>
      </c>
      <c r="J198" s="86"/>
      <c r="K198" s="206">
        <f t="shared" ref="K198:K203" si="87">SUM(H198:J198)</f>
        <v>11918.475965547586</v>
      </c>
      <c r="L198" s="86">
        <v>124.92</v>
      </c>
      <c r="M198" s="190">
        <v>38.229999999999997</v>
      </c>
      <c r="N198" s="190">
        <v>200</v>
      </c>
      <c r="O198" s="210">
        <f t="shared" ref="O198:O203" si="88">SUM(L198:N198)</f>
        <v>363.15</v>
      </c>
      <c r="P198" s="79">
        <v>0</v>
      </c>
      <c r="Q198" s="189"/>
      <c r="R198" s="189"/>
      <c r="S198" s="208">
        <f t="shared" ref="S198:S203" si="89">SUM(P198:R198)</f>
        <v>0</v>
      </c>
      <c r="T198" s="36">
        <f>+S198+O198+K198</f>
        <v>12281.625965547586</v>
      </c>
      <c r="V198" s="230"/>
    </row>
    <row r="199" spans="1:22" x14ac:dyDescent="0.35">
      <c r="A199" s="24"/>
      <c r="B199" s="24"/>
      <c r="C199" s="39" t="s">
        <v>121</v>
      </c>
      <c r="D199" s="40">
        <v>80000</v>
      </c>
      <c r="E199" s="44">
        <v>49558.44</v>
      </c>
      <c r="F199" s="44">
        <v>8670</v>
      </c>
      <c r="G199" s="35">
        <f t="shared" si="86"/>
        <v>138228.44</v>
      </c>
      <c r="H199" s="86">
        <f>31300.91-6778.495</f>
        <v>24522.415000000001</v>
      </c>
      <c r="I199" s="227">
        <v>11229.532187831303</v>
      </c>
      <c r="J199" s="227"/>
      <c r="K199" s="228">
        <f t="shared" si="87"/>
        <v>35751.947187831305</v>
      </c>
      <c r="L199" s="86">
        <v>45519.91</v>
      </c>
      <c r="M199" s="190">
        <v>0</v>
      </c>
      <c r="N199" s="190">
        <v>1500</v>
      </c>
      <c r="O199" s="210">
        <f t="shared" si="88"/>
        <v>47019.91</v>
      </c>
      <c r="P199" s="79">
        <v>8017.8818380743996</v>
      </c>
      <c r="Q199" s="189"/>
      <c r="R199" s="189"/>
      <c r="S199" s="208">
        <f t="shared" si="89"/>
        <v>8017.8818380743996</v>
      </c>
      <c r="T199" s="36">
        <f>+S199+O199+K199</f>
        <v>90789.739025905699</v>
      </c>
      <c r="V199" s="230"/>
    </row>
    <row r="200" spans="1:22" x14ac:dyDescent="0.35">
      <c r="A200" s="24"/>
      <c r="B200" s="24"/>
      <c r="C200" s="45" t="s">
        <v>122</v>
      </c>
      <c r="D200" s="40">
        <v>90000</v>
      </c>
      <c r="E200" s="44">
        <v>15320</v>
      </c>
      <c r="F200" s="44">
        <v>20007</v>
      </c>
      <c r="G200" s="35">
        <f t="shared" si="86"/>
        <v>125327</v>
      </c>
      <c r="H200" s="40">
        <v>90000</v>
      </c>
      <c r="I200" s="40">
        <v>0</v>
      </c>
      <c r="J200" s="40"/>
      <c r="K200" s="206">
        <f t="shared" si="87"/>
        <v>90000</v>
      </c>
      <c r="L200" s="86">
        <v>4946.54</v>
      </c>
      <c r="M200" s="190">
        <f>+'[3]Budget tracking'!E1084</f>
        <v>0</v>
      </c>
      <c r="N200" s="190"/>
      <c r="O200" s="210">
        <f>SUM(L200:N200)</f>
        <v>4946.54</v>
      </c>
      <c r="P200" s="79">
        <v>13063.842240799124</v>
      </c>
      <c r="Q200" s="189"/>
      <c r="R200" s="189">
        <v>6543.8911142416</v>
      </c>
      <c r="S200" s="208">
        <f>SUM(P200:R200)</f>
        <v>19607.733355040724</v>
      </c>
      <c r="T200" s="36">
        <f t="shared" ref="T200:T203" si="90">+S200+O200+K200</f>
        <v>114554.27335504073</v>
      </c>
      <c r="V200" s="230"/>
    </row>
    <row r="201" spans="1:22" x14ac:dyDescent="0.35">
      <c r="A201" s="24">
        <v>29245</v>
      </c>
      <c r="B201" s="24"/>
      <c r="C201" s="39" t="s">
        <v>123</v>
      </c>
      <c r="D201" s="40">
        <v>55785</v>
      </c>
      <c r="E201" s="44">
        <v>35000</v>
      </c>
      <c r="F201" s="44">
        <v>20674</v>
      </c>
      <c r="G201" s="35">
        <f t="shared" si="86"/>
        <v>111459</v>
      </c>
      <c r="H201" s="86">
        <f>37569.02+12958.686</f>
        <v>50527.705999999998</v>
      </c>
      <c r="I201" s="86">
        <v>1064.1586542365244</v>
      </c>
      <c r="J201" s="86">
        <v>4193.1353457634796</v>
      </c>
      <c r="K201" s="206">
        <f t="shared" si="87"/>
        <v>55785</v>
      </c>
      <c r="L201" s="86">
        <v>29968.16</v>
      </c>
      <c r="M201" s="190">
        <f>5932.84</f>
        <v>5932.84</v>
      </c>
      <c r="N201" s="190"/>
      <c r="O201" s="210">
        <f t="shared" si="88"/>
        <v>35901</v>
      </c>
      <c r="P201" s="79">
        <v>12982.587636761487</v>
      </c>
      <c r="Q201" s="189"/>
      <c r="R201" s="189"/>
      <c r="S201" s="208">
        <f t="shared" si="89"/>
        <v>12982.587636761487</v>
      </c>
      <c r="T201" s="36">
        <f t="shared" si="90"/>
        <v>104668.58763676148</v>
      </c>
      <c r="U201" s="219"/>
      <c r="V201" s="230"/>
    </row>
    <row r="202" spans="1:22" x14ac:dyDescent="0.35">
      <c r="A202" s="24"/>
      <c r="B202" s="24"/>
      <c r="C202" s="39" t="s">
        <v>124</v>
      </c>
      <c r="D202" s="40">
        <v>0</v>
      </c>
      <c r="E202" s="44"/>
      <c r="F202" s="44"/>
      <c r="G202" s="35">
        <f t="shared" si="86"/>
        <v>0</v>
      </c>
      <c r="H202" s="86"/>
      <c r="I202" s="86">
        <v>0</v>
      </c>
      <c r="J202" s="86"/>
      <c r="K202" s="206">
        <f t="shared" si="87"/>
        <v>0</v>
      </c>
      <c r="L202" s="86">
        <v>0</v>
      </c>
      <c r="M202" s="190">
        <f>+'[3]Budget tracking'!E1143</f>
        <v>0</v>
      </c>
      <c r="N202" s="190"/>
      <c r="O202" s="210">
        <f t="shared" si="88"/>
        <v>0</v>
      </c>
      <c r="P202" s="79"/>
      <c r="Q202" s="189"/>
      <c r="R202" s="189"/>
      <c r="S202" s="208">
        <f t="shared" si="89"/>
        <v>0</v>
      </c>
      <c r="T202" s="36">
        <f>+S202+O202+K202</f>
        <v>0</v>
      </c>
      <c r="V202" s="230"/>
    </row>
    <row r="203" spans="1:22" x14ac:dyDescent="0.35">
      <c r="A203" s="24"/>
      <c r="B203" s="24"/>
      <c r="C203" s="39" t="s">
        <v>125</v>
      </c>
      <c r="D203" s="40">
        <v>71700</v>
      </c>
      <c r="E203" s="44">
        <v>89883.12</v>
      </c>
      <c r="F203" s="44">
        <v>17339</v>
      </c>
      <c r="G203" s="35">
        <f t="shared" si="86"/>
        <v>178922.12</v>
      </c>
      <c r="H203" s="40">
        <f>71700+2416.76999999999</f>
        <v>74116.76999999999</v>
      </c>
      <c r="I203" s="40">
        <v>-489.19210354208707</v>
      </c>
      <c r="J203" s="40"/>
      <c r="K203" s="206">
        <f t="shared" si="87"/>
        <v>73627.577896457908</v>
      </c>
      <c r="L203" s="86">
        <v>36588</v>
      </c>
      <c r="M203" s="190">
        <v>0</v>
      </c>
      <c r="N203" s="190">
        <v>6000</v>
      </c>
      <c r="O203" s="210">
        <f t="shared" si="88"/>
        <v>42588</v>
      </c>
      <c r="P203" s="79">
        <v>8499.6165094091884</v>
      </c>
      <c r="Q203" s="189"/>
      <c r="R203" s="189">
        <v>3466.8580658971646</v>
      </c>
      <c r="S203" s="208">
        <f t="shared" si="89"/>
        <v>11966.474575306353</v>
      </c>
      <c r="T203" s="36">
        <f t="shared" si="90"/>
        <v>128182.05247176427</v>
      </c>
      <c r="V203" s="230"/>
    </row>
    <row r="204" spans="1:22" x14ac:dyDescent="0.35">
      <c r="A204" s="24"/>
      <c r="B204" s="24"/>
      <c r="C204" s="47" t="s">
        <v>126</v>
      </c>
      <c r="D204" s="48">
        <f>SUM(D197:D203)</f>
        <v>416485</v>
      </c>
      <c r="E204" s="48">
        <f t="shared" ref="E204:F204" si="91">SUM(E197:E203)</f>
        <v>720408.99999999988</v>
      </c>
      <c r="F204" s="48">
        <f t="shared" si="91"/>
        <v>116690</v>
      </c>
      <c r="G204" s="35">
        <f>SUM(D204:F204)</f>
        <v>1253584</v>
      </c>
      <c r="H204" s="58">
        <f>SUM(H197:H203)</f>
        <v>311132.42099999997</v>
      </c>
      <c r="I204" s="58">
        <f t="shared" ref="I204:K204" si="92">SUM(I197:I203)</f>
        <v>21325.012200000059</v>
      </c>
      <c r="J204" s="58">
        <f t="shared" si="92"/>
        <v>4193.1353457634796</v>
      </c>
      <c r="K204" s="58">
        <f t="shared" si="92"/>
        <v>336650.56854576356</v>
      </c>
      <c r="L204" s="58">
        <f>SUM(L197:L203)</f>
        <v>505923.65999999992</v>
      </c>
      <c r="M204" s="58">
        <f t="shared" ref="M204:O204" si="93">SUM(M197:M203)</f>
        <v>15317.17</v>
      </c>
      <c r="N204" s="58">
        <f t="shared" si="93"/>
        <v>28700</v>
      </c>
      <c r="O204" s="58">
        <f t="shared" si="93"/>
        <v>549940.83000000007</v>
      </c>
      <c r="P204" s="58">
        <f>SUM(P197:P203)</f>
        <v>77591.373787407429</v>
      </c>
      <c r="Q204" s="58">
        <f t="shared" ref="Q204:S204" si="94">SUM(Q197:Q203)</f>
        <v>0</v>
      </c>
      <c r="R204" s="58">
        <f t="shared" si="94"/>
        <v>10010.749180138764</v>
      </c>
      <c r="S204" s="58">
        <f t="shared" si="94"/>
        <v>87602.122967546195</v>
      </c>
      <c r="T204" s="57">
        <f>SUM(T197:T203)</f>
        <v>974193.5215133098</v>
      </c>
      <c r="V204" s="230"/>
    </row>
    <row r="205" spans="1:22" x14ac:dyDescent="0.35">
      <c r="A205" s="24"/>
      <c r="B205" s="24"/>
      <c r="C205" s="24"/>
      <c r="D205" s="25"/>
      <c r="E205" s="25"/>
      <c r="F205" s="25"/>
      <c r="G205" s="26"/>
      <c r="L205" s="85"/>
      <c r="M205" s="85"/>
      <c r="N205" s="85"/>
      <c r="O205" s="209"/>
      <c r="V205" s="230"/>
    </row>
    <row r="206" spans="1:22" x14ac:dyDescent="0.35">
      <c r="A206" s="24"/>
      <c r="B206" s="24"/>
      <c r="C206" s="88"/>
      <c r="D206" s="332" t="s">
        <v>163</v>
      </c>
      <c r="E206" s="332"/>
      <c r="F206" s="332"/>
      <c r="G206" s="332"/>
      <c r="H206" s="333" t="s">
        <v>114</v>
      </c>
      <c r="I206" s="333"/>
      <c r="J206" s="333"/>
      <c r="K206" s="333"/>
      <c r="L206" s="333"/>
      <c r="M206" s="333"/>
      <c r="N206" s="333"/>
      <c r="O206" s="333"/>
      <c r="P206" s="333"/>
      <c r="Q206" s="333"/>
      <c r="R206" s="333"/>
      <c r="S206" s="333"/>
      <c r="T206" s="333"/>
      <c r="V206" s="230"/>
    </row>
    <row r="207" spans="1:22" x14ac:dyDescent="0.35">
      <c r="A207" s="24"/>
      <c r="B207" s="24"/>
      <c r="C207" s="89"/>
      <c r="D207" s="110" t="s">
        <v>101</v>
      </c>
      <c r="E207" s="110" t="s">
        <v>102</v>
      </c>
      <c r="F207" s="110" t="s">
        <v>103</v>
      </c>
      <c r="G207" s="334" t="s">
        <v>100</v>
      </c>
      <c r="H207" s="335" t="s">
        <v>168</v>
      </c>
      <c r="I207" s="336"/>
      <c r="J207" s="336"/>
      <c r="K207" s="337"/>
      <c r="L207" s="338" t="s">
        <v>171</v>
      </c>
      <c r="M207" s="339"/>
      <c r="N207" s="339"/>
      <c r="O207" s="340"/>
      <c r="P207" s="338" t="s">
        <v>172</v>
      </c>
      <c r="Q207" s="339"/>
      <c r="R207" s="339"/>
      <c r="S207" s="340"/>
      <c r="T207" s="322" t="s">
        <v>154</v>
      </c>
      <c r="V207" s="230"/>
    </row>
    <row r="208" spans="1:22" ht="37.5" x14ac:dyDescent="0.35">
      <c r="A208" s="24"/>
      <c r="B208" s="24"/>
      <c r="C208" s="89"/>
      <c r="D208" s="111" t="str">
        <f>D14</f>
        <v>PNUD</v>
      </c>
      <c r="E208" s="111" t="str">
        <f>E14</f>
        <v>OHCHR</v>
      </c>
      <c r="F208" s="111" t="str">
        <f>F14</f>
        <v>MSIS TATAO</v>
      </c>
      <c r="G208" s="334"/>
      <c r="H208" s="211" t="s">
        <v>9</v>
      </c>
      <c r="I208" s="211" t="s">
        <v>165</v>
      </c>
      <c r="J208" s="211" t="s">
        <v>166</v>
      </c>
      <c r="K208" s="211" t="s">
        <v>167</v>
      </c>
      <c r="L208" s="211" t="s">
        <v>9</v>
      </c>
      <c r="M208" s="211" t="s">
        <v>176</v>
      </c>
      <c r="N208" s="211" t="s">
        <v>166</v>
      </c>
      <c r="O208" s="211" t="s">
        <v>167</v>
      </c>
      <c r="P208" s="211" t="s">
        <v>9</v>
      </c>
      <c r="Q208" s="211" t="s">
        <v>165</v>
      </c>
      <c r="R208" s="211" t="s">
        <v>166</v>
      </c>
      <c r="S208" s="211" t="s">
        <v>167</v>
      </c>
      <c r="T208" s="322"/>
      <c r="V208" s="230"/>
    </row>
    <row r="209" spans="1:24" x14ac:dyDescent="0.35">
      <c r="A209" s="24"/>
      <c r="B209" s="24"/>
      <c r="C209" s="90" t="s">
        <v>119</v>
      </c>
      <c r="D209" s="91">
        <f>SUM(D186,D175,D164,D153,D141,D130,D119,D108,D96,D85,D74,D63,D51,D40,D29,D18,D197)</f>
        <v>89000</v>
      </c>
      <c r="E209" s="91">
        <f t="shared" ref="D209:F210" si="95">SUM(E186,E175,E164,E153,E141,E130,E119,E108,E96,E85,E74,E63,E51,E40,E29,E18,E197)</f>
        <v>522647.44</v>
      </c>
      <c r="F209" s="91">
        <f t="shared" si="95"/>
        <v>105287</v>
      </c>
      <c r="G209" s="35">
        <f>SUM(D209:F209)</f>
        <v>716934.44</v>
      </c>
      <c r="H209" s="43">
        <f>H18+H29+H63+H74+H108+H119+H130+H197</f>
        <v>64635.89</v>
      </c>
      <c r="I209" s="43">
        <f t="shared" ref="I209:J209" si="96">I18+I29+I63+I74+I108+I119+I130+I197</f>
        <v>4931.6774959267332</v>
      </c>
      <c r="J209" s="43">
        <f t="shared" si="96"/>
        <v>0</v>
      </c>
      <c r="K209" s="36">
        <f>SUM(H209:J209)</f>
        <v>69567.567495926734</v>
      </c>
      <c r="L209" s="43">
        <f>L18+L29+L63+L74+L108+L119+L130+L197</f>
        <v>388776.13</v>
      </c>
      <c r="M209" s="43">
        <f t="shared" ref="M209:N209" si="97">M18+M29+M63+M74+M108+M119+M130+M197</f>
        <v>9346.1</v>
      </c>
      <c r="N209" s="43">
        <f t="shared" si="97"/>
        <v>21000</v>
      </c>
      <c r="O209" s="36">
        <f>SUM(L209:N209)</f>
        <v>419122.23</v>
      </c>
      <c r="P209" s="43">
        <f>P18+P29+P63+P74+P108+P119+P130+P197</f>
        <v>73905.851735207878</v>
      </c>
      <c r="Q209" s="43">
        <f t="shared" ref="Q209:R209" si="98">Q18+Q29+Q63+Q74+Q108+Q119+Q130+Q197</f>
        <v>0</v>
      </c>
      <c r="R209" s="43">
        <f t="shared" si="98"/>
        <v>11661.806310722099</v>
      </c>
      <c r="S209" s="36">
        <f>SUM(P209:R209)</f>
        <v>85567.658045929973</v>
      </c>
      <c r="T209" s="43">
        <f>K209+O209+S209</f>
        <v>574257.4555418567</v>
      </c>
      <c r="U209" s="102"/>
      <c r="V209" s="230"/>
    </row>
    <row r="210" spans="1:24" x14ac:dyDescent="0.35">
      <c r="A210" s="24"/>
      <c r="B210" s="24"/>
      <c r="C210" s="90" t="s">
        <v>120</v>
      </c>
      <c r="D210" s="91">
        <f t="shared" si="95"/>
        <v>61800</v>
      </c>
      <c r="E210" s="91">
        <f t="shared" si="95"/>
        <v>19000</v>
      </c>
      <c r="F210" s="91">
        <f t="shared" si="95"/>
        <v>0</v>
      </c>
      <c r="G210" s="35">
        <f t="shared" ref="G210:G216" si="99">SUM(D210:F210)</f>
        <v>80800</v>
      </c>
      <c r="H210" s="43">
        <f t="shared" ref="H210:J210" si="100">H19+H30+H64+H75+H109+H120+H131+H198</f>
        <v>7976.1</v>
      </c>
      <c r="I210" s="43">
        <f>I19+I30+I64+I75+I109+I120+I131+I198</f>
        <v>14770.295797741484</v>
      </c>
      <c r="J210" s="43">
        <f t="shared" si="100"/>
        <v>0</v>
      </c>
      <c r="K210" s="36">
        <f t="shared" ref="K210:K215" si="101">SUM(H210:J210)</f>
        <v>22746.395797741483</v>
      </c>
      <c r="L210" s="43">
        <f t="shared" ref="L210:M210" si="102">L19+L30+L64+L75+L109+L120+L131+L198</f>
        <v>1967.0000000000002</v>
      </c>
      <c r="M210" s="43">
        <f t="shared" si="102"/>
        <v>275.56</v>
      </c>
      <c r="N210" s="43">
        <f>N19+N30+N64+N75+N109+N120+N131+N198</f>
        <v>200</v>
      </c>
      <c r="O210" s="36">
        <f t="shared" ref="O210:O215" si="103">SUM(L210:N210)</f>
        <v>2442.5600000000004</v>
      </c>
      <c r="P210" s="43">
        <f t="shared" ref="P210:R210" si="104">P19+P30+P64+P75+P109+P120+P131+P198</f>
        <v>0</v>
      </c>
      <c r="Q210" s="43">
        <f t="shared" si="104"/>
        <v>0</v>
      </c>
      <c r="R210" s="43">
        <f t="shared" si="104"/>
        <v>0</v>
      </c>
      <c r="S210" s="36">
        <f t="shared" ref="S210:S214" si="105">SUM(P210:R210)</f>
        <v>0</v>
      </c>
      <c r="T210" s="43">
        <f t="shared" ref="T210:T215" si="106">K210+O210+S210</f>
        <v>25188.955797741484</v>
      </c>
      <c r="U210" s="102"/>
      <c r="V210" s="230"/>
    </row>
    <row r="211" spans="1:24" x14ac:dyDescent="0.35">
      <c r="A211" s="24"/>
      <c r="B211" s="24"/>
      <c r="C211" s="90" t="s">
        <v>121</v>
      </c>
      <c r="D211" s="91">
        <f>SUM(D188,D177,D166,D155,D143,D132,D121,D110,D98,D87,D76,D65,D53,D42,D31,D20,D199)</f>
        <v>181000</v>
      </c>
      <c r="E211" s="91">
        <f t="shared" ref="E211:F215" si="107">SUM(E188,E177,E166,E155,E143,E132,E121,E110,E98,E87,E76,E65,E53,E42,E31,E20,E199)</f>
        <v>49558.44</v>
      </c>
      <c r="F211" s="91">
        <f t="shared" si="107"/>
        <v>17082</v>
      </c>
      <c r="G211" s="35">
        <f t="shared" si="99"/>
        <v>247640.44</v>
      </c>
      <c r="H211" s="43">
        <f t="shared" ref="H211:J211" si="108">H20+H31+H65+H76+H110+H121+H132+H199</f>
        <v>46937.630000000005</v>
      </c>
      <c r="I211" s="43">
        <f t="shared" si="108"/>
        <v>57821.831731988626</v>
      </c>
      <c r="J211" s="43">
        <f t="shared" si="108"/>
        <v>0</v>
      </c>
      <c r="K211" s="36">
        <f t="shared" si="101"/>
        <v>104759.46173198863</v>
      </c>
      <c r="L211" s="43">
        <f t="shared" ref="L211:N211" si="109">L20+L31+L65+L76+L110+L121+L132+L199</f>
        <v>45519.91</v>
      </c>
      <c r="M211" s="43">
        <f t="shared" si="109"/>
        <v>0</v>
      </c>
      <c r="N211" s="43">
        <f t="shared" si="109"/>
        <v>1500</v>
      </c>
      <c r="O211" s="36">
        <f>SUM(L211:N211)</f>
        <v>47019.91</v>
      </c>
      <c r="P211" s="43">
        <f t="shared" ref="P211:R211" si="110">P20+P31+P65+P76+P110+P121+P132+P199</f>
        <v>15886.481400437639</v>
      </c>
      <c r="Q211" s="43">
        <f t="shared" si="110"/>
        <v>0</v>
      </c>
      <c r="R211" s="43">
        <f t="shared" si="110"/>
        <v>0</v>
      </c>
      <c r="S211" s="36">
        <f t="shared" si="105"/>
        <v>15886.481400437639</v>
      </c>
      <c r="T211" s="43">
        <f>K211+O211+S211</f>
        <v>167665.85313242627</v>
      </c>
      <c r="U211" s="102"/>
      <c r="V211" s="230"/>
    </row>
    <row r="212" spans="1:24" x14ac:dyDescent="0.35">
      <c r="A212" s="24"/>
      <c r="B212" s="24"/>
      <c r="C212" s="92" t="s">
        <v>122</v>
      </c>
      <c r="D212" s="91">
        <f>SUM(D189,D178,D167,D156,D144,D133,D122,D111,D99,D88,D77,D66,D54,D43,D32,D21,D200)</f>
        <v>313000</v>
      </c>
      <c r="E212" s="91">
        <f t="shared" si="107"/>
        <v>104820</v>
      </c>
      <c r="F212" s="91">
        <f t="shared" si="107"/>
        <v>53293</v>
      </c>
      <c r="G212" s="35">
        <f t="shared" si="99"/>
        <v>471113</v>
      </c>
      <c r="H212" s="43">
        <f t="shared" ref="H212:J212" si="111">H21+H32+H66+H77+H111+H122+H133+H200</f>
        <v>191910.62</v>
      </c>
      <c r="I212" s="43">
        <f t="shared" si="111"/>
        <v>73056.863526040863</v>
      </c>
      <c r="J212" s="43">
        <f t="shared" si="111"/>
        <v>35000</v>
      </c>
      <c r="K212" s="36">
        <f t="shared" si="101"/>
        <v>299967.48352604086</v>
      </c>
      <c r="L212" s="43">
        <f t="shared" ref="L212:N212" si="112">L21+L32+L66+L77+L111+L122+L133+L200</f>
        <v>38175.43</v>
      </c>
      <c r="M212" s="43">
        <f t="shared" si="112"/>
        <v>35126</v>
      </c>
      <c r="N212" s="43">
        <f t="shared" si="112"/>
        <v>0</v>
      </c>
      <c r="O212" s="36">
        <f t="shared" si="103"/>
        <v>73301.429999999993</v>
      </c>
      <c r="P212" s="43">
        <f t="shared" ref="P212" si="113">P21+P32+P66+P77+P111+P122+P133+P200</f>
        <v>37221.04441198631</v>
      </c>
      <c r="Q212" s="43">
        <f t="shared" ref="Q212" si="114">Q21+Q32+Q66+Q77+Q111+Q122+Q133+Q200</f>
        <v>0</v>
      </c>
      <c r="R212" s="43">
        <f>R21+R32+R66+R77+R111+R122+R133+R200</f>
        <v>12201.848641390839</v>
      </c>
      <c r="S212" s="36">
        <f>SUM(P212:R212)</f>
        <v>49422.893053377149</v>
      </c>
      <c r="T212" s="43">
        <f t="shared" si="106"/>
        <v>422691.80657941801</v>
      </c>
      <c r="U212" s="103"/>
      <c r="V212" s="230"/>
    </row>
    <row r="213" spans="1:24" x14ac:dyDescent="0.35">
      <c r="A213" s="24"/>
      <c r="B213" s="24"/>
      <c r="C213" s="90" t="s">
        <v>123</v>
      </c>
      <c r="D213" s="91">
        <f>SUM(D190,D179,D168,D157,D145,D134,D123,E112,D100,D89,D78,D67,D55,D44,D33,D22,D201)</f>
        <v>125785</v>
      </c>
      <c r="E213" s="91">
        <f t="shared" si="107"/>
        <v>222500</v>
      </c>
      <c r="F213" s="91">
        <f t="shared" si="107"/>
        <v>59234</v>
      </c>
      <c r="G213" s="35">
        <f t="shared" si="99"/>
        <v>407519</v>
      </c>
      <c r="H213" s="43">
        <f t="shared" ref="H213:J213" si="115">H22+H33+H67+H78+H112+H123+H134+H201</f>
        <v>115557.36</v>
      </c>
      <c r="I213" s="43">
        <f t="shared" si="115"/>
        <v>2000.5005593018122</v>
      </c>
      <c r="J213" s="43">
        <f t="shared" si="115"/>
        <v>8227.1394406981926</v>
      </c>
      <c r="K213" s="36">
        <f t="shared" si="101"/>
        <v>125785</v>
      </c>
      <c r="L213" s="43">
        <f t="shared" ref="L213:N213" si="116">L22+L33+L67+L78+L112+L123+L134+L201</f>
        <v>75824.22</v>
      </c>
      <c r="M213" s="43">
        <f t="shared" si="116"/>
        <v>15726.84</v>
      </c>
      <c r="N213" s="43">
        <f t="shared" si="116"/>
        <v>0</v>
      </c>
      <c r="O213" s="36">
        <f>SUM(L213:N213)</f>
        <v>91551.06</v>
      </c>
      <c r="P213" s="43">
        <f t="shared" ref="P213:P215" si="117">P22+P33+P67+P78+P112+P123+P134+P201</f>
        <v>41035.288949671769</v>
      </c>
      <c r="Q213" s="43">
        <f t="shared" ref="Q213:R213" si="118">Q22+Q33+Q67+Q78+Q112+Q123+Q134+Q201</f>
        <v>0</v>
      </c>
      <c r="R213" s="43">
        <f t="shared" si="118"/>
        <v>7372.9759299781153</v>
      </c>
      <c r="S213" s="36">
        <f t="shared" si="105"/>
        <v>48408.264879649883</v>
      </c>
      <c r="T213" s="43">
        <f>K213+O213+S213</f>
        <v>265744.32487964991</v>
      </c>
      <c r="U213" s="102"/>
      <c r="V213" s="230"/>
    </row>
    <row r="214" spans="1:24" x14ac:dyDescent="0.35">
      <c r="A214" s="24"/>
      <c r="B214" s="24"/>
      <c r="C214" s="90" t="s">
        <v>124</v>
      </c>
      <c r="D214" s="91">
        <f>SUM(D191,D180,D169,D158,D146,D135,D124,D113,D101,D90,D79,D68,D56,D45,D34,D23,D202)</f>
        <v>602500</v>
      </c>
      <c r="E214" s="91">
        <f t="shared" si="107"/>
        <v>210000</v>
      </c>
      <c r="F214" s="91">
        <f t="shared" si="107"/>
        <v>186204</v>
      </c>
      <c r="G214" s="35">
        <f t="shared" si="99"/>
        <v>998704</v>
      </c>
      <c r="H214" s="43">
        <f t="shared" ref="H214:J214" si="119">H23+H34+H68+H79+H113+H124+H135+H202</f>
        <v>226209.70999999996</v>
      </c>
      <c r="I214" s="43">
        <f t="shared" si="119"/>
        <v>94904.425218652221</v>
      </c>
      <c r="J214" s="43">
        <f t="shared" si="119"/>
        <v>117499.924781348</v>
      </c>
      <c r="K214" s="36">
        <f t="shared" si="101"/>
        <v>438614.06000000017</v>
      </c>
      <c r="L214" s="43">
        <f t="shared" ref="L214:N214" si="120">L23+L34+L68+L79+L113+L124+L135+L202</f>
        <v>0</v>
      </c>
      <c r="M214" s="43">
        <f t="shared" si="120"/>
        <v>83996.79</v>
      </c>
      <c r="N214" s="43">
        <f t="shared" si="120"/>
        <v>0</v>
      </c>
      <c r="O214" s="36">
        <f t="shared" si="103"/>
        <v>83996.79</v>
      </c>
      <c r="P214" s="43">
        <f t="shared" si="117"/>
        <v>53795.809047532297</v>
      </c>
      <c r="Q214" s="43">
        <f t="shared" ref="Q214:R214" si="121">Q23+Q34+Q68+Q79+Q113+Q124+Q135+Q202</f>
        <v>0</v>
      </c>
      <c r="R214" s="43">
        <f t="shared" si="121"/>
        <v>25250.73069292487</v>
      </c>
      <c r="S214" s="36">
        <f t="shared" si="105"/>
        <v>79046.53974045717</v>
      </c>
      <c r="T214" s="43">
        <f t="shared" si="106"/>
        <v>601657.38974045729</v>
      </c>
      <c r="U214" s="102"/>
      <c r="V214" s="230"/>
      <c r="W214" s="28"/>
      <c r="X214" s="28"/>
    </row>
    <row r="215" spans="1:24" x14ac:dyDescent="0.35">
      <c r="A215" s="24"/>
      <c r="B215" s="24"/>
      <c r="C215" s="90" t="s">
        <v>125</v>
      </c>
      <c r="D215" s="91">
        <f>SUM(D192,D181,D170,D159,D147,D136,D125,D114,D102,D91,D80,D69,D57,D46,D35,D24,D203)</f>
        <v>215700</v>
      </c>
      <c r="E215" s="91">
        <f t="shared" si="107"/>
        <v>184883.12</v>
      </c>
      <c r="F215" s="91">
        <f t="shared" si="107"/>
        <v>46190</v>
      </c>
      <c r="G215" s="35">
        <f t="shared" si="99"/>
        <v>446773.12</v>
      </c>
      <c r="H215" s="43">
        <f t="shared" ref="H215:J215" si="122">H24+H35+H69+H80+H114+H125+H136+H203</f>
        <v>219116.77</v>
      </c>
      <c r="I215" s="43">
        <f t="shared" si="122"/>
        <v>-1489.1921296516732</v>
      </c>
      <c r="J215" s="43">
        <f t="shared" si="122"/>
        <v>0</v>
      </c>
      <c r="K215" s="36">
        <f t="shared" si="101"/>
        <v>217627.57787034832</v>
      </c>
      <c r="L215" s="43">
        <f t="shared" ref="L215:N215" si="123">L24+L35+L69+L80+L114+L125+L136+L203</f>
        <v>57223.61</v>
      </c>
      <c r="M215" s="43">
        <f t="shared" si="123"/>
        <v>0</v>
      </c>
      <c r="N215" s="43">
        <f t="shared" si="123"/>
        <v>12000</v>
      </c>
      <c r="O215" s="36">
        <f t="shared" si="103"/>
        <v>69223.61</v>
      </c>
      <c r="P215" s="43">
        <f t="shared" si="117"/>
        <v>20721.085417505463</v>
      </c>
      <c r="Q215" s="43">
        <f t="shared" ref="Q215:R215" si="124">Q24+Q35+Q69+Q80+Q114+Q125+Q136+Q203</f>
        <v>0</v>
      </c>
      <c r="R215" s="43">
        <f t="shared" si="124"/>
        <v>3466.8580658971646</v>
      </c>
      <c r="S215" s="36">
        <f>SUM(P215:R215)</f>
        <v>24187.943483402629</v>
      </c>
      <c r="T215" s="43">
        <f t="shared" si="106"/>
        <v>311039.13135375094</v>
      </c>
      <c r="U215" s="102"/>
      <c r="V215" s="230"/>
    </row>
    <row r="216" spans="1:24" x14ac:dyDescent="0.35">
      <c r="A216" s="24"/>
      <c r="B216" s="24"/>
      <c r="C216" s="39" t="s">
        <v>104</v>
      </c>
      <c r="D216" s="93">
        <f>SUM(D209:D215)</f>
        <v>1588785</v>
      </c>
      <c r="E216" s="91">
        <f>SUM(E193,E182,E171,E160,E148,E137,E126,E115,E103,E92,E81,E70,E58,E47,E36,E25,E204)</f>
        <v>1313409</v>
      </c>
      <c r="F216" s="91">
        <f>SUM(F193,F182,F171,F160,F148,F137,F126,F115,F103,F92,F81,F70,F58,F47,F36,F25,F204)</f>
        <v>467290</v>
      </c>
      <c r="G216" s="35">
        <f t="shared" si="99"/>
        <v>3369484</v>
      </c>
      <c r="H216" s="37">
        <f>+SUM(H209:H215)</f>
        <v>872344.08</v>
      </c>
      <c r="I216" s="37">
        <f t="shared" ref="I216:R216" si="125">+SUM(I209:I215)</f>
        <v>245996.40220000007</v>
      </c>
      <c r="J216" s="37">
        <f t="shared" si="125"/>
        <v>160727.0642220462</v>
      </c>
      <c r="K216" s="37">
        <f t="shared" si="125"/>
        <v>1279067.5464220461</v>
      </c>
      <c r="L216" s="37">
        <f t="shared" si="125"/>
        <v>607486.30000000005</v>
      </c>
      <c r="M216" s="37">
        <f t="shared" si="125"/>
        <v>144471.28999999998</v>
      </c>
      <c r="N216" s="37">
        <f t="shared" si="125"/>
        <v>34700</v>
      </c>
      <c r="O216" s="37">
        <f t="shared" si="125"/>
        <v>786657.59</v>
      </c>
      <c r="P216" s="37">
        <f t="shared" si="125"/>
        <v>242565.56096234135</v>
      </c>
      <c r="Q216" s="37">
        <f t="shared" si="125"/>
        <v>0</v>
      </c>
      <c r="R216" s="37">
        <f t="shared" si="125"/>
        <v>59954.219640913085</v>
      </c>
      <c r="S216" s="37">
        <f>+SUM(S209:S215)</f>
        <v>302519.78060325445</v>
      </c>
      <c r="T216" s="37">
        <f>+SUM(T209:T215)</f>
        <v>2368244.9170253007</v>
      </c>
      <c r="U216" s="102"/>
      <c r="V216" s="230"/>
    </row>
    <row r="217" spans="1:24" x14ac:dyDescent="0.35">
      <c r="A217" s="24"/>
      <c r="B217" s="24"/>
      <c r="C217" s="39" t="s">
        <v>105</v>
      </c>
      <c r="D217" s="91">
        <f>D216*0.07</f>
        <v>111214.95000000001</v>
      </c>
      <c r="E217" s="91">
        <f>E216*0.07</f>
        <v>91938.63</v>
      </c>
      <c r="F217" s="91">
        <f>F216*0.07</f>
        <v>32710.300000000003</v>
      </c>
      <c r="G217" s="35">
        <f>G216*0.07</f>
        <v>235863.88000000003</v>
      </c>
      <c r="H217" s="94">
        <f>+H216*7%</f>
        <v>61064.085600000006</v>
      </c>
      <c r="I217" s="94">
        <f t="shared" ref="I217:K217" si="126">+I216*7%</f>
        <v>17219.748154000008</v>
      </c>
      <c r="J217" s="94">
        <f>+J216*7%</f>
        <v>11250.894495543236</v>
      </c>
      <c r="K217" s="94">
        <f t="shared" si="126"/>
        <v>89534.728249543245</v>
      </c>
      <c r="L217" s="94">
        <f>+L216*7%</f>
        <v>42524.041000000005</v>
      </c>
      <c r="M217" s="94">
        <f t="shared" ref="M217:O217" si="127">+M216*7%</f>
        <v>10112.990299999999</v>
      </c>
      <c r="N217" s="94">
        <f t="shared" si="127"/>
        <v>2429.0000000000005</v>
      </c>
      <c r="O217" s="94">
        <f t="shared" si="127"/>
        <v>55066.031300000002</v>
      </c>
      <c r="P217" s="94">
        <f>+P216*7%</f>
        <v>16979.589267363895</v>
      </c>
      <c r="Q217" s="94">
        <f t="shared" ref="Q217:T217" si="128">+Q216*7%</f>
        <v>0</v>
      </c>
      <c r="R217" s="94">
        <f t="shared" si="128"/>
        <v>4196.7953748639165</v>
      </c>
      <c r="S217" s="94">
        <f t="shared" si="128"/>
        <v>21176.384642227815</v>
      </c>
      <c r="T217" s="94">
        <f t="shared" si="128"/>
        <v>165777.14419177108</v>
      </c>
      <c r="U217" s="102"/>
      <c r="V217" s="230"/>
    </row>
    <row r="218" spans="1:24" x14ac:dyDescent="0.35">
      <c r="A218" s="24"/>
      <c r="B218" s="24"/>
      <c r="C218" s="88" t="s">
        <v>155</v>
      </c>
      <c r="D218" s="35">
        <f t="shared" ref="D218:T218" si="129">SUM(D216:D217)</f>
        <v>1699999.95</v>
      </c>
      <c r="E218" s="35">
        <f t="shared" si="129"/>
        <v>1405347.63</v>
      </c>
      <c r="F218" s="35">
        <f t="shared" si="129"/>
        <v>500000.3</v>
      </c>
      <c r="G218" s="35">
        <f t="shared" si="129"/>
        <v>3605347.88</v>
      </c>
      <c r="H218" s="95">
        <f t="shared" si="129"/>
        <v>933408.16559999995</v>
      </c>
      <c r="I218" s="95">
        <f t="shared" si="129"/>
        <v>263216.1503540001</v>
      </c>
      <c r="J218" s="95">
        <f t="shared" si="129"/>
        <v>171977.95871758944</v>
      </c>
      <c r="K218" s="95">
        <f t="shared" si="129"/>
        <v>1368602.2746715895</v>
      </c>
      <c r="L218" s="95">
        <f t="shared" si="129"/>
        <v>650010.34100000001</v>
      </c>
      <c r="M218" s="95">
        <f t="shared" si="129"/>
        <v>154584.28029999998</v>
      </c>
      <c r="N218" s="95">
        <f>SUM(N216:N217)</f>
        <v>37129</v>
      </c>
      <c r="O218" s="95">
        <f>SUM(O216:O217)</f>
        <v>841723.6213</v>
      </c>
      <c r="P218" s="95">
        <f t="shared" si="129"/>
        <v>259545.15022970524</v>
      </c>
      <c r="Q218" s="95">
        <f t="shared" si="129"/>
        <v>0</v>
      </c>
      <c r="R218" s="95">
        <f t="shared" si="129"/>
        <v>64151.015015777004</v>
      </c>
      <c r="S218" s="95">
        <f t="shared" si="129"/>
        <v>323696.16524548223</v>
      </c>
      <c r="T218" s="96">
        <f t="shared" si="129"/>
        <v>2534022.061217072</v>
      </c>
      <c r="U218" s="102"/>
      <c r="V218" s="230"/>
    </row>
    <row r="219" spans="1:24" ht="29.15" customHeight="1" x14ac:dyDescent="0.35">
      <c r="T219" s="98"/>
      <c r="U219" s="102"/>
      <c r="V219" s="231"/>
    </row>
    <row r="220" spans="1:24" ht="29.15" customHeight="1" x14ac:dyDescent="0.35">
      <c r="T220" s="28"/>
      <c r="U220" s="104"/>
    </row>
    <row r="221" spans="1:24" ht="29.15" customHeight="1" x14ac:dyDescent="0.35">
      <c r="T221" s="99"/>
      <c r="U221" s="104"/>
    </row>
    <row r="222" spans="1:24" ht="29.15" customHeight="1" x14ac:dyDescent="0.35"/>
    <row r="223" spans="1:24" ht="29.15" customHeight="1" x14ac:dyDescent="0.35"/>
    <row r="224" spans="1:24" ht="29.15" customHeight="1" x14ac:dyDescent="0.35"/>
    <row r="225" ht="29.15" customHeight="1" x14ac:dyDescent="0.35"/>
  </sheetData>
  <mergeCells count="38">
    <mergeCell ref="T207:T208"/>
    <mergeCell ref="C184:G184"/>
    <mergeCell ref="C195:T195"/>
    <mergeCell ref="D206:G206"/>
    <mergeCell ref="H206:T206"/>
    <mergeCell ref="G207:G208"/>
    <mergeCell ref="H207:K207"/>
    <mergeCell ref="L207:O207"/>
    <mergeCell ref="P207:S207"/>
    <mergeCell ref="C173:G173"/>
    <mergeCell ref="C61:T61"/>
    <mergeCell ref="C72:T72"/>
    <mergeCell ref="C83:T83"/>
    <mergeCell ref="C94:G94"/>
    <mergeCell ref="B105:T105"/>
    <mergeCell ref="C106:T106"/>
    <mergeCell ref="C117:T117"/>
    <mergeCell ref="C128:T128"/>
    <mergeCell ref="B150:G150"/>
    <mergeCell ref="C151:G151"/>
    <mergeCell ref="C162:G162"/>
    <mergeCell ref="B60:T60"/>
    <mergeCell ref="H12:T12"/>
    <mergeCell ref="G13:G14"/>
    <mergeCell ref="T13:T14"/>
    <mergeCell ref="B15:T15"/>
    <mergeCell ref="C16:T16"/>
    <mergeCell ref="C27:T27"/>
    <mergeCell ref="C38:T38"/>
    <mergeCell ref="C49:G49"/>
    <mergeCell ref="H13:K13"/>
    <mergeCell ref="L13:O13"/>
    <mergeCell ref="P13:S13"/>
    <mergeCell ref="C2:F2"/>
    <mergeCell ref="C5:G5"/>
    <mergeCell ref="C6:G8"/>
    <mergeCell ref="C10:F10"/>
    <mergeCell ref="D12:G12"/>
  </mergeCells>
  <conditionalFormatting sqref="G25">
    <cfRule type="cellIs" dxfId="16" priority="20" operator="notEqual">
      <formula>$G$17</formula>
    </cfRule>
  </conditionalFormatting>
  <conditionalFormatting sqref="G36">
    <cfRule type="cellIs" dxfId="15" priority="19" operator="notEqual">
      <formula>$G$28</formula>
    </cfRule>
  </conditionalFormatting>
  <conditionalFormatting sqref="G47">
    <cfRule type="cellIs" dxfId="14" priority="18" operator="notEqual">
      <formula>$G$39</formula>
    </cfRule>
  </conditionalFormatting>
  <conditionalFormatting sqref="G58">
    <cfRule type="cellIs" dxfId="13" priority="17" operator="notEqual">
      <formula>$G$50</formula>
    </cfRule>
  </conditionalFormatting>
  <conditionalFormatting sqref="G70">
    <cfRule type="cellIs" dxfId="12" priority="16" operator="notEqual">
      <formula>$G$62</formula>
    </cfRule>
  </conditionalFormatting>
  <conditionalFormatting sqref="G81">
    <cfRule type="cellIs" dxfId="11" priority="15" operator="notEqual">
      <formula>$G$73</formula>
    </cfRule>
  </conditionalFormatting>
  <conditionalFormatting sqref="G92">
    <cfRule type="cellIs" dxfId="10" priority="14" operator="notEqual">
      <formula>$G$84</formula>
    </cfRule>
  </conditionalFormatting>
  <conditionalFormatting sqref="G103">
    <cfRule type="cellIs" dxfId="9" priority="13" operator="notEqual">
      <formula>$G$95</formula>
    </cfRule>
  </conditionalFormatting>
  <conditionalFormatting sqref="G115">
    <cfRule type="cellIs" dxfId="8" priority="12" operator="notEqual">
      <formula>$G$107</formula>
    </cfRule>
  </conditionalFormatting>
  <conditionalFormatting sqref="G126">
    <cfRule type="cellIs" dxfId="7" priority="11" operator="notEqual">
      <formula>$G$118</formula>
    </cfRule>
  </conditionalFormatting>
  <conditionalFormatting sqref="G137">
    <cfRule type="cellIs" dxfId="6" priority="10" operator="notEqual">
      <formula>$G$129</formula>
    </cfRule>
  </conditionalFormatting>
  <conditionalFormatting sqref="G148">
    <cfRule type="cellIs" dxfId="5" priority="9" operator="notEqual">
      <formula>$G$140</formula>
    </cfRule>
  </conditionalFormatting>
  <conditionalFormatting sqref="G160">
    <cfRule type="cellIs" dxfId="4" priority="8" operator="notEqual">
      <formula>$G$152</formula>
    </cfRule>
  </conditionalFormatting>
  <conditionalFormatting sqref="G171">
    <cfRule type="cellIs" dxfId="3" priority="7" operator="notEqual">
      <formula>$G$163</formula>
    </cfRule>
  </conditionalFormatting>
  <conditionalFormatting sqref="G182">
    <cfRule type="cellIs" dxfId="2" priority="6" operator="notEqual">
      <formula>$G$163</formula>
    </cfRule>
  </conditionalFormatting>
  <conditionalFormatting sqref="G193">
    <cfRule type="cellIs" dxfId="1" priority="5" operator="notEqual">
      <formula>$G$185</formula>
    </cfRule>
  </conditionalFormatting>
  <conditionalFormatting sqref="G204">
    <cfRule type="cellIs" dxfId="0" priority="4" operator="notEqual">
      <formula>$G$196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92 C24 C35 C46 C57 C69 C80 C91 C102 C114 C125 C136 C147 C159 C170 C181 C203 C215" xr:uid="{00000000-0002-0000-01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1 C23 C34 C45 C56 C68 C79 C90 C101 C113 C124 C135 C146 C158 C169 C180 C202 C214" xr:uid="{00000000-0002-0000-0100-000001000000}"/>
    <dataValidation allowBlank="1" showInputMessage="1" showErrorMessage="1" prompt="Services contracted by an organization which follow the normal procurement processes." sqref="C189 C21 C32 C43 C54 C66 C77 C88 C99 C111 C122 C133 C144 C156 C167 C178 C200 C212" xr:uid="{00000000-0002-0000-0100-000002000000}"/>
    <dataValidation allowBlank="1" showInputMessage="1" showErrorMessage="1" prompt="Includes staff and non-staff travel paid for by the organization directly related to a project." sqref="C190 C22 C33 C44 C55 C67 C78 C89 C100 C112 C123 C134 C145 C157 C168 C179 C201 C213" xr:uid="{00000000-0002-0000-01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8 C20 C31 C42 C53 C65 C76 C87 C98 C110 C121 C132 C143 C155 C166 C177 C199 C211" xr:uid="{00000000-0002-0000-01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7 C19 C30 C41 C52 C64 C75 C86 C97 C109 C120 C131 C142 C154 C165 C176 C198 C210" xr:uid="{00000000-0002-0000-0100-000005000000}"/>
    <dataValidation allowBlank="1" showInputMessage="1" showErrorMessage="1" prompt="Includes all related staff and temporary staff costs including base salary, post adjustment and all staff entitlements." sqref="C186 C18 C29 C40 C51 C63 C74 C85 C96 C108 C119 C130 C141 C153 C164 C175 C197 C209" xr:uid="{00000000-0002-0000-0100-000006000000}"/>
    <dataValidation allowBlank="1" showInputMessage="1" showErrorMessage="1" prompt="Output totals must match the original total from Table 1, and will show as red if not. " sqref="G25" xr:uid="{00000000-0002-0000-0100-000007000000}"/>
  </dataValidations>
  <pageMargins left="0.70866141732283472" right="0.70866141732283472" top="0.74803149606299213" bottom="0.74803149606299213" header="0.31496062992125984" footer="0.31496062992125984"/>
  <pageSetup paperSize="9" scale="29" fitToHeight="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18"/>
  <sheetViews>
    <sheetView tabSelected="1" zoomScale="80" zoomScaleNormal="80" workbookViewId="0">
      <selection activeCell="C16" sqref="C16"/>
    </sheetView>
  </sheetViews>
  <sheetFormatPr baseColWidth="10" defaultColWidth="8.81640625" defaultRowHeight="15" x14ac:dyDescent="0.4"/>
  <cols>
    <col min="1" max="1" width="71.1796875" style="2" bestFit="1" customWidth="1"/>
    <col min="2" max="2" width="16.1796875" style="16" bestFit="1" customWidth="1"/>
    <col min="3" max="3" width="27.1796875" style="16" bestFit="1" customWidth="1"/>
    <col min="4" max="4" width="15.453125" style="16" customWidth="1"/>
    <col min="5" max="5" width="27.26953125" style="16" bestFit="1" customWidth="1"/>
    <col min="6" max="6" width="15.1796875" style="16" customWidth="1"/>
    <col min="7" max="7" width="29" style="16" customWidth="1"/>
    <col min="8" max="8" width="14.7265625" style="16" bestFit="1" customWidth="1"/>
    <col min="9" max="9" width="27.26953125" style="16" bestFit="1" customWidth="1"/>
    <col min="10" max="10" width="9" style="2" bestFit="1" customWidth="1"/>
    <col min="11" max="16384" width="8.81640625" style="2"/>
  </cols>
  <sheetData>
    <row r="2" spans="1:10" x14ac:dyDescent="0.4">
      <c r="A2" s="13" t="s">
        <v>162</v>
      </c>
      <c r="B2" s="15"/>
      <c r="C2" s="15"/>
      <c r="D2" s="15"/>
    </row>
    <row r="3" spans="1:10" x14ac:dyDescent="0.4">
      <c r="A3" s="13"/>
      <c r="B3" s="15"/>
      <c r="C3" s="15"/>
      <c r="D3" s="15"/>
    </row>
    <row r="5" spans="1:10" ht="15" customHeight="1" x14ac:dyDescent="0.4">
      <c r="A5" s="341" t="s">
        <v>156</v>
      </c>
      <c r="B5" s="342" t="str">
        <f>+'[1]2)UNDG Budget categ par produit'!D208</f>
        <v>PNUD</v>
      </c>
      <c r="C5" s="342"/>
      <c r="D5" s="342" t="str">
        <f>+'[1]2)UNDG Budget categ par produit'!E208</f>
        <v>OHCHR</v>
      </c>
      <c r="E5" s="342"/>
      <c r="F5" s="342" t="str">
        <f>+'[1]2)UNDG Budget categ par produit'!F208</f>
        <v>MSIS TATAO</v>
      </c>
      <c r="G5" s="342"/>
      <c r="H5" s="342" t="s">
        <v>157</v>
      </c>
      <c r="I5" s="342"/>
    </row>
    <row r="6" spans="1:10" ht="30" x14ac:dyDescent="0.4">
      <c r="A6" s="341"/>
      <c r="B6" s="23" t="s">
        <v>158</v>
      </c>
      <c r="C6" s="23" t="s">
        <v>173</v>
      </c>
      <c r="D6" s="23" t="s">
        <v>158</v>
      </c>
      <c r="E6" s="23" t="s">
        <v>173</v>
      </c>
      <c r="F6" s="23" t="s">
        <v>158</v>
      </c>
      <c r="G6" s="23" t="s">
        <v>173</v>
      </c>
      <c r="H6" s="23" t="s">
        <v>158</v>
      </c>
      <c r="I6" s="23" t="s">
        <v>173</v>
      </c>
    </row>
    <row r="7" spans="1:10" x14ac:dyDescent="0.4">
      <c r="A7" s="18" t="s">
        <v>119</v>
      </c>
      <c r="B7" s="20">
        <f>'2)UNDG Budget categ par produit'!D209</f>
        <v>89000</v>
      </c>
      <c r="C7" s="22">
        <f>'2)UNDG Budget categ par produit'!K209</f>
        <v>69567.567495926734</v>
      </c>
      <c r="D7" s="212">
        <f>'2)UNDG Budget categ par produit'!E209</f>
        <v>522647.44</v>
      </c>
      <c r="E7" s="213">
        <f>'2)UNDG Budget categ par produit'!O209</f>
        <v>419122.23</v>
      </c>
      <c r="F7" s="21">
        <f>'2)UNDG Budget categ par produit'!F209</f>
        <v>105287</v>
      </c>
      <c r="G7" s="22">
        <f>'2)UNDG Budget categ par produit'!S209</f>
        <v>85567.658045929973</v>
      </c>
      <c r="H7" s="21">
        <f>+B7+D7+F7</f>
        <v>716934.44</v>
      </c>
      <c r="I7" s="22">
        <f>+C7+E7+G7</f>
        <v>574257.4555418567</v>
      </c>
    </row>
    <row r="8" spans="1:10" x14ac:dyDescent="0.4">
      <c r="A8" s="18" t="s">
        <v>120</v>
      </c>
      <c r="B8" s="20">
        <f>'2)UNDG Budget categ par produit'!D210</f>
        <v>61800</v>
      </c>
      <c r="C8" s="22">
        <f>'2)UNDG Budget categ par produit'!K210</f>
        <v>22746.395797741483</v>
      </c>
      <c r="D8" s="212">
        <f>'2)UNDG Budget categ par produit'!E210</f>
        <v>19000</v>
      </c>
      <c r="E8" s="213">
        <f>'2)UNDG Budget categ par produit'!O210</f>
        <v>2442.5600000000004</v>
      </c>
      <c r="F8" s="21">
        <f>'2)UNDG Budget categ par produit'!F210</f>
        <v>0</v>
      </c>
      <c r="G8" s="22">
        <f>'2)UNDG Budget categ par produit'!S210</f>
        <v>0</v>
      </c>
      <c r="H8" s="21">
        <f t="shared" ref="H8:I14" si="0">+B8+D8+F8</f>
        <v>80800</v>
      </c>
      <c r="I8" s="22">
        <f t="shared" ref="I8:I13" si="1">+C8+E8+G8</f>
        <v>25188.955797741484</v>
      </c>
    </row>
    <row r="9" spans="1:10" x14ac:dyDescent="0.4">
      <c r="A9" s="18" t="s">
        <v>121</v>
      </c>
      <c r="B9" s="20">
        <f>'2)UNDG Budget categ par produit'!D211</f>
        <v>181000</v>
      </c>
      <c r="C9" s="22">
        <f>'2)UNDG Budget categ par produit'!K211</f>
        <v>104759.46173198863</v>
      </c>
      <c r="D9" s="212">
        <f>'2)UNDG Budget categ par produit'!E211</f>
        <v>49558.44</v>
      </c>
      <c r="E9" s="213">
        <f>'2)UNDG Budget categ par produit'!O211</f>
        <v>47019.91</v>
      </c>
      <c r="F9" s="21">
        <f>'2)UNDG Budget categ par produit'!F211</f>
        <v>17082</v>
      </c>
      <c r="G9" s="22">
        <f>'2)UNDG Budget categ par produit'!S211</f>
        <v>15886.481400437639</v>
      </c>
      <c r="H9" s="21">
        <f t="shared" si="0"/>
        <v>247640.44</v>
      </c>
      <c r="I9" s="22">
        <f t="shared" si="1"/>
        <v>167665.85313242627</v>
      </c>
    </row>
    <row r="10" spans="1:10" x14ac:dyDescent="0.4">
      <c r="A10" s="18" t="s">
        <v>122</v>
      </c>
      <c r="B10" s="20">
        <f>'2)UNDG Budget categ par produit'!D212</f>
        <v>313000</v>
      </c>
      <c r="C10" s="22">
        <f>'2)UNDG Budget categ par produit'!K212</f>
        <v>299967.48352604086</v>
      </c>
      <c r="D10" s="212">
        <f>'2)UNDG Budget categ par produit'!E212</f>
        <v>104820</v>
      </c>
      <c r="E10" s="213">
        <f>'2)UNDG Budget categ par produit'!O212</f>
        <v>73301.429999999993</v>
      </c>
      <c r="F10" s="21">
        <f>'2)UNDG Budget categ par produit'!F212</f>
        <v>53293</v>
      </c>
      <c r="G10" s="22">
        <f>'2)UNDG Budget categ par produit'!S212</f>
        <v>49422.893053377149</v>
      </c>
      <c r="H10" s="21">
        <f t="shared" si="0"/>
        <v>471113</v>
      </c>
      <c r="I10" s="22">
        <f t="shared" si="1"/>
        <v>422691.80657941801</v>
      </c>
    </row>
    <row r="11" spans="1:10" x14ac:dyDescent="0.4">
      <c r="A11" s="18" t="s">
        <v>123</v>
      </c>
      <c r="B11" s="20">
        <f>'2)UNDG Budget categ par produit'!D213</f>
        <v>125785</v>
      </c>
      <c r="C11" s="22">
        <f>'2)UNDG Budget categ par produit'!K213</f>
        <v>125785</v>
      </c>
      <c r="D11" s="212">
        <f>'2)UNDG Budget categ par produit'!E213</f>
        <v>222500</v>
      </c>
      <c r="E11" s="213">
        <f>'2)UNDG Budget categ par produit'!O213</f>
        <v>91551.06</v>
      </c>
      <c r="F11" s="21">
        <f>'2)UNDG Budget categ par produit'!F213</f>
        <v>59234</v>
      </c>
      <c r="G11" s="22">
        <f>'2)UNDG Budget categ par produit'!S213</f>
        <v>48408.264879649883</v>
      </c>
      <c r="H11" s="21">
        <f>+B11+D11+F11</f>
        <v>407519</v>
      </c>
      <c r="I11" s="22">
        <f t="shared" si="1"/>
        <v>265744.32487964991</v>
      </c>
    </row>
    <row r="12" spans="1:10" x14ac:dyDescent="0.4">
      <c r="A12" s="18" t="s">
        <v>124</v>
      </c>
      <c r="B12" s="20">
        <f>'2)UNDG Budget categ par produit'!D214</f>
        <v>602500</v>
      </c>
      <c r="C12" s="22">
        <f>'2)UNDG Budget categ par produit'!K214</f>
        <v>438614.06000000017</v>
      </c>
      <c r="D12" s="212">
        <f>'2)UNDG Budget categ par produit'!E214</f>
        <v>210000</v>
      </c>
      <c r="E12" s="213">
        <f>'2)UNDG Budget categ par produit'!O214</f>
        <v>83996.79</v>
      </c>
      <c r="F12" s="21">
        <f>'2)UNDG Budget categ par produit'!F214</f>
        <v>186204</v>
      </c>
      <c r="G12" s="22">
        <f>'2)UNDG Budget categ par produit'!S214</f>
        <v>79046.53974045717</v>
      </c>
      <c r="H12" s="21">
        <f t="shared" si="0"/>
        <v>998704</v>
      </c>
      <c r="I12" s="22">
        <f t="shared" si="1"/>
        <v>601657.38974045729</v>
      </c>
    </row>
    <row r="13" spans="1:10" x14ac:dyDescent="0.4">
      <c r="A13" s="18" t="s">
        <v>125</v>
      </c>
      <c r="B13" s="20">
        <f>'2)UNDG Budget categ par produit'!D215</f>
        <v>215700</v>
      </c>
      <c r="C13" s="22">
        <f>'2)UNDG Budget categ par produit'!K215</f>
        <v>217627.57787034832</v>
      </c>
      <c r="D13" s="212">
        <f>'2)UNDG Budget categ par produit'!E215</f>
        <v>184883.12</v>
      </c>
      <c r="E13" s="213">
        <f>'2)UNDG Budget categ par produit'!O215</f>
        <v>69223.61</v>
      </c>
      <c r="F13" s="21">
        <f>'2)UNDG Budget categ par produit'!F215</f>
        <v>46190</v>
      </c>
      <c r="G13" s="22">
        <f>'2)UNDG Budget categ par produit'!S215</f>
        <v>24187.943483402629</v>
      </c>
      <c r="H13" s="21">
        <f t="shared" si="0"/>
        <v>446773.12</v>
      </c>
      <c r="I13" s="22">
        <f t="shared" si="1"/>
        <v>311039.13135375094</v>
      </c>
    </row>
    <row r="14" spans="1:10" x14ac:dyDescent="0.4">
      <c r="A14" s="19" t="s">
        <v>159</v>
      </c>
      <c r="B14" s="214">
        <f t="shared" ref="B14:G14" si="2">SUM(B7:B13)</f>
        <v>1588785</v>
      </c>
      <c r="C14" s="215">
        <f t="shared" si="2"/>
        <v>1279067.5464220461</v>
      </c>
      <c r="D14" s="214">
        <f t="shared" si="2"/>
        <v>1313409</v>
      </c>
      <c r="E14" s="215">
        <f t="shared" si="2"/>
        <v>786657.59</v>
      </c>
      <c r="F14" s="214">
        <f t="shared" si="2"/>
        <v>467290</v>
      </c>
      <c r="G14" s="215">
        <f t="shared" si="2"/>
        <v>302519.78060325445</v>
      </c>
      <c r="H14" s="214">
        <f t="shared" si="0"/>
        <v>3369484</v>
      </c>
      <c r="I14" s="215">
        <f t="shared" si="0"/>
        <v>2368244.9170253007</v>
      </c>
    </row>
    <row r="15" spans="1:10" x14ac:dyDescent="0.4">
      <c r="A15" s="18" t="s">
        <v>160</v>
      </c>
      <c r="B15" s="212">
        <f t="shared" ref="B15:G15" si="3">+B14*0.07</f>
        <v>111214.95000000001</v>
      </c>
      <c r="C15" s="213">
        <f t="shared" si="3"/>
        <v>89534.728249543245</v>
      </c>
      <c r="D15" s="212">
        <f t="shared" si="3"/>
        <v>91938.63</v>
      </c>
      <c r="E15" s="213">
        <f t="shared" si="3"/>
        <v>55066.031300000002</v>
      </c>
      <c r="F15" s="212">
        <f t="shared" si="3"/>
        <v>32710.300000000003</v>
      </c>
      <c r="G15" s="213">
        <f t="shared" si="3"/>
        <v>21176.384642227815</v>
      </c>
      <c r="H15" s="21">
        <f>+B15+D15+F15</f>
        <v>235863.88</v>
      </c>
      <c r="I15" s="22">
        <f>+C15+E15+G15</f>
        <v>165777.14419177108</v>
      </c>
    </row>
    <row r="16" spans="1:10" x14ac:dyDescent="0.4">
      <c r="A16" s="19" t="s">
        <v>155</v>
      </c>
      <c r="B16" s="214">
        <f>+B14+B15</f>
        <v>1699999.95</v>
      </c>
      <c r="C16" s="216">
        <f>+C14+C15</f>
        <v>1368602.2746715895</v>
      </c>
      <c r="D16" s="214">
        <f>SUM(D14:D15)</f>
        <v>1405347.63</v>
      </c>
      <c r="E16" s="215">
        <f>SUM(E14:E15)</f>
        <v>841723.6213</v>
      </c>
      <c r="F16" s="214">
        <f>+F14+F15</f>
        <v>500000.3</v>
      </c>
      <c r="G16" s="215">
        <f>+G14+G15</f>
        <v>323696.16524548223</v>
      </c>
      <c r="H16" s="214">
        <f>+B16+D16+F16</f>
        <v>3605347.88</v>
      </c>
      <c r="I16" s="215">
        <f>+C16+E16+G16</f>
        <v>2534022.061217072</v>
      </c>
      <c r="J16" s="14"/>
    </row>
    <row r="17" spans="1:9" x14ac:dyDescent="0.4">
      <c r="A17" s="221" t="s">
        <v>174</v>
      </c>
      <c r="B17" s="222"/>
      <c r="C17" s="223">
        <f>C16/B16</f>
        <v>0.80506018524976397</v>
      </c>
      <c r="D17" s="222"/>
      <c r="E17" s="223">
        <f>E16/D16</f>
        <v>0.59894335275607224</v>
      </c>
      <c r="F17" s="222"/>
      <c r="G17" s="223">
        <f>G16/F16</f>
        <v>0.6473919420557992</v>
      </c>
      <c r="H17" s="222"/>
      <c r="I17" s="223">
        <f>I16/H16</f>
        <v>0.70285091634959562</v>
      </c>
    </row>
    <row r="18" spans="1:9" x14ac:dyDescent="0.4">
      <c r="A18" s="221" t="s">
        <v>175</v>
      </c>
      <c r="B18" s="224">
        <v>1020000</v>
      </c>
      <c r="C18" s="225">
        <f>C16/B18</f>
        <v>1.3417669359525388</v>
      </c>
      <c r="D18" s="226">
        <v>842209</v>
      </c>
      <c r="E18" s="225">
        <f>E16/D18</f>
        <v>0.99942368378870328</v>
      </c>
      <c r="F18" s="226">
        <v>300000</v>
      </c>
      <c r="G18" s="225">
        <f>G16/300000</f>
        <v>1.0789872174849409</v>
      </c>
      <c r="H18" s="226">
        <f>SUM(B18,D18,F18)</f>
        <v>2162209</v>
      </c>
      <c r="I18" s="225">
        <f>I16/H18</f>
        <v>1.1719598157333875</v>
      </c>
    </row>
  </sheetData>
  <mergeCells count="5">
    <mergeCell ref="A5:A6"/>
    <mergeCell ref="B5:C5"/>
    <mergeCell ref="D5:E5"/>
    <mergeCell ref="F5:G5"/>
    <mergeCell ref="H5:I5"/>
  </mergeCells>
  <pageMargins left="0.70866141732283472" right="0.70866141732283472" top="0.74803149606299213" bottom="0.74803149606299213" header="0.31496062992125984" footer="0.31496062992125984"/>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henintsoa.ravoala@undp.org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MPTF_00006_01050</ProjectId>
    <FundCode xmlns="f9695bc1-6109-4dcd-a27a-f8a0370b00e2">MPTF_00006</FundCode>
    <Comments xmlns="f9695bc1-6109-4dcd-a27a-f8a0370b00e2">Rapport financier annuel Novembre 2025</Comments>
    <Active xmlns="f9695bc1-6109-4dcd-a27a-f8a0370b00e2">Yes</Active>
    <DocumentDate xmlns="b1528a4b-5ccb-40f7-a09e-43427183cd95">2025-11-12T08:00:00+00:00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A6CAFD95-CBE2-4BDF-8071-98967330E224}"/>
</file>

<file path=customXml/itemProps2.xml><?xml version="1.0" encoding="utf-8"?>
<ds:datastoreItem xmlns:ds="http://schemas.openxmlformats.org/officeDocument/2006/customXml" ds:itemID="{2AEEC853-5D35-451E-A603-CADA26A5EAAC}">
  <ds:schemaRefs>
    <ds:schemaRef ds:uri="http://schemas.microsoft.com/sharepoint/v3/contenttype/forms"/>
  </ds:schemaRefs>
</ds:datastoreItem>
</file>

<file path=customXml/itemProps3.xml><?xml version="1.0" encoding="utf-8"?>
<ds:datastoreItem xmlns:ds="http://schemas.openxmlformats.org/officeDocument/2006/customXml" ds:itemID="{F51A81AE-F0B8-4072-B0CC-7574293A5F42}">
  <ds:schemaRefs>
    <ds:schemaRef ds:uri="http://schemas.microsoft.com/office/2006/metadata/properties"/>
    <ds:schemaRef ds:uri="9557436d-cc9e-4c03-89c2-0dfd4c10e6e6"/>
    <ds:schemaRef ds:uri="http://schemas.microsoft.com/office/infopath/2007/PartnerControls"/>
    <ds:schemaRef ds:uri="http://purl.org/dc/elements/1.1/"/>
    <ds:schemaRef ds:uri="c29f26f8-736a-4692-8fe8-72783c3539ce"/>
    <ds:schemaRef ds:uri="http://www.w3.org/XML/1998/namespace"/>
    <ds:schemaRef ds:uri="http://purl.org/dc/dcmitype/"/>
    <ds:schemaRef ds:uri="http://schemas.microsoft.com/office/2006/documentManagement/type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RF par produits</vt:lpstr>
      <vt:lpstr>2)UNDG Budget categ par produit</vt:lpstr>
      <vt:lpstr>3) RF-Par catégories budgétaire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Projet Landja_Rapport Financier Annuel 121125.xlsx</dc:title>
  <dc:subject/>
  <dc:creator>Andriamialitiana Harivola Razafindrakoto</dc:creator>
  <cp:keywords/>
  <dc:description/>
  <cp:lastModifiedBy>Joachim Ouedraogo</cp:lastModifiedBy>
  <cp:revision/>
  <dcterms:created xsi:type="dcterms:W3CDTF">2015-06-05T18:17:20Z</dcterms:created>
  <dcterms:modified xsi:type="dcterms:W3CDTF">2025-11-12T18:19:00Z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