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ndp.sharepoint.com/teams/MDG/PBF Madagascar/Phase nouvelle éligibilité PBF 2023-2027/Projet RARY ARO 2_Protection jeunes YPI 2023/RAM 2 Rapports/RAM 2 Rapports 2025/"/>
    </mc:Choice>
  </mc:AlternateContent>
  <xr:revisionPtr revIDLastSave="3" documentId="8_{79E5C3F6-5D15-4ADF-BB06-F2897CDCE145}" xr6:coauthVersionLast="47" xr6:coauthVersionMax="47" xr10:uidLastSave="{F7C9B94E-3BB6-4727-B880-FFEBDC59A26B}"/>
  <bookViews>
    <workbookView xWindow="-110" yWindow="-110" windowWidth="19420" windowHeight="11500" firstSheet="1" activeTab="2" xr2:uid="{A2353AF3-8C8A-43F5-A849-D84EB9E266CE}"/>
  </bookViews>
  <sheets>
    <sheet name="RF par produits" sheetId="1" r:id="rId1"/>
    <sheet name="2)UNDG Budget categ par produit" sheetId="3" r:id="rId2"/>
    <sheet name="3) RF - Par catégories budgétai"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3" l="1"/>
  <c r="X66" i="1"/>
  <c r="U66" i="1"/>
  <c r="C56" i="1"/>
  <c r="N56" i="1" l="1"/>
  <c r="O56" i="1"/>
  <c r="P54" i="1"/>
  <c r="P53" i="1"/>
  <c r="P52" i="1"/>
  <c r="M49" i="1"/>
  <c r="N49" i="1"/>
  <c r="O49" i="1"/>
  <c r="P49" i="1"/>
  <c r="N44" i="1"/>
  <c r="O44" i="1"/>
  <c r="P43" i="1"/>
  <c r="P44" i="1" s="1"/>
  <c r="P42" i="1"/>
  <c r="P41" i="1"/>
  <c r="N37" i="1"/>
  <c r="O37" i="1"/>
  <c r="P36" i="1"/>
  <c r="P35" i="1"/>
  <c r="P34" i="1"/>
  <c r="P33" i="1"/>
  <c r="P37" i="1" s="1"/>
  <c r="N30" i="1"/>
  <c r="O30" i="1"/>
  <c r="P29" i="1"/>
  <c r="P28" i="1"/>
  <c r="P27" i="1"/>
  <c r="P30" i="1" s="1"/>
  <c r="O25" i="1"/>
  <c r="N25" i="1"/>
  <c r="P23" i="1"/>
  <c r="P22" i="1"/>
  <c r="P21" i="1"/>
  <c r="P20" i="1"/>
  <c r="P12" i="1"/>
  <c r="P15" i="1"/>
  <c r="P14" i="1"/>
  <c r="P13" i="1"/>
  <c r="N10" i="1"/>
  <c r="O10" i="1"/>
  <c r="P8" i="1"/>
  <c r="P10" i="1" s="1"/>
  <c r="P56" i="1" l="1"/>
  <c r="P25" i="1"/>
  <c r="C120" i="3" l="1"/>
  <c r="B16" i="4" l="1"/>
  <c r="B15" i="4"/>
  <c r="O120" i="3" l="1"/>
  <c r="S17" i="3"/>
  <c r="S18" i="3"/>
  <c r="S19" i="3"/>
  <c r="S20" i="3"/>
  <c r="S21" i="3"/>
  <c r="S22" i="3"/>
  <c r="S23" i="3"/>
  <c r="S24" i="3"/>
  <c r="S16" i="3"/>
  <c r="G121" i="3"/>
  <c r="G122" i="3"/>
  <c r="G123" i="3"/>
  <c r="G124" i="3"/>
  <c r="G125" i="3"/>
  <c r="G126" i="3"/>
  <c r="G120" i="3"/>
  <c r="N107" i="3"/>
  <c r="C127" i="3"/>
  <c r="F127" i="3" s="1"/>
  <c r="F128" i="3" s="1"/>
  <c r="F121" i="3"/>
  <c r="F122" i="3"/>
  <c r="F123" i="3"/>
  <c r="F124" i="3"/>
  <c r="F125" i="3"/>
  <c r="F126" i="3"/>
  <c r="F120" i="3"/>
  <c r="E128" i="3"/>
  <c r="E127" i="3"/>
  <c r="H16" i="4"/>
  <c r="C128" i="3" l="1"/>
  <c r="B14" i="4"/>
  <c r="H14" i="4" s="1"/>
  <c r="H15" i="4" s="1"/>
  <c r="F16" i="4"/>
  <c r="F15" i="4"/>
  <c r="G13" i="4"/>
  <c r="I13" i="4" s="1"/>
  <c r="G12" i="4"/>
  <c r="I12" i="4" s="1"/>
  <c r="G11" i="4"/>
  <c r="I11" i="4" s="1"/>
  <c r="G10" i="4"/>
  <c r="I10" i="4" s="1"/>
  <c r="G9" i="4"/>
  <c r="I9" i="4" s="1"/>
  <c r="G8" i="4"/>
  <c r="I8" i="4" s="1"/>
  <c r="G7" i="4"/>
  <c r="Q126" i="3"/>
  <c r="P126" i="3"/>
  <c r="O126" i="3"/>
  <c r="Q125" i="3"/>
  <c r="P125" i="3"/>
  <c r="O125" i="3"/>
  <c r="Q124" i="3"/>
  <c r="P124" i="3"/>
  <c r="O124" i="3"/>
  <c r="R124" i="3" s="1"/>
  <c r="Q123" i="3"/>
  <c r="P123" i="3"/>
  <c r="O123" i="3"/>
  <c r="R123" i="3" s="1"/>
  <c r="Q122" i="3"/>
  <c r="P122" i="3"/>
  <c r="O122" i="3"/>
  <c r="Q121" i="3"/>
  <c r="P121" i="3"/>
  <c r="O121" i="3"/>
  <c r="Q120" i="3"/>
  <c r="P120" i="3"/>
  <c r="Q114" i="3"/>
  <c r="Q106" i="3" s="1"/>
  <c r="P114" i="3"/>
  <c r="P106" i="3" s="1"/>
  <c r="R113" i="3"/>
  <c r="R112" i="3"/>
  <c r="O111" i="3"/>
  <c r="O114" i="3" s="1"/>
  <c r="O106" i="3" s="1"/>
  <c r="R110" i="3"/>
  <c r="R109" i="3"/>
  <c r="R108" i="3"/>
  <c r="R107" i="3"/>
  <c r="Q103" i="3"/>
  <c r="Q95" i="3" s="1"/>
  <c r="P103" i="3"/>
  <c r="P95" i="3" s="1"/>
  <c r="O103" i="3"/>
  <c r="O95" i="3" s="1"/>
  <c r="R102" i="3"/>
  <c r="R101" i="3"/>
  <c r="R100" i="3"/>
  <c r="R99" i="3"/>
  <c r="R98" i="3"/>
  <c r="R97" i="3"/>
  <c r="R96" i="3"/>
  <c r="Q92" i="3"/>
  <c r="Q84" i="3" s="1"/>
  <c r="P92" i="3"/>
  <c r="P84" i="3" s="1"/>
  <c r="O92" i="3"/>
  <c r="O84" i="3" s="1"/>
  <c r="R91" i="3"/>
  <c r="R90" i="3"/>
  <c r="O90" i="3"/>
  <c r="R89" i="3"/>
  <c r="O88" i="3"/>
  <c r="R88" i="3" s="1"/>
  <c r="R87" i="3"/>
  <c r="R86" i="3"/>
  <c r="R85" i="3"/>
  <c r="Q81" i="3"/>
  <c r="P81" i="3"/>
  <c r="O81" i="3"/>
  <c r="R80" i="3"/>
  <c r="R79" i="3"/>
  <c r="R78" i="3"/>
  <c r="R77" i="3"/>
  <c r="R76" i="3"/>
  <c r="R75" i="3"/>
  <c r="R74" i="3"/>
  <c r="Q73" i="3"/>
  <c r="P73" i="3"/>
  <c r="O73" i="3"/>
  <c r="Q69" i="3"/>
  <c r="Q61" i="3" s="1"/>
  <c r="P69" i="3"/>
  <c r="O69" i="3"/>
  <c r="O61" i="3" s="1"/>
  <c r="R68" i="3"/>
  <c r="R67" i="3"/>
  <c r="O67" i="3"/>
  <c r="R66" i="3"/>
  <c r="R65" i="3"/>
  <c r="R64" i="3"/>
  <c r="R63" i="3"/>
  <c r="R62" i="3"/>
  <c r="R69" i="3" s="1"/>
  <c r="R61" i="3" s="1"/>
  <c r="P61" i="3"/>
  <c r="Q58" i="3"/>
  <c r="Q50" i="3" s="1"/>
  <c r="P58" i="3"/>
  <c r="P50" i="3" s="1"/>
  <c r="O58" i="3"/>
  <c r="O50" i="3" s="1"/>
  <c r="R57" i="3"/>
  <c r="R56" i="3"/>
  <c r="R55" i="3"/>
  <c r="R54" i="3"/>
  <c r="R53" i="3"/>
  <c r="R52" i="3"/>
  <c r="R51" i="3"/>
  <c r="R58" i="3" s="1"/>
  <c r="R50" i="3" s="1"/>
  <c r="Q35" i="3"/>
  <c r="Q27" i="3" s="1"/>
  <c r="P35" i="3"/>
  <c r="P27" i="3" s="1"/>
  <c r="O35" i="3"/>
  <c r="O27" i="3" s="1"/>
  <c r="R34" i="3"/>
  <c r="R33" i="3"/>
  <c r="O33" i="3"/>
  <c r="R32" i="3"/>
  <c r="R31" i="3"/>
  <c r="R30" i="3"/>
  <c r="R29" i="3"/>
  <c r="R28" i="3"/>
  <c r="Q24" i="3"/>
  <c r="P24" i="3"/>
  <c r="O24" i="3"/>
  <c r="R23" i="3"/>
  <c r="R22" i="3"/>
  <c r="R21" i="3"/>
  <c r="R20" i="3"/>
  <c r="R19" i="3"/>
  <c r="R18" i="3"/>
  <c r="R17" i="3"/>
  <c r="R24" i="3" s="1"/>
  <c r="R16" i="3" s="1"/>
  <c r="Q16" i="3"/>
  <c r="P16" i="3"/>
  <c r="O16" i="3"/>
  <c r="S56" i="1"/>
  <c r="R56" i="1"/>
  <c r="T55" i="1"/>
  <c r="T54" i="1"/>
  <c r="Q53" i="1"/>
  <c r="Q56" i="1" s="1"/>
  <c r="T52" i="1"/>
  <c r="S49" i="1"/>
  <c r="R49" i="1"/>
  <c r="Q49" i="1"/>
  <c r="T47" i="1"/>
  <c r="T46" i="1"/>
  <c r="S44" i="1"/>
  <c r="R44" i="1"/>
  <c r="T43" i="1"/>
  <c r="T42" i="1"/>
  <c r="T41" i="1"/>
  <c r="Q40" i="1"/>
  <c r="T40" i="1" s="1"/>
  <c r="Q39" i="1"/>
  <c r="S37" i="1"/>
  <c r="R37" i="1"/>
  <c r="Q37" i="1"/>
  <c r="T36" i="1"/>
  <c r="T35" i="1"/>
  <c r="T34" i="1"/>
  <c r="T33" i="1"/>
  <c r="S30" i="1"/>
  <c r="R30" i="1"/>
  <c r="Q29" i="1"/>
  <c r="T29" i="1" s="1"/>
  <c r="T28" i="1"/>
  <c r="Q27" i="1"/>
  <c r="S25" i="1"/>
  <c r="R25" i="1"/>
  <c r="Q25" i="1"/>
  <c r="T23" i="1"/>
  <c r="T22" i="1"/>
  <c r="T21" i="1"/>
  <c r="T20" i="1"/>
  <c r="T25" i="1" s="1"/>
  <c r="S16" i="1"/>
  <c r="R16" i="1"/>
  <c r="Q16" i="1"/>
  <c r="T14" i="1"/>
  <c r="T13" i="1"/>
  <c r="T12" i="1"/>
  <c r="S10" i="1"/>
  <c r="R10" i="1"/>
  <c r="Q10" i="1"/>
  <c r="T9" i="1"/>
  <c r="T8" i="1"/>
  <c r="T10" i="1" s="1"/>
  <c r="H7" i="4"/>
  <c r="I34" i="1"/>
  <c r="I12" i="1"/>
  <c r="H13" i="4"/>
  <c r="H9" i="4"/>
  <c r="H10" i="4"/>
  <c r="H11" i="4"/>
  <c r="H12" i="4"/>
  <c r="H8" i="4"/>
  <c r="E14" i="4"/>
  <c r="E15" i="4" s="1"/>
  <c r="E16" i="4" s="1"/>
  <c r="D15" i="4"/>
  <c r="D16" i="4"/>
  <c r="D14" i="4"/>
  <c r="M56" i="1"/>
  <c r="M44" i="1"/>
  <c r="M37" i="1"/>
  <c r="M30" i="1"/>
  <c r="M25" i="1"/>
  <c r="M10" i="1"/>
  <c r="M16" i="1"/>
  <c r="P16" i="1" s="1"/>
  <c r="D128" i="3"/>
  <c r="D127" i="3"/>
  <c r="M120" i="3"/>
  <c r="M121" i="3"/>
  <c r="M122" i="3"/>
  <c r="M123" i="3"/>
  <c r="M124" i="3"/>
  <c r="M125" i="3"/>
  <c r="M126" i="3"/>
  <c r="K120" i="3"/>
  <c r="L120" i="3"/>
  <c r="K121" i="3"/>
  <c r="L121" i="3"/>
  <c r="K122" i="3"/>
  <c r="L122" i="3"/>
  <c r="K123" i="3"/>
  <c r="L123" i="3"/>
  <c r="K124" i="3"/>
  <c r="L124" i="3"/>
  <c r="K125" i="3"/>
  <c r="L125" i="3"/>
  <c r="K126" i="3"/>
  <c r="L126" i="3"/>
  <c r="K92" i="3"/>
  <c r="K84" i="3" s="1"/>
  <c r="K106" i="3"/>
  <c r="N106" i="3"/>
  <c r="M106" i="3"/>
  <c r="L106" i="3"/>
  <c r="M103" i="3"/>
  <c r="L103" i="3"/>
  <c r="K103" i="3"/>
  <c r="N102" i="3"/>
  <c r="N101" i="3"/>
  <c r="N100" i="3"/>
  <c r="N99" i="3"/>
  <c r="N98" i="3"/>
  <c r="N97" i="3"/>
  <c r="N96" i="3"/>
  <c r="M92" i="3"/>
  <c r="M84" i="3" s="1"/>
  <c r="L92" i="3"/>
  <c r="L84" i="3" s="1"/>
  <c r="N91" i="3"/>
  <c r="N90" i="3"/>
  <c r="N89" i="3"/>
  <c r="N88" i="3"/>
  <c r="N87" i="3"/>
  <c r="N86" i="3"/>
  <c r="N85" i="3"/>
  <c r="N92" i="3" s="1"/>
  <c r="L73" i="3"/>
  <c r="M81" i="3"/>
  <c r="M73" i="3" s="1"/>
  <c r="L81" i="3"/>
  <c r="K81" i="3"/>
  <c r="N80" i="3"/>
  <c r="N79" i="3"/>
  <c r="N78" i="3"/>
  <c r="N77" i="3"/>
  <c r="N76" i="3"/>
  <c r="N75" i="3"/>
  <c r="N74" i="3"/>
  <c r="N61" i="3"/>
  <c r="L61" i="3"/>
  <c r="M61" i="3"/>
  <c r="K61" i="3"/>
  <c r="K69" i="3"/>
  <c r="N52" i="3"/>
  <c r="N53" i="3"/>
  <c r="N54" i="3"/>
  <c r="N50" i="3"/>
  <c r="N56" i="3"/>
  <c r="N57" i="3"/>
  <c r="N51" i="3"/>
  <c r="N29" i="3"/>
  <c r="N30" i="3"/>
  <c r="N31" i="3"/>
  <c r="N32" i="3"/>
  <c r="N33" i="3"/>
  <c r="N34" i="3"/>
  <c r="N27" i="3" s="1"/>
  <c r="N28" i="3"/>
  <c r="K50" i="3"/>
  <c r="L50" i="3"/>
  <c r="M50" i="3"/>
  <c r="L58" i="3"/>
  <c r="M58" i="3"/>
  <c r="K58" i="3"/>
  <c r="L27" i="3"/>
  <c r="M27" i="3"/>
  <c r="L35" i="3"/>
  <c r="L127" i="3" s="1"/>
  <c r="L128" i="3" s="1"/>
  <c r="M35" i="3"/>
  <c r="K27" i="3"/>
  <c r="K35" i="3"/>
  <c r="N18" i="3"/>
  <c r="N19" i="3"/>
  <c r="N16" i="3" s="1"/>
  <c r="N20" i="3"/>
  <c r="N21" i="3"/>
  <c r="N22" i="3"/>
  <c r="N23" i="3"/>
  <c r="N17" i="3"/>
  <c r="L16" i="3"/>
  <c r="M16" i="3"/>
  <c r="K16" i="3"/>
  <c r="L24" i="3"/>
  <c r="M24" i="3"/>
  <c r="K24" i="3"/>
  <c r="Q44" i="1" l="1"/>
  <c r="Q30" i="1"/>
  <c r="T49" i="1"/>
  <c r="T37" i="1"/>
  <c r="R103" i="3"/>
  <c r="R95" i="3" s="1"/>
  <c r="R126" i="3"/>
  <c r="R92" i="3"/>
  <c r="R84" i="3" s="1"/>
  <c r="R81" i="3"/>
  <c r="R73" i="3" s="1"/>
  <c r="R120" i="3"/>
  <c r="R121" i="3"/>
  <c r="O127" i="3"/>
  <c r="P127" i="3"/>
  <c r="Q127" i="3"/>
  <c r="R35" i="3"/>
  <c r="R27" i="3" s="1"/>
  <c r="R125" i="3"/>
  <c r="N84" i="3"/>
  <c r="N81" i="3"/>
  <c r="N120" i="3"/>
  <c r="N125" i="3"/>
  <c r="N124" i="3"/>
  <c r="K127" i="3"/>
  <c r="K128" i="3" s="1"/>
  <c r="N122" i="3"/>
  <c r="M127" i="3"/>
  <c r="M128" i="3" s="1"/>
  <c r="M129" i="3" s="1"/>
  <c r="N121" i="3"/>
  <c r="N126" i="3"/>
  <c r="N35" i="3"/>
  <c r="N123" i="3"/>
  <c r="G14" i="4"/>
  <c r="I7" i="4"/>
  <c r="O128" i="3"/>
  <c r="O129" i="3" s="1"/>
  <c r="P128" i="3"/>
  <c r="P129" i="3" s="1"/>
  <c r="Q128" i="3"/>
  <c r="Q129" i="3" s="1"/>
  <c r="R122" i="3"/>
  <c r="R111" i="3"/>
  <c r="R114" i="3" s="1"/>
  <c r="R106" i="3" s="1"/>
  <c r="T53" i="1"/>
  <c r="T56" i="1" s="1"/>
  <c r="T39" i="1"/>
  <c r="T44" i="1" s="1"/>
  <c r="T27" i="1"/>
  <c r="T30" i="1" s="1"/>
  <c r="T16" i="1"/>
  <c r="L129" i="3"/>
  <c r="K129" i="3"/>
  <c r="N103" i="3"/>
  <c r="K95" i="3"/>
  <c r="N95" i="3" s="1"/>
  <c r="K73" i="3"/>
  <c r="N73" i="3" s="1"/>
  <c r="N58" i="3"/>
  <c r="N24" i="3"/>
  <c r="I14" i="4" l="1"/>
  <c r="I15" i="4" s="1"/>
  <c r="I16" i="4" s="1"/>
  <c r="R127" i="3"/>
  <c r="N127" i="3"/>
  <c r="N128" i="3" s="1"/>
  <c r="N129" i="3" s="1"/>
  <c r="G15" i="4"/>
  <c r="G16" i="4" s="1"/>
  <c r="R128" i="3"/>
  <c r="R129" i="3" s="1"/>
  <c r="C10" i="1"/>
  <c r="G50" i="3"/>
  <c r="I21" i="1"/>
  <c r="I20" i="1"/>
  <c r="C14" i="4"/>
  <c r="I121" i="3"/>
  <c r="I122" i="3"/>
  <c r="I123" i="3"/>
  <c r="I124" i="3"/>
  <c r="I125" i="3"/>
  <c r="I126" i="3"/>
  <c r="I120" i="3"/>
  <c r="H121" i="3"/>
  <c r="H122" i="3"/>
  <c r="H123" i="3"/>
  <c r="H124" i="3"/>
  <c r="H125" i="3"/>
  <c r="H126" i="3"/>
  <c r="H120" i="3"/>
  <c r="H106" i="3"/>
  <c r="I106" i="3"/>
  <c r="H114" i="3"/>
  <c r="I114" i="3"/>
  <c r="J108" i="3"/>
  <c r="S108" i="3" s="1"/>
  <c r="J109" i="3"/>
  <c r="S109" i="3" s="1"/>
  <c r="J110" i="3"/>
  <c r="S110" i="3" s="1"/>
  <c r="J111" i="3"/>
  <c r="S111" i="3" s="1"/>
  <c r="J112" i="3"/>
  <c r="S112" i="3" s="1"/>
  <c r="J113" i="3"/>
  <c r="S113" i="3" s="1"/>
  <c r="J107" i="3"/>
  <c r="S107" i="3" s="1"/>
  <c r="G106" i="3"/>
  <c r="G114" i="3"/>
  <c r="J97" i="3"/>
  <c r="S97" i="3" s="1"/>
  <c r="J98" i="3"/>
  <c r="S98" i="3" s="1"/>
  <c r="J99" i="3"/>
  <c r="S99" i="3" s="1"/>
  <c r="J100" i="3"/>
  <c r="S100" i="3" s="1"/>
  <c r="J101" i="3"/>
  <c r="S101" i="3" s="1"/>
  <c r="J102" i="3"/>
  <c r="S102" i="3" s="1"/>
  <c r="J96" i="3"/>
  <c r="S96" i="3" s="1"/>
  <c r="H103" i="3"/>
  <c r="I103" i="3"/>
  <c r="J103" i="3"/>
  <c r="S103" i="3" s="1"/>
  <c r="H95" i="3"/>
  <c r="I95" i="3"/>
  <c r="G95" i="3"/>
  <c r="G103" i="3"/>
  <c r="J86" i="3"/>
  <c r="S86" i="3" s="1"/>
  <c r="J87" i="3"/>
  <c r="S87" i="3" s="1"/>
  <c r="J88" i="3"/>
  <c r="S88" i="3" s="1"/>
  <c r="J89" i="3"/>
  <c r="S89" i="3" s="1"/>
  <c r="J90" i="3"/>
  <c r="S90" i="3" s="1"/>
  <c r="J91" i="3"/>
  <c r="S91" i="3" s="1"/>
  <c r="J85" i="3"/>
  <c r="S85" i="3" s="1"/>
  <c r="H84" i="3"/>
  <c r="I84" i="3"/>
  <c r="H92" i="3"/>
  <c r="I92" i="3"/>
  <c r="G92" i="3"/>
  <c r="G84" i="3"/>
  <c r="J81" i="3"/>
  <c r="S81" i="3" s="1"/>
  <c r="J75" i="3"/>
  <c r="S75" i="3" s="1"/>
  <c r="J76" i="3"/>
  <c r="S76" i="3" s="1"/>
  <c r="J77" i="3"/>
  <c r="S77" i="3" s="1"/>
  <c r="J78" i="3"/>
  <c r="S78" i="3" s="1"/>
  <c r="J79" i="3"/>
  <c r="S79" i="3" s="1"/>
  <c r="J80" i="3"/>
  <c r="S80" i="3" s="1"/>
  <c r="J74" i="3"/>
  <c r="S74" i="3" s="1"/>
  <c r="H73" i="3"/>
  <c r="I73" i="3"/>
  <c r="G73" i="3"/>
  <c r="H81" i="3"/>
  <c r="I81" i="3"/>
  <c r="G81" i="3"/>
  <c r="J63" i="3"/>
  <c r="S63" i="3" s="1"/>
  <c r="J64" i="3"/>
  <c r="S64" i="3" s="1"/>
  <c r="J65" i="3"/>
  <c r="S65" i="3" s="1"/>
  <c r="J66" i="3"/>
  <c r="S66" i="3" s="1"/>
  <c r="J67" i="3"/>
  <c r="S67" i="3" s="1"/>
  <c r="J68" i="3"/>
  <c r="S68" i="3" s="1"/>
  <c r="J62" i="3"/>
  <c r="S62" i="3" s="1"/>
  <c r="H69" i="3"/>
  <c r="I69" i="3"/>
  <c r="H61" i="3"/>
  <c r="I61" i="3"/>
  <c r="G61" i="3"/>
  <c r="G69" i="3"/>
  <c r="J52" i="3"/>
  <c r="S52" i="3" s="1"/>
  <c r="J53" i="3"/>
  <c r="S53" i="3" s="1"/>
  <c r="J54" i="3"/>
  <c r="S54" i="3" s="1"/>
  <c r="J56" i="3"/>
  <c r="S56" i="3" s="1"/>
  <c r="J57" i="3"/>
  <c r="S57" i="3" s="1"/>
  <c r="J51" i="3"/>
  <c r="S51" i="3" s="1"/>
  <c r="H58" i="3"/>
  <c r="I58" i="3"/>
  <c r="H50" i="3"/>
  <c r="I50" i="3"/>
  <c r="F38" i="3"/>
  <c r="F39" i="3"/>
  <c r="F40" i="3"/>
  <c r="F41" i="3"/>
  <c r="F42" i="3"/>
  <c r="F43" i="3"/>
  <c r="F44" i="3"/>
  <c r="F45" i="3"/>
  <c r="C46" i="3"/>
  <c r="D46" i="3"/>
  <c r="E46" i="3"/>
  <c r="F46" i="3" s="1"/>
  <c r="H27" i="3"/>
  <c r="I27" i="3"/>
  <c r="G27" i="3"/>
  <c r="J29" i="3"/>
  <c r="S29" i="3" s="1"/>
  <c r="J30" i="3"/>
  <c r="S30" i="3" s="1"/>
  <c r="J31" i="3"/>
  <c r="S31" i="3" s="1"/>
  <c r="J32" i="3"/>
  <c r="S32" i="3" s="1"/>
  <c r="J33" i="3"/>
  <c r="S33" i="3" s="1"/>
  <c r="J34" i="3"/>
  <c r="J28" i="3"/>
  <c r="H35" i="3"/>
  <c r="I35" i="3"/>
  <c r="G35" i="3"/>
  <c r="I24" i="3"/>
  <c r="H24" i="3"/>
  <c r="H16" i="3"/>
  <c r="I16" i="3"/>
  <c r="G16" i="3"/>
  <c r="G24" i="3"/>
  <c r="D16" i="3"/>
  <c r="E16" i="3"/>
  <c r="C16" i="3"/>
  <c r="F16" i="3" s="1"/>
  <c r="J18" i="3"/>
  <c r="J19" i="3"/>
  <c r="J20" i="3"/>
  <c r="J21" i="3"/>
  <c r="J22" i="3"/>
  <c r="J23" i="3"/>
  <c r="J17" i="3"/>
  <c r="E114" i="3"/>
  <c r="D114" i="3"/>
  <c r="C114" i="3"/>
  <c r="F114" i="3" s="1"/>
  <c r="F113" i="3"/>
  <c r="F112" i="3"/>
  <c r="F111" i="3"/>
  <c r="F110" i="3"/>
  <c r="F109" i="3"/>
  <c r="F108" i="3"/>
  <c r="F107" i="3"/>
  <c r="F106" i="3"/>
  <c r="E103" i="3"/>
  <c r="D103" i="3"/>
  <c r="C103" i="3"/>
  <c r="F102" i="3"/>
  <c r="F101" i="3"/>
  <c r="F100" i="3"/>
  <c r="F99" i="3"/>
  <c r="F98" i="3"/>
  <c r="F97" i="3"/>
  <c r="F96" i="3"/>
  <c r="F103" i="3" s="1"/>
  <c r="F95" i="3"/>
  <c r="E92" i="3"/>
  <c r="D92" i="3"/>
  <c r="C92" i="3"/>
  <c r="F92" i="3" s="1"/>
  <c r="F91" i="3"/>
  <c r="F90" i="3"/>
  <c r="F89" i="3"/>
  <c r="F88" i="3"/>
  <c r="F87" i="3"/>
  <c r="F86" i="3"/>
  <c r="F85" i="3"/>
  <c r="F84" i="3"/>
  <c r="E81" i="3"/>
  <c r="D81" i="3"/>
  <c r="C81" i="3"/>
  <c r="F81" i="3" s="1"/>
  <c r="F80" i="3"/>
  <c r="F79" i="3"/>
  <c r="F78" i="3"/>
  <c r="F77" i="3"/>
  <c r="F76" i="3"/>
  <c r="F75" i="3"/>
  <c r="F74" i="3"/>
  <c r="F73" i="3"/>
  <c r="E69" i="3"/>
  <c r="D69" i="3"/>
  <c r="C69" i="3"/>
  <c r="F69" i="3" s="1"/>
  <c r="F68" i="3"/>
  <c r="F67" i="3"/>
  <c r="F66" i="3"/>
  <c r="F65" i="3"/>
  <c r="F64" i="3"/>
  <c r="F63" i="3"/>
  <c r="F62" i="3"/>
  <c r="F61" i="3"/>
  <c r="E58" i="3"/>
  <c r="D58" i="3"/>
  <c r="C58" i="3"/>
  <c r="F58" i="3" s="1"/>
  <c r="F57" i="3"/>
  <c r="F56" i="3"/>
  <c r="F55" i="3"/>
  <c r="F54" i="3"/>
  <c r="F53" i="3"/>
  <c r="F52" i="3"/>
  <c r="F51" i="3"/>
  <c r="F50" i="3"/>
  <c r="E35" i="3"/>
  <c r="D35" i="3"/>
  <c r="C35" i="3"/>
  <c r="F35" i="3" s="1"/>
  <c r="F34" i="3"/>
  <c r="F33" i="3"/>
  <c r="F32" i="3"/>
  <c r="F31" i="3"/>
  <c r="F30" i="3"/>
  <c r="F29" i="3"/>
  <c r="F28" i="3"/>
  <c r="F27" i="3"/>
  <c r="E24" i="3"/>
  <c r="D24" i="3"/>
  <c r="C24" i="3"/>
  <c r="F24" i="3" s="1"/>
  <c r="F23" i="3"/>
  <c r="F22" i="3"/>
  <c r="F21" i="3"/>
  <c r="F20" i="3"/>
  <c r="F19" i="3"/>
  <c r="F18" i="3"/>
  <c r="F17" i="3"/>
  <c r="I127" i="3" l="1"/>
  <c r="I128" i="3" s="1"/>
  <c r="I129" i="3" s="1"/>
  <c r="J120" i="3"/>
  <c r="J126" i="3"/>
  <c r="S126" i="3" s="1"/>
  <c r="G127" i="3"/>
  <c r="J125" i="3"/>
  <c r="S125" i="3" s="1"/>
  <c r="J124" i="3"/>
  <c r="S124" i="3" s="1"/>
  <c r="S28" i="3"/>
  <c r="S120" i="3" s="1"/>
  <c r="J35" i="3"/>
  <c r="S35" i="3" s="1"/>
  <c r="J27" i="3"/>
  <c r="S27" i="3" s="1"/>
  <c r="S34" i="3"/>
  <c r="J123" i="3"/>
  <c r="S123" i="3" s="1"/>
  <c r="J122" i="3"/>
  <c r="S122" i="3" s="1"/>
  <c r="H127" i="3"/>
  <c r="H128" i="3" s="1"/>
  <c r="H129" i="3" s="1"/>
  <c r="J121" i="3"/>
  <c r="S121" i="3" s="1"/>
  <c r="C129" i="3"/>
  <c r="F129" i="3"/>
  <c r="J55" i="3"/>
  <c r="S55" i="3" s="1"/>
  <c r="G58" i="3"/>
  <c r="C15" i="4"/>
  <c r="C16" i="4" s="1"/>
  <c r="J106" i="3"/>
  <c r="S106" i="3" s="1"/>
  <c r="J114" i="3"/>
  <c r="S114" i="3" s="1"/>
  <c r="J95" i="3"/>
  <c r="S95" i="3" s="1"/>
  <c r="J84" i="3"/>
  <c r="S84" i="3" s="1"/>
  <c r="J92" i="3"/>
  <c r="S92" i="3" s="1"/>
  <c r="J73" i="3"/>
  <c r="S73" i="3" s="1"/>
  <c r="J16" i="3"/>
  <c r="J24" i="3"/>
  <c r="D129" i="3"/>
  <c r="G128" i="3" l="1"/>
  <c r="G129" i="3" s="1"/>
  <c r="J50" i="3"/>
  <c r="S50" i="3" s="1"/>
  <c r="J58" i="3"/>
  <c r="S58" i="3" s="1"/>
  <c r="E129" i="3"/>
  <c r="Q63" i="1" l="1"/>
  <c r="Q64" i="1" s="1"/>
  <c r="Q65" i="1" s="1"/>
  <c r="R63" i="1"/>
  <c r="R64" i="1" s="1"/>
  <c r="R65" i="1" s="1"/>
  <c r="S63" i="1"/>
  <c r="S64" i="1" s="1"/>
  <c r="S65" i="1" s="1"/>
  <c r="T63" i="1"/>
  <c r="T64" i="1" s="1"/>
  <c r="T65" i="1" s="1"/>
  <c r="M63" i="1"/>
  <c r="N63" i="1"/>
  <c r="O63" i="1"/>
  <c r="P63" i="1"/>
  <c r="L53" i="1"/>
  <c r="I25" i="1"/>
  <c r="G44" i="1"/>
  <c r="G56" i="1"/>
  <c r="J56" i="1"/>
  <c r="I56" i="1"/>
  <c r="H56" i="1"/>
  <c r="K49" i="1"/>
  <c r="G49" i="1"/>
  <c r="H49" i="1"/>
  <c r="J49" i="1"/>
  <c r="I49" i="1"/>
  <c r="L46" i="1"/>
  <c r="U46" i="1" s="1"/>
  <c r="J44" i="1"/>
  <c r="L33" i="1"/>
  <c r="U33" i="1" s="1"/>
  <c r="L30" i="1"/>
  <c r="U30" i="1" s="1"/>
  <c r="L27" i="1"/>
  <c r="U27" i="1" s="1"/>
  <c r="L13" i="1"/>
  <c r="U13" i="1" s="1"/>
  <c r="L14" i="1"/>
  <c r="U14" i="1" s="1"/>
  <c r="L15" i="1"/>
  <c r="U15" i="1" s="1"/>
  <c r="L12" i="1"/>
  <c r="U12" i="1" s="1"/>
  <c r="L54" i="1"/>
  <c r="U54" i="1" s="1"/>
  <c r="L55" i="1"/>
  <c r="U55" i="1" s="1"/>
  <c r="L52" i="1"/>
  <c r="U52" i="1" s="1"/>
  <c r="L47" i="1"/>
  <c r="U47" i="1" s="1"/>
  <c r="L42" i="1"/>
  <c r="U42" i="1" s="1"/>
  <c r="L43" i="1"/>
  <c r="U43" i="1" s="1"/>
  <c r="L41" i="1"/>
  <c r="U41" i="1" s="1"/>
  <c r="L40" i="1"/>
  <c r="U40" i="1" s="1"/>
  <c r="L39" i="1"/>
  <c r="U39" i="1" s="1"/>
  <c r="H44" i="1"/>
  <c r="I44" i="1"/>
  <c r="K44" i="1"/>
  <c r="H37" i="1"/>
  <c r="I37" i="1"/>
  <c r="J37" i="1"/>
  <c r="K37" i="1"/>
  <c r="L34" i="1"/>
  <c r="U34" i="1" s="1"/>
  <c r="L35" i="1"/>
  <c r="U35" i="1" s="1"/>
  <c r="L36" i="1"/>
  <c r="U36" i="1" s="1"/>
  <c r="H30" i="1"/>
  <c r="I30" i="1"/>
  <c r="J30" i="1"/>
  <c r="K30" i="1"/>
  <c r="L28" i="1"/>
  <c r="U28" i="1" s="1"/>
  <c r="L29" i="1"/>
  <c r="U29" i="1" s="1"/>
  <c r="H25" i="1"/>
  <c r="J25" i="1"/>
  <c r="K25" i="1"/>
  <c r="L21" i="1"/>
  <c r="U21" i="1" s="1"/>
  <c r="L22" i="1"/>
  <c r="U22" i="1" s="1"/>
  <c r="L23" i="1"/>
  <c r="U23" i="1" s="1"/>
  <c r="L20" i="1"/>
  <c r="U20" i="1" s="1"/>
  <c r="H16" i="1"/>
  <c r="I16" i="1"/>
  <c r="J16" i="1"/>
  <c r="K16" i="1"/>
  <c r="J10" i="1"/>
  <c r="K10" i="1"/>
  <c r="I10" i="1"/>
  <c r="L9" i="1"/>
  <c r="U9" i="1" s="1"/>
  <c r="L8" i="1"/>
  <c r="U8" i="1" s="1"/>
  <c r="E44" i="1"/>
  <c r="F39" i="1"/>
  <c r="E56" i="1"/>
  <c r="E49" i="1"/>
  <c r="E30" i="1"/>
  <c r="E25" i="1"/>
  <c r="E10" i="1"/>
  <c r="D56" i="1"/>
  <c r="F55" i="1"/>
  <c r="F54" i="1"/>
  <c r="F53" i="1"/>
  <c r="F52" i="1"/>
  <c r="D49" i="1"/>
  <c r="C49" i="1"/>
  <c r="F47" i="1"/>
  <c r="F46" i="1"/>
  <c r="D44" i="1"/>
  <c r="C44" i="1"/>
  <c r="F43" i="1"/>
  <c r="F42" i="1"/>
  <c r="F41" i="1"/>
  <c r="F40" i="1"/>
  <c r="G30" i="1"/>
  <c r="G37" i="1"/>
  <c r="E37" i="1"/>
  <c r="D37" i="1"/>
  <c r="C37" i="1"/>
  <c r="F36" i="1"/>
  <c r="F35" i="1"/>
  <c r="F34" i="1"/>
  <c r="F33" i="1"/>
  <c r="C30" i="1"/>
  <c r="D30" i="1"/>
  <c r="F29" i="1"/>
  <c r="F28" i="1"/>
  <c r="F27" i="1"/>
  <c r="G25" i="1"/>
  <c r="D25" i="1"/>
  <c r="C25" i="1"/>
  <c r="F23" i="1"/>
  <c r="F22" i="1"/>
  <c r="F21" i="1"/>
  <c r="F20" i="1"/>
  <c r="G16" i="1"/>
  <c r="D16" i="1"/>
  <c r="C16" i="1"/>
  <c r="F15" i="1"/>
  <c r="F14" i="1"/>
  <c r="E13" i="1"/>
  <c r="F13" i="1" s="1"/>
  <c r="F12" i="1"/>
  <c r="G10" i="1"/>
  <c r="D10" i="1"/>
  <c r="F9" i="1"/>
  <c r="F8" i="1"/>
  <c r="L56" i="1" l="1"/>
  <c r="U56" i="1" s="1"/>
  <c r="U53" i="1"/>
  <c r="L44" i="1"/>
  <c r="U44" i="1" s="1"/>
  <c r="C63" i="1"/>
  <c r="C64" i="1" s="1"/>
  <c r="J63" i="1"/>
  <c r="V63" i="1" s="1"/>
  <c r="M64" i="1"/>
  <c r="M65" i="1" s="1"/>
  <c r="U63" i="1"/>
  <c r="N64" i="1"/>
  <c r="N65" i="1" s="1"/>
  <c r="O64" i="1"/>
  <c r="O65" i="1" s="1"/>
  <c r="W63" i="1"/>
  <c r="W64" i="1" s="1"/>
  <c r="W65" i="1" s="1"/>
  <c r="J64" i="1"/>
  <c r="J65" i="1"/>
  <c r="L37" i="1"/>
  <c r="U37" i="1" s="1"/>
  <c r="F56" i="1"/>
  <c r="F49" i="1"/>
  <c r="L16" i="1"/>
  <c r="U16" i="1" s="1"/>
  <c r="L25" i="1"/>
  <c r="U25" i="1" s="1"/>
  <c r="L49" i="1"/>
  <c r="U49" i="1" s="1"/>
  <c r="I63" i="1"/>
  <c r="I64" i="1" s="1"/>
  <c r="I65" i="1" s="1"/>
  <c r="P64" i="1"/>
  <c r="P65" i="1" s="1"/>
  <c r="K56" i="1"/>
  <c r="K63" i="1" s="1"/>
  <c r="K64" i="1" s="1"/>
  <c r="L10" i="1"/>
  <c r="U10" i="1" s="1"/>
  <c r="F37" i="1"/>
  <c r="E16" i="1"/>
  <c r="E63" i="1" s="1"/>
  <c r="E64" i="1" s="1"/>
  <c r="F44" i="1"/>
  <c r="D63" i="1"/>
  <c r="D64" i="1" s="1"/>
  <c r="D65" i="1" s="1"/>
  <c r="F10" i="1"/>
  <c r="F25" i="1"/>
  <c r="F30" i="1"/>
  <c r="F16" i="1"/>
  <c r="V64" i="1" l="1"/>
  <c r="V65" i="1" s="1"/>
  <c r="U64" i="1"/>
  <c r="U65" i="1"/>
  <c r="L63" i="1"/>
  <c r="K65" i="1"/>
  <c r="L65" i="1" s="1"/>
  <c r="C65" i="1"/>
  <c r="E65" i="1"/>
  <c r="F63" i="1"/>
  <c r="F64" i="1" s="1"/>
  <c r="F65" i="1" s="1"/>
  <c r="J69" i="3"/>
  <c r="J61" i="3"/>
  <c r="S61" i="3" s="1"/>
  <c r="L64" i="1" l="1"/>
  <c r="X63" i="1"/>
  <c r="X64" i="1" s="1"/>
  <c r="X65" i="1" s="1"/>
  <c r="S69" i="3"/>
  <c r="J127" i="3"/>
  <c r="S127" i="3" l="1"/>
  <c r="S128" i="3" s="1"/>
  <c r="S129" i="3" s="1"/>
  <c r="J128" i="3"/>
  <c r="J129" i="3"/>
</calcChain>
</file>

<file path=xl/sharedStrings.xml><?xml version="1.0" encoding="utf-8"?>
<sst xmlns="http://schemas.openxmlformats.org/spreadsheetml/2006/main" count="329" uniqueCount="170">
  <si>
    <t>Tableau 1 - RAPPORT FINANCIER du projet PBF par résultat, produit et activité</t>
  </si>
  <si>
    <t>Nombre de resultat/ produit</t>
  </si>
  <si>
    <t>Formulation du resultat/ produit/activite</t>
  </si>
  <si>
    <t>Organisation recipiendiaire 1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</si>
  <si>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</si>
  <si>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</si>
  <si>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</si>
  <si>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</si>
  <si>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</si>
  <si>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Niveau de depense/ engagement actuel en USD (a remplir au moment des rapports de projet)</t>
  </si>
  <si>
    <t>Projection des dépenses jusqu’en décembre 2025</t>
  </si>
  <si>
    <t>TOTAL CUMULE</t>
  </si>
  <si>
    <t>UNESCO</t>
  </si>
  <si>
    <t>UNICEF</t>
  </si>
  <si>
    <t xml:space="preserve">RESULTAT 1: </t>
  </si>
  <si>
    <t>Des outils d’autoprotection des jeunes qui s’engagent, s’expriment et s’exposent pour la défense des droits humains dans l’espace civique leur permettent d’être en pleine confiance et d’être en pleine possession de la capacité d’agir effectivement pour faire entendre un discours pacifique, professionnel et responsable</t>
  </si>
  <si>
    <t>Produit 1.1:</t>
  </si>
  <si>
    <t>Le cadre juridique et les pratiques des différents acteurs de l’occupation et de la gestion de l’espace civique sont circonscrits, discutés et vulgarisés en vue d’une autoprotection qualifiée, responsable et sure des jeunes s’engageant et se mobilisant pour la défense des droits humains dans cet espace</t>
  </si>
  <si>
    <t>HCDH</t>
  </si>
  <si>
    <t xml:space="preserve">Engagement total </t>
  </si>
  <si>
    <t xml:space="preserve">Engagement total du </t>
  </si>
  <si>
    <t>Activite 1.1.1:</t>
  </si>
  <si>
    <t xml:space="preserve">Réaliser un état des lieux (incluant une étude de baseline des indicateurs) du fonctionnement de l'espace civique relatif aux actrices.teurs étatiques et  aux groupes cibles de jeunes (acteurs non étatiques) afin de documenter les systèmes formels et informels d'engagement, y compris au niveau communautaire (en ligne et hors ligne) ; les bonnes pratiques, les défis et les opportunités ; les obstacles (structurels et comportementaux ) à la participation et à la consolidation de la paix des jeunes femmes et hommes ainsi que les minorités ; les risques de l'engagement et les éventuels mécanismes de protection, afin d'informer intersectionnellement la mise en œuvre de ce projet. </t>
  </si>
  <si>
    <t>Activite 1.1.2:</t>
  </si>
  <si>
    <t>Sur la base des résultats de l'état des lieux de l'activité 1.1.1, élaborer des guides pratiques à l'intention des groupes cibles de jeunes présentant les détails des lois et cadres clés en vigueur, un outil d’engagement civique (le passeport du jeune ZA MIOVA) régissant l'engagement dans l'espace civique et assurer un processus de vulgarisation et de diffusion.</t>
  </si>
  <si>
    <t>Produit total</t>
  </si>
  <si>
    <t>Produit 1.2:</t>
  </si>
  <si>
    <t>Les capacités en autoprotection des jeunes s’engageant et se mobilisant pour la défense des droits humains dans l’espace civique sont renforcées pour une adéquation avec le cadre juridique et les pratiques des différents acteurs de l’occupation et de la gestion de cet espace</t>
  </si>
  <si>
    <t>Activite 1.2.1</t>
  </si>
  <si>
    <t xml:space="preserve">Renforcer les capacités en autoprotection, en tenant compte des spécificités de genre, de pools de jeunes défenseurs des droits humains, jeunes reporters, club, réseaux des jeunes journalistes, influenceurs et des femmes journalistes </t>
  </si>
  <si>
    <t>Activite 1.2.2</t>
  </si>
  <si>
    <t xml:space="preserve">Appuyer l’autoprotection et l’empowerment spécifiques aux jeunes filles et jeunes femmes et des minorités (incluant les personnes handicapées et les personnes atteintes d’albinisme et les filles et jeunes femmes déplacées, et celles en conflit avec la loi) aux niveaux individuel et collectif pour une occupation qualifiée, responsable, sûre et reconnue de l’espace civique </t>
  </si>
  <si>
    <t>Activite 1.2.3</t>
  </si>
  <si>
    <t>Appuyer 60 initiatives d’engagement autoprotégé de jeunes qui souhaitent s'engager dans l’espace civique de manière à promouvoir les droits humains incluant ceux des enfants, les libertés fondamentales et la lutte contre la corruption de manière sûre et pacifique.</t>
  </si>
  <si>
    <t>Activite 1.2.4</t>
  </si>
  <si>
    <t>Mettre en œuvre le plan de vulgarisation et de diffusion à travers une campagne nationale sur les détails des lois et cadres clés en vigueur régissant la protection et l'engagement des jeunes dans l'espace civique</t>
  </si>
  <si>
    <t xml:space="preserve">RESULTAT 2: </t>
  </si>
  <si>
    <t>La protection des jeunes engagé(es) dans l’espace civique pour la défense des droits humains, par les acteurs des mécanismes institutionnels concernées est effective et accrue à travers un engagement conjoint et une collaboration responsable, inclusive et sûre</t>
  </si>
  <si>
    <t>Produit 2.1</t>
  </si>
  <si>
    <t>Les institutions de l'État ont les connaissances, la capacité et la volonté de s’engager et d’accroître l’effectivité des mécanismes de protection des jeunes défenseurs des droits humains engagés dans l’espace civique afin de s'assurer que les violations des droits humains et des libertés fondamentales soient traitées selon les normes</t>
  </si>
  <si>
    <t>Activite 2.1.1</t>
  </si>
  <si>
    <t>Renforcer les capacités des forces de sécurité en fonction pour contribuer à l’amélioration de la protection des jeunes engagé.e.s (à travers les plateformes et mécanismes mis en place par Rary Aro Mada, OBS Mada, PRF) garantissant un engagement régulier entre la société civile des jeunes et les forces de sécurité locales pour prévenir la violence, les attaques et les conflits</t>
  </si>
  <si>
    <t>Activite 2.1.2</t>
  </si>
  <si>
    <t>Renforcer les capacités des forces de sécurité en fonction pour contribuer à l’amélioration de la protection des jeunes engagé.e.s (à travers les plateformes et mécanismes mis en place par Rary Aro Mada, OBSMada, PRF) garantissant un engagement régulier entre la société civile des jeunes et les forces de sécurité locales pour prévenir la violence, les attaques et les conflits.</t>
  </si>
  <si>
    <t>Activite 2.1.3</t>
  </si>
  <si>
    <t>Renforcer l’offre de formation sur les droits humains et la liberté d’expression des forces de sécurité et des institutions judiciaires à travers les cursus dans les universités et les écoles professionnelles étatiques et non étatique</t>
  </si>
  <si>
    <t>Activite 2.1.4</t>
  </si>
  <si>
    <t>Appuyer les institutions pour l'organisation de portes ouvertes, journées thématiques, forums nationaux en lien avec la promotion et la protection en vue de la vulgarisation et de l'appropriation des droits humains et de la liberté d'expression</t>
  </si>
  <si>
    <t>Produit 2.2</t>
  </si>
  <si>
    <t xml:space="preserve">En s'appuyant sur les outils de dialogues existants, une passerelle de dialogue axée sur la protection entre les institutions, notamment politiques, judiciaires, juridiques et les forces de sécurité et les jeunes engagé(es) est renforcée pour permettre une meilleure inclusion et protection institutionnelle des jeunes défenseurs des droits humains dans l’espaces civique pour une collaboration responsable, inclusive et sûre </t>
  </si>
  <si>
    <t>Activite 2.2.1</t>
  </si>
  <si>
    <t>Appuyer au niveau local, des mécanismes de dialogues réguliers et institutionnalisés mis en œuvre par les projets PBF afin de renforcer la confiance des jeunes envers les institutions étatiques sur leur protection pour appuyer une participation sereine, progressive et libre de jeunes engagé.e.s</t>
  </si>
  <si>
    <t>Activite' 2.2.2</t>
  </si>
  <si>
    <t xml:space="preserve">Renforcer au niveau local la protection spécifique pour la participation active et inclusive des femmes et des minorités pour une visibilité efficace et une acceptation sociale de leur rôle moteur dans les espaces de dialogues et de prise de parole. </t>
  </si>
  <si>
    <t>Activite 2.2.3</t>
  </si>
  <si>
    <t>Mettre en place un mécanisme participatif de feedback communautaire et de redevabilité sociale pour tous les participants et intervenants.</t>
  </si>
  <si>
    <t xml:space="preserve">RESULTAT 3: </t>
  </si>
  <si>
    <t>Des mécanismes institutionnels, non étatiques, en ligne et hors-ligne, de protection co-existent et sont opérationnels et pérennes pour assurer la légitimité, la liberté, la résilience et la protection des jeunes défenseuses/eurs des droits humains engagés dans l’espace civique</t>
  </si>
  <si>
    <t>Produit 3.1</t>
  </si>
  <si>
    <t>Les stratégies et mécanismes de protection des jeunes engagé(es) dans l’espace civique sont développés et/ou renforcés, incluant un système d’alerte précoce en réseaux et coordonné de jeunes défenseurs des droits humains en danger</t>
  </si>
  <si>
    <t>Activite 3.1.1</t>
  </si>
  <si>
    <t>Développer et promouvoir une stratégie et des mécanismes de protection et de sécurité des jeunes engagé.e.s basée sur l’état de lieux et en intégrant des méthodologies liées aux besoins sexo-spécifiques des femmes, se basant notamment sur les MoU signés avec les autorités et les Comités de Paix</t>
  </si>
  <si>
    <t>Activite 3.1.2</t>
  </si>
  <si>
    <t xml:space="preserve">Appuyer et mettre en réseau des structures existantes et pérennes de protection non étatiques pour élargir leurs actions à tous les jeunes engagé.e.s, en leur dotant des capacités, d’outils et de moyens nécessaires </t>
  </si>
  <si>
    <t>Activite 3.1.3</t>
  </si>
  <si>
    <t>Mettre en place un fonds d’appui à la protection juridique et judiciaire (frais engagés dans le système judiciaire) des jeunes défenseuses.seurs des droits humains, en tenant compte des risques spécifiques aux femmes selon une approche intersectionnelle</t>
  </si>
  <si>
    <t>Activite 3.1.4</t>
  </si>
  <si>
    <t>Développer des applications et outils de collectes de données (Data) et d’alertes précoces, en coopération avec les structures existantes (étatiques et non étatiques) de suivi et d’adresser des cas de violations des droits humains et d’atteintes à la liberté d’expression, pour appuyer les actions de protection des jeunes et soutenir la libre participation de tou.te.s dans les espaces civique et démocratique.</t>
  </si>
  <si>
    <t>Produit 3.2:</t>
  </si>
  <si>
    <t>Les stratégies d’engagement civique des jeunes, les mécanismes étatiques et des OSC-s sont soutenues par des approches et outils de protection en ligne/numériques et au niveau communautaire afin d’inciter un changement social et comportemental en soutien aux objectifs du projet</t>
  </si>
  <si>
    <t>Activite 3.2.1</t>
  </si>
  <si>
    <t>Développer et mettre en œuvre des stratégies de changement social et comportemental basées sur les évidences pour accompagner les institutions et les jeunes acteurs de paix à soutenir les actions de protection des jeunes engagé.e.s dans l’espace civique</t>
  </si>
  <si>
    <t>Activite 3.2.2</t>
  </si>
  <si>
    <t>Opérationnaliser les mécanismes d’écoutes sociales (online et offline) permettant de collecter les évidences communicationnelles et feedbacks des acteurs de paix engages dans l’espace civique</t>
  </si>
  <si>
    <t>Activite 3.2.3</t>
  </si>
  <si>
    <t>Soutenir l’opérationnalisation des mécanismes de protection des jeunes cibles via les structures et infrastructures de jeunesses (maisons de jeunes, centres de jeunes, associations de jeunes locaux, observatoires, comité de paix) pour renforcer les interventions en faveur de l’engagement civique des jeunes au niveau local.</t>
  </si>
  <si>
    <t>Activite 3.2.4</t>
  </si>
  <si>
    <t xml:space="preserve">Appuyer les structures qui soutiennent les jeunes dans le processus de protection pour la mise en place de podcasts relatifs aux droits humains et à la liberté d’expression, aux niveaux régionaux via les Comités de Paix, les Maisons des Jeunes et le réseau du Studio Sifaka, afin d’inciter un changement social et comportemental </t>
  </si>
  <si>
    <t>Activite 3.2.5</t>
  </si>
  <si>
    <t>Mise en place d’un partenariat de collaboration entre les OSC de jeunes et les médias nationaux pour assurer l'accès à des outils d'expression et la diffusion de messages pour la paix portés par les jeunes cibles</t>
  </si>
  <si>
    <t>Produit 3.3</t>
  </si>
  <si>
    <t xml:space="preserve">Des capacités de développement de projet, de mobilisation de ressources, de suivi et évaluation, sensibles au genre et à l’intersectionnalité, en vue de la pérennisation des acquis du projet en termes de protection des défenseuses/eurs des droits humains, sont développées et effectives </t>
  </si>
  <si>
    <t>Activite 3.3.1</t>
  </si>
  <si>
    <t>Développer les capacités des jeunes aux techniques de montage de projet sensibles au genre et à l’intersectionnalité, au développement des partenariats et à la mobilisation de ressources</t>
  </si>
  <si>
    <t>Activite 3.3.2</t>
  </si>
  <si>
    <t>Développer des mécanismes et des outils d’intégration des jeunes filles et garçons dans le suivi, évaluation du programme à toutes les étapes de mise en œuvre du programme</t>
  </si>
  <si>
    <t>Activite 3.3.3</t>
  </si>
  <si>
    <t>Cout de personnel du projet si pas inclus dans les activites ci-dessus</t>
  </si>
  <si>
    <t>Voir liste complète dans le document de projet</t>
  </si>
  <si>
    <t>Couts operationnels si pas inclus dans les activites ci-dessus</t>
  </si>
  <si>
    <t>Budget de suivi</t>
  </si>
  <si>
    <t xml:space="preserve">Enquête de perception, missions de suivi trimestrielles et visites du comité de pilotage, réunion du comité technique du projet, évaluation finale </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</si>
  <si>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</si>
  <si>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</si>
  <si>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</si>
  <si>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</si>
  <si>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</si>
  <si>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</si>
  <si>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</si>
  <si>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</si>
  <si>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Organisation recipiendiaire 1 Dépenses actuelles</t>
  </si>
  <si>
    <t>Organisation recipiendiaire 1 Engagement</t>
  </si>
  <si>
    <t>Organisation recipiendiaire 1 Total cumulé</t>
  </si>
  <si>
    <t>Organisation recipiendiaire 1 Projection</t>
  </si>
  <si>
    <t>Organisation recipiendiaire 2 Dépenses actuelles</t>
  </si>
  <si>
    <t>Organisation recipiendiaire 2 Engagement</t>
  </si>
  <si>
    <t>Organisation recipiendiaire 2 Projection</t>
  </si>
  <si>
    <t>Organisation recipiendiaire 2 Total cumulé</t>
  </si>
  <si>
    <t>Organisation recipiendiaire 3 Dépenses actuelles</t>
  </si>
  <si>
    <t>Organisation recipiendiaire 3 Engagement</t>
  </si>
  <si>
    <t>Organisation recipiendiaire 3 Projection</t>
  </si>
  <si>
    <t>Organisation recipiendiaire 3 Total cumulé</t>
  </si>
  <si>
    <t>Annexe D - Revision budétaire du projet PBF</t>
  </si>
  <si>
    <t>Instructions:</t>
  </si>
  <si>
    <t>1. Divisez le total de chaque budget entre les catégories de budget des Nations Unies concernées.</t>
  </si>
  <si>
    <t>2. À titre de référence, les totaux des produits ont été transférés du tableau 1.</t>
  </si>
  <si>
    <r>
      <t>3. Les totaux des produits doivent correspondre et seront sinon affichés</t>
    </r>
    <r>
      <rPr>
        <b/>
        <sz val="11"/>
        <color rgb="FFFF0000"/>
        <rFont val="DM Sans"/>
      </rPr>
      <t xml:space="preserve"> en rouge</t>
    </r>
    <r>
      <rPr>
        <b/>
        <sz val="11"/>
        <color rgb="FF000000"/>
        <rFont val="DM Sans"/>
      </rPr>
      <t>.</t>
    </r>
  </si>
  <si>
    <t>Tableau 2 - Répartition des produits par catégories de budget de l’ONU</t>
  </si>
  <si>
    <t>BUDGET</t>
  </si>
  <si>
    <t xml:space="preserve">DEPENSES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</si>
  <si>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</si>
  <si>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</si>
  <si>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</si>
  <si>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</si>
  <si>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</si>
  <si>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</si>
  <si>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</si>
  <si>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</si>
  <si>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</si>
  <si>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</si>
  <si>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</si>
  <si>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</si>
  <si>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</si>
  <si>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</si>
  <si>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</si>
  <si>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RESULTAT 2</t>
  </si>
  <si>
    <t>Organisation recipiendiaire 1 - HCDH</t>
  </si>
  <si>
    <t>Engagement total du HCDH</t>
  </si>
  <si>
    <t>Engagement total UNESCO</t>
  </si>
  <si>
    <t>Engagement total du UNICEF</t>
  </si>
  <si>
    <t>Total pour produit 2.2 (du tableau 1)</t>
  </si>
  <si>
    <t>Total pour produit 2.1 (du tableau 1)</t>
  </si>
  <si>
    <t>RESULTAT 3</t>
  </si>
  <si>
    <t>Total pour produit 3.1 (du tableau 1)</t>
  </si>
  <si>
    <t>Produit 3.2</t>
  </si>
  <si>
    <t>Total pour produit 3.2 (du tableau 1)</t>
  </si>
  <si>
    <t>Total pour produit 3.3 (du tableau 1)</t>
  </si>
  <si>
    <t>Coûts supplémentaires</t>
  </si>
  <si>
    <t>Total des coûts supplémentaires (du tableau 1)</t>
  </si>
  <si>
    <t>TOTAL</t>
  </si>
  <si>
    <t>CATEGORIES</t>
  </si>
  <si>
    <t xml:space="preserve"> TOTAL PROJET</t>
  </si>
  <si>
    <t>Budget</t>
  </si>
  <si>
    <t>Sous-total</t>
  </si>
  <si>
    <t xml:space="preserve">8. Coûts indirects*  </t>
  </si>
  <si>
    <t>Dépense réelles + Engagements + Projections</t>
  </si>
  <si>
    <t>Niveau de depense/  actuel en USD (a remplir au moment des rapports de projet)</t>
  </si>
  <si>
    <t>Organisation recipiendiaire 2 - UNESCO</t>
  </si>
  <si>
    <t>Organisation recipiendiaire 3 - UNICEF</t>
  </si>
  <si>
    <t xml:space="preserve"> </t>
  </si>
  <si>
    <t xml:space="preserve">TOTAL DEPENSES/ ENGAGEMENTS ET PROJECTION </t>
  </si>
  <si>
    <t xml:space="preserve">Niveau de depense + engagement+Projection TOTAL actuel en USD (a remplir au moment des rapports de projet) </t>
  </si>
  <si>
    <t>TOTAL PROJET</t>
  </si>
  <si>
    <t xml:space="preserve"> Dépenses actuelles</t>
  </si>
  <si>
    <t xml:space="preserve"> Engagement</t>
  </si>
  <si>
    <t xml:space="preserve"> Projection</t>
  </si>
  <si>
    <t xml:space="preserve"> Total cumulé</t>
  </si>
  <si>
    <t>Côté Unicef, les écart sont dû à la variation de taux de change lors de la réalisation des activités qui impacte à la facturation pour les achats et a lors du rapportage fait par les partenaires d'exécution.
Ces variations se complètent sur d'autres lignes d'activités comme la mise en oeuvre impliquent plusieurs groupe de resultats. Par exemple la formation des jeunes en T-Miova visent l'autoprotection et l'autonomisation des jeunes filles mais également la réalisation des activités visant le changement de comportement social</t>
  </si>
  <si>
    <t>Niveau de depense en USD (a remplir au moment des rapports de projet)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</si>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</sst>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0.00_);_(&quot;$&quot;* \(#,##0.00\);_(&quot;$&quot;* &quot;-&quot;??_);_(@_)"/>
    <numFmt numFmtId="165" formatCode="_-* #,##0.00\ &quot;€&quot;_-;\-* #,##0.00\ &quot;€&quot;_-;_-* &quot;-&quot;??\ &quot;€&quot;_-;_-@_-"/>
    <numFmt numFmtId="166" formatCode="_-* #,##0.00\ _€_-;\-* #,##0.00\ _€_-;_-* &quot;-&quot;??\ _€_-;_-@_-"/>
    <numFmt numFmtId="167" formatCode="_(&quot;$&quot;* #,##0.0_);_(&quot;$&quot;* \(#,##0.0\);_(&quot;$&quot;* &quot;-&quot;??_);_(@_)"/>
    <numFmt numFmtId="168" formatCode="[$$-409]#,##0.00"/>
    <numFmt numFmtId="169" formatCode="_-[$$-409]* #,##0.00_ ;_-[$$-409]* \-#,##0.00\ ;_-[$$-409]* &quot;-&quot;??_ ;_-@_ "/>
  </numFmts>
  <fonts count="24" x14ac:knownFonts="1">
    <font>
      <sz val="11"/>
      <color theme="1"/>
      <name val="Aptos Narrow"/>
      <family val="2"/>
      <scheme val="minor"/>
    </font>
    <font>
      <sz val="11"/>
      <color theme="1"/>
      <name val="Aptos Narrow"/>
      <family val="2"/>
      <scheme val="minor"/>
    </font>
    <font>
      <b/>
      <sz val="20"/>
      <color rgb="FF000000"/>
      <name val="DM Sans"/>
    </font>
    <font>
      <sz val="11"/>
      <color rgb="FF000000"/>
      <name val="DM Sans"/>
    </font>
    <font>
      <sz val="11"/>
      <name val="DM Sans"/>
    </font>
    <font>
      <b/>
      <sz val="11"/>
      <color rgb="FF000000"/>
      <name val="DM Sans"/>
    </font>
    <font>
      <b/>
      <sz val="12"/>
      <color rgb="FF000000"/>
      <name val="Calibri"/>
      <family val="2"/>
    </font>
    <font>
      <sz val="12"/>
      <color rgb="FF000000"/>
      <name val="Calibri"/>
      <family val="2"/>
    </font>
    <font>
      <sz val="12"/>
      <color theme="1"/>
      <name val="Aptos Narrow"/>
      <family val="2"/>
      <scheme val="minor"/>
    </font>
    <font>
      <sz val="11"/>
      <color theme="1"/>
      <name val="Calibri"/>
      <family val="2"/>
    </font>
    <font>
      <sz val="12"/>
      <color rgb="FF000000"/>
      <name val="Aptos Narrow"/>
      <family val="2"/>
      <scheme val="minor"/>
    </font>
    <font>
      <sz val="9"/>
      <color rgb="FF000000"/>
      <name val="DM Sans"/>
    </font>
    <font>
      <b/>
      <sz val="9"/>
      <color rgb="FF000000"/>
      <name val="DM Sans"/>
    </font>
    <font>
      <b/>
      <sz val="11"/>
      <color rgb="FF00B0F0"/>
      <name val="DM Sans"/>
    </font>
    <font>
      <b/>
      <sz val="11"/>
      <color rgb="FFFF0000"/>
      <name val="DM Sans"/>
    </font>
    <font>
      <b/>
      <sz val="12"/>
      <color theme="1"/>
      <name val="Aptos Narrow"/>
      <family val="2"/>
      <scheme val="minor"/>
    </font>
    <font>
      <sz val="12"/>
      <color theme="1"/>
      <name val="Calibri"/>
      <family val="2"/>
    </font>
    <font>
      <b/>
      <sz val="10"/>
      <color rgb="FF000000"/>
      <name val="DM Sans"/>
    </font>
    <font>
      <b/>
      <sz val="11"/>
      <color theme="1"/>
      <name val="Aptos Narrow"/>
      <family val="2"/>
      <scheme val="minor"/>
    </font>
    <font>
      <b/>
      <sz val="12"/>
      <color theme="1"/>
      <name val="Calibri"/>
      <family val="2"/>
    </font>
    <font>
      <b/>
      <sz val="11"/>
      <name val="DM Sans"/>
    </font>
    <font>
      <b/>
      <sz val="11"/>
      <color theme="1"/>
      <name val="Calibri"/>
      <family val="2"/>
    </font>
    <font>
      <sz val="12"/>
      <name val="Calibri"/>
      <family val="2"/>
    </font>
    <font>
      <sz val="11"/>
      <name val="Aptos Narrow"/>
      <family val="2"/>
      <scheme val="minor"/>
    </font>
  </fonts>
  <fills count="38">
    <fill>
      <patternFill patternType="none"/>
    </fill>
    <fill>
      <patternFill patternType="gray125"/>
    </fill>
    <fill>
      <patternFill patternType="solid">
        <fgColor rgb="FFD9E1F2"/>
        <bgColor rgb="FF000000"/>
      </patternFill>
    </fill>
    <fill>
      <patternFill patternType="solid">
        <fgColor rgb="FFFFFFFF"/>
        <bgColor rgb="FF000000"/>
      </patternFill>
    </fill>
    <fill>
      <patternFill patternType="solid">
        <fgColor rgb="FFD9D9D9"/>
        <bgColor rgb="FF000000"/>
      </patternFill>
    </fill>
    <fill>
      <patternFill patternType="solid">
        <fgColor rgb="FFF8CBAD"/>
        <bgColor rgb="FF000000"/>
      </patternFill>
    </fill>
    <fill>
      <patternFill patternType="solid">
        <fgColor rgb="FFBDD7EE"/>
        <bgColor rgb="FF000000"/>
      </patternFill>
    </fill>
    <fill>
      <patternFill patternType="solid">
        <fgColor rgb="FFE2EFDA"/>
        <bgColor rgb="FF000000"/>
      </patternFill>
    </fill>
    <fill>
      <patternFill patternType="solid">
        <fgColor rgb="FFF2F2F2"/>
        <bgColor rgb="FF000000"/>
      </patternFill>
    </fill>
    <fill>
      <patternFill patternType="solid">
        <fgColor rgb="FFE7E6E6"/>
        <bgColor rgb="FF000000"/>
      </patternFill>
    </fill>
    <fill>
      <patternFill patternType="solid">
        <fgColor theme="0" tint="-0.14999847407452621"/>
        <bgColor indexed="64"/>
      </patternFill>
    </fill>
    <fill>
      <patternFill patternType="solid">
        <fgColor rgb="FFD0CECE"/>
        <bgColor rgb="FF000000"/>
      </patternFill>
    </fill>
    <fill>
      <patternFill patternType="solid">
        <fgColor theme="2" tint="-9.9978637043366805E-2"/>
        <bgColor indexed="64"/>
      </patternFill>
    </fill>
    <fill>
      <patternFill patternType="solid">
        <fgColor rgb="FFFCE4D6"/>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FFFFCC"/>
        <bgColor indexed="64"/>
      </patternFill>
    </fill>
    <fill>
      <patternFill patternType="solid">
        <fgColor rgb="FFFFFFCC"/>
        <bgColor rgb="FF000000"/>
      </patternFill>
    </fill>
    <fill>
      <patternFill patternType="solid">
        <fgColor theme="3" tint="0.749992370372631"/>
        <bgColor indexed="64"/>
      </patternFill>
    </fill>
    <fill>
      <patternFill patternType="solid">
        <fgColor theme="9" tint="0.59999389629810485"/>
        <bgColor indexed="64"/>
      </patternFill>
    </fill>
    <fill>
      <patternFill patternType="solid">
        <fgColor rgb="FFFFC611"/>
        <bgColor rgb="FF000000"/>
      </patternFill>
    </fill>
    <fill>
      <patternFill patternType="solid">
        <fgColor rgb="FFFFC611"/>
        <bgColor indexed="64"/>
      </patternFill>
    </fill>
    <fill>
      <patternFill patternType="solid">
        <fgColor theme="5" tint="0.59999389629810485"/>
        <bgColor indexed="64"/>
      </patternFill>
    </fill>
    <fill>
      <patternFill patternType="solid">
        <fgColor theme="5"/>
        <bgColor indexed="64"/>
      </patternFill>
    </fill>
    <fill>
      <patternFill patternType="solid">
        <fgColor theme="3"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3" tint="0.89999084444715716"/>
        <bgColor rgb="FF000000"/>
      </patternFill>
    </fill>
    <fill>
      <patternFill patternType="solid">
        <fgColor theme="2" tint="-9.9978637043366805E-2"/>
        <bgColor rgb="FF000000"/>
      </patternFill>
    </fill>
    <fill>
      <patternFill patternType="solid">
        <fgColor theme="6" tint="0.79998168889431442"/>
        <bgColor rgb="FF000000"/>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auto="1"/>
      </left>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23">
    <xf numFmtId="0" fontId="0" fillId="0" borderId="0"/>
    <xf numFmtId="41"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347">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3" borderId="0" xfId="0" applyFont="1" applyFill="1" applyAlignment="1">
      <alignmen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9" borderId="7" xfId="0" applyFont="1" applyFill="1" applyBorder="1" applyAlignment="1">
      <alignment vertical="center" wrapText="1"/>
    </xf>
    <xf numFmtId="0" fontId="0" fillId="0" borderId="16" xfId="0" applyBorder="1"/>
    <xf numFmtId="0" fontId="6" fillId="9" borderId="17" xfId="0" applyFont="1" applyFill="1" applyBorder="1" applyAlignment="1">
      <alignment vertical="center" wrapText="1"/>
    </xf>
    <xf numFmtId="0" fontId="7" fillId="9" borderId="7" xfId="0" applyFont="1" applyFill="1" applyBorder="1" applyAlignment="1">
      <alignment vertical="center" wrapText="1"/>
    </xf>
    <xf numFmtId="0" fontId="7" fillId="0" borderId="7" xfId="0" applyFont="1" applyBorder="1" applyAlignment="1" applyProtection="1">
      <alignment horizontal="left" vertical="top" wrapText="1"/>
      <protection locked="0"/>
    </xf>
    <xf numFmtId="164" fontId="7" fillId="0" borderId="7" xfId="3" applyFont="1" applyFill="1" applyBorder="1" applyAlignment="1" applyProtection="1">
      <alignment horizontal="center" vertical="center" wrapText="1"/>
      <protection locked="0"/>
    </xf>
    <xf numFmtId="9" fontId="7" fillId="0" borderId="7" xfId="2" applyFont="1" applyFill="1" applyBorder="1" applyAlignment="1" applyProtection="1">
      <alignment horizontal="center" vertical="center" wrapText="1"/>
      <protection locked="0"/>
    </xf>
    <xf numFmtId="164" fontId="0" fillId="0" borderId="7" xfId="0" applyNumberFormat="1" applyBorder="1" applyAlignment="1">
      <alignment vertical="center"/>
    </xf>
    <xf numFmtId="0" fontId="6" fillId="4" borderId="7" xfId="0" applyFont="1" applyFill="1" applyBorder="1" applyAlignment="1">
      <alignment vertical="center" wrapText="1"/>
    </xf>
    <xf numFmtId="164" fontId="6" fillId="4" borderId="7" xfId="3" applyFont="1" applyFill="1" applyBorder="1" applyAlignment="1" applyProtection="1">
      <alignment horizontal="center" vertical="center" wrapText="1"/>
    </xf>
    <xf numFmtId="164" fontId="6" fillId="0" borderId="7" xfId="3" applyFont="1" applyFill="1" applyBorder="1" applyAlignment="1" applyProtection="1">
      <alignment horizontal="center" vertical="center" wrapText="1"/>
    </xf>
    <xf numFmtId="0" fontId="8" fillId="0" borderId="7" xfId="0" applyFont="1" applyBorder="1" applyAlignment="1" applyProtection="1">
      <alignment horizontal="left" vertical="top" wrapText="1"/>
      <protection locked="0"/>
    </xf>
    <xf numFmtId="41" fontId="8" fillId="0" borderId="7" xfId="1" applyFont="1" applyBorder="1" applyAlignment="1" applyProtection="1">
      <alignment horizontal="center" vertical="center" wrapText="1"/>
      <protection locked="0"/>
    </xf>
    <xf numFmtId="41" fontId="8" fillId="0" borderId="7" xfId="1" applyFont="1" applyFill="1" applyBorder="1" applyAlignment="1" applyProtection="1">
      <alignment horizontal="center" vertical="center" wrapText="1"/>
      <protection locked="0"/>
    </xf>
    <xf numFmtId="164" fontId="7" fillId="4" borderId="17" xfId="3" applyFont="1" applyFill="1" applyBorder="1" applyAlignment="1" applyProtection="1">
      <alignment horizontal="center" vertical="center" wrapText="1"/>
    </xf>
    <xf numFmtId="9" fontId="7" fillId="0" borderId="17" xfId="2" applyFont="1" applyFill="1" applyBorder="1" applyAlignment="1" applyProtection="1">
      <alignment horizontal="center" vertical="center" wrapText="1"/>
      <protection locked="0"/>
    </xf>
    <xf numFmtId="164" fontId="7" fillId="4" borderId="7" xfId="3" applyFont="1" applyFill="1" applyBorder="1" applyAlignment="1" applyProtection="1">
      <alignment horizontal="center" vertical="center" wrapText="1"/>
    </xf>
    <xf numFmtId="0" fontId="9" fillId="0" borderId="0" xfId="0" applyFont="1" applyAlignment="1">
      <alignment wrapText="1"/>
    </xf>
    <xf numFmtId="164" fontId="6" fillId="4" borderId="18" xfId="3" applyFont="1" applyFill="1" applyBorder="1" applyAlignment="1" applyProtection="1">
      <alignment horizontal="center" vertical="center" wrapText="1"/>
    </xf>
    <xf numFmtId="164" fontId="6" fillId="0" borderId="18" xfId="3" applyFont="1" applyFill="1" applyBorder="1" applyAlignment="1" applyProtection="1">
      <alignment horizontal="center" vertical="center" wrapText="1"/>
    </xf>
    <xf numFmtId="0" fontId="6" fillId="4" borderId="8" xfId="0" applyFont="1" applyFill="1" applyBorder="1" applyAlignment="1">
      <alignment vertical="center" wrapText="1"/>
    </xf>
    <xf numFmtId="164" fontId="6" fillId="4" borderId="13" xfId="3" applyFont="1" applyFill="1" applyBorder="1" applyAlignment="1" applyProtection="1">
      <alignment horizontal="center" vertical="center" wrapText="1"/>
    </xf>
    <xf numFmtId="164" fontId="6" fillId="0" borderId="13" xfId="3" applyFont="1" applyFill="1" applyBorder="1" applyAlignment="1" applyProtection="1">
      <alignment horizontal="center" vertical="center" wrapText="1"/>
    </xf>
    <xf numFmtId="164" fontId="6" fillId="4" borderId="9" xfId="3" applyFont="1" applyFill="1" applyBorder="1" applyAlignment="1" applyProtection="1">
      <alignment horizontal="center" vertical="center" wrapText="1"/>
    </xf>
    <xf numFmtId="0" fontId="7" fillId="3" borderId="7" xfId="0" applyFont="1" applyFill="1" applyBorder="1" applyAlignment="1" applyProtection="1">
      <alignment horizontal="left" vertical="top" wrapText="1"/>
      <protection locked="0"/>
    </xf>
    <xf numFmtId="9" fontId="8" fillId="0" borderId="7" xfId="2" applyFont="1" applyBorder="1" applyAlignment="1" applyProtection="1">
      <alignment horizontal="center" vertical="center" wrapText="1"/>
      <protection locked="0"/>
    </xf>
    <xf numFmtId="0" fontId="6" fillId="8" borderId="7" xfId="0" applyFont="1" applyFill="1" applyBorder="1" applyAlignment="1">
      <alignment vertical="center" wrapText="1"/>
    </xf>
    <xf numFmtId="0" fontId="10" fillId="3" borderId="7" xfId="0" applyFont="1" applyFill="1" applyBorder="1" applyAlignment="1">
      <alignment vertical="center" wrapText="1"/>
    </xf>
    <xf numFmtId="0" fontId="7" fillId="3" borderId="7" xfId="0" applyFont="1" applyFill="1" applyBorder="1" applyAlignment="1" applyProtection="1">
      <alignment vertical="center" wrapText="1"/>
      <protection locked="0"/>
    </xf>
    <xf numFmtId="0" fontId="0" fillId="0" borderId="7" xfId="0" applyBorder="1"/>
    <xf numFmtId="0" fontId="7" fillId="3" borderId="11" xfId="0" applyFont="1" applyFill="1" applyBorder="1" applyAlignment="1" applyProtection="1">
      <alignment vertical="center" wrapText="1"/>
      <protection locked="0"/>
    </xf>
    <xf numFmtId="0" fontId="6" fillId="4" borderId="17" xfId="0" applyFont="1" applyFill="1" applyBorder="1" applyAlignment="1">
      <alignment vertical="center" wrapText="1"/>
    </xf>
    <xf numFmtId="0" fontId="6" fillId="3" borderId="0" xfId="0" applyFont="1" applyFill="1" applyAlignment="1">
      <alignment vertical="center" wrapText="1"/>
    </xf>
    <xf numFmtId="0" fontId="6" fillId="11" borderId="7" xfId="0" applyFont="1" applyFill="1" applyBorder="1" applyAlignment="1" applyProtection="1">
      <alignment vertical="center" wrapText="1"/>
      <protection locked="0"/>
    </xf>
    <xf numFmtId="164" fontId="6" fillId="11" borderId="7" xfId="3" applyFont="1" applyFill="1" applyBorder="1" applyAlignment="1" applyProtection="1">
      <alignment vertical="center" wrapText="1"/>
    </xf>
    <xf numFmtId="0" fontId="6" fillId="4" borderId="7" xfId="3" applyNumberFormat="1" applyFont="1" applyFill="1" applyBorder="1" applyAlignment="1" applyProtection="1">
      <alignment horizontal="center" vertical="center" wrapText="1"/>
    </xf>
    <xf numFmtId="0" fontId="6" fillId="0" borderId="7" xfId="3" applyNumberFormat="1" applyFont="1" applyFill="1" applyBorder="1" applyAlignment="1" applyProtection="1">
      <alignment horizontal="center" vertical="center" wrapText="1"/>
    </xf>
    <xf numFmtId="0" fontId="7" fillId="4" borderId="6" xfId="0" applyFont="1" applyFill="1" applyBorder="1" applyAlignment="1">
      <alignment vertical="center" wrapText="1"/>
    </xf>
    <xf numFmtId="0" fontId="6" fillId="4" borderId="26" xfId="0" applyFont="1" applyFill="1" applyBorder="1" applyAlignment="1">
      <alignment vertical="center" wrapText="1"/>
    </xf>
    <xf numFmtId="164" fontId="6" fillId="12" borderId="7" xfId="3" applyFont="1" applyFill="1" applyBorder="1" applyAlignment="1" applyProtection="1">
      <alignment horizontal="center" vertical="center" wrapText="1"/>
    </xf>
    <xf numFmtId="0" fontId="0" fillId="12" borderId="7" xfId="0" applyFill="1" applyBorder="1"/>
    <xf numFmtId="164" fontId="6" fillId="4" borderId="29" xfId="3" applyFont="1" applyFill="1" applyBorder="1" applyAlignment="1" applyProtection="1">
      <alignment horizontal="center" vertical="center" wrapText="1"/>
    </xf>
    <xf numFmtId="0" fontId="0" fillId="0" borderId="17" xfId="0" applyBorder="1"/>
    <xf numFmtId="0" fontId="7" fillId="9" borderId="17" xfId="0" applyFont="1" applyFill="1" applyBorder="1" applyAlignment="1">
      <alignment vertical="center" wrapText="1"/>
    </xf>
    <xf numFmtId="0" fontId="8" fillId="0" borderId="17" xfId="0" applyFont="1" applyBorder="1" applyAlignment="1" applyProtection="1">
      <alignment horizontal="left" vertical="top" wrapText="1"/>
      <protection locked="0"/>
    </xf>
    <xf numFmtId="9" fontId="8" fillId="0" borderId="17" xfId="2" applyFont="1" applyBorder="1" applyAlignment="1" applyProtection="1">
      <alignment horizontal="center" vertical="center" wrapText="1"/>
      <protection locked="0"/>
    </xf>
    <xf numFmtId="164" fontId="6" fillId="12" borderId="29" xfId="3" applyFont="1" applyFill="1" applyBorder="1" applyAlignment="1" applyProtection="1">
      <alignment horizontal="center" vertical="center" wrapText="1"/>
    </xf>
    <xf numFmtId="164" fontId="0" fillId="12" borderId="7" xfId="0" applyNumberFormat="1" applyFill="1" applyBorder="1" applyAlignment="1">
      <alignment vertical="center"/>
    </xf>
    <xf numFmtId="0" fontId="6" fillId="3" borderId="8" xfId="0" applyFont="1" applyFill="1" applyBorder="1" applyAlignment="1" applyProtection="1">
      <alignment vertical="top" wrapText="1"/>
      <protection locked="0"/>
    </xf>
    <xf numFmtId="0" fontId="6" fillId="3" borderId="9" xfId="0" applyFont="1" applyFill="1" applyBorder="1" applyAlignment="1" applyProtection="1">
      <alignment vertical="top" wrapText="1"/>
      <protection locked="0"/>
    </xf>
    <xf numFmtId="0" fontId="6" fillId="3" borderId="30" xfId="0" applyFont="1" applyFill="1" applyBorder="1" applyAlignment="1" applyProtection="1">
      <alignment vertical="top" wrapText="1"/>
      <protection locked="0"/>
    </xf>
    <xf numFmtId="0" fontId="11" fillId="0" borderId="0" xfId="0" applyFont="1"/>
    <xf numFmtId="0" fontId="11" fillId="0" borderId="0" xfId="0" applyFont="1" applyAlignment="1">
      <alignment wrapText="1"/>
    </xf>
    <xf numFmtId="0" fontId="11" fillId="3" borderId="0" xfId="0" applyFont="1" applyFill="1" applyAlignment="1">
      <alignment horizontal="right" wrapText="1"/>
    </xf>
    <xf numFmtId="0" fontId="12" fillId="0" borderId="0" xfId="0" applyFont="1" applyAlignment="1">
      <alignment wrapText="1"/>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wrapText="1"/>
    </xf>
    <xf numFmtId="0" fontId="3" fillId="0" borderId="0" xfId="0" applyFont="1" applyAlignment="1">
      <alignment horizontal="right" wrapText="1"/>
    </xf>
    <xf numFmtId="0" fontId="5" fillId="3" borderId="0" xfId="0" applyFont="1" applyFill="1" applyAlignment="1">
      <alignment horizontal="left" wrapText="1"/>
    </xf>
    <xf numFmtId="0" fontId="5" fillId="3" borderId="0" xfId="0" applyFont="1" applyFill="1" applyAlignment="1">
      <alignment horizontal="right" wrapText="1"/>
    </xf>
    <xf numFmtId="165" fontId="15" fillId="12" borderId="7" xfId="6" applyFont="1" applyFill="1" applyBorder="1" applyAlignment="1">
      <alignment wrapText="1"/>
    </xf>
    <xf numFmtId="0" fontId="16" fillId="10" borderId="7" xfId="0" applyFont="1" applyFill="1" applyBorder="1" applyAlignment="1">
      <alignment vertical="center" wrapText="1"/>
    </xf>
    <xf numFmtId="0" fontId="16" fillId="10" borderId="7" xfId="0" applyFont="1" applyFill="1" applyBorder="1" applyAlignment="1" applyProtection="1">
      <alignment vertical="center" wrapText="1"/>
      <protection locked="0"/>
    </xf>
    <xf numFmtId="0" fontId="16" fillId="10" borderId="17" xfId="0" applyFont="1" applyFill="1" applyBorder="1" applyAlignment="1">
      <alignment vertical="center" wrapText="1"/>
    </xf>
    <xf numFmtId="0" fontId="15" fillId="10" borderId="27" xfId="0" applyFont="1" applyFill="1" applyBorder="1" applyAlignment="1">
      <alignment horizontal="left" wrapText="1"/>
    </xf>
    <xf numFmtId="165" fontId="15" fillId="12" borderId="18" xfId="6" applyFont="1" applyFill="1" applyBorder="1" applyAlignment="1">
      <alignment wrapText="1"/>
    </xf>
    <xf numFmtId="0" fontId="15" fillId="10" borderId="34" xfId="0" applyFont="1" applyFill="1" applyBorder="1" applyAlignment="1">
      <alignment horizontal="left" wrapText="1"/>
    </xf>
    <xf numFmtId="0" fontId="11" fillId="3" borderId="0" xfId="0" applyFont="1" applyFill="1" applyAlignment="1">
      <alignment wrapText="1"/>
    </xf>
    <xf numFmtId="0" fontId="12" fillId="3" borderId="0" xfId="0" applyFont="1" applyFill="1" applyAlignment="1">
      <alignment horizontal="left" wrapText="1"/>
    </xf>
    <xf numFmtId="0" fontId="12" fillId="3" borderId="0" xfId="0" applyFont="1" applyFill="1" applyAlignment="1">
      <alignment horizontal="right" wrapText="1"/>
    </xf>
    <xf numFmtId="0" fontId="11" fillId="3" borderId="0" xfId="0" applyFont="1" applyFill="1"/>
    <xf numFmtId="0" fontId="11" fillId="13" borderId="7"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1" fillId="14" borderId="7"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1" fillId="0" borderId="7" xfId="0" applyFont="1" applyBorder="1" applyAlignment="1">
      <alignment horizontal="left" wrapText="1"/>
    </xf>
    <xf numFmtId="0" fontId="12" fillId="15" borderId="7" xfId="0" applyFont="1" applyFill="1" applyBorder="1" applyAlignment="1">
      <alignment horizontal="center" vertical="center" wrapText="1"/>
    </xf>
    <xf numFmtId="0" fontId="8" fillId="0" borderId="0" xfId="0" applyFont="1" applyAlignment="1">
      <alignment wrapText="1"/>
    </xf>
    <xf numFmtId="0" fontId="15" fillId="10" borderId="1" xfId="0" applyFont="1" applyFill="1" applyBorder="1" applyAlignment="1">
      <alignment wrapText="1"/>
    </xf>
    <xf numFmtId="0" fontId="15" fillId="10" borderId="33" xfId="0" applyFont="1" applyFill="1" applyBorder="1" applyAlignment="1">
      <alignment horizontal="center" wrapText="1"/>
    </xf>
    <xf numFmtId="0" fontId="15" fillId="10" borderId="24" xfId="0" applyFont="1" applyFill="1" applyBorder="1" applyAlignment="1">
      <alignment horizontal="center" wrapText="1"/>
    </xf>
    <xf numFmtId="0" fontId="19" fillId="10" borderId="35" xfId="0" applyFont="1" applyFill="1" applyBorder="1" applyAlignment="1">
      <alignment vertical="center" wrapText="1"/>
    </xf>
    <xf numFmtId="0" fontId="19" fillId="10" borderId="36" xfId="0" applyFont="1" applyFill="1" applyBorder="1" applyAlignment="1">
      <alignment vertical="center" wrapText="1"/>
    </xf>
    <xf numFmtId="0" fontId="19" fillId="10" borderId="36" xfId="0" applyFont="1" applyFill="1" applyBorder="1" applyAlignment="1" applyProtection="1">
      <alignment vertical="center" wrapText="1"/>
      <protection locked="0"/>
    </xf>
    <xf numFmtId="0" fontId="8" fillId="10" borderId="36" xfId="0" applyFont="1" applyFill="1" applyBorder="1" applyAlignment="1">
      <alignment vertical="center" wrapText="1"/>
    </xf>
    <xf numFmtId="0" fontId="18" fillId="0" borderId="0" xfId="0" applyFont="1"/>
    <xf numFmtId="0" fontId="18" fillId="17" borderId="6" xfId="0" applyFont="1" applyFill="1" applyBorder="1" applyAlignment="1">
      <alignment horizontal="center" vertical="center" wrapText="1"/>
    </xf>
    <xf numFmtId="0" fontId="18" fillId="17" borderId="10" xfId="0" applyFont="1" applyFill="1" applyBorder="1" applyAlignment="1">
      <alignment horizontal="center" vertical="center" wrapText="1"/>
    </xf>
    <xf numFmtId="0" fontId="18" fillId="17" borderId="11"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0" fillId="0" borderId="36" xfId="0" applyBorder="1" applyAlignment="1">
      <alignment vertical="center" wrapText="1"/>
    </xf>
    <xf numFmtId="0" fontId="18" fillId="18" borderId="36" xfId="0" applyFont="1" applyFill="1" applyBorder="1" applyAlignment="1">
      <alignment vertical="center" wrapText="1"/>
    </xf>
    <xf numFmtId="0" fontId="18" fillId="18" borderId="38" xfId="0" applyFont="1" applyFill="1" applyBorder="1" applyAlignment="1">
      <alignment vertical="center" wrapText="1"/>
    </xf>
    <xf numFmtId="9" fontId="0" fillId="0" borderId="0" xfId="2" applyFont="1"/>
    <xf numFmtId="164" fontId="15" fillId="10" borderId="34" xfId="0" applyNumberFormat="1" applyFont="1" applyFill="1" applyBorder="1" applyAlignment="1">
      <alignment horizontal="center" wrapText="1"/>
    </xf>
    <xf numFmtId="164" fontId="15" fillId="10" borderId="34" xfId="0" applyNumberFormat="1" applyFont="1" applyFill="1" applyBorder="1" applyAlignment="1">
      <alignment wrapText="1"/>
    </xf>
    <xf numFmtId="164" fontId="8" fillId="0" borderId="17" xfId="0" applyNumberFormat="1" applyFont="1" applyBorder="1" applyAlignment="1" applyProtection="1">
      <alignment wrapText="1"/>
      <protection locked="0"/>
    </xf>
    <xf numFmtId="164" fontId="8" fillId="19" borderId="17" xfId="3" applyFont="1" applyFill="1" applyBorder="1" applyAlignment="1" applyProtection="1">
      <alignment horizontal="center" vertical="center" wrapText="1"/>
      <protection locked="0"/>
    </xf>
    <xf numFmtId="164" fontId="15" fillId="10" borderId="17" xfId="0" applyNumberFormat="1" applyFont="1" applyFill="1" applyBorder="1" applyAlignment="1">
      <alignment wrapText="1"/>
    </xf>
    <xf numFmtId="164" fontId="8" fillId="0" borderId="7" xfId="0" applyNumberFormat="1" applyFont="1" applyBorder="1" applyAlignment="1" applyProtection="1">
      <alignment wrapText="1"/>
      <protection locked="0"/>
    </xf>
    <xf numFmtId="164" fontId="8" fillId="19" borderId="7" xfId="3" applyFont="1" applyFill="1" applyBorder="1" applyAlignment="1" applyProtection="1">
      <alignment horizontal="center" vertical="center" wrapText="1"/>
      <protection locked="0"/>
    </xf>
    <xf numFmtId="164" fontId="15" fillId="10" borderId="7" xfId="0" applyNumberFormat="1" applyFont="1" applyFill="1" applyBorder="1" applyAlignment="1">
      <alignment wrapText="1"/>
    </xf>
    <xf numFmtId="164" fontId="15" fillId="12" borderId="7" xfId="6" applyNumberFormat="1" applyFont="1" applyFill="1" applyBorder="1" applyAlignment="1">
      <alignment wrapText="1"/>
    </xf>
    <xf numFmtId="164" fontId="15" fillId="10" borderId="27" xfId="0" applyNumberFormat="1" applyFont="1" applyFill="1" applyBorder="1" applyAlignment="1">
      <alignment horizontal="center" wrapText="1"/>
    </xf>
    <xf numFmtId="164" fontId="15" fillId="10" borderId="27" xfId="0" applyNumberFormat="1" applyFont="1" applyFill="1" applyBorder="1" applyAlignment="1">
      <alignment wrapText="1"/>
    </xf>
    <xf numFmtId="164" fontId="8" fillId="19" borderId="17" xfId="6" applyNumberFormat="1" applyFont="1" applyFill="1" applyBorder="1" applyAlignment="1" applyProtection="1">
      <alignment horizontal="center" vertical="center" wrapText="1"/>
      <protection locked="0"/>
    </xf>
    <xf numFmtId="164" fontId="8" fillId="19" borderId="7" xfId="6" applyNumberFormat="1" applyFont="1" applyFill="1" applyBorder="1" applyAlignment="1" applyProtection="1">
      <alignment horizontal="center" vertical="center" wrapText="1"/>
      <protection locked="0"/>
    </xf>
    <xf numFmtId="164" fontId="15" fillId="12" borderId="18" xfId="6" applyNumberFormat="1" applyFont="1" applyFill="1" applyBorder="1" applyAlignment="1">
      <alignment wrapText="1"/>
    </xf>
    <xf numFmtId="164" fontId="15" fillId="10" borderId="18" xfId="0" applyNumberFormat="1" applyFont="1" applyFill="1" applyBorder="1" applyAlignment="1">
      <alignment wrapText="1"/>
    </xf>
    <xf numFmtId="164" fontId="8" fillId="19" borderId="7" xfId="0" applyNumberFormat="1" applyFont="1" applyFill="1" applyBorder="1" applyAlignment="1" applyProtection="1">
      <alignment wrapText="1"/>
      <protection locked="0"/>
    </xf>
    <xf numFmtId="164" fontId="8" fillId="0" borderId="7" xfId="3" applyFont="1" applyBorder="1" applyAlignment="1" applyProtection="1">
      <alignment vertical="center" wrapText="1"/>
      <protection locked="0"/>
    </xf>
    <xf numFmtId="164" fontId="15" fillId="20" borderId="7" xfId="0" applyNumberFormat="1" applyFont="1" applyFill="1" applyBorder="1" applyAlignment="1" applyProtection="1">
      <alignment wrapText="1"/>
      <protection locked="0"/>
    </xf>
    <xf numFmtId="164" fontId="18" fillId="12" borderId="7" xfId="0" applyNumberFormat="1" applyFont="1" applyFill="1" applyBorder="1"/>
    <xf numFmtId="164" fontId="7" fillId="0" borderId="17" xfId="3" applyFont="1" applyFill="1" applyBorder="1" applyAlignment="1" applyProtection="1">
      <alignment horizontal="center" vertical="center" wrapText="1"/>
      <protection locked="0"/>
    </xf>
    <xf numFmtId="164" fontId="6" fillId="12" borderId="7" xfId="3" applyFont="1" applyFill="1" applyBorder="1" applyAlignment="1" applyProtection="1">
      <alignment vertical="center" wrapText="1"/>
    </xf>
    <xf numFmtId="164" fontId="8" fillId="21" borderId="7" xfId="0" applyNumberFormat="1" applyFont="1" applyFill="1" applyBorder="1" applyAlignment="1" applyProtection="1">
      <alignment wrapText="1"/>
      <protection locked="0"/>
    </xf>
    <xf numFmtId="164" fontId="18" fillId="21" borderId="7" xfId="0" applyNumberFormat="1" applyFont="1" applyFill="1" applyBorder="1"/>
    <xf numFmtId="164" fontId="15" fillId="21" borderId="7" xfId="0" applyNumberFormat="1" applyFont="1" applyFill="1" applyBorder="1" applyAlignment="1" applyProtection="1">
      <alignment wrapText="1"/>
      <protection locked="0"/>
    </xf>
    <xf numFmtId="164" fontId="8" fillId="22" borderId="7" xfId="0" applyNumberFormat="1" applyFont="1" applyFill="1" applyBorder="1" applyAlignment="1" applyProtection="1">
      <alignment wrapText="1"/>
      <protection locked="0"/>
    </xf>
    <xf numFmtId="164" fontId="18" fillId="22" borderId="7" xfId="0" applyNumberFormat="1" applyFont="1" applyFill="1" applyBorder="1"/>
    <xf numFmtId="164" fontId="15" fillId="22" borderId="7" xfId="0" applyNumberFormat="1" applyFont="1" applyFill="1" applyBorder="1" applyAlignment="1" applyProtection="1">
      <alignment wrapText="1"/>
      <protection locked="0"/>
    </xf>
    <xf numFmtId="0" fontId="11" fillId="24" borderId="7" xfId="0" applyFont="1" applyFill="1" applyBorder="1" applyAlignment="1">
      <alignment horizontal="center" vertical="center" wrapText="1"/>
    </xf>
    <xf numFmtId="0" fontId="12" fillId="24" borderId="7" xfId="0" applyFont="1" applyFill="1" applyBorder="1" applyAlignment="1">
      <alignment horizontal="center" vertical="center" wrapText="1"/>
    </xf>
    <xf numFmtId="164" fontId="0" fillId="0" borderId="7" xfId="3" applyFont="1" applyBorder="1" applyAlignment="1">
      <alignment vertical="center"/>
    </xf>
    <xf numFmtId="164" fontId="0" fillId="12" borderId="7" xfId="3" applyFont="1" applyFill="1" applyBorder="1" applyAlignment="1">
      <alignment vertical="center"/>
    </xf>
    <xf numFmtId="164" fontId="0" fillId="23" borderId="7" xfId="3" applyFont="1" applyFill="1" applyBorder="1"/>
    <xf numFmtId="164" fontId="18" fillId="23" borderId="7" xfId="3" applyFont="1" applyFill="1" applyBorder="1"/>
    <xf numFmtId="164" fontId="18" fillId="23" borderId="7" xfId="0" applyNumberFormat="1" applyFont="1" applyFill="1" applyBorder="1"/>
    <xf numFmtId="164" fontId="8" fillId="0" borderId="7" xfId="0" applyNumberFormat="1" applyFont="1" applyBorder="1" applyAlignment="1" applyProtection="1">
      <alignment horizontal="left" wrapText="1"/>
      <protection locked="0"/>
    </xf>
    <xf numFmtId="164" fontId="15" fillId="12" borderId="7" xfId="0" applyNumberFormat="1" applyFont="1" applyFill="1" applyBorder="1" applyAlignment="1" applyProtection="1">
      <alignment horizontal="left" wrapText="1"/>
      <protection locked="0"/>
    </xf>
    <xf numFmtId="164" fontId="15" fillId="20" borderId="7" xfId="0" applyNumberFormat="1" applyFont="1" applyFill="1" applyBorder="1" applyAlignment="1" applyProtection="1">
      <alignment horizontal="left" wrapText="1"/>
      <protection locked="0"/>
    </xf>
    <xf numFmtId="164" fontId="15" fillId="20" borderId="7" xfId="3" applyFont="1" applyFill="1" applyBorder="1" applyAlignment="1">
      <alignment wrapText="1"/>
    </xf>
    <xf numFmtId="164" fontId="8" fillId="0" borderId="8" xfId="0" applyNumberFormat="1" applyFont="1" applyBorder="1" applyAlignment="1">
      <alignment wrapText="1"/>
    </xf>
    <xf numFmtId="164" fontId="8" fillId="0" borderId="15" xfId="0" applyNumberFormat="1" applyFont="1" applyBorder="1" applyAlignment="1">
      <alignment wrapText="1"/>
    </xf>
    <xf numFmtId="168" fontId="8" fillId="0" borderId="7" xfId="0" applyNumberFormat="1" applyFont="1" applyBorder="1" applyAlignment="1" applyProtection="1">
      <alignment horizontal="left" wrapText="1"/>
      <protection locked="0"/>
    </xf>
    <xf numFmtId="164" fontId="15" fillId="25" borderId="7" xfId="0" applyNumberFormat="1" applyFont="1" applyFill="1" applyBorder="1" applyAlignment="1" applyProtection="1">
      <alignment horizontal="left" wrapText="1"/>
      <protection locked="0"/>
    </xf>
    <xf numFmtId="164" fontId="8" fillId="19" borderId="7" xfId="0" applyNumberFormat="1" applyFont="1" applyFill="1" applyBorder="1" applyAlignment="1" applyProtection="1">
      <alignment horizontal="left" wrapText="1"/>
      <protection locked="0"/>
    </xf>
    <xf numFmtId="164" fontId="18" fillId="26" borderId="7" xfId="3" applyFont="1" applyFill="1" applyBorder="1"/>
    <xf numFmtId="0" fontId="18" fillId="10" borderId="37" xfId="0" applyFont="1" applyFill="1" applyBorder="1" applyAlignment="1">
      <alignment wrapText="1"/>
    </xf>
    <xf numFmtId="164" fontId="7" fillId="19" borderId="7" xfId="3" applyFont="1" applyFill="1" applyBorder="1" applyAlignment="1" applyProtection="1">
      <alignment horizontal="center" vertical="center" wrapText="1"/>
      <protection locked="0"/>
    </xf>
    <xf numFmtId="43" fontId="0" fillId="0" borderId="0" xfId="0" applyNumberFormat="1"/>
    <xf numFmtId="164" fontId="18" fillId="12" borderId="7" xfId="3" applyFont="1" applyFill="1" applyBorder="1" applyAlignment="1">
      <alignment vertical="center"/>
    </xf>
    <xf numFmtId="0" fontId="4" fillId="27" borderId="4" xfId="0" applyFont="1" applyFill="1" applyBorder="1" applyAlignment="1">
      <alignment horizontal="center" vertical="center" wrapText="1"/>
    </xf>
    <xf numFmtId="164" fontId="0" fillId="28" borderId="7" xfId="0" applyNumberFormat="1" applyFill="1" applyBorder="1" applyAlignment="1">
      <alignment vertical="center"/>
    </xf>
    <xf numFmtId="164" fontId="0" fillId="28" borderId="17" xfId="0" applyNumberFormat="1" applyFill="1" applyBorder="1" applyAlignment="1">
      <alignment vertical="center"/>
    </xf>
    <xf numFmtId="0" fontId="0" fillId="21" borderId="7" xfId="0" applyFill="1" applyBorder="1"/>
    <xf numFmtId="164" fontId="0" fillId="29" borderId="7" xfId="0" applyNumberFormat="1" applyFill="1" applyBorder="1" applyAlignment="1">
      <alignment vertical="center"/>
    </xf>
    <xf numFmtId="0" fontId="0" fillId="29" borderId="7" xfId="0" applyFill="1" applyBorder="1"/>
    <xf numFmtId="164" fontId="0" fillId="29" borderId="17" xfId="0" applyNumberFormat="1" applyFill="1" applyBorder="1" applyAlignment="1">
      <alignment vertical="center"/>
    </xf>
    <xf numFmtId="164" fontId="15" fillId="30" borderId="34" xfId="0" applyNumberFormat="1" applyFont="1" applyFill="1" applyBorder="1" applyAlignment="1">
      <alignment wrapText="1"/>
    </xf>
    <xf numFmtId="164" fontId="15" fillId="30" borderId="7" xfId="0" applyNumberFormat="1" applyFont="1" applyFill="1" applyBorder="1" applyAlignment="1" applyProtection="1">
      <alignment wrapText="1"/>
      <protection locked="0"/>
    </xf>
    <xf numFmtId="164" fontId="15" fillId="30" borderId="7" xfId="6" applyNumberFormat="1" applyFont="1" applyFill="1" applyBorder="1" applyAlignment="1">
      <alignment wrapText="1"/>
    </xf>
    <xf numFmtId="0" fontId="0" fillId="22" borderId="7" xfId="0" applyFill="1" applyBorder="1"/>
    <xf numFmtId="164" fontId="15" fillId="31" borderId="34" xfId="0" applyNumberFormat="1" applyFont="1" applyFill="1" applyBorder="1" applyAlignment="1">
      <alignment wrapText="1"/>
    </xf>
    <xf numFmtId="164" fontId="15" fillId="31" borderId="7" xfId="0" applyNumberFormat="1" applyFont="1" applyFill="1" applyBorder="1" applyAlignment="1" applyProtection="1">
      <alignment wrapText="1"/>
      <protection locked="0"/>
    </xf>
    <xf numFmtId="164" fontId="15" fillId="31" borderId="7" xfId="6" applyNumberFormat="1" applyFont="1" applyFill="1" applyBorder="1" applyAlignment="1">
      <alignment wrapText="1"/>
    </xf>
    <xf numFmtId="164" fontId="18" fillId="32" borderId="7" xfId="3" applyFont="1" applyFill="1" applyBorder="1"/>
    <xf numFmtId="164" fontId="18" fillId="32" borderId="7" xfId="0" applyNumberFormat="1" applyFont="1" applyFill="1" applyBorder="1"/>
    <xf numFmtId="164" fontId="18" fillId="33" borderId="7" xfId="0" applyNumberFormat="1" applyFont="1" applyFill="1" applyBorder="1"/>
    <xf numFmtId="164" fontId="18" fillId="26" borderId="7" xfId="0" applyNumberFormat="1" applyFont="1" applyFill="1" applyBorder="1"/>
    <xf numFmtId="164" fontId="0" fillId="22" borderId="7" xfId="3" applyFont="1" applyFill="1" applyBorder="1" applyAlignment="1">
      <alignment vertical="center"/>
    </xf>
    <xf numFmtId="164" fontId="0" fillId="22" borderId="7" xfId="0" applyNumberFormat="1" applyFill="1" applyBorder="1"/>
    <xf numFmtId="164" fontId="0" fillId="22" borderId="7" xfId="0" applyNumberFormat="1" applyFill="1" applyBorder="1" applyAlignment="1">
      <alignment vertical="center"/>
    </xf>
    <xf numFmtId="164" fontId="1" fillId="22" borderId="7" xfId="3" applyFont="1" applyFill="1" applyBorder="1" applyAlignment="1">
      <alignment vertical="center"/>
    </xf>
    <xf numFmtId="164" fontId="0" fillId="22" borderId="17" xfId="3" applyFont="1" applyFill="1" applyBorder="1" applyAlignment="1">
      <alignment vertical="center"/>
    </xf>
    <xf numFmtId="0" fontId="1" fillId="22" borderId="7" xfId="0" applyFont="1" applyFill="1" applyBorder="1"/>
    <xf numFmtId="164" fontId="1" fillId="22" borderId="7" xfId="0" applyNumberFormat="1" applyFont="1" applyFill="1" applyBorder="1"/>
    <xf numFmtId="164" fontId="7" fillId="27" borderId="7" xfId="0" applyNumberFormat="1" applyFont="1" applyFill="1" applyBorder="1" applyAlignment="1">
      <alignment vertical="center" wrapText="1"/>
    </xf>
    <xf numFmtId="167" fontId="6" fillId="27" borderId="27" xfId="3" applyNumberFormat="1" applyFont="1" applyFill="1" applyBorder="1" applyAlignment="1" applyProtection="1">
      <alignment vertical="center" wrapText="1"/>
    </xf>
    <xf numFmtId="0" fontId="4" fillId="27" borderId="3" xfId="0" applyFont="1" applyFill="1" applyBorder="1" applyAlignment="1">
      <alignment horizontal="center" vertical="center" wrapText="1"/>
    </xf>
    <xf numFmtId="0" fontId="4" fillId="27" borderId="5" xfId="0" applyFont="1" applyFill="1" applyBorder="1" applyAlignment="1">
      <alignment horizontal="center" vertical="center" wrapText="1"/>
    </xf>
    <xf numFmtId="164" fontId="7" fillId="27" borderId="6" xfId="0" applyNumberFormat="1" applyFont="1" applyFill="1" applyBorder="1" applyAlignment="1">
      <alignment vertical="center" wrapText="1"/>
    </xf>
    <xf numFmtId="164" fontId="7" fillId="27" borderId="10" xfId="0" applyNumberFormat="1" applyFont="1" applyFill="1" applyBorder="1" applyAlignment="1">
      <alignment vertical="center" wrapText="1"/>
    </xf>
    <xf numFmtId="164" fontId="6" fillId="27" borderId="26" xfId="3" applyFont="1" applyFill="1" applyBorder="1" applyAlignment="1" applyProtection="1">
      <alignment vertical="center" wrapText="1"/>
    </xf>
    <xf numFmtId="167" fontId="6" fillId="27" borderId="28" xfId="3" applyNumberFormat="1" applyFont="1" applyFill="1" applyBorder="1" applyAlignment="1" applyProtection="1">
      <alignment vertical="center" wrapText="1"/>
    </xf>
    <xf numFmtId="164" fontId="7" fillId="34" borderId="7" xfId="0" applyNumberFormat="1" applyFont="1" applyFill="1" applyBorder="1" applyAlignment="1">
      <alignment vertical="center" wrapText="1"/>
    </xf>
    <xf numFmtId="167" fontId="6" fillId="34" borderId="27" xfId="3" applyNumberFormat="1" applyFont="1" applyFill="1" applyBorder="1" applyAlignment="1" applyProtection="1">
      <alignment vertical="center" wrapText="1"/>
    </xf>
    <xf numFmtId="164" fontId="7" fillId="34" borderId="6" xfId="0" applyNumberFormat="1" applyFont="1" applyFill="1" applyBorder="1" applyAlignment="1">
      <alignment vertical="center" wrapText="1"/>
    </xf>
    <xf numFmtId="164" fontId="7" fillId="34" borderId="10" xfId="0" applyNumberFormat="1" applyFont="1" applyFill="1" applyBorder="1" applyAlignment="1">
      <alignment vertical="center" wrapText="1"/>
    </xf>
    <xf numFmtId="167" fontId="6" fillId="34" borderId="26" xfId="3" applyNumberFormat="1" applyFont="1" applyFill="1" applyBorder="1" applyAlignment="1" applyProtection="1">
      <alignment vertical="center" wrapText="1"/>
    </xf>
    <xf numFmtId="167" fontId="6" fillId="34" borderId="28" xfId="3" applyNumberFormat="1" applyFont="1" applyFill="1" applyBorder="1" applyAlignment="1" applyProtection="1">
      <alignment vertical="center" wrapText="1"/>
    </xf>
    <xf numFmtId="164" fontId="7" fillId="35" borderId="11" xfId="0" applyNumberFormat="1" applyFont="1" applyFill="1" applyBorder="1" applyAlignment="1">
      <alignment vertical="center" wrapText="1"/>
    </xf>
    <xf numFmtId="164" fontId="7" fillId="35" borderId="7" xfId="0" applyNumberFormat="1" applyFont="1" applyFill="1" applyBorder="1" applyAlignment="1">
      <alignment vertical="center" wrapText="1"/>
    </xf>
    <xf numFmtId="167" fontId="6" fillId="35" borderId="39" xfId="3" applyNumberFormat="1" applyFont="1" applyFill="1" applyBorder="1" applyAlignment="1" applyProtection="1">
      <alignment vertical="center" wrapText="1"/>
    </xf>
    <xf numFmtId="167" fontId="6" fillId="35" borderId="27" xfId="3" applyNumberFormat="1" applyFont="1" applyFill="1" applyBorder="1" applyAlignment="1" applyProtection="1">
      <alignment vertical="center" wrapText="1"/>
    </xf>
    <xf numFmtId="0" fontId="4" fillId="34" borderId="40" xfId="0" applyFont="1" applyFill="1" applyBorder="1" applyAlignment="1">
      <alignment horizontal="center" vertical="center" wrapText="1"/>
    </xf>
    <xf numFmtId="0" fontId="4" fillId="34" borderId="41" xfId="0" applyFont="1" applyFill="1" applyBorder="1" applyAlignment="1">
      <alignment horizontal="center" vertical="center" wrapText="1"/>
    </xf>
    <xf numFmtId="0" fontId="4" fillId="34" borderId="42" xfId="0" applyFont="1" applyFill="1" applyBorder="1" applyAlignment="1">
      <alignment horizontal="center" vertical="center" wrapText="1"/>
    </xf>
    <xf numFmtId="0" fontId="4" fillId="35" borderId="43" xfId="0" applyFont="1" applyFill="1" applyBorder="1" applyAlignment="1">
      <alignment horizontal="center" vertical="center" wrapText="1"/>
    </xf>
    <xf numFmtId="0" fontId="4" fillId="35" borderId="41" xfId="0" applyFont="1" applyFill="1" applyBorder="1" applyAlignment="1">
      <alignment horizontal="center" vertical="center" wrapText="1"/>
    </xf>
    <xf numFmtId="0" fontId="12" fillId="36" borderId="7" xfId="0" applyFont="1" applyFill="1" applyBorder="1" applyAlignment="1">
      <alignment horizontal="center" vertical="center" wrapText="1"/>
    </xf>
    <xf numFmtId="164" fontId="8" fillId="19" borderId="7" xfId="0" applyNumberFormat="1" applyFont="1" applyFill="1" applyBorder="1" applyAlignment="1">
      <alignment wrapText="1"/>
    </xf>
    <xf numFmtId="164" fontId="8" fillId="19" borderId="8" xfId="0" applyNumberFormat="1" applyFont="1" applyFill="1" applyBorder="1" applyAlignment="1">
      <alignment wrapText="1"/>
    </xf>
    <xf numFmtId="164" fontId="8" fillId="19" borderId="15" xfId="0" applyNumberFormat="1" applyFont="1" applyFill="1" applyBorder="1" applyAlignment="1">
      <alignment wrapText="1"/>
    </xf>
    <xf numFmtId="164" fontId="18" fillId="20" borderId="7" xfId="0" applyNumberFormat="1" applyFont="1" applyFill="1" applyBorder="1"/>
    <xf numFmtId="0" fontId="0" fillId="0" borderId="7" xfId="0" applyBorder="1" applyAlignment="1">
      <alignment wrapText="1"/>
    </xf>
    <xf numFmtId="164" fontId="0" fillId="19" borderId="7" xfId="0" applyNumberFormat="1" applyFill="1" applyBorder="1" applyAlignment="1">
      <alignment vertical="center"/>
    </xf>
    <xf numFmtId="169" fontId="0" fillId="12" borderId="7" xfId="0" applyNumberFormat="1" applyFill="1" applyBorder="1"/>
    <xf numFmtId="169" fontId="0" fillId="0" borderId="7" xfId="0" applyNumberFormat="1" applyBorder="1" applyAlignment="1">
      <alignment vertical="center"/>
    </xf>
    <xf numFmtId="169" fontId="18" fillId="12" borderId="7" xfId="0" applyNumberFormat="1" applyFont="1" applyFill="1" applyBorder="1" applyAlignment="1">
      <alignment vertical="center"/>
    </xf>
    <xf numFmtId="169" fontId="18" fillId="12" borderId="7" xfId="0" applyNumberFormat="1" applyFont="1" applyFill="1" applyBorder="1"/>
    <xf numFmtId="0" fontId="4" fillId="37" borderId="41" xfId="0" applyFont="1" applyFill="1" applyBorder="1" applyAlignment="1">
      <alignment horizontal="center" vertical="center" wrapText="1"/>
    </xf>
    <xf numFmtId="164" fontId="7" fillId="37" borderId="7" xfId="0" applyNumberFormat="1" applyFont="1" applyFill="1" applyBorder="1" applyAlignment="1">
      <alignment vertical="center" wrapText="1"/>
    </xf>
    <xf numFmtId="167" fontId="6" fillId="37" borderId="27" xfId="3" applyNumberFormat="1" applyFont="1" applyFill="1" applyBorder="1" applyAlignment="1" applyProtection="1">
      <alignment vertical="center" wrapText="1"/>
    </xf>
    <xf numFmtId="0" fontId="4" fillId="35" borderId="46" xfId="0" applyFont="1" applyFill="1" applyBorder="1" applyAlignment="1">
      <alignment horizontal="center" vertical="center" wrapText="1"/>
    </xf>
    <xf numFmtId="164" fontId="7" fillId="35" borderId="8" xfId="0" applyNumberFormat="1" applyFont="1" applyFill="1" applyBorder="1" applyAlignment="1">
      <alignment vertical="center" wrapText="1"/>
    </xf>
    <xf numFmtId="167" fontId="6" fillId="35" borderId="47" xfId="3" applyNumberFormat="1" applyFont="1" applyFill="1" applyBorder="1" applyAlignment="1" applyProtection="1">
      <alignment vertical="center" wrapText="1"/>
    </xf>
    <xf numFmtId="0" fontId="4" fillId="37" borderId="40" xfId="0" applyFont="1" applyFill="1" applyBorder="1" applyAlignment="1">
      <alignment horizontal="center" vertical="center" wrapText="1"/>
    </xf>
    <xf numFmtId="0" fontId="4" fillId="37" borderId="42" xfId="0" applyFont="1" applyFill="1" applyBorder="1" applyAlignment="1">
      <alignment horizontal="center" vertical="center" wrapText="1"/>
    </xf>
    <xf numFmtId="164" fontId="7" fillId="37" borderId="6" xfId="0" applyNumberFormat="1" applyFont="1" applyFill="1" applyBorder="1" applyAlignment="1">
      <alignment vertical="center" wrapText="1"/>
    </xf>
    <xf numFmtId="164" fontId="7" fillId="37" borderId="10" xfId="0" applyNumberFormat="1" applyFont="1" applyFill="1" applyBorder="1" applyAlignment="1">
      <alignment vertical="center" wrapText="1"/>
    </xf>
    <xf numFmtId="167" fontId="6" fillId="37" borderId="26" xfId="3" applyNumberFormat="1" applyFont="1" applyFill="1" applyBorder="1" applyAlignment="1" applyProtection="1">
      <alignment vertical="center" wrapText="1"/>
    </xf>
    <xf numFmtId="167" fontId="6" fillId="37" borderId="28" xfId="3" applyNumberFormat="1" applyFont="1" applyFill="1" applyBorder="1" applyAlignment="1" applyProtection="1">
      <alignment vertical="center" wrapText="1"/>
    </xf>
    <xf numFmtId="164" fontId="18" fillId="12" borderId="7" xfId="0" applyNumberFormat="1" applyFont="1" applyFill="1" applyBorder="1" applyAlignment="1">
      <alignment vertical="center"/>
    </xf>
    <xf numFmtId="164" fontId="7" fillId="29" borderId="17" xfId="3" applyFont="1" applyFill="1" applyBorder="1" applyAlignment="1" applyProtection="1">
      <alignment horizontal="center" vertical="center" wrapText="1"/>
      <protection locked="0"/>
    </xf>
    <xf numFmtId="164" fontId="7" fillId="29" borderId="7" xfId="3" applyFont="1" applyFill="1" applyBorder="1" applyAlignment="1" applyProtection="1">
      <alignment horizontal="center" vertical="center" wrapText="1"/>
      <protection locked="0"/>
    </xf>
    <xf numFmtId="164" fontId="6" fillId="36" borderId="18" xfId="3" applyFont="1" applyFill="1" applyBorder="1" applyAlignment="1" applyProtection="1">
      <alignment horizontal="center" vertical="center" wrapText="1"/>
    </xf>
    <xf numFmtId="164" fontId="6" fillId="12" borderId="17" xfId="3" applyFont="1" applyFill="1" applyBorder="1" applyAlignment="1" applyProtection="1">
      <alignment horizontal="center" vertical="center" wrapText="1"/>
      <protection locked="0"/>
    </xf>
    <xf numFmtId="0" fontId="21" fillId="0" borderId="0" xfId="0" applyFont="1" applyAlignment="1">
      <alignment wrapText="1"/>
    </xf>
    <xf numFmtId="164" fontId="7" fillId="19" borderId="17" xfId="3" applyFont="1" applyFill="1" applyBorder="1" applyAlignment="1" applyProtection="1">
      <alignment horizontal="center" vertical="center" wrapText="1"/>
      <protection locked="0"/>
    </xf>
    <xf numFmtId="164" fontId="6" fillId="36" borderId="7" xfId="3" applyFont="1" applyFill="1" applyBorder="1" applyAlignment="1" applyProtection="1">
      <alignment horizontal="center" vertical="center" wrapText="1"/>
    </xf>
    <xf numFmtId="164" fontId="7" fillId="29" borderId="7" xfId="3" applyFont="1" applyFill="1" applyBorder="1" applyAlignment="1" applyProtection="1">
      <alignment vertical="center" wrapText="1"/>
      <protection locked="0"/>
    </xf>
    <xf numFmtId="164" fontId="6" fillId="4" borderId="28" xfId="3" applyFont="1" applyFill="1" applyBorder="1" applyAlignment="1" applyProtection="1">
      <alignment vertical="center" wrapText="1"/>
    </xf>
    <xf numFmtId="164" fontId="7" fillId="4" borderId="7" xfId="0" applyNumberFormat="1" applyFont="1" applyFill="1" applyBorder="1" applyAlignment="1">
      <alignment vertical="center" wrapText="1"/>
    </xf>
    <xf numFmtId="164" fontId="7" fillId="0" borderId="7" xfId="0" applyNumberFormat="1" applyFont="1" applyBorder="1" applyAlignment="1">
      <alignment vertical="center" wrapText="1"/>
    </xf>
    <xf numFmtId="164" fontId="7" fillId="4" borderId="10" xfId="0" applyNumberFormat="1" applyFont="1" applyFill="1" applyBorder="1" applyAlignment="1">
      <alignment vertical="center" wrapText="1"/>
    </xf>
    <xf numFmtId="164" fontId="6" fillId="4" borderId="27" xfId="3" applyFont="1" applyFill="1" applyBorder="1" applyAlignment="1" applyProtection="1">
      <alignment vertical="center" wrapText="1"/>
    </xf>
    <xf numFmtId="164" fontId="6" fillId="0" borderId="27" xfId="3" applyFont="1" applyFill="1" applyBorder="1" applyAlignment="1" applyProtection="1">
      <alignment vertical="center" wrapText="1"/>
    </xf>
    <xf numFmtId="164" fontId="0" fillId="0" borderId="0" xfId="0" applyNumberFormat="1"/>
    <xf numFmtId="164" fontId="22" fillId="19" borderId="7" xfId="3" applyFont="1" applyFill="1" applyBorder="1" applyAlignment="1" applyProtection="1">
      <alignment horizontal="center" vertical="center" wrapText="1"/>
      <protection locked="0"/>
    </xf>
    <xf numFmtId="164" fontId="23" fillId="22" borderId="7" xfId="0" applyNumberFormat="1" applyFont="1" applyFill="1" applyBorder="1" applyAlignment="1">
      <alignment vertical="center"/>
    </xf>
    <xf numFmtId="0" fontId="0" fillId="12" borderId="8" xfId="0" applyFill="1" applyBorder="1"/>
    <xf numFmtId="0" fontId="18" fillId="12" borderId="8" xfId="0" applyFont="1" applyFill="1" applyBorder="1"/>
    <xf numFmtId="9" fontId="18" fillId="0" borderId="0" xfId="2" applyFont="1" applyAlignment="1">
      <alignment horizontal="center"/>
    </xf>
    <xf numFmtId="0" fontId="7" fillId="3" borderId="7"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20" fillId="27" borderId="19" xfId="0" applyFont="1" applyFill="1" applyBorder="1" applyAlignment="1">
      <alignment horizontal="center" vertical="center" wrapText="1"/>
    </xf>
    <xf numFmtId="0" fontId="20" fillId="27" borderId="20" xfId="0" applyFont="1" applyFill="1" applyBorder="1" applyAlignment="1">
      <alignment horizontal="center" vertical="center" wrapText="1"/>
    </xf>
    <xf numFmtId="0" fontId="7" fillId="3" borderId="12" xfId="0" applyFont="1" applyFill="1" applyBorder="1" applyAlignment="1" applyProtection="1">
      <alignment horizontal="left" vertical="top" wrapText="1"/>
      <protection locked="0"/>
    </xf>
    <xf numFmtId="0" fontId="7" fillId="3" borderId="13"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4" xfId="0" applyFont="1" applyFill="1" applyBorder="1" applyAlignment="1">
      <alignment horizontal="center" vertical="center" wrapText="1"/>
    </xf>
    <xf numFmtId="164" fontId="6" fillId="4" borderId="23" xfId="3" applyFont="1" applyFill="1" applyBorder="1" applyAlignment="1" applyProtection="1">
      <alignment horizontal="center" vertical="center" wrapText="1"/>
    </xf>
    <xf numFmtId="164" fontId="6" fillId="4" borderId="25" xfId="3" applyFont="1" applyFill="1" applyBorder="1" applyAlignment="1" applyProtection="1">
      <alignment horizontal="center" vertical="center" wrapText="1"/>
    </xf>
    <xf numFmtId="0" fontId="20" fillId="34" borderId="7" xfId="0" applyFont="1" applyFill="1" applyBorder="1" applyAlignment="1">
      <alignment horizontal="center" vertical="center" wrapText="1"/>
    </xf>
    <xf numFmtId="0" fontId="20" fillId="37" borderId="6" xfId="0" applyFont="1" applyFill="1" applyBorder="1" applyAlignment="1">
      <alignment horizontal="center" vertical="center" wrapText="1"/>
    </xf>
    <xf numFmtId="0" fontId="20" fillId="37" borderId="7" xfId="0" applyFont="1" applyFill="1" applyBorder="1" applyAlignment="1">
      <alignment horizontal="center" vertical="center" wrapText="1"/>
    </xf>
    <xf numFmtId="0" fontId="20" fillId="37" borderId="10" xfId="0" applyFont="1" applyFill="1" applyBorder="1" applyAlignment="1">
      <alignment horizontal="center" vertical="center" wrapText="1"/>
    </xf>
    <xf numFmtId="0" fontId="7" fillId="3" borderId="7" xfId="0" applyFont="1" applyFill="1" applyBorder="1" applyAlignment="1" applyProtection="1">
      <alignment horizontal="left" vertical="top"/>
      <protection locked="0"/>
    </xf>
    <xf numFmtId="0" fontId="7" fillId="3" borderId="8" xfId="0" applyFont="1" applyFill="1" applyBorder="1" applyAlignment="1" applyProtection="1">
      <alignment horizontal="left" vertical="top"/>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49" fontId="6" fillId="3" borderId="8" xfId="0" applyNumberFormat="1" applyFont="1" applyFill="1" applyBorder="1" applyAlignment="1" applyProtection="1">
      <alignment horizontal="left" vertical="top" wrapText="1"/>
      <protection locked="0"/>
    </xf>
    <xf numFmtId="49" fontId="6" fillId="3" borderId="9" xfId="0" applyNumberFormat="1" applyFont="1" applyFill="1" applyBorder="1" applyAlignment="1" applyProtection="1">
      <alignment horizontal="left" vertical="top" wrapText="1"/>
      <protection locked="0"/>
    </xf>
    <xf numFmtId="49" fontId="7" fillId="3" borderId="15" xfId="0" applyNumberFormat="1" applyFont="1" applyFill="1" applyBorder="1" applyAlignment="1" applyProtection="1">
      <alignment horizontal="left" vertical="top" wrapText="1"/>
      <protection locked="0"/>
    </xf>
    <xf numFmtId="49" fontId="7" fillId="3" borderId="16" xfId="0" applyNumberFormat="1" applyFont="1" applyFill="1" applyBorder="1" applyAlignment="1" applyProtection="1">
      <alignment horizontal="left" vertical="top" wrapText="1"/>
      <protection locked="0"/>
    </xf>
    <xf numFmtId="0" fontId="6" fillId="11" borderId="44" xfId="0" applyFont="1" applyFill="1" applyBorder="1" applyAlignment="1">
      <alignment horizontal="center" vertical="center" wrapText="1"/>
    </xf>
    <xf numFmtId="0" fontId="6" fillId="11" borderId="45"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20" fillId="35" borderId="7" xfId="0" applyFont="1" applyFill="1" applyBorder="1" applyAlignment="1">
      <alignment horizontal="center" vertical="center" wrapText="1"/>
    </xf>
    <xf numFmtId="0" fontId="20" fillId="35" borderId="8" xfId="0" applyFont="1" applyFill="1" applyBorder="1" applyAlignment="1">
      <alignment horizontal="center" vertical="center" wrapText="1"/>
    </xf>
    <xf numFmtId="164" fontId="6" fillId="4" borderId="9" xfId="3" applyFont="1" applyFill="1" applyBorder="1" applyAlignment="1" applyProtection="1">
      <alignment horizontal="center" vertical="center" wrapText="1"/>
    </xf>
    <xf numFmtId="0" fontId="7" fillId="3" borderId="14"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17" fillId="4" borderId="8" xfId="0" applyFont="1" applyFill="1" applyBorder="1" applyAlignment="1">
      <alignment horizontal="left" wrapText="1"/>
    </xf>
    <xf numFmtId="0" fontId="17" fillId="4" borderId="9" xfId="0" applyFont="1" applyFill="1" applyBorder="1" applyAlignment="1">
      <alignment horizontal="left" wrapText="1"/>
    </xf>
    <xf numFmtId="0" fontId="17" fillId="4" borderId="11" xfId="0" applyFont="1" applyFill="1" applyBorder="1" applyAlignment="1">
      <alignment horizontal="left" wrapText="1"/>
    </xf>
    <xf numFmtId="0" fontId="15" fillId="10" borderId="8" xfId="0" applyFont="1" applyFill="1" applyBorder="1" applyAlignment="1">
      <alignment horizontal="left" wrapText="1"/>
    </xf>
    <xf numFmtId="0" fontId="15" fillId="10" borderId="9" xfId="0" applyFont="1" applyFill="1" applyBorder="1" applyAlignment="1">
      <alignment horizontal="left" wrapText="1"/>
    </xf>
    <xf numFmtId="0" fontId="15" fillId="10" borderId="11" xfId="0" applyFont="1" applyFill="1" applyBorder="1" applyAlignment="1">
      <alignment horizontal="left" wrapText="1"/>
    </xf>
    <xf numFmtId="0" fontId="13" fillId="0" borderId="0" xfId="0" applyFont="1" applyAlignment="1">
      <alignment horizontal="left" vertical="top" wrapText="1"/>
    </xf>
    <xf numFmtId="0" fontId="5" fillId="2" borderId="31" xfId="0" applyFont="1" applyFill="1" applyBorder="1" applyAlignment="1">
      <alignment horizontal="left" wrapText="1"/>
    </xf>
    <xf numFmtId="0" fontId="5" fillId="2" borderId="32" xfId="0" applyFont="1" applyFill="1" applyBorder="1" applyAlignment="1">
      <alignment horizontal="left"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15" fillId="10" borderId="7" xfId="0" applyFont="1" applyFill="1" applyBorder="1" applyAlignment="1">
      <alignment horizontal="left"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12" fillId="15" borderId="8"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2" fillId="0" borderId="11" xfId="0" applyFont="1" applyBorder="1" applyAlignment="1">
      <alignment horizontal="center" wrapText="1"/>
    </xf>
    <xf numFmtId="0" fontId="12" fillId="15" borderId="18" xfId="0" applyFont="1" applyFill="1" applyBorder="1" applyAlignment="1">
      <alignment horizontal="center" vertical="center" wrapText="1"/>
    </xf>
    <xf numFmtId="0" fontId="12" fillId="15" borderId="17"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24" borderId="8" xfId="0" applyFont="1" applyFill="1" applyBorder="1" applyAlignment="1">
      <alignment horizontal="center" vertical="center" wrapText="1"/>
    </xf>
    <xf numFmtId="0" fontId="11" fillId="24" borderId="9" xfId="0" applyFont="1" applyFill="1" applyBorder="1" applyAlignment="1">
      <alignment horizontal="center" vertical="center" wrapText="1"/>
    </xf>
    <xf numFmtId="0" fontId="11" fillId="24" borderId="11" xfId="0" applyFont="1" applyFill="1" applyBorder="1" applyAlignment="1">
      <alignment horizontal="center" vertical="center" wrapText="1"/>
    </xf>
    <xf numFmtId="0" fontId="12" fillId="26" borderId="18" xfId="0" applyFont="1" applyFill="1" applyBorder="1" applyAlignment="1">
      <alignment horizontal="center" vertical="center" wrapText="1"/>
    </xf>
    <xf numFmtId="0" fontId="12" fillId="26" borderId="17" xfId="0" applyFont="1" applyFill="1" applyBorder="1" applyAlignment="1">
      <alignment horizontal="center" vertical="center" wrapText="1"/>
    </xf>
    <xf numFmtId="0" fontId="12" fillId="36" borderId="8" xfId="0" applyFont="1" applyFill="1" applyBorder="1" applyAlignment="1">
      <alignment horizontal="center" vertical="center" wrapText="1"/>
    </xf>
    <xf numFmtId="0" fontId="12" fillId="36" borderId="9" xfId="0" applyFont="1" applyFill="1" applyBorder="1" applyAlignment="1">
      <alignment horizontal="center" vertical="center" wrapText="1"/>
    </xf>
    <xf numFmtId="0" fontId="12" fillId="36" borderId="11" xfId="0" applyFont="1" applyFill="1" applyBorder="1" applyAlignment="1">
      <alignment horizontal="center" vertical="center" wrapText="1"/>
    </xf>
    <xf numFmtId="0" fontId="12" fillId="36" borderId="18" xfId="0" applyFont="1" applyFill="1" applyBorder="1" applyAlignment="1">
      <alignment horizontal="center" vertical="center" wrapText="1"/>
    </xf>
    <xf numFmtId="0" fontId="12" fillId="36" borderId="17"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8" fillId="16" borderId="19" xfId="0" applyFont="1" applyFill="1" applyBorder="1" applyAlignment="1">
      <alignment horizontal="center" vertical="center" wrapText="1"/>
    </xf>
    <xf numFmtId="0" fontId="18" fillId="16" borderId="36" xfId="0" applyFont="1" applyFill="1" applyBorder="1" applyAlignment="1">
      <alignment horizontal="center" vertical="center" wrapText="1"/>
    </xf>
    <xf numFmtId="0" fontId="18" fillId="16" borderId="21" xfId="0" applyFont="1" applyFill="1" applyBorder="1" applyAlignment="1">
      <alignment horizontal="center" vertical="center" wrapText="1"/>
    </xf>
  </cellXfs>
  <cellStyles count="23">
    <cellStyle name="Currency 2" xfId="6" xr:uid="{2798C2AB-FE2C-4CBB-8539-66CBBC31FABB}"/>
    <cellStyle name="Milliers [0]" xfId="1" builtinId="6"/>
    <cellStyle name="Milliers [0] 2" xfId="9" xr:uid="{5DB377EB-C6D0-42DE-A367-BBB2C938027E}"/>
    <cellStyle name="Milliers [0] 3" xfId="12" xr:uid="{EBCBCB43-53E6-49E2-8F75-FA648523B8F3}"/>
    <cellStyle name="Milliers [0] 4" xfId="19" xr:uid="{073F0EC8-577F-419F-883F-B6C644EB6313}"/>
    <cellStyle name="Milliers [0] 5" xfId="7" xr:uid="{A266B84B-48F7-4E52-94E6-1B448B3DBF87}"/>
    <cellStyle name="Milliers [0] 6" xfId="22" xr:uid="{6C80A3BF-7BA0-48D2-913F-0B2B49B12C6C}"/>
    <cellStyle name="Milliers 10" xfId="17" xr:uid="{91CE7B57-0E9B-41AD-A0B6-4B8233799770}"/>
    <cellStyle name="Milliers 11" xfId="18" xr:uid="{F067D861-E394-4D0D-AE66-904EA1C5B9AB}"/>
    <cellStyle name="Milliers 12" xfId="20" xr:uid="{40857BEA-E98E-4E1C-9557-DF17256CE08C}"/>
    <cellStyle name="Milliers 13" xfId="4" xr:uid="{5997B9AD-82C0-44C9-80A7-965368CF4752}"/>
    <cellStyle name="Milliers 2" xfId="5" xr:uid="{43061759-E8B2-40AF-BB0B-4910953F6965}"/>
    <cellStyle name="Milliers 2 2" xfId="21" xr:uid="{0AB9C1BF-C819-4CE3-A34A-A05B8D8BF861}"/>
    <cellStyle name="Milliers 3" xfId="8" xr:uid="{97E93C6C-8B81-44C2-A550-C33F8004B2F7}"/>
    <cellStyle name="Milliers 4" xfId="10" xr:uid="{C7140460-0278-4583-A247-8A83822CBE2B}"/>
    <cellStyle name="Milliers 5" xfId="11" xr:uid="{45B91502-ADFC-4B98-8975-81554543AD09}"/>
    <cellStyle name="Milliers 6" xfId="13" xr:uid="{59D45F11-5A72-4E13-A2E3-253F8BC5A955}"/>
    <cellStyle name="Milliers 7" xfId="15" xr:uid="{A24DBD04-4767-4B87-9F3E-95C8E8675CB3}"/>
    <cellStyle name="Milliers 8" xfId="14" xr:uid="{AE6AC20C-85AE-4CCE-A42B-6159AC4ED724}"/>
    <cellStyle name="Milliers 9" xfId="16" xr:uid="{41A8A691-0E68-4947-9C5A-FFF843D66BF8}"/>
    <cellStyle name="Monétaire 3" xfId="3" xr:uid="{5276436D-C3CA-4707-9920-05E31C3C452A}"/>
    <cellStyle name="Normal" xfId="0" builtinId="0"/>
    <cellStyle name="Pourcentage" xfId="2" builtinId="5"/>
  </cellStyles>
  <dxfs count="1">
    <dxf>
      <font>
        <color rgb="FF9C0006"/>
      </font>
      <fill>
        <patternFill>
          <bgColor rgb="FFFFC7CE"/>
        </patternFill>
      </fill>
    </dxf>
  </dxfs>
  <tableStyles count="0" defaultTableStyle="TableStyleMedium2" defaultPivotStyle="PivotStyleLight16"/>
  <colors>
    <mruColors>
      <color rgb="FFFFC61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BELAHY\Downloads\Rapport%20Financier%20Annuel%20-%20RAM%202%20Canevas_UNICEF.xlsx" TargetMode="External"/><Relationship Id="rId1" Type="http://schemas.openxmlformats.org/officeDocument/2006/relationships/externalLinkPath" Target="file:///C:\Users\PBELAHY\Downloads\Rapport%20Financier%20Annuel%20-%20RAM%202%20Canevas_UNIC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 par produits"/>
      <sheetName val="2)UNDG Budget categ par produit"/>
      <sheetName val="3) RF - Par catégories budgétai"/>
    </sheetNames>
    <sheetDataSet>
      <sheetData sheetId="0"/>
      <sheetData sheetId="1">
        <row r="120">
          <cell r="R120">
            <v>37666.83</v>
          </cell>
        </row>
        <row r="121">
          <cell r="R121">
            <v>0</v>
          </cell>
        </row>
        <row r="122">
          <cell r="R122">
            <v>0</v>
          </cell>
        </row>
        <row r="123">
          <cell r="R123">
            <v>101240.13993450521</v>
          </cell>
        </row>
        <row r="124">
          <cell r="R124">
            <v>37928.700000000004</v>
          </cell>
        </row>
        <row r="125">
          <cell r="R125">
            <v>49418.990000000005</v>
          </cell>
        </row>
        <row r="126">
          <cell r="R126">
            <v>361.58</v>
          </cell>
        </row>
      </sheetData>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26DB-F8B5-45EA-8A90-E9F30EF196EF}">
  <dimension ref="A1:X72"/>
  <sheetViews>
    <sheetView topLeftCell="A9" zoomScale="23" zoomScaleNormal="98" workbookViewId="0">
      <selection activeCell="F20" sqref="F20"/>
    </sheetView>
  </sheetViews>
  <sheetFormatPr baseColWidth="10" defaultColWidth="10.90625" defaultRowHeight="14.5" x14ac:dyDescent="0.35"/>
  <cols>
    <col min="1" max="1" width="17.81640625" customWidth="1"/>
    <col min="2" max="2" width="39.54296875" bestFit="1" customWidth="1"/>
    <col min="3" max="5" width="17" bestFit="1" customWidth="1"/>
    <col min="6" max="6" width="22.7265625" customWidth="1"/>
    <col min="7" max="7" width="25.26953125" bestFit="1" customWidth="1"/>
    <col min="8" max="8" width="23.54296875" bestFit="1" customWidth="1"/>
    <col min="9" max="9" width="14.453125" bestFit="1" customWidth="1"/>
    <col min="10" max="10" width="15.26953125" bestFit="1" customWidth="1"/>
    <col min="11" max="11" width="15" bestFit="1" customWidth="1"/>
    <col min="12" max="13" width="15.54296875" bestFit="1" customWidth="1"/>
    <col min="14" max="14" width="17.7265625" bestFit="1" customWidth="1"/>
    <col min="15" max="15" width="16.453125" bestFit="1" customWidth="1"/>
    <col min="16" max="16" width="20.81640625" bestFit="1" customWidth="1"/>
    <col min="17" max="17" width="16.54296875" bestFit="1" customWidth="1"/>
    <col min="18" max="18" width="17.7265625" bestFit="1" customWidth="1"/>
    <col min="19" max="19" width="18.81640625" bestFit="1" customWidth="1"/>
    <col min="20" max="20" width="17.7265625" customWidth="1"/>
    <col min="21" max="21" width="31.81640625" bestFit="1" customWidth="1"/>
    <col min="22" max="22" width="39.453125" customWidth="1"/>
    <col min="23" max="23" width="22.1796875" customWidth="1"/>
    <col min="24" max="24" width="23.1796875" customWidth="1"/>
  </cols>
  <sheetData>
    <row r="1" spans="1:22" ht="52" customHeight="1" thickBot="1" x14ac:dyDescent="0.4">
      <c r="A1" s="273" t="s">
        <v>0</v>
      </c>
      <c r="B1" s="274"/>
      <c r="C1" s="274"/>
      <c r="D1" s="274"/>
      <c r="E1" s="274"/>
      <c r="F1" s="274"/>
      <c r="G1" s="274"/>
      <c r="H1" s="2"/>
      <c r="I1" s="2"/>
      <c r="J1" s="2"/>
      <c r="K1" s="2"/>
      <c r="L1" s="2"/>
      <c r="M1" s="2"/>
      <c r="N1" s="2"/>
      <c r="O1" s="2"/>
      <c r="P1" s="2"/>
      <c r="Q1" s="2"/>
      <c r="R1" s="2"/>
      <c r="S1" s="2"/>
      <c r="T1" s="2"/>
      <c r="U1" s="2"/>
      <c r="V1" s="2"/>
    </row>
    <row r="2" spans="1:22" x14ac:dyDescent="0.35">
      <c r="A2" s="2"/>
      <c r="B2" s="3"/>
      <c r="C2" s="2"/>
      <c r="D2" s="2"/>
      <c r="E2" s="2"/>
      <c r="F2" s="2"/>
      <c r="G2" s="2"/>
      <c r="H2" s="2"/>
      <c r="I2" s="2"/>
      <c r="J2" s="2"/>
      <c r="K2" s="2"/>
      <c r="L2" s="2"/>
      <c r="M2" s="2"/>
      <c r="N2" s="2"/>
      <c r="O2" s="2"/>
      <c r="P2" s="2"/>
      <c r="Q2" s="2"/>
      <c r="R2" s="2"/>
      <c r="S2" s="2"/>
      <c r="T2" s="2"/>
      <c r="U2" s="2"/>
      <c r="V2" s="2"/>
    </row>
    <row r="3" spans="1:22" ht="15" thickBot="1" x14ac:dyDescent="0.4">
      <c r="A3" s="2"/>
      <c r="B3" s="3"/>
      <c r="C3" s="4"/>
      <c r="D3" s="4"/>
      <c r="E3" s="4"/>
      <c r="F3" s="4"/>
      <c r="G3" s="2"/>
      <c r="H3" s="5"/>
      <c r="I3" s="5"/>
      <c r="J3" s="5"/>
      <c r="K3" s="5"/>
      <c r="L3" s="5"/>
      <c r="M3" s="2"/>
      <c r="N3" s="2"/>
      <c r="O3" s="2"/>
      <c r="P3" s="2"/>
      <c r="Q3" s="2"/>
      <c r="R3" s="2"/>
      <c r="S3" s="2"/>
      <c r="T3" s="2"/>
      <c r="U3" s="2"/>
      <c r="V3" s="2"/>
    </row>
    <row r="4" spans="1:22" ht="116" x14ac:dyDescent="0.35">
      <c r="A4" s="6" t="s">
        <v>1</v>
      </c>
      <c r="B4" s="7" t="s">
        <v>2</v>
      </c>
      <c r="C4" s="8" t="s">
        <v>3</v>
      </c>
      <c r="D4" s="8" t="s">
        <v>4</v>
      </c>
      <c r="E4" s="8" t="s">
        <v>5</v>
      </c>
      <c r="F4" s="8" t="s">
        <v>6</v>
      </c>
      <c r="G4" s="8" t="s">
        <v>7</v>
      </c>
      <c r="H4" s="9" t="s">
        <v>8</v>
      </c>
      <c r="I4" s="161" t="s">
        <v>168</v>
      </c>
      <c r="J4" s="161" t="s">
        <v>19</v>
      </c>
      <c r="K4" s="161" t="s">
        <v>10</v>
      </c>
      <c r="L4" s="161" t="s">
        <v>11</v>
      </c>
      <c r="M4" s="10" t="s">
        <v>9</v>
      </c>
      <c r="N4" s="10" t="s">
        <v>19</v>
      </c>
      <c r="O4" s="10" t="s">
        <v>10</v>
      </c>
      <c r="P4" s="10" t="s">
        <v>11</v>
      </c>
      <c r="Q4" s="11" t="s">
        <v>9</v>
      </c>
      <c r="R4" s="11" t="s">
        <v>20</v>
      </c>
      <c r="S4" s="11" t="s">
        <v>10</v>
      </c>
      <c r="T4" s="11" t="s">
        <v>11</v>
      </c>
      <c r="U4" s="287" t="s">
        <v>161</v>
      </c>
      <c r="V4" s="289" t="s">
        <v>8</v>
      </c>
    </row>
    <row r="5" spans="1:22" x14ac:dyDescent="0.35">
      <c r="A5" s="12"/>
      <c r="B5" s="13"/>
      <c r="C5" s="14" t="s">
        <v>18</v>
      </c>
      <c r="D5" s="15" t="s">
        <v>12</v>
      </c>
      <c r="E5" s="14" t="s">
        <v>13</v>
      </c>
      <c r="F5" s="16"/>
      <c r="G5" s="17"/>
      <c r="H5" s="17"/>
      <c r="I5" s="275" t="s">
        <v>18</v>
      </c>
      <c r="J5" s="276"/>
      <c r="K5" s="276"/>
      <c r="L5" s="277"/>
      <c r="M5" s="278" t="s">
        <v>12</v>
      </c>
      <c r="N5" s="279"/>
      <c r="O5" s="279"/>
      <c r="P5" s="280"/>
      <c r="Q5" s="275" t="s">
        <v>13</v>
      </c>
      <c r="R5" s="276"/>
      <c r="S5" s="276"/>
      <c r="T5" s="277"/>
      <c r="U5" s="288"/>
      <c r="V5" s="290"/>
    </row>
    <row r="6" spans="1:22" s="19" customFormat="1" ht="15.75" customHeight="1" x14ac:dyDescent="0.35">
      <c r="A6" s="18" t="s">
        <v>14</v>
      </c>
      <c r="B6" s="281" t="s">
        <v>15</v>
      </c>
      <c r="C6" s="282"/>
      <c r="D6" s="282"/>
      <c r="E6" s="282"/>
      <c r="F6" s="282"/>
      <c r="G6" s="282"/>
      <c r="H6" s="282"/>
      <c r="I6" s="282"/>
      <c r="J6" s="282"/>
      <c r="K6" s="282"/>
      <c r="L6" s="282"/>
      <c r="M6" s="282"/>
      <c r="N6" s="282"/>
      <c r="O6" s="282"/>
      <c r="P6" s="282"/>
      <c r="Q6" s="282"/>
      <c r="R6" s="282"/>
      <c r="S6" s="282"/>
      <c r="T6" s="282"/>
      <c r="U6" s="282"/>
      <c r="V6" s="282"/>
    </row>
    <row r="7" spans="1:22" s="19" customFormat="1" ht="15.75" customHeight="1" x14ac:dyDescent="0.35">
      <c r="A7" s="20" t="s">
        <v>16</v>
      </c>
      <c r="B7" s="283" t="s">
        <v>17</v>
      </c>
      <c r="C7" s="284"/>
      <c r="D7" s="284"/>
      <c r="E7" s="284"/>
      <c r="F7" s="284"/>
      <c r="G7" s="284"/>
      <c r="H7" s="284"/>
      <c r="I7" s="284"/>
      <c r="J7" s="284"/>
      <c r="K7" s="284"/>
      <c r="L7" s="284"/>
      <c r="M7" s="284"/>
      <c r="N7" s="284"/>
      <c r="O7" s="284"/>
      <c r="P7" s="284"/>
      <c r="Q7" s="284"/>
      <c r="R7" s="284"/>
      <c r="S7" s="284"/>
      <c r="T7" s="284"/>
      <c r="U7" s="284"/>
      <c r="V7" s="284"/>
    </row>
    <row r="8" spans="1:22" ht="279" x14ac:dyDescent="0.35">
      <c r="A8" s="21" t="s">
        <v>21</v>
      </c>
      <c r="B8" s="22" t="s">
        <v>22</v>
      </c>
      <c r="C8" s="23">
        <v>38000</v>
      </c>
      <c r="D8" s="23"/>
      <c r="E8" s="23"/>
      <c r="F8" s="65">
        <f>SUM(C8:E8)</f>
        <v>38000</v>
      </c>
      <c r="G8" s="24">
        <v>0.5</v>
      </c>
      <c r="H8" s="47"/>
      <c r="I8" s="162">
        <v>1854</v>
      </c>
      <c r="J8" s="162">
        <v>31000</v>
      </c>
      <c r="K8" s="162">
        <v>0</v>
      </c>
      <c r="L8" s="162">
        <f>SUM(I8:K8)</f>
        <v>32854</v>
      </c>
      <c r="M8" s="165">
        <v>0</v>
      </c>
      <c r="N8" s="165">
        <v>0</v>
      </c>
      <c r="O8" s="165">
        <v>0</v>
      </c>
      <c r="P8" s="165">
        <f>SUM(M8:O8)</f>
        <v>0</v>
      </c>
      <c r="Q8" s="179">
        <v>0</v>
      </c>
      <c r="R8" s="171"/>
      <c r="S8" s="171"/>
      <c r="T8" s="180">
        <f>SUM(Q8:S8)</f>
        <v>0</v>
      </c>
      <c r="U8" s="215">
        <f>L8+P8+T8</f>
        <v>32854</v>
      </c>
      <c r="V8" s="47"/>
    </row>
    <row r="9" spans="1:22" ht="188.5" x14ac:dyDescent="0.35">
      <c r="A9" s="21" t="s">
        <v>23</v>
      </c>
      <c r="B9" s="22" t="s">
        <v>24</v>
      </c>
      <c r="C9" s="23">
        <v>31000</v>
      </c>
      <c r="D9" s="23">
        <v>4000</v>
      </c>
      <c r="E9" s="23">
        <v>3000</v>
      </c>
      <c r="F9" s="65">
        <f>SUM(C9:E9)</f>
        <v>38000</v>
      </c>
      <c r="G9" s="24">
        <v>0.5</v>
      </c>
      <c r="H9" s="47"/>
      <c r="I9" s="162">
        <v>0</v>
      </c>
      <c r="J9" s="162">
        <v>11000</v>
      </c>
      <c r="K9" s="162">
        <v>0</v>
      </c>
      <c r="L9" s="162">
        <f>SUM(I9:K9)</f>
        <v>11000</v>
      </c>
      <c r="M9" s="165">
        <v>3956</v>
      </c>
      <c r="N9" s="165">
        <v>0</v>
      </c>
      <c r="O9" s="165">
        <v>0</v>
      </c>
      <c r="P9" s="165">
        <v>3956</v>
      </c>
      <c r="Q9" s="179">
        <v>3227.89</v>
      </c>
      <c r="R9" s="171"/>
      <c r="S9" s="171"/>
      <c r="T9" s="249">
        <f>SUM(Q9:S9)</f>
        <v>3227.89</v>
      </c>
      <c r="U9" s="215">
        <f>L9+P9+T9</f>
        <v>18183.89</v>
      </c>
      <c r="V9" s="214" t="s">
        <v>167</v>
      </c>
    </row>
    <row r="10" spans="1:22" ht="15.5" x14ac:dyDescent="0.35">
      <c r="B10" s="26" t="s">
        <v>25</v>
      </c>
      <c r="C10" s="27">
        <f>SUM(C8:C9)</f>
        <v>69000</v>
      </c>
      <c r="D10" s="57">
        <f t="shared" ref="D10:G10" si="0">SUM(D8:D9)</f>
        <v>4000</v>
      </c>
      <c r="E10" s="27">
        <f>SUM(E8:E9)</f>
        <v>3000</v>
      </c>
      <c r="F10" s="27">
        <f t="shared" si="0"/>
        <v>76000</v>
      </c>
      <c r="G10" s="27">
        <f t="shared" si="0"/>
        <v>1</v>
      </c>
      <c r="H10" s="58"/>
      <c r="I10" s="27">
        <f>+SUM(I8:I9)</f>
        <v>1854</v>
      </c>
      <c r="J10" s="27">
        <f>+SUM(J8:J9)</f>
        <v>42000</v>
      </c>
      <c r="K10" s="27">
        <f t="shared" ref="K10" si="1">+SUM(K8:K9)</f>
        <v>0</v>
      </c>
      <c r="L10" s="27">
        <f>SUM(I10:K10)</f>
        <v>43854</v>
      </c>
      <c r="M10" s="27">
        <f>SUM(M8:M9)</f>
        <v>3956</v>
      </c>
      <c r="N10" s="27">
        <f t="shared" ref="N10:P10" si="2">SUM(N8:N9)</f>
        <v>0</v>
      </c>
      <c r="O10" s="27">
        <f t="shared" si="2"/>
        <v>0</v>
      </c>
      <c r="P10" s="27">
        <f t="shared" si="2"/>
        <v>3956</v>
      </c>
      <c r="Q10" s="160">
        <f>+SUM(Q8:Q9)</f>
        <v>3227.89</v>
      </c>
      <c r="R10" s="143">
        <f t="shared" ref="R10:T10" si="3">+SUM(R8:R9)</f>
        <v>0</v>
      </c>
      <c r="S10" s="143">
        <f t="shared" si="3"/>
        <v>0</v>
      </c>
      <c r="T10" s="160">
        <f t="shared" si="3"/>
        <v>3227.89</v>
      </c>
      <c r="U10" s="232">
        <f>L10+P10+T10</f>
        <v>51037.89</v>
      </c>
      <c r="V10" s="58"/>
    </row>
    <row r="11" spans="1:22" ht="15.75" customHeight="1" x14ac:dyDescent="0.35">
      <c r="A11" s="18" t="s">
        <v>26</v>
      </c>
      <c r="B11" s="271" t="s">
        <v>27</v>
      </c>
      <c r="C11" s="271"/>
      <c r="D11" s="271"/>
      <c r="E11" s="271"/>
      <c r="F11" s="271"/>
      <c r="G11" s="271"/>
      <c r="H11" s="271"/>
      <c r="I11" s="271"/>
      <c r="J11" s="271"/>
      <c r="K11" s="271"/>
      <c r="L11" s="271"/>
      <c r="M11" s="271"/>
      <c r="N11" s="271"/>
      <c r="O11" s="271"/>
      <c r="P11" s="271"/>
      <c r="Q11" s="271"/>
      <c r="R11" s="271"/>
      <c r="S11" s="271"/>
      <c r="T11" s="271"/>
      <c r="U11" s="271"/>
      <c r="V11" s="272"/>
    </row>
    <row r="12" spans="1:22" ht="96" x14ac:dyDescent="0.35">
      <c r="A12" s="21" t="s">
        <v>28</v>
      </c>
      <c r="B12" s="62" t="s">
        <v>29</v>
      </c>
      <c r="C12" s="23">
        <v>46700</v>
      </c>
      <c r="D12" s="23">
        <v>12000</v>
      </c>
      <c r="E12" s="23">
        <v>10000</v>
      </c>
      <c r="F12" s="32">
        <f>SUM(C12:E12)</f>
        <v>68700</v>
      </c>
      <c r="G12" s="33">
        <v>0.5</v>
      </c>
      <c r="H12" s="60"/>
      <c r="I12" s="163">
        <f>11154.32</f>
        <v>11154.32</v>
      </c>
      <c r="J12" s="163">
        <v>30000</v>
      </c>
      <c r="K12" s="163">
        <v>0</v>
      </c>
      <c r="L12" s="163">
        <f>SUM(I12:K12)</f>
        <v>41154.32</v>
      </c>
      <c r="M12" s="167">
        <v>12000</v>
      </c>
      <c r="N12" s="233">
        <v>0</v>
      </c>
      <c r="O12" s="233">
        <v>0</v>
      </c>
      <c r="P12" s="233">
        <f>SUM(M12:O12)</f>
        <v>12000</v>
      </c>
      <c r="Q12" s="179">
        <v>10199.67</v>
      </c>
      <c r="R12" s="171"/>
      <c r="S12" s="171"/>
      <c r="T12" s="249">
        <f t="shared" ref="T12:T14" si="4">SUM(Q12:S12)</f>
        <v>10199.67</v>
      </c>
      <c r="U12" s="215">
        <f>T12+P12+L12</f>
        <v>63353.99</v>
      </c>
      <c r="V12" s="47"/>
    </row>
    <row r="13" spans="1:22" ht="144" x14ac:dyDescent="0.35">
      <c r="A13" s="21" t="s">
        <v>30</v>
      </c>
      <c r="B13" s="29" t="s">
        <v>31</v>
      </c>
      <c r="C13" s="23">
        <v>108000</v>
      </c>
      <c r="D13" s="23">
        <v>10000</v>
      </c>
      <c r="E13" s="23">
        <f>10000</f>
        <v>10000</v>
      </c>
      <c r="F13" s="34">
        <f t="shared" ref="F13:F15" si="5">SUM(C13:E13)</f>
        <v>128000</v>
      </c>
      <c r="G13" s="24">
        <v>1</v>
      </c>
      <c r="H13" s="47"/>
      <c r="I13" s="162">
        <v>15169.04</v>
      </c>
      <c r="J13" s="162">
        <v>75905.990000000005</v>
      </c>
      <c r="K13" s="162">
        <v>0</v>
      </c>
      <c r="L13" s="162">
        <f t="shared" ref="L13:L15" si="6">SUM(I13:K13)</f>
        <v>91075.03</v>
      </c>
      <c r="M13" s="165">
        <v>10000</v>
      </c>
      <c r="N13" s="234">
        <v>0</v>
      </c>
      <c r="O13" s="233">
        <v>0</v>
      </c>
      <c r="P13" s="233">
        <f t="shared" ref="P13:P15" si="7">SUM(M13:O13)</f>
        <v>10000</v>
      </c>
      <c r="Q13" s="179">
        <v>10213.01</v>
      </c>
      <c r="R13" s="171"/>
      <c r="S13" s="171"/>
      <c r="T13" s="249">
        <f t="shared" si="4"/>
        <v>10213.01</v>
      </c>
      <c r="U13" s="215">
        <f>T13+P13+L13</f>
        <v>111288.04000000001</v>
      </c>
      <c r="V13" s="47"/>
    </row>
    <row r="14" spans="1:22" ht="112" x14ac:dyDescent="0.35">
      <c r="A14" s="21" t="s">
        <v>32</v>
      </c>
      <c r="B14" s="29" t="s">
        <v>33</v>
      </c>
      <c r="C14" s="23">
        <v>10000</v>
      </c>
      <c r="D14" s="23">
        <v>10000</v>
      </c>
      <c r="E14" s="23">
        <v>10000</v>
      </c>
      <c r="F14" s="34">
        <f t="shared" si="5"/>
        <v>30000</v>
      </c>
      <c r="G14" s="24">
        <v>0.5</v>
      </c>
      <c r="H14" s="47"/>
      <c r="I14" s="162">
        <v>0</v>
      </c>
      <c r="J14" s="162">
        <v>0</v>
      </c>
      <c r="K14" s="162">
        <v>0</v>
      </c>
      <c r="L14" s="162">
        <f t="shared" si="6"/>
        <v>0</v>
      </c>
      <c r="M14" s="167">
        <v>9541</v>
      </c>
      <c r="N14" s="234">
        <v>0</v>
      </c>
      <c r="O14" s="233">
        <v>0</v>
      </c>
      <c r="P14" s="233">
        <f t="shared" si="7"/>
        <v>9541</v>
      </c>
      <c r="Q14" s="182">
        <v>938.53</v>
      </c>
      <c r="R14" s="179">
        <v>0</v>
      </c>
      <c r="S14" s="182">
        <v>2219.17</v>
      </c>
      <c r="T14" s="181">
        <f t="shared" si="4"/>
        <v>3157.7</v>
      </c>
      <c r="U14" s="215">
        <f>T14+P14+L14</f>
        <v>12698.7</v>
      </c>
      <c r="V14" s="47"/>
    </row>
    <row r="15" spans="1:22" ht="96" x14ac:dyDescent="0.35">
      <c r="A15" s="21" t="s">
        <v>34</v>
      </c>
      <c r="B15" s="29" t="s">
        <v>35</v>
      </c>
      <c r="C15" s="23">
        <v>11000</v>
      </c>
      <c r="D15" s="23">
        <v>15000</v>
      </c>
      <c r="E15" s="23"/>
      <c r="F15" s="34">
        <f t="shared" si="5"/>
        <v>26000</v>
      </c>
      <c r="G15" s="24">
        <v>0.5</v>
      </c>
      <c r="H15" s="47"/>
      <c r="I15" s="162">
        <v>0</v>
      </c>
      <c r="J15" s="162">
        <v>0</v>
      </c>
      <c r="K15" s="162">
        <v>0</v>
      </c>
      <c r="L15" s="162">
        <f t="shared" si="6"/>
        <v>0</v>
      </c>
      <c r="M15" s="165">
        <v>0</v>
      </c>
      <c r="N15" s="234">
        <v>0</v>
      </c>
      <c r="O15" s="233">
        <v>0</v>
      </c>
      <c r="P15" s="233">
        <f t="shared" si="7"/>
        <v>0</v>
      </c>
      <c r="Q15" s="180"/>
      <c r="R15" s="180"/>
      <c r="S15" s="180"/>
      <c r="T15" s="181" t="s">
        <v>169</v>
      </c>
      <c r="U15" s="215" t="e">
        <f>T15+P15+L15</f>
        <v>#VALUE!</v>
      </c>
      <c r="V15" s="47"/>
    </row>
    <row r="16" spans="1:22" s="104" customFormat="1" ht="15.5" x14ac:dyDescent="0.35">
      <c r="A16" s="237"/>
      <c r="B16" s="49" t="s">
        <v>25</v>
      </c>
      <c r="C16" s="59">
        <f>SUM(C12:C15)</f>
        <v>175700</v>
      </c>
      <c r="D16" s="64">
        <f>SUM(D12:D15)</f>
        <v>47000</v>
      </c>
      <c r="E16" s="59">
        <f>SUM(E12:E15)</f>
        <v>30000</v>
      </c>
      <c r="F16" s="59">
        <f t="shared" ref="F16:K16" si="8">SUM(F12:F15)</f>
        <v>252700</v>
      </c>
      <c r="G16" s="59">
        <f t="shared" si="8"/>
        <v>2.5</v>
      </c>
      <c r="H16" s="59">
        <f t="shared" si="8"/>
        <v>0</v>
      </c>
      <c r="I16" s="59">
        <f t="shared" si="8"/>
        <v>26323.360000000001</v>
      </c>
      <c r="J16" s="59">
        <f t="shared" si="8"/>
        <v>105905.99</v>
      </c>
      <c r="K16" s="59">
        <f t="shared" si="8"/>
        <v>0</v>
      </c>
      <c r="L16" s="59">
        <f>SUM(I16:K16)</f>
        <v>132229.35</v>
      </c>
      <c r="M16" s="59">
        <f>SUM(M12:M15)</f>
        <v>31541</v>
      </c>
      <c r="N16" s="235">
        <v>0</v>
      </c>
      <c r="O16" s="235">
        <v>0</v>
      </c>
      <c r="P16" s="236">
        <f>SUM(M16:O16)</f>
        <v>31541</v>
      </c>
      <c r="Q16" s="160">
        <f t="shared" ref="Q16:T16" si="9">SUM(Q12:Q15)</f>
        <v>21351.21</v>
      </c>
      <c r="R16" s="160">
        <f t="shared" si="9"/>
        <v>0</v>
      </c>
      <c r="S16" s="160">
        <f t="shared" si="9"/>
        <v>2219.17</v>
      </c>
      <c r="T16" s="160">
        <f t="shared" si="9"/>
        <v>23570.38</v>
      </c>
      <c r="U16" s="232">
        <f>T16+P16+L16</f>
        <v>187340.73</v>
      </c>
      <c r="V16" s="251"/>
    </row>
    <row r="17" spans="1:22" ht="15.5" x14ac:dyDescent="0.35">
      <c r="A17" s="35"/>
      <c r="B17" s="38"/>
      <c r="C17" s="39"/>
      <c r="D17" s="40"/>
      <c r="E17" s="39"/>
      <c r="F17" s="39"/>
      <c r="G17" s="41"/>
      <c r="H17" s="41"/>
      <c r="I17" s="41"/>
      <c r="J17" s="41"/>
      <c r="K17" s="41"/>
      <c r="L17" s="41"/>
      <c r="M17" s="293"/>
      <c r="N17" s="293"/>
      <c r="O17" s="293"/>
      <c r="P17" s="293"/>
      <c r="Q17" s="293"/>
      <c r="R17" s="293"/>
      <c r="S17" s="293"/>
      <c r="T17" s="293"/>
      <c r="U17" s="293"/>
      <c r="V17" s="293"/>
    </row>
    <row r="18" spans="1:22" ht="15.75" customHeight="1" x14ac:dyDescent="0.35">
      <c r="A18" s="26" t="s">
        <v>36</v>
      </c>
      <c r="B18" s="66" t="s">
        <v>37</v>
      </c>
      <c r="C18" s="67"/>
      <c r="D18" s="67"/>
      <c r="E18" s="67"/>
      <c r="F18" s="67"/>
      <c r="G18" s="67"/>
      <c r="H18" s="67"/>
      <c r="I18" s="67"/>
      <c r="J18" s="67"/>
      <c r="K18" s="67"/>
      <c r="L18" s="67"/>
      <c r="M18" s="67"/>
      <c r="N18" s="68"/>
    </row>
    <row r="19" spans="1:22" ht="15.75" customHeight="1" x14ac:dyDescent="0.35">
      <c r="A19" s="18" t="s">
        <v>38</v>
      </c>
      <c r="B19" s="294" t="s">
        <v>39</v>
      </c>
      <c r="C19" s="259"/>
      <c r="D19" s="259"/>
      <c r="E19" s="259"/>
      <c r="F19" s="259"/>
      <c r="G19" s="259"/>
      <c r="H19" s="259"/>
      <c r="I19" s="259"/>
      <c r="J19" s="259"/>
      <c r="K19" s="259"/>
      <c r="L19" s="259"/>
      <c r="M19" s="259"/>
      <c r="N19" s="259"/>
      <c r="O19" s="259"/>
      <c r="P19" s="259"/>
      <c r="Q19" s="259"/>
      <c r="R19" s="259"/>
      <c r="S19" s="259"/>
      <c r="T19" s="259"/>
      <c r="U19" s="259"/>
      <c r="V19" s="259"/>
    </row>
    <row r="20" spans="1:22" ht="160" x14ac:dyDescent="0.35">
      <c r="A20" s="21" t="s">
        <v>40</v>
      </c>
      <c r="B20" s="29" t="s">
        <v>41</v>
      </c>
      <c r="C20" s="23">
        <v>41000</v>
      </c>
      <c r="D20" s="23">
        <v>14000</v>
      </c>
      <c r="E20" s="23"/>
      <c r="F20" s="34">
        <f>SUM(C20:E20)</f>
        <v>55000</v>
      </c>
      <c r="G20" s="43">
        <v>0.3</v>
      </c>
      <c r="H20" s="47"/>
      <c r="I20" s="162">
        <f>38879.6+1200</f>
        <v>40079.599999999999</v>
      </c>
      <c r="J20" s="162">
        <v>0</v>
      </c>
      <c r="K20" s="162">
        <v>0</v>
      </c>
      <c r="L20" s="162">
        <f>SUM(I20:K20)</f>
        <v>40079.599999999999</v>
      </c>
      <c r="M20" s="165">
        <v>10000</v>
      </c>
      <c r="N20" s="233">
        <v>0</v>
      </c>
      <c r="O20" s="233">
        <v>0</v>
      </c>
      <c r="P20" s="233">
        <f>SUM(M20:O20)</f>
        <v>10000</v>
      </c>
      <c r="Q20" s="179"/>
      <c r="R20" s="171"/>
      <c r="S20" s="171"/>
      <c r="T20" s="180">
        <f t="shared" ref="T20:T23" si="10">SUM(Q20:S20)</f>
        <v>0</v>
      </c>
      <c r="U20" s="215">
        <f>L20+P20+T20</f>
        <v>50079.6</v>
      </c>
      <c r="V20" s="47"/>
    </row>
    <row r="21" spans="1:22" s="19" customFormat="1" ht="160" x14ac:dyDescent="0.35">
      <c r="A21" s="61" t="s">
        <v>42</v>
      </c>
      <c r="B21" s="62" t="s">
        <v>43</v>
      </c>
      <c r="C21" s="23">
        <v>39200</v>
      </c>
      <c r="D21" s="23">
        <v>14000</v>
      </c>
      <c r="E21" s="23"/>
      <c r="F21" s="34">
        <f t="shared" ref="F21:F23" si="11">SUM(C21:E21)</f>
        <v>53200</v>
      </c>
      <c r="G21" s="63">
        <v>0.1</v>
      </c>
      <c r="H21" s="60"/>
      <c r="I21" s="163">
        <f>39200-1200</f>
        <v>38000</v>
      </c>
      <c r="J21" s="163">
        <v>0</v>
      </c>
      <c r="K21" s="163">
        <v>0</v>
      </c>
      <c r="L21" s="163">
        <f t="shared" ref="L21:L23" si="12">SUM(I21:K21)</f>
        <v>38000</v>
      </c>
      <c r="M21" s="167">
        <v>5000</v>
      </c>
      <c r="N21" s="233">
        <v>0</v>
      </c>
      <c r="O21" s="233">
        <v>0</v>
      </c>
      <c r="P21" s="233">
        <f t="shared" ref="P21:P23" si="13">SUM(M21:O21)</f>
        <v>5000</v>
      </c>
      <c r="Q21" s="179"/>
      <c r="R21" s="171"/>
      <c r="S21" s="171"/>
      <c r="T21" s="180">
        <f t="shared" si="10"/>
        <v>0</v>
      </c>
      <c r="U21" s="215">
        <f>L21+P21+T21</f>
        <v>43000</v>
      </c>
      <c r="V21" s="47"/>
    </row>
    <row r="22" spans="1:22" ht="96" x14ac:dyDescent="0.35">
      <c r="A22" s="61" t="s">
        <v>44</v>
      </c>
      <c r="B22" s="62" t="s">
        <v>45</v>
      </c>
      <c r="C22" s="132">
        <v>20000</v>
      </c>
      <c r="D22" s="132">
        <v>69000</v>
      </c>
      <c r="E22" s="132"/>
      <c r="F22" s="34">
        <f t="shared" si="11"/>
        <v>89000</v>
      </c>
      <c r="G22" s="63">
        <v>0.35</v>
      </c>
      <c r="H22" s="60"/>
      <c r="I22" s="163">
        <v>14964.5</v>
      </c>
      <c r="J22" s="163">
        <v>0</v>
      </c>
      <c r="K22" s="163">
        <v>0</v>
      </c>
      <c r="L22" s="163">
        <f t="shared" si="12"/>
        <v>14964.5</v>
      </c>
      <c r="M22" s="167">
        <v>52412</v>
      </c>
      <c r="N22" s="233">
        <v>0</v>
      </c>
      <c r="O22" s="233">
        <v>0</v>
      </c>
      <c r="P22" s="233">
        <f t="shared" si="13"/>
        <v>52412</v>
      </c>
      <c r="Q22" s="179"/>
      <c r="R22" s="171"/>
      <c r="S22" s="171"/>
      <c r="T22" s="180">
        <f t="shared" si="10"/>
        <v>0</v>
      </c>
      <c r="U22" s="215">
        <f>L22+P22+T22</f>
        <v>67376.5</v>
      </c>
      <c r="V22" s="60"/>
    </row>
    <row r="23" spans="1:22" ht="96" x14ac:dyDescent="0.35">
      <c r="A23" s="21" t="s">
        <v>46</v>
      </c>
      <c r="B23" s="29" t="s">
        <v>47</v>
      </c>
      <c r="C23" s="23">
        <v>20000</v>
      </c>
      <c r="D23" s="23">
        <v>50000</v>
      </c>
      <c r="E23" s="23">
        <v>5000</v>
      </c>
      <c r="F23" s="34">
        <f t="shared" si="11"/>
        <v>75000</v>
      </c>
      <c r="G23" s="43">
        <v>0.4</v>
      </c>
      <c r="H23" s="47"/>
      <c r="I23" s="162">
        <v>5146.6400000000003</v>
      </c>
      <c r="J23" s="162">
        <v>1398.09</v>
      </c>
      <c r="K23" s="162">
        <v>0</v>
      </c>
      <c r="L23" s="162">
        <f t="shared" si="12"/>
        <v>6544.7300000000005</v>
      </c>
      <c r="M23" s="165">
        <v>45000</v>
      </c>
      <c r="N23" s="234">
        <v>0</v>
      </c>
      <c r="O23" s="233">
        <v>1387</v>
      </c>
      <c r="P23" s="233">
        <f t="shared" si="13"/>
        <v>46387</v>
      </c>
      <c r="Q23" s="179">
        <v>5000</v>
      </c>
      <c r="R23" s="171"/>
      <c r="S23" s="171"/>
      <c r="T23" s="181">
        <f t="shared" si="10"/>
        <v>5000</v>
      </c>
      <c r="U23" s="215">
        <f>L23+P23+T23</f>
        <v>57931.73</v>
      </c>
      <c r="V23" s="47"/>
    </row>
    <row r="24" spans="1:22" ht="15.5" x14ac:dyDescent="0.35">
      <c r="A24" s="21"/>
      <c r="B24" s="22"/>
      <c r="C24" s="23"/>
      <c r="D24" s="23"/>
      <c r="E24" s="23"/>
      <c r="F24" s="34"/>
      <c r="G24" s="24"/>
      <c r="H24" s="47"/>
      <c r="N24" s="158"/>
      <c r="O24" s="238"/>
      <c r="P24" s="238"/>
    </row>
    <row r="25" spans="1:22" ht="15.5" x14ac:dyDescent="0.35">
      <c r="A25" s="35"/>
      <c r="B25" s="26" t="s">
        <v>25</v>
      </c>
      <c r="C25" s="27">
        <f>SUM(C20:C24)</f>
        <v>120200</v>
      </c>
      <c r="D25" s="28">
        <f t="shared" ref="D25:K25" si="14">SUM(D20:D24)</f>
        <v>147000</v>
      </c>
      <c r="E25" s="27">
        <f>SUM(E20:E24)</f>
        <v>5000</v>
      </c>
      <c r="F25" s="27">
        <f t="shared" si="14"/>
        <v>272200</v>
      </c>
      <c r="G25" s="27">
        <f t="shared" si="14"/>
        <v>1.1499999999999999</v>
      </c>
      <c r="H25" s="27">
        <f t="shared" si="14"/>
        <v>0</v>
      </c>
      <c r="I25" s="27">
        <f>SUM(I20:I24)</f>
        <v>98190.74</v>
      </c>
      <c r="J25" s="27">
        <f t="shared" si="14"/>
        <v>1398.09</v>
      </c>
      <c r="K25" s="27">
        <f t="shared" si="14"/>
        <v>0</v>
      </c>
      <c r="L25" s="27">
        <f>SUM(I25:K25)</f>
        <v>99588.83</v>
      </c>
      <c r="M25" s="131">
        <f>SUM(M20:M23)</f>
        <v>112412</v>
      </c>
      <c r="N25" s="239">
        <f t="shared" ref="N25:P25" si="15">SUM(N20:N24)</f>
        <v>0</v>
      </c>
      <c r="O25" s="239">
        <f t="shared" si="15"/>
        <v>1387</v>
      </c>
      <c r="P25" s="239">
        <f t="shared" si="15"/>
        <v>113799</v>
      </c>
      <c r="Q25" s="143">
        <f>SUM(Q20:Q24)</f>
        <v>5000</v>
      </c>
      <c r="R25" s="143">
        <f t="shared" ref="R25:T25" si="16">SUM(R20:R24)</f>
        <v>0</v>
      </c>
      <c r="S25" s="143">
        <f t="shared" si="16"/>
        <v>0</v>
      </c>
      <c r="T25" s="143">
        <f t="shared" si="16"/>
        <v>5000</v>
      </c>
      <c r="U25" s="216">
        <f>L25+P25+T25</f>
        <v>218387.83000000002</v>
      </c>
      <c r="V25" s="250"/>
    </row>
    <row r="26" spans="1:22" ht="15.5" x14ac:dyDescent="0.35">
      <c r="A26" s="18" t="s">
        <v>48</v>
      </c>
      <c r="B26" s="253" t="s">
        <v>49</v>
      </c>
      <c r="C26" s="253"/>
      <c r="D26" s="253"/>
      <c r="E26" s="253"/>
      <c r="F26" s="253"/>
      <c r="G26" s="253"/>
      <c r="H26" s="253"/>
    </row>
    <row r="27" spans="1:22" ht="112" x14ac:dyDescent="0.35">
      <c r="A27" s="21" t="s">
        <v>50</v>
      </c>
      <c r="B27" s="29" t="s">
        <v>51</v>
      </c>
      <c r="C27" s="23">
        <v>18000</v>
      </c>
      <c r="D27" s="23">
        <v>9000</v>
      </c>
      <c r="E27" s="248">
        <v>24070</v>
      </c>
      <c r="F27" s="34">
        <f>SUM(C27:E27)</f>
        <v>51070</v>
      </c>
      <c r="G27" s="43">
        <v>0.4</v>
      </c>
      <c r="H27" s="47"/>
      <c r="I27" s="162">
        <v>1806.18</v>
      </c>
      <c r="J27" s="162">
        <v>10000</v>
      </c>
      <c r="K27" s="162">
        <v>0</v>
      </c>
      <c r="L27" s="162">
        <f>SUM(I27:K27)</f>
        <v>11806.18</v>
      </c>
      <c r="M27" s="165">
        <v>4688</v>
      </c>
      <c r="N27" s="165">
        <v>0</v>
      </c>
      <c r="O27" s="165">
        <v>0</v>
      </c>
      <c r="P27" s="165">
        <f>SUM(M27:O27)</f>
        <v>4688</v>
      </c>
      <c r="Q27" s="182">
        <f>24069.69+930</f>
        <v>24999.69</v>
      </c>
      <c r="R27" s="171"/>
      <c r="S27" s="171"/>
      <c r="T27" s="249">
        <f t="shared" ref="T27:T29" si="17">SUM(Q27:S27)</f>
        <v>24999.69</v>
      </c>
      <c r="U27" s="217">
        <f>L27+P27+T27</f>
        <v>41493.869999999995</v>
      </c>
      <c r="V27" s="214"/>
    </row>
    <row r="28" spans="1:22" ht="96" x14ac:dyDescent="0.35">
      <c r="A28" s="21" t="s">
        <v>52</v>
      </c>
      <c r="B28" s="29" t="s">
        <v>53</v>
      </c>
      <c r="C28" s="23">
        <v>44000</v>
      </c>
      <c r="D28" s="23">
        <v>12000</v>
      </c>
      <c r="E28" s="158">
        <v>5930</v>
      </c>
      <c r="F28" s="34">
        <f t="shared" ref="F28:F29" si="18">SUM(C28:E28)</f>
        <v>61930</v>
      </c>
      <c r="G28" s="43">
        <v>1</v>
      </c>
      <c r="H28" s="47"/>
      <c r="I28" s="162">
        <v>9092.16</v>
      </c>
      <c r="J28" s="162">
        <v>25000</v>
      </c>
      <c r="K28" s="162"/>
      <c r="L28" s="162">
        <f t="shared" ref="L28:L29" si="19">SUM(I28:K28)</f>
        <v>34092.160000000003</v>
      </c>
      <c r="M28" s="165">
        <v>4671</v>
      </c>
      <c r="N28" s="234">
        <v>4919</v>
      </c>
      <c r="O28" s="234">
        <v>328</v>
      </c>
      <c r="P28" s="165">
        <f>SUM(M28:O28)</f>
        <v>9918</v>
      </c>
      <c r="Q28" s="179">
        <v>5264.15</v>
      </c>
      <c r="R28" s="171"/>
      <c r="S28" s="171"/>
      <c r="T28" s="181">
        <f t="shared" si="17"/>
        <v>5264.15</v>
      </c>
      <c r="U28" s="217">
        <f>L28+P28+T28</f>
        <v>49274.310000000005</v>
      </c>
      <c r="V28" s="47"/>
    </row>
    <row r="29" spans="1:22" ht="64" x14ac:dyDescent="0.35">
      <c r="A29" s="21" t="s">
        <v>54</v>
      </c>
      <c r="B29" s="29" t="s">
        <v>55</v>
      </c>
      <c r="C29" s="132">
        <v>0</v>
      </c>
      <c r="D29" s="132"/>
      <c r="E29" s="132">
        <v>20000</v>
      </c>
      <c r="F29" s="34">
        <f t="shared" si="18"/>
        <v>20000</v>
      </c>
      <c r="G29" s="43">
        <v>0.3</v>
      </c>
      <c r="H29" s="47"/>
      <c r="I29" s="162">
        <v>0</v>
      </c>
      <c r="J29" s="162">
        <v>0</v>
      </c>
      <c r="K29" s="162">
        <v>0</v>
      </c>
      <c r="L29" s="162">
        <f t="shared" si="19"/>
        <v>0</v>
      </c>
      <c r="M29" s="165"/>
      <c r="N29" s="166"/>
      <c r="O29" s="166"/>
      <c r="P29" s="165">
        <f>SUM(M29:O29)</f>
        <v>0</v>
      </c>
      <c r="Q29" s="182">
        <f>10987.67+484.52</f>
        <v>11472.19</v>
      </c>
      <c r="R29" s="171"/>
      <c r="S29" s="171"/>
      <c r="T29" s="181">
        <f t="shared" si="17"/>
        <v>11472.19</v>
      </c>
      <c r="U29" s="217">
        <f>L29+P29+T29</f>
        <v>11472.19</v>
      </c>
      <c r="V29" s="47"/>
    </row>
    <row r="30" spans="1:22" ht="15.5" x14ac:dyDescent="0.35">
      <c r="A30" s="35"/>
      <c r="B30" s="26" t="s">
        <v>25</v>
      </c>
      <c r="C30" s="36">
        <f>SUM(C27:C29)</f>
        <v>62000</v>
      </c>
      <c r="D30" s="37">
        <f>SUM(D27:D29)</f>
        <v>21000</v>
      </c>
      <c r="E30" s="36">
        <f>SUM(E27:E29)</f>
        <v>50000</v>
      </c>
      <c r="F30" s="36">
        <f>SUM(F27:F29)</f>
        <v>133000</v>
      </c>
      <c r="G30" s="36">
        <f>SUM(G27:G29)</f>
        <v>1.7</v>
      </c>
      <c r="H30" s="36">
        <f t="shared" ref="H30:K30" si="20">SUM(H27:H29)</f>
        <v>0</v>
      </c>
      <c r="I30" s="36">
        <f t="shared" si="20"/>
        <v>10898.34</v>
      </c>
      <c r="J30" s="36">
        <f t="shared" si="20"/>
        <v>35000</v>
      </c>
      <c r="K30" s="36">
        <f t="shared" si="20"/>
        <v>0</v>
      </c>
      <c r="L30" s="36">
        <f>SUM(I30:K30)</f>
        <v>45898.34</v>
      </c>
      <c r="M30" s="131">
        <f>SUM(M27:M29)</f>
        <v>9359</v>
      </c>
      <c r="N30" s="131">
        <f t="shared" ref="N30:P30" si="21">SUM(N27:N29)</f>
        <v>4919</v>
      </c>
      <c r="O30" s="131">
        <f t="shared" si="21"/>
        <v>328</v>
      </c>
      <c r="P30" s="131">
        <f t="shared" si="21"/>
        <v>14606</v>
      </c>
      <c r="Q30" s="143">
        <f t="shared" ref="Q30:T30" si="22">SUM(Q27:Q29)</f>
        <v>41736.03</v>
      </c>
      <c r="R30" s="143">
        <f t="shared" si="22"/>
        <v>0</v>
      </c>
      <c r="S30" s="143">
        <f t="shared" si="22"/>
        <v>0</v>
      </c>
      <c r="T30" s="160">
        <f t="shared" si="22"/>
        <v>41736.03</v>
      </c>
      <c r="U30" s="218">
        <f>L30+P30+T30</f>
        <v>102240.37</v>
      </c>
      <c r="V30" s="250"/>
    </row>
    <row r="31" spans="1:22" ht="15.75" customHeight="1" x14ac:dyDescent="0.35">
      <c r="A31" s="26" t="s">
        <v>56</v>
      </c>
      <c r="B31" s="295" t="s">
        <v>57</v>
      </c>
      <c r="C31" s="295"/>
      <c r="D31" s="295"/>
      <c r="E31" s="295"/>
      <c r="F31" s="295"/>
      <c r="G31" s="295"/>
      <c r="H31" s="295"/>
      <c r="I31" s="295"/>
      <c r="J31" s="295"/>
      <c r="K31" s="295"/>
      <c r="L31" s="295"/>
      <c r="M31" s="295"/>
      <c r="N31" s="295"/>
      <c r="O31" s="295"/>
      <c r="P31" s="295"/>
      <c r="Q31" s="295"/>
      <c r="R31" s="295"/>
      <c r="S31" s="295"/>
      <c r="T31" s="295"/>
      <c r="U31" s="295"/>
      <c r="V31" s="296"/>
    </row>
    <row r="32" spans="1:22" ht="15.75" customHeight="1" x14ac:dyDescent="0.35">
      <c r="A32" s="18" t="s">
        <v>58</v>
      </c>
      <c r="B32" s="253" t="s">
        <v>59</v>
      </c>
      <c r="C32" s="253"/>
      <c r="D32" s="253"/>
      <c r="E32" s="253"/>
      <c r="F32" s="253"/>
      <c r="G32" s="253"/>
      <c r="H32" s="253"/>
      <c r="I32" s="253"/>
      <c r="J32" s="253"/>
      <c r="K32" s="253"/>
      <c r="L32" s="253"/>
      <c r="M32" s="253"/>
      <c r="N32" s="253"/>
      <c r="O32" s="253"/>
      <c r="P32" s="253"/>
      <c r="Q32" s="253"/>
      <c r="R32" s="253"/>
      <c r="S32" s="253"/>
      <c r="T32" s="253"/>
      <c r="U32" s="253"/>
      <c r="V32" s="254"/>
    </row>
    <row r="33" spans="1:22" ht="128" x14ac:dyDescent="0.35">
      <c r="A33" s="21" t="s">
        <v>60</v>
      </c>
      <c r="B33" s="62" t="s">
        <v>61</v>
      </c>
      <c r="C33" s="23">
        <v>30000</v>
      </c>
      <c r="D33" s="23">
        <v>15000</v>
      </c>
      <c r="E33" s="23"/>
      <c r="F33" s="34">
        <f>SUM(C33:E33)</f>
        <v>45000</v>
      </c>
      <c r="G33" s="63">
        <v>0.5</v>
      </c>
      <c r="H33" s="60"/>
      <c r="I33" s="163">
        <v>9746.3700000000008</v>
      </c>
      <c r="J33" s="163">
        <v>18000</v>
      </c>
      <c r="K33" s="163">
        <v>0</v>
      </c>
      <c r="L33" s="163">
        <f>+SUM(I33:K33)</f>
        <v>27746.370000000003</v>
      </c>
      <c r="M33" s="165">
        <v>13810</v>
      </c>
      <c r="N33" s="233">
        <v>0</v>
      </c>
      <c r="O33" s="233">
        <v>0</v>
      </c>
      <c r="P33" s="233">
        <f>SUM(M33:O33)</f>
        <v>13810</v>
      </c>
      <c r="Q33" s="179"/>
      <c r="R33" s="171"/>
      <c r="S33" s="171"/>
      <c r="T33" s="180">
        <f t="shared" ref="T33:T36" si="23">SUM(Q33:S33)</f>
        <v>0</v>
      </c>
      <c r="U33" s="217">
        <f>L33+P33+T33</f>
        <v>41556.370000000003</v>
      </c>
      <c r="V33" s="47"/>
    </row>
    <row r="34" spans="1:22" ht="96" x14ac:dyDescent="0.35">
      <c r="A34" s="21" t="s">
        <v>62</v>
      </c>
      <c r="B34" s="29" t="s">
        <v>63</v>
      </c>
      <c r="C34" s="23">
        <v>58500</v>
      </c>
      <c r="D34" s="23">
        <v>5500</v>
      </c>
      <c r="E34" s="23"/>
      <c r="F34" s="34">
        <f t="shared" ref="F34:F36" si="24">SUM(C34:E34)</f>
        <v>64000</v>
      </c>
      <c r="G34" s="43">
        <v>0.5</v>
      </c>
      <c r="H34" s="47"/>
      <c r="I34" s="162">
        <f>10070.57</f>
        <v>10070.57</v>
      </c>
      <c r="J34" s="162">
        <v>45000</v>
      </c>
      <c r="K34" s="162">
        <v>0</v>
      </c>
      <c r="L34" s="162">
        <f t="shared" ref="L34:L36" si="25">+SUM(I34:K34)</f>
        <v>55070.57</v>
      </c>
      <c r="M34" s="165">
        <v>5500</v>
      </c>
      <c r="N34" s="234">
        <v>0</v>
      </c>
      <c r="O34" s="234">
        <v>0</v>
      </c>
      <c r="P34" s="233">
        <f t="shared" ref="P34:P36" si="26">SUM(M34:O34)</f>
        <v>5500</v>
      </c>
      <c r="Q34" s="179"/>
      <c r="R34" s="171"/>
      <c r="S34" s="171"/>
      <c r="T34" s="180">
        <f t="shared" si="23"/>
        <v>0</v>
      </c>
      <c r="U34" s="217">
        <f>L34+P34+T34</f>
        <v>60570.57</v>
      </c>
      <c r="V34" s="47"/>
    </row>
    <row r="35" spans="1:22" ht="112" x14ac:dyDescent="0.35">
      <c r="A35" s="21" t="s">
        <v>64</v>
      </c>
      <c r="B35" s="29" t="s">
        <v>65</v>
      </c>
      <c r="C35" s="132">
        <v>20000</v>
      </c>
      <c r="D35" s="132">
        <v>20000</v>
      </c>
      <c r="E35" s="132"/>
      <c r="F35" s="34">
        <f t="shared" si="24"/>
        <v>40000</v>
      </c>
      <c r="G35" s="43">
        <v>0.3</v>
      </c>
      <c r="H35" s="47"/>
      <c r="I35" s="162">
        <v>0</v>
      </c>
      <c r="J35" s="162">
        <v>15000</v>
      </c>
      <c r="K35" s="162">
        <v>0</v>
      </c>
      <c r="L35" s="162">
        <f t="shared" si="25"/>
        <v>15000</v>
      </c>
      <c r="M35" s="165">
        <v>0</v>
      </c>
      <c r="N35" s="234">
        <v>0</v>
      </c>
      <c r="O35" s="234">
        <v>11452</v>
      </c>
      <c r="P35" s="233">
        <f t="shared" si="26"/>
        <v>11452</v>
      </c>
      <c r="Q35" s="179"/>
      <c r="R35" s="171"/>
      <c r="S35" s="171"/>
      <c r="T35" s="180">
        <f t="shared" si="23"/>
        <v>0</v>
      </c>
      <c r="U35" s="217">
        <f>L35+P35+T35</f>
        <v>26452</v>
      </c>
      <c r="V35" s="47"/>
    </row>
    <row r="36" spans="1:22" ht="160" x14ac:dyDescent="0.35">
      <c r="A36" s="21" t="s">
        <v>66</v>
      </c>
      <c r="B36" s="29" t="s">
        <v>67</v>
      </c>
      <c r="C36" s="23">
        <v>5000</v>
      </c>
      <c r="D36" s="23">
        <v>7000</v>
      </c>
      <c r="E36" s="23"/>
      <c r="F36" s="34">
        <f t="shared" si="24"/>
        <v>12000</v>
      </c>
      <c r="G36" s="43">
        <v>0.2</v>
      </c>
      <c r="H36" s="47"/>
      <c r="I36" s="162">
        <v>0</v>
      </c>
      <c r="J36" s="162">
        <v>0</v>
      </c>
      <c r="K36" s="162">
        <v>0</v>
      </c>
      <c r="L36" s="162">
        <f t="shared" si="25"/>
        <v>0</v>
      </c>
      <c r="M36" s="165">
        <v>5537</v>
      </c>
      <c r="N36" s="234">
        <v>1216</v>
      </c>
      <c r="O36" s="234">
        <v>0</v>
      </c>
      <c r="P36" s="233">
        <f t="shared" si="26"/>
        <v>6753</v>
      </c>
      <c r="Q36" s="179"/>
      <c r="R36" s="171"/>
      <c r="S36" s="171"/>
      <c r="T36" s="180">
        <f t="shared" si="23"/>
        <v>0</v>
      </c>
      <c r="U36" s="217">
        <f>L36+P36+T36</f>
        <v>6753</v>
      </c>
      <c r="V36" s="47"/>
    </row>
    <row r="37" spans="1:22" ht="15.5" x14ac:dyDescent="0.35">
      <c r="A37" s="35"/>
      <c r="B37" s="26" t="s">
        <v>25</v>
      </c>
      <c r="C37" s="27">
        <f>SUM(C33:C36)</f>
        <v>113500</v>
      </c>
      <c r="D37" s="28">
        <f t="shared" ref="D37:K37" si="27">SUM(D33:D36)</f>
        <v>47500</v>
      </c>
      <c r="E37" s="27">
        <f t="shared" si="27"/>
        <v>0</v>
      </c>
      <c r="F37" s="27">
        <f t="shared" si="27"/>
        <v>161000</v>
      </c>
      <c r="G37" s="27">
        <f t="shared" si="27"/>
        <v>1.5</v>
      </c>
      <c r="H37" s="27">
        <f t="shared" si="27"/>
        <v>0</v>
      </c>
      <c r="I37" s="27">
        <f t="shared" si="27"/>
        <v>19816.940000000002</v>
      </c>
      <c r="J37" s="27">
        <f t="shared" si="27"/>
        <v>78000</v>
      </c>
      <c r="K37" s="27">
        <f t="shared" si="27"/>
        <v>0</v>
      </c>
      <c r="L37" s="27">
        <f>SUM(I37:K37)</f>
        <v>97816.94</v>
      </c>
      <c r="M37" s="131">
        <f>SUM(M33:M36)</f>
        <v>24847</v>
      </c>
      <c r="N37" s="131">
        <f t="shared" ref="N37:P37" si="28">SUM(N33:N36)</f>
        <v>1216</v>
      </c>
      <c r="O37" s="131">
        <f t="shared" si="28"/>
        <v>11452</v>
      </c>
      <c r="P37" s="131">
        <f t="shared" si="28"/>
        <v>37515</v>
      </c>
      <c r="Q37" s="143">
        <f>SUM(Q33:Q36)</f>
        <v>0</v>
      </c>
      <c r="R37" s="143">
        <f t="shared" ref="R37:T37" si="29">SUM(R33:R36)</f>
        <v>0</v>
      </c>
      <c r="S37" s="143">
        <f t="shared" si="29"/>
        <v>0</v>
      </c>
      <c r="T37" s="143">
        <f t="shared" si="29"/>
        <v>0</v>
      </c>
      <c r="U37" s="218">
        <f>L37+P37+T37</f>
        <v>135331.94</v>
      </c>
      <c r="V37" s="250"/>
    </row>
    <row r="38" spans="1:22" ht="15.5" x14ac:dyDescent="0.35">
      <c r="A38" s="18" t="s">
        <v>68</v>
      </c>
      <c r="B38" s="257" t="s">
        <v>69</v>
      </c>
      <c r="C38" s="258"/>
      <c r="D38" s="258"/>
      <c r="E38" s="258"/>
      <c r="F38" s="258"/>
      <c r="G38" s="258"/>
      <c r="H38" s="258"/>
      <c r="I38" s="258"/>
      <c r="J38" s="258"/>
      <c r="K38" s="258"/>
      <c r="L38" s="258"/>
      <c r="M38" s="259"/>
      <c r="N38" s="259"/>
    </row>
    <row r="39" spans="1:22" ht="112" x14ac:dyDescent="0.35">
      <c r="A39" s="21" t="s">
        <v>70</v>
      </c>
      <c r="B39" s="29" t="s">
        <v>71</v>
      </c>
      <c r="C39" s="31">
        <v>0</v>
      </c>
      <c r="D39" s="31"/>
      <c r="E39" s="30">
        <v>75000</v>
      </c>
      <c r="F39" s="34">
        <f>SUM(C39:E39)</f>
        <v>75000</v>
      </c>
      <c r="G39" s="43">
        <v>0.5</v>
      </c>
      <c r="H39" s="42"/>
      <c r="I39" s="162">
        <v>0</v>
      </c>
      <c r="J39" s="162">
        <v>0</v>
      </c>
      <c r="K39" s="162">
        <v>0</v>
      </c>
      <c r="L39" s="162">
        <f>SUM(I39:K39)</f>
        <v>0</v>
      </c>
      <c r="M39" s="165"/>
      <c r="N39" s="234"/>
      <c r="O39" s="234"/>
      <c r="P39" s="234"/>
      <c r="Q39" s="182">
        <f>43017.35+8473.24</f>
        <v>51490.59</v>
      </c>
      <c r="R39" s="182">
        <v>3480.11</v>
      </c>
      <c r="S39" s="182"/>
      <c r="T39" s="181">
        <f t="shared" ref="T39:T43" si="30">SUM(Q39:S39)</f>
        <v>54970.7</v>
      </c>
      <c r="U39" s="217">
        <f>L39+P39+T39</f>
        <v>54970.7</v>
      </c>
      <c r="V39" s="47"/>
    </row>
    <row r="40" spans="1:22" ht="96" x14ac:dyDescent="0.35">
      <c r="A40" s="21" t="s">
        <v>72</v>
      </c>
      <c r="B40" s="29" t="s">
        <v>73</v>
      </c>
      <c r="C40" s="30">
        <v>0</v>
      </c>
      <c r="D40" s="31"/>
      <c r="E40" s="30">
        <v>50000</v>
      </c>
      <c r="F40" s="34">
        <f t="shared" ref="F40:F43" si="31">SUM(C40:E40)</f>
        <v>50000</v>
      </c>
      <c r="G40" s="43">
        <v>0.5</v>
      </c>
      <c r="H40" s="47"/>
      <c r="I40" s="162">
        <v>0</v>
      </c>
      <c r="J40" s="162">
        <v>0</v>
      </c>
      <c r="K40" s="162">
        <v>0</v>
      </c>
      <c r="L40" s="162">
        <f>SUM(I40:K40)</f>
        <v>0</v>
      </c>
      <c r="M40" s="165"/>
      <c r="N40" s="234"/>
      <c r="O40" s="234"/>
      <c r="P40" s="234"/>
      <c r="Q40" s="182">
        <f>35860.82+1660.42</f>
        <v>37521.24</v>
      </c>
      <c r="R40" s="182">
        <v>2293.91</v>
      </c>
      <c r="S40" s="182"/>
      <c r="T40" s="181">
        <f t="shared" si="30"/>
        <v>39815.149999999994</v>
      </c>
      <c r="U40" s="217">
        <f t="shared" ref="U40:U41" si="32">L40+P40+T40</f>
        <v>39815.149999999994</v>
      </c>
      <c r="V40" s="47"/>
    </row>
    <row r="41" spans="1:22" ht="144" x14ac:dyDescent="0.35">
      <c r="A41" s="21" t="s">
        <v>74</v>
      </c>
      <c r="B41" s="29" t="s">
        <v>75</v>
      </c>
      <c r="C41" s="30">
        <v>0</v>
      </c>
      <c r="D41" s="31">
        <v>15000</v>
      </c>
      <c r="E41" s="30">
        <v>15000</v>
      </c>
      <c r="F41" s="34">
        <f t="shared" si="31"/>
        <v>30000</v>
      </c>
      <c r="G41" s="43">
        <v>0.5</v>
      </c>
      <c r="H41" s="47"/>
      <c r="I41" s="162">
        <v>0</v>
      </c>
      <c r="J41" s="162">
        <v>0</v>
      </c>
      <c r="K41" s="162">
        <v>0</v>
      </c>
      <c r="L41" s="162">
        <f>SUM(I41:K41)</f>
        <v>0</v>
      </c>
      <c r="M41" s="165">
        <v>13000</v>
      </c>
      <c r="N41" s="234">
        <v>0</v>
      </c>
      <c r="O41" s="234">
        <v>0</v>
      </c>
      <c r="P41" s="234">
        <f>SUM(M41:O41)</f>
        <v>13000</v>
      </c>
      <c r="Q41" s="182">
        <v>2025.15</v>
      </c>
      <c r="R41" s="182"/>
      <c r="S41" s="182"/>
      <c r="T41" s="181">
        <f t="shared" si="30"/>
        <v>2025.15</v>
      </c>
      <c r="U41" s="217">
        <f t="shared" si="32"/>
        <v>15025.15</v>
      </c>
      <c r="V41" s="47"/>
    </row>
    <row r="42" spans="1:22" ht="128" x14ac:dyDescent="0.35">
      <c r="A42" s="21" t="s">
        <v>76</v>
      </c>
      <c r="B42" s="29" t="s">
        <v>77</v>
      </c>
      <c r="C42" s="30">
        <v>10000</v>
      </c>
      <c r="D42" s="31">
        <v>10000</v>
      </c>
      <c r="E42" s="30">
        <v>10000</v>
      </c>
      <c r="F42" s="34">
        <f t="shared" si="31"/>
        <v>30000</v>
      </c>
      <c r="G42" s="43">
        <v>0.4</v>
      </c>
      <c r="H42" s="47"/>
      <c r="I42" s="162">
        <v>0</v>
      </c>
      <c r="J42" s="162">
        <v>7000</v>
      </c>
      <c r="K42" s="162">
        <v>0</v>
      </c>
      <c r="L42" s="162">
        <f t="shared" ref="L42:L43" si="33">SUM(I42:K42)</f>
        <v>7000</v>
      </c>
      <c r="M42" s="165">
        <v>5101</v>
      </c>
      <c r="N42" s="234">
        <v>0</v>
      </c>
      <c r="O42" s="234">
        <v>0</v>
      </c>
      <c r="P42" s="234">
        <f t="shared" ref="P42:P43" si="34">SUM(M42:O42)</f>
        <v>5101</v>
      </c>
      <c r="Q42" s="179">
        <v>9262.2800000000007</v>
      </c>
      <c r="R42" s="182"/>
      <c r="S42" s="182"/>
      <c r="T42" s="181">
        <f t="shared" si="30"/>
        <v>9262.2800000000007</v>
      </c>
      <c r="U42" s="217">
        <f>L42+P42+T42</f>
        <v>21363.279999999999</v>
      </c>
      <c r="V42" s="47"/>
    </row>
    <row r="43" spans="1:22" ht="96" x14ac:dyDescent="0.35">
      <c r="A43" s="21" t="s">
        <v>78</v>
      </c>
      <c r="B43" s="29" t="s">
        <v>79</v>
      </c>
      <c r="C43" s="30">
        <v>0</v>
      </c>
      <c r="D43" s="31">
        <v>20000</v>
      </c>
      <c r="E43" s="30">
        <v>20000</v>
      </c>
      <c r="F43" s="34">
        <f t="shared" si="31"/>
        <v>40000</v>
      </c>
      <c r="G43" s="43">
        <v>0.5</v>
      </c>
      <c r="H43" s="47"/>
      <c r="I43" s="162">
        <v>0</v>
      </c>
      <c r="J43" s="162">
        <v>0</v>
      </c>
      <c r="K43" s="162">
        <v>0</v>
      </c>
      <c r="L43" s="162">
        <f t="shared" si="33"/>
        <v>0</v>
      </c>
      <c r="M43" s="165">
        <v>3850</v>
      </c>
      <c r="N43" s="234">
        <v>2675</v>
      </c>
      <c r="O43" s="234">
        <v>0</v>
      </c>
      <c r="P43" s="234">
        <f t="shared" si="34"/>
        <v>6525</v>
      </c>
      <c r="Q43" s="183"/>
      <c r="R43" s="182"/>
      <c r="S43" s="182"/>
      <c r="T43" s="180">
        <f t="shared" si="30"/>
        <v>0</v>
      </c>
      <c r="U43" s="217">
        <f>L43+P43+T43</f>
        <v>6525</v>
      </c>
      <c r="V43" s="47"/>
    </row>
    <row r="44" spans="1:22" ht="15.5" x14ac:dyDescent="0.35">
      <c r="A44" s="35"/>
      <c r="B44" s="26" t="s">
        <v>25</v>
      </c>
      <c r="C44" s="36">
        <f>SUM(C38:C43)</f>
        <v>10000</v>
      </c>
      <c r="D44" s="37">
        <f>SUM(D38:D43)</f>
        <v>45000</v>
      </c>
      <c r="E44" s="36">
        <f>SUM(E39:E43)</f>
        <v>170000</v>
      </c>
      <c r="F44" s="36">
        <f>SUM(F38:F43)</f>
        <v>225000</v>
      </c>
      <c r="G44" s="36">
        <f>SUM(G39:G43)</f>
        <v>2.4</v>
      </c>
      <c r="H44" s="36">
        <f t="shared" ref="H44:K44" si="35">SUM(H38:H43)</f>
        <v>0</v>
      </c>
      <c r="I44" s="36">
        <f t="shared" si="35"/>
        <v>0</v>
      </c>
      <c r="J44" s="36">
        <f>SUM(J38:J43)</f>
        <v>7000</v>
      </c>
      <c r="K44" s="36">
        <f t="shared" si="35"/>
        <v>0</v>
      </c>
      <c r="L44" s="36">
        <f>SUM(H44:K44)</f>
        <v>7000</v>
      </c>
      <c r="M44" s="131">
        <f>SUM(M39:M43)</f>
        <v>21951</v>
      </c>
      <c r="N44" s="131">
        <f t="shared" ref="N44:P44" si="36">SUM(N39:N43)</f>
        <v>2675</v>
      </c>
      <c r="O44" s="131">
        <f t="shared" si="36"/>
        <v>0</v>
      </c>
      <c r="P44" s="131">
        <f t="shared" si="36"/>
        <v>24626</v>
      </c>
      <c r="Q44" s="143">
        <f>SUM(Q39:Q43)</f>
        <v>100299.25999999998</v>
      </c>
      <c r="R44" s="143">
        <f t="shared" ref="R44:T44" si="37">SUM(R39:R43)</f>
        <v>5774.02</v>
      </c>
      <c r="S44" s="143">
        <f t="shared" si="37"/>
        <v>0</v>
      </c>
      <c r="T44" s="160">
        <f t="shared" si="37"/>
        <v>106073.27999999998</v>
      </c>
      <c r="U44" s="218">
        <f>L44+P44+T44</f>
        <v>137699.27999999997</v>
      </c>
      <c r="V44" s="250"/>
    </row>
    <row r="45" spans="1:22" ht="15.75" customHeight="1" x14ac:dyDescent="0.35">
      <c r="A45" s="44" t="s">
        <v>80</v>
      </c>
      <c r="B45" s="253" t="s">
        <v>81</v>
      </c>
      <c r="C45" s="253"/>
      <c r="D45" s="253"/>
      <c r="E45" s="253"/>
      <c r="F45" s="253"/>
      <c r="G45" s="253"/>
      <c r="H45" s="253"/>
      <c r="I45" s="253"/>
      <c r="J45" s="253"/>
      <c r="K45" s="253"/>
      <c r="L45" s="253"/>
      <c r="M45" s="253"/>
      <c r="N45" s="253"/>
      <c r="O45" s="253"/>
      <c r="P45" s="253"/>
      <c r="Q45" s="253"/>
      <c r="R45" s="253"/>
      <c r="S45" s="253"/>
      <c r="T45" s="253"/>
      <c r="U45" s="253"/>
      <c r="V45" s="254"/>
    </row>
    <row r="46" spans="1:22" ht="80" x14ac:dyDescent="0.35">
      <c r="A46" s="21" t="s">
        <v>82</v>
      </c>
      <c r="B46" s="29" t="s">
        <v>83</v>
      </c>
      <c r="C46" s="30">
        <v>20000</v>
      </c>
      <c r="D46" s="31">
        <v>5000</v>
      </c>
      <c r="E46" s="30"/>
      <c r="F46" s="34">
        <f>SUM(C46:E46)</f>
        <v>25000</v>
      </c>
      <c r="G46" s="43">
        <v>0.5</v>
      </c>
      <c r="H46" s="47"/>
      <c r="I46" s="162"/>
      <c r="J46" s="162">
        <v>10000</v>
      </c>
      <c r="K46" s="162"/>
      <c r="L46" s="162">
        <f>SUM(I46:K46)</f>
        <v>10000</v>
      </c>
      <c r="M46" s="233">
        <v>0</v>
      </c>
      <c r="N46" s="233"/>
      <c r="O46" s="233"/>
      <c r="P46" s="233"/>
      <c r="Q46" s="179"/>
      <c r="R46" s="171"/>
      <c r="S46" s="171"/>
      <c r="T46" s="181">
        <f t="shared" ref="T46:T47" si="38">SUM(Q46:S46)</f>
        <v>0</v>
      </c>
      <c r="U46" s="217">
        <f>L46+P46+T46</f>
        <v>10000</v>
      </c>
      <c r="V46" s="47"/>
    </row>
    <row r="47" spans="1:22" ht="80" x14ac:dyDescent="0.35">
      <c r="A47" s="21" t="s">
        <v>84</v>
      </c>
      <c r="B47" s="29" t="s">
        <v>85</v>
      </c>
      <c r="C47" s="30">
        <v>10000</v>
      </c>
      <c r="D47" s="31">
        <v>5000</v>
      </c>
      <c r="E47" s="25">
        <v>5000</v>
      </c>
      <c r="F47" s="34">
        <f t="shared" ref="F47" si="39">SUM(C47:E47)</f>
        <v>20000</v>
      </c>
      <c r="G47" s="43">
        <v>0.5</v>
      </c>
      <c r="H47" s="47"/>
      <c r="I47" s="162">
        <v>1799.98</v>
      </c>
      <c r="J47" s="162">
        <v>6000</v>
      </c>
      <c r="K47" s="162"/>
      <c r="L47" s="162">
        <f>SUM(I47:K47)</f>
        <v>7799.98</v>
      </c>
      <c r="M47" s="234">
        <v>0</v>
      </c>
      <c r="N47" s="234"/>
      <c r="O47" s="234"/>
      <c r="P47" s="234"/>
      <c r="Q47" s="179">
        <v>4039.22</v>
      </c>
      <c r="R47" s="171"/>
      <c r="S47" s="171"/>
      <c r="T47" s="181">
        <f t="shared" si="38"/>
        <v>4039.22</v>
      </c>
      <c r="U47" s="217">
        <f>L47+P47+T47</f>
        <v>11839.199999999999</v>
      </c>
      <c r="V47" s="47"/>
    </row>
    <row r="48" spans="1:22" ht="16" customHeight="1" x14ac:dyDescent="0.35">
      <c r="A48" s="21" t="s">
        <v>86</v>
      </c>
      <c r="B48" s="22"/>
      <c r="C48" s="23"/>
      <c r="D48" s="23"/>
      <c r="E48" s="23"/>
      <c r="F48" s="34"/>
      <c r="G48" s="24"/>
      <c r="H48" s="47"/>
      <c r="I48" s="47"/>
      <c r="J48" s="47"/>
      <c r="K48" s="47"/>
      <c r="L48" s="47"/>
      <c r="M48" s="158"/>
      <c r="N48" s="158"/>
      <c r="O48" s="158"/>
      <c r="P48" s="158"/>
      <c r="Q48" s="142"/>
      <c r="R48" s="47"/>
      <c r="S48" s="47"/>
      <c r="T48" s="47"/>
      <c r="U48" s="47"/>
      <c r="V48" s="47"/>
    </row>
    <row r="49" spans="1:24" ht="15.5" x14ac:dyDescent="0.35">
      <c r="A49" s="35"/>
      <c r="B49" s="26" t="s">
        <v>25</v>
      </c>
      <c r="C49" s="27">
        <f t="shared" ref="C49:P49" si="40">SUM(C46:C48)</f>
        <v>30000</v>
      </c>
      <c r="D49" s="28">
        <f t="shared" si="40"/>
        <v>10000</v>
      </c>
      <c r="E49" s="27">
        <f t="shared" si="40"/>
        <v>5000</v>
      </c>
      <c r="F49" s="27">
        <f t="shared" si="40"/>
        <v>45000</v>
      </c>
      <c r="G49" s="27">
        <f t="shared" si="40"/>
        <v>1</v>
      </c>
      <c r="H49" s="27">
        <f t="shared" si="40"/>
        <v>0</v>
      </c>
      <c r="I49" s="27">
        <f t="shared" si="40"/>
        <v>1799.98</v>
      </c>
      <c r="J49" s="27">
        <f t="shared" si="40"/>
        <v>16000</v>
      </c>
      <c r="K49" s="27">
        <f t="shared" si="40"/>
        <v>0</v>
      </c>
      <c r="L49" s="27">
        <f t="shared" si="40"/>
        <v>17799.98</v>
      </c>
      <c r="M49" s="27">
        <f t="shared" si="40"/>
        <v>0</v>
      </c>
      <c r="N49" s="27">
        <f t="shared" si="40"/>
        <v>0</v>
      </c>
      <c r="O49" s="27">
        <f t="shared" si="40"/>
        <v>0</v>
      </c>
      <c r="P49" s="27">
        <f t="shared" si="40"/>
        <v>0</v>
      </c>
      <c r="Q49" s="143">
        <f t="shared" ref="Q49:T49" si="41">SUM(Q46:Q48)</f>
        <v>4039.22</v>
      </c>
      <c r="R49" s="143">
        <f t="shared" si="41"/>
        <v>0</v>
      </c>
      <c r="S49" s="143">
        <f t="shared" si="41"/>
        <v>0</v>
      </c>
      <c r="T49" s="160">
        <f t="shared" si="41"/>
        <v>4039.22</v>
      </c>
      <c r="U49" s="219">
        <f>L49+P49+T49</f>
        <v>21839.200000000001</v>
      </c>
      <c r="V49" s="58"/>
    </row>
    <row r="50" spans="1:24" ht="14.5" customHeight="1" x14ac:dyDescent="0.35"/>
    <row r="51" spans="1:24" ht="14.5" customHeight="1" x14ac:dyDescent="0.35"/>
    <row r="52" spans="1:24" ht="62" x14ac:dyDescent="0.35">
      <c r="A52" s="26" t="s">
        <v>87</v>
      </c>
      <c r="B52" s="45" t="s">
        <v>88</v>
      </c>
      <c r="C52" s="25">
        <v>247884.24</v>
      </c>
      <c r="D52" s="25">
        <v>137547</v>
      </c>
      <c r="E52" s="25">
        <v>41000</v>
      </c>
      <c r="F52" s="34">
        <f>SUM(C52:E52)</f>
        <v>426431.24</v>
      </c>
      <c r="G52" s="43">
        <v>0.5</v>
      </c>
      <c r="H52" s="47"/>
      <c r="I52" s="162">
        <v>138358.09</v>
      </c>
      <c r="J52" s="162">
        <v>29615.360000000001</v>
      </c>
      <c r="K52" s="162"/>
      <c r="L52" s="162">
        <f>SUM(I52:K52)</f>
        <v>167973.45</v>
      </c>
      <c r="M52" s="165">
        <v>71136</v>
      </c>
      <c r="N52" s="240">
        <v>6742</v>
      </c>
      <c r="O52" s="240">
        <v>9730</v>
      </c>
      <c r="P52" s="240">
        <f>SUM(M52:O52)</f>
        <v>87608</v>
      </c>
      <c r="Q52" s="182">
        <v>21946.17</v>
      </c>
      <c r="R52" s="182">
        <v>15720.66</v>
      </c>
      <c r="S52" s="184"/>
      <c r="T52" s="185">
        <f t="shared" ref="T52:T55" si="42">SUM(Q52:S52)</f>
        <v>37666.83</v>
      </c>
      <c r="U52" s="217">
        <f>L52+P52+T52</f>
        <v>293248.28000000003</v>
      </c>
      <c r="V52" s="47"/>
    </row>
    <row r="53" spans="1:24" ht="62" x14ac:dyDescent="0.35">
      <c r="A53" s="26" t="s">
        <v>89</v>
      </c>
      <c r="B53" s="46"/>
      <c r="C53" s="25">
        <v>88856.2</v>
      </c>
      <c r="D53" s="25">
        <v>40700</v>
      </c>
      <c r="E53" s="25">
        <v>18000</v>
      </c>
      <c r="F53" s="34">
        <f>SUM(C53:E53)</f>
        <v>147556.20000000001</v>
      </c>
      <c r="G53" s="43">
        <v>0.5</v>
      </c>
      <c r="H53" s="47"/>
      <c r="I53" s="162">
        <v>69442.600000000006</v>
      </c>
      <c r="J53" s="162">
        <v>1811.74</v>
      </c>
      <c r="K53" s="162">
        <v>12375.42</v>
      </c>
      <c r="L53" s="162">
        <f t="shared" ref="L53:L55" si="43">SUM(I53:K53)</f>
        <v>83629.760000000009</v>
      </c>
      <c r="M53" s="165">
        <v>23139</v>
      </c>
      <c r="N53" s="240">
        <v>369</v>
      </c>
      <c r="O53" s="240">
        <v>567</v>
      </c>
      <c r="P53" s="240">
        <f t="shared" ref="P53:P54" si="44">SUM(M53:O53)</f>
        <v>24075</v>
      </c>
      <c r="Q53" s="182">
        <f>4041.87+1260.74</f>
        <v>5302.61</v>
      </c>
      <c r="R53" s="184"/>
      <c r="S53" s="184"/>
      <c r="T53" s="185">
        <f t="shared" si="42"/>
        <v>5302.61</v>
      </c>
      <c r="U53" s="217">
        <f>L53+P53+T53</f>
        <v>113007.37000000001</v>
      </c>
      <c r="V53" s="47"/>
    </row>
    <row r="54" spans="1:24" ht="62" x14ac:dyDescent="0.35">
      <c r="A54" s="26" t="s">
        <v>90</v>
      </c>
      <c r="B54" s="48" t="s">
        <v>91</v>
      </c>
      <c r="C54" s="25">
        <v>30271.56</v>
      </c>
      <c r="D54" s="25">
        <v>40000</v>
      </c>
      <c r="E54" s="25">
        <v>10000</v>
      </c>
      <c r="F54" s="34">
        <f>SUM(C54:E54)</f>
        <v>80271.56</v>
      </c>
      <c r="G54" s="43">
        <v>0.5</v>
      </c>
      <c r="H54" s="47"/>
      <c r="I54" s="162">
        <v>13288.67</v>
      </c>
      <c r="J54" s="162">
        <v>808.17</v>
      </c>
      <c r="K54" s="162"/>
      <c r="L54" s="162">
        <f t="shared" si="43"/>
        <v>14096.84</v>
      </c>
      <c r="M54" s="165">
        <v>27403</v>
      </c>
      <c r="N54" s="240">
        <v>0</v>
      </c>
      <c r="O54" s="240"/>
      <c r="P54" s="240">
        <f t="shared" si="44"/>
        <v>27403</v>
      </c>
      <c r="Q54" s="182"/>
      <c r="R54" s="184"/>
      <c r="S54" s="184"/>
      <c r="T54" s="185">
        <f t="shared" si="42"/>
        <v>0</v>
      </c>
      <c r="U54" s="217">
        <f>L54+P54+T54</f>
        <v>41499.839999999997</v>
      </c>
      <c r="V54" s="47"/>
    </row>
    <row r="55" spans="1:24" ht="46.5" x14ac:dyDescent="0.35">
      <c r="A55" s="49" t="s">
        <v>92</v>
      </c>
      <c r="B55" s="46"/>
      <c r="C55" s="25">
        <v>50000</v>
      </c>
      <c r="D55" s="25">
        <v>0</v>
      </c>
      <c r="E55" s="25">
        <v>0</v>
      </c>
      <c r="F55" s="34">
        <f>SUM(C55:E55)</f>
        <v>50000</v>
      </c>
      <c r="G55" s="43">
        <v>0.5</v>
      </c>
      <c r="H55" s="47"/>
      <c r="I55" s="162">
        <v>0</v>
      </c>
      <c r="J55" s="162">
        <v>0</v>
      </c>
      <c r="K55" s="162"/>
      <c r="L55" s="162">
        <f t="shared" si="43"/>
        <v>0</v>
      </c>
      <c r="M55" s="165"/>
      <c r="N55" s="240">
        <v>0</v>
      </c>
      <c r="O55" s="240"/>
      <c r="P55" s="240"/>
      <c r="Q55" s="182"/>
      <c r="R55" s="184"/>
      <c r="S55" s="184"/>
      <c r="T55" s="185">
        <f t="shared" si="42"/>
        <v>0</v>
      </c>
      <c r="U55" s="217">
        <f>L55+P55+T55</f>
        <v>0</v>
      </c>
      <c r="V55" s="47"/>
    </row>
    <row r="56" spans="1:24" ht="15.5" x14ac:dyDescent="0.35">
      <c r="A56" s="50"/>
      <c r="B56" s="51" t="s">
        <v>93</v>
      </c>
      <c r="C56" s="133">
        <f>SUM(C52:C55)</f>
        <v>417012</v>
      </c>
      <c r="D56" s="133">
        <f>SUM(D52:D55)</f>
        <v>218247</v>
      </c>
      <c r="E56" s="52">
        <f>SUM(E52:E55)</f>
        <v>69000</v>
      </c>
      <c r="F56" s="52">
        <f>SUM(F52:F55)</f>
        <v>704259</v>
      </c>
      <c r="G56" s="27">
        <f>+SUM(G52:G55)</f>
        <v>2</v>
      </c>
      <c r="H56" s="27">
        <f>SUM(H52:H55)</f>
        <v>0</v>
      </c>
      <c r="I56" s="27">
        <f t="shared" ref="I56" si="45">SUM(I52:I55)</f>
        <v>221089.36000000002</v>
      </c>
      <c r="J56" s="27">
        <f>SUM(J52:J55)</f>
        <v>32235.27</v>
      </c>
      <c r="K56" s="27">
        <f>SUM(K52:K55)</f>
        <v>12375.42</v>
      </c>
      <c r="L56" s="27">
        <f>SUM(L52:L55)</f>
        <v>265700.05000000005</v>
      </c>
      <c r="M56" s="131">
        <f>SUM(M52:M55)</f>
        <v>121678</v>
      </c>
      <c r="N56" s="131">
        <f t="shared" ref="N56:P56" si="46">SUM(N52:N55)</f>
        <v>7111</v>
      </c>
      <c r="O56" s="131">
        <f t="shared" si="46"/>
        <v>10297</v>
      </c>
      <c r="P56" s="131">
        <f t="shared" si="46"/>
        <v>139086</v>
      </c>
      <c r="Q56" s="160">
        <f t="shared" ref="Q56:T56" si="47">SUM(Q52:Q55)</f>
        <v>27248.78</v>
      </c>
      <c r="R56" s="160">
        <f t="shared" si="47"/>
        <v>15720.66</v>
      </c>
      <c r="S56" s="160">
        <f t="shared" si="47"/>
        <v>0</v>
      </c>
      <c r="T56" s="160">
        <f t="shared" si="47"/>
        <v>42969.440000000002</v>
      </c>
      <c r="U56" s="218">
        <f>L56+P56+T56</f>
        <v>447755.49000000005</v>
      </c>
      <c r="V56" s="58"/>
    </row>
    <row r="59" spans="1:24" ht="15" thickBot="1" x14ac:dyDescent="0.4"/>
    <row r="60" spans="1:24" ht="16" thickBot="1" x14ac:dyDescent="0.4">
      <c r="B60" s="260" t="s">
        <v>94</v>
      </c>
      <c r="C60" s="261"/>
      <c r="D60" s="261"/>
      <c r="E60" s="261"/>
      <c r="F60" s="262"/>
      <c r="I60" s="285" t="s">
        <v>94</v>
      </c>
      <c r="J60" s="286"/>
      <c r="K60" s="286"/>
      <c r="L60" s="286"/>
      <c r="M60" s="286"/>
      <c r="N60" s="286"/>
      <c r="O60" s="286"/>
      <c r="P60" s="286"/>
      <c r="Q60" s="286"/>
      <c r="R60" s="286"/>
      <c r="S60" s="286"/>
      <c r="T60" s="286"/>
      <c r="U60" s="286"/>
      <c r="V60" s="286"/>
      <c r="W60" s="286"/>
      <c r="X60" s="286"/>
    </row>
    <row r="61" spans="1:24" ht="60.5" thickBot="1" x14ac:dyDescent="0.4">
      <c r="B61" s="263"/>
      <c r="C61" s="27" t="s">
        <v>95</v>
      </c>
      <c r="D61" s="28" t="s">
        <v>96</v>
      </c>
      <c r="E61" s="27" t="s">
        <v>97</v>
      </c>
      <c r="F61" s="265" t="s">
        <v>6</v>
      </c>
      <c r="I61" s="188" t="s">
        <v>100</v>
      </c>
      <c r="J61" s="161" t="s">
        <v>101</v>
      </c>
      <c r="K61" s="161" t="s">
        <v>103</v>
      </c>
      <c r="L61" s="189" t="s">
        <v>102</v>
      </c>
      <c r="M61" s="204" t="s">
        <v>104</v>
      </c>
      <c r="N61" s="205" t="s">
        <v>105</v>
      </c>
      <c r="O61" s="205" t="s">
        <v>106</v>
      </c>
      <c r="P61" s="206" t="s">
        <v>107</v>
      </c>
      <c r="Q61" s="207" t="s">
        <v>108</v>
      </c>
      <c r="R61" s="208" t="s">
        <v>109</v>
      </c>
      <c r="S61" s="208" t="s">
        <v>110</v>
      </c>
      <c r="T61" s="223" t="s">
        <v>111</v>
      </c>
      <c r="U61" s="226" t="s">
        <v>163</v>
      </c>
      <c r="V61" s="220" t="s">
        <v>164</v>
      </c>
      <c r="W61" s="220" t="s">
        <v>165</v>
      </c>
      <c r="X61" s="227" t="s">
        <v>166</v>
      </c>
    </row>
    <row r="62" spans="1:24" ht="15.5" x14ac:dyDescent="0.35">
      <c r="B62" s="264"/>
      <c r="C62" s="53" t="s">
        <v>18</v>
      </c>
      <c r="D62" s="54" t="s">
        <v>12</v>
      </c>
      <c r="E62" s="53" t="s">
        <v>13</v>
      </c>
      <c r="F62" s="266"/>
      <c r="I62" s="255" t="s">
        <v>18</v>
      </c>
      <c r="J62" s="256"/>
      <c r="K62" s="256"/>
      <c r="L62" s="256"/>
      <c r="M62" s="267" t="s">
        <v>12</v>
      </c>
      <c r="N62" s="267"/>
      <c r="O62" s="267"/>
      <c r="P62" s="267"/>
      <c r="Q62" s="291" t="s">
        <v>13</v>
      </c>
      <c r="R62" s="291"/>
      <c r="S62" s="291"/>
      <c r="T62" s="292"/>
      <c r="U62" s="268" t="s">
        <v>162</v>
      </c>
      <c r="V62" s="269"/>
      <c r="W62" s="269"/>
      <c r="X62" s="270"/>
    </row>
    <row r="63" spans="1:24" ht="19.5" customHeight="1" x14ac:dyDescent="0.35">
      <c r="B63" s="55" t="s">
        <v>98</v>
      </c>
      <c r="C63" s="242">
        <f>SUM(C56+C49+C44+C37+C30+C25+C16+C10)</f>
        <v>997412</v>
      </c>
      <c r="D63" s="243">
        <f>SUM(D10+D16+D25+D30+D37+D44+D49+D56)</f>
        <v>539747</v>
      </c>
      <c r="E63" s="242">
        <f>SUM(E10+E16+E25+E30+E37+E44+E49+E56)</f>
        <v>332000</v>
      </c>
      <c r="F63" s="244">
        <f>SUM(C63:E63)</f>
        <v>1869159</v>
      </c>
      <c r="I63" s="190">
        <f>SUM(I56+I49+I44+I37+I30+I25+I16+I10)</f>
        <v>379972.72000000003</v>
      </c>
      <c r="J63" s="186">
        <f t="shared" ref="J63:T63" si="48">SUM(J56+J49+J44+J37+J30+J25+J16+J10)</f>
        <v>317539.35000000003</v>
      </c>
      <c r="K63" s="186">
        <f t="shared" si="48"/>
        <v>12375.42</v>
      </c>
      <c r="L63" s="191">
        <f>SUM(I63:K63)</f>
        <v>709887.49000000011</v>
      </c>
      <c r="M63" s="196">
        <f t="shared" si="48"/>
        <v>325744</v>
      </c>
      <c r="N63" s="194">
        <f t="shared" si="48"/>
        <v>15921</v>
      </c>
      <c r="O63" s="194">
        <f t="shared" si="48"/>
        <v>23464</v>
      </c>
      <c r="P63" s="197">
        <f t="shared" si="48"/>
        <v>365129</v>
      </c>
      <c r="Q63" s="200">
        <f t="shared" si="48"/>
        <v>202902.38999999998</v>
      </c>
      <c r="R63" s="201">
        <f t="shared" si="48"/>
        <v>21494.68</v>
      </c>
      <c r="S63" s="201">
        <f t="shared" si="48"/>
        <v>2219.17</v>
      </c>
      <c r="T63" s="224">
        <f t="shared" si="48"/>
        <v>226616.24000000002</v>
      </c>
      <c r="U63" s="228">
        <f>I63+M63+Q63</f>
        <v>908619.11</v>
      </c>
      <c r="V63" s="228">
        <f>J63+N63+R63</f>
        <v>354955.03</v>
      </c>
      <c r="W63" s="228">
        <f>K63+O63+S63</f>
        <v>38058.589999999997</v>
      </c>
      <c r="X63" s="228">
        <f>L63+P63+T63</f>
        <v>1301632.7300000002</v>
      </c>
    </row>
    <row r="64" spans="1:24" ht="15.5" x14ac:dyDescent="0.35">
      <c r="B64" s="55" t="s">
        <v>99</v>
      </c>
      <c r="C64" s="242">
        <f>C63*0.07</f>
        <v>69818.840000000011</v>
      </c>
      <c r="D64" s="243">
        <f>D63*0.07</f>
        <v>37782.29</v>
      </c>
      <c r="E64" s="242">
        <f>E63*0.07</f>
        <v>23240.000000000004</v>
      </c>
      <c r="F64" s="244">
        <f>F63*0.07</f>
        <v>130841.13000000002</v>
      </c>
      <c r="I64" s="190">
        <f>I63*0.07</f>
        <v>26598.090400000005</v>
      </c>
      <c r="J64" s="186">
        <f t="shared" ref="J64:T64" si="49">J63*0.07</f>
        <v>22227.754500000006</v>
      </c>
      <c r="K64" s="186">
        <f t="shared" si="49"/>
        <v>866.27940000000012</v>
      </c>
      <c r="L64" s="191">
        <f>L63*0.07</f>
        <v>49692.12430000001</v>
      </c>
      <c r="M64" s="196">
        <f t="shared" si="49"/>
        <v>22802.080000000002</v>
      </c>
      <c r="N64" s="194">
        <f t="shared" si="49"/>
        <v>1114.47</v>
      </c>
      <c r="O64" s="194">
        <f t="shared" si="49"/>
        <v>1642.4800000000002</v>
      </c>
      <c r="P64" s="197">
        <f t="shared" si="49"/>
        <v>25559.030000000002</v>
      </c>
      <c r="Q64" s="200">
        <f t="shared" si="49"/>
        <v>14203.167300000001</v>
      </c>
      <c r="R64" s="201">
        <f t="shared" si="49"/>
        <v>1504.6276000000003</v>
      </c>
      <c r="S64" s="201">
        <f t="shared" si="49"/>
        <v>155.34190000000001</v>
      </c>
      <c r="T64" s="224">
        <f t="shared" si="49"/>
        <v>15863.136800000002</v>
      </c>
      <c r="U64" s="221">
        <f t="shared" ref="U64:X64" si="50">U63*0.07</f>
        <v>63603.337700000004</v>
      </c>
      <c r="V64" s="221">
        <f t="shared" si="50"/>
        <v>24846.852100000004</v>
      </c>
      <c r="W64" s="221">
        <f t="shared" si="50"/>
        <v>2664.1012999999998</v>
      </c>
      <c r="X64" s="229">
        <f t="shared" si="50"/>
        <v>91114.291100000017</v>
      </c>
    </row>
    <row r="65" spans="2:24" ht="16" thickBot="1" x14ac:dyDescent="0.4">
      <c r="B65" s="56" t="s">
        <v>6</v>
      </c>
      <c r="C65" s="245">
        <f>SUM(C63:C64)</f>
        <v>1067230.8400000001</v>
      </c>
      <c r="D65" s="246">
        <f>SUM(D63:D64)</f>
        <v>577529.29</v>
      </c>
      <c r="E65" s="245">
        <f>SUM(E63:E64)</f>
        <v>355240</v>
      </c>
      <c r="F65" s="241">
        <f>SUM(F63:F64)</f>
        <v>2000000.1300000001</v>
      </c>
      <c r="I65" s="192">
        <f>SUM(I63:I64)</f>
        <v>406570.81040000002</v>
      </c>
      <c r="J65" s="187">
        <f>SUM(J63:J64)</f>
        <v>339767.10450000002</v>
      </c>
      <c r="K65" s="187">
        <f t="shared" ref="K65" si="51">SUM(K63:K64)</f>
        <v>13241.6994</v>
      </c>
      <c r="L65" s="193">
        <f>SUM(I65:K65)</f>
        <v>759579.61430000002</v>
      </c>
      <c r="M65" s="198">
        <f>SUM(M63:M64)</f>
        <v>348546.08</v>
      </c>
      <c r="N65" s="195">
        <f>SUM(N63:N64)</f>
        <v>17035.47</v>
      </c>
      <c r="O65" s="195">
        <f t="shared" ref="O65" si="52">SUM(O63:O64)</f>
        <v>25106.48</v>
      </c>
      <c r="P65" s="199">
        <f t="shared" ref="P65" si="53">SUM(P63:P64)</f>
        <v>390688.03</v>
      </c>
      <c r="Q65" s="202">
        <f>SUM(Q63:Q64)</f>
        <v>217105.55729999999</v>
      </c>
      <c r="R65" s="203">
        <f>SUM(R63:R64)</f>
        <v>22999.3076</v>
      </c>
      <c r="S65" s="203">
        <f t="shared" ref="S65" si="54">SUM(S63:S64)</f>
        <v>2374.5119</v>
      </c>
      <c r="T65" s="225">
        <f t="shared" ref="T65" si="55">SUM(T63:T64)</f>
        <v>242479.37680000003</v>
      </c>
      <c r="U65" s="230">
        <f>SUM(U63:U64)</f>
        <v>972222.44770000002</v>
      </c>
      <c r="V65" s="222">
        <f>SUM(V63:V64)</f>
        <v>379801.88210000005</v>
      </c>
      <c r="W65" s="222">
        <f t="shared" ref="W65:X65" si="56">SUM(W63:W64)</f>
        <v>40722.691299999999</v>
      </c>
      <c r="X65" s="231">
        <f t="shared" si="56"/>
        <v>1392747.0211000002</v>
      </c>
    </row>
    <row r="66" spans="2:24" x14ac:dyDescent="0.35">
      <c r="C66" s="247"/>
      <c r="D66" s="247"/>
      <c r="E66" s="247"/>
      <c r="F66" s="247"/>
      <c r="U66" s="252">
        <f>+U65/F65</f>
        <v>0.48611119225277249</v>
      </c>
      <c r="X66" s="252">
        <f>+X65/F65</f>
        <v>0.69637346528572486</v>
      </c>
    </row>
    <row r="69" spans="2:24" x14ac:dyDescent="0.35">
      <c r="F69" t="s">
        <v>159</v>
      </c>
    </row>
    <row r="72" spans="2:24" x14ac:dyDescent="0.35">
      <c r="Q72" s="159"/>
    </row>
  </sheetData>
  <mergeCells count="24">
    <mergeCell ref="M17:V17"/>
    <mergeCell ref="B19:V19"/>
    <mergeCell ref="B31:V31"/>
    <mergeCell ref="B32:V32"/>
    <mergeCell ref="B11:V11"/>
    <mergeCell ref="A1:G1"/>
    <mergeCell ref="I5:L5"/>
    <mergeCell ref="M5:P5"/>
    <mergeCell ref="Q5:T5"/>
    <mergeCell ref="B6:V6"/>
    <mergeCell ref="B7:V7"/>
    <mergeCell ref="U4:U5"/>
    <mergeCell ref="V4:V5"/>
    <mergeCell ref="B26:H26"/>
    <mergeCell ref="B45:V45"/>
    <mergeCell ref="I62:L62"/>
    <mergeCell ref="B38:N38"/>
    <mergeCell ref="B60:F60"/>
    <mergeCell ref="B61:B62"/>
    <mergeCell ref="F61:F62"/>
    <mergeCell ref="M62:P62"/>
    <mergeCell ref="U62:X62"/>
    <mergeCell ref="I60:X60"/>
    <mergeCell ref="Q62:T62"/>
  </mergeCells>
  <dataValidations count="3">
    <dataValidation allowBlank="1" showInputMessage="1" showErrorMessage="1" prompt="Insert *text* description of Output here" sqref="B7 B11 B19 B26 B32 B45 B38" xr:uid="{32872B72-9FAB-4426-96F5-191154F2FC2A}"/>
    <dataValidation allowBlank="1" showInputMessage="1" showErrorMessage="1" prompt="Insert *text* description of Outcome here" sqref="B6 B18 B31" xr:uid="{2A7B9A3C-7656-4845-BE63-590D5C11F7B1}"/>
    <dataValidation allowBlank="1" showInputMessage="1" showErrorMessage="1" prompt="Insert *text* description of Activity here" sqref="B8 B12 B20 B27 B33 B46 B39" xr:uid="{2C52F1EB-6C8C-4282-9564-6DBC88B2534F}"/>
  </dataValidations>
  <pageMargins left="0.7" right="0.7" top="0.75" bottom="0.75" header="0.3" footer="0.3"/>
  <pageSetup paperSize="9" orientation="portrait" r:id="rId1"/>
  <ignoredErrors>
    <ignoredError sqref="L65 E44:G44 L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0CA5-12F3-4205-BD0F-09BDC1149B52}">
  <dimension ref="A1:Z133"/>
  <sheetViews>
    <sheetView topLeftCell="A13" zoomScale="68" workbookViewId="0">
      <selection activeCell="G129" activeCellId="2" sqref="O129 K129 G129"/>
    </sheetView>
  </sheetViews>
  <sheetFormatPr baseColWidth="10" defaultColWidth="10.90625" defaultRowHeight="14.5" x14ac:dyDescent="0.35"/>
  <cols>
    <col min="2" max="2" width="80.453125" customWidth="1"/>
    <col min="3" max="3" width="14.453125" customWidth="1"/>
    <col min="4" max="4" width="18.81640625" customWidth="1"/>
    <col min="5" max="5" width="14.453125" customWidth="1"/>
    <col min="6" max="6" width="17.453125" customWidth="1"/>
    <col min="7" max="8" width="15.453125" bestFit="1" customWidth="1"/>
    <col min="9" max="9" width="14.1796875" bestFit="1" customWidth="1"/>
    <col min="10" max="10" width="16.1796875" customWidth="1"/>
    <col min="11" max="11" width="15.453125" bestFit="1" customWidth="1"/>
    <col min="12" max="12" width="14.1796875" bestFit="1" customWidth="1"/>
    <col min="13" max="15" width="15.453125" bestFit="1" customWidth="1"/>
    <col min="16" max="16" width="14.1796875" bestFit="1" customWidth="1"/>
    <col min="17" max="17" width="12.81640625" bestFit="1" customWidth="1"/>
    <col min="18" max="18" width="15.453125" bestFit="1" customWidth="1"/>
    <col min="19" max="19" width="22.81640625" customWidth="1"/>
  </cols>
  <sheetData>
    <row r="1" spans="1:26" ht="15" customHeight="1" x14ac:dyDescent="0.35">
      <c r="A1" s="73"/>
      <c r="B1" s="303" t="s">
        <v>112</v>
      </c>
      <c r="C1" s="303"/>
      <c r="D1" s="303"/>
      <c r="E1" s="303"/>
      <c r="F1" s="74"/>
      <c r="G1" s="73"/>
      <c r="H1" s="73"/>
      <c r="I1" s="73"/>
      <c r="J1" s="75"/>
      <c r="K1" s="73"/>
      <c r="L1" s="73"/>
      <c r="M1" s="73"/>
      <c r="N1" s="75"/>
      <c r="O1" s="73"/>
      <c r="P1" s="73"/>
      <c r="Q1" s="73"/>
      <c r="R1" s="75"/>
      <c r="S1" s="1"/>
      <c r="T1" s="1"/>
      <c r="U1" s="1"/>
      <c r="V1" s="1"/>
      <c r="W1" s="1"/>
      <c r="X1" s="1"/>
      <c r="Y1" s="1"/>
      <c r="Z1" s="1"/>
    </row>
    <row r="2" spans="1:26" x14ac:dyDescent="0.35">
      <c r="A2" s="73"/>
      <c r="B2" s="75"/>
      <c r="C2" s="76"/>
      <c r="D2" s="76"/>
      <c r="E2" s="76"/>
      <c r="F2" s="76"/>
      <c r="G2" s="73"/>
      <c r="H2" s="73"/>
      <c r="I2" s="73"/>
      <c r="J2" s="75"/>
      <c r="K2" s="73"/>
      <c r="L2" s="73"/>
      <c r="M2" s="73"/>
      <c r="N2" s="75"/>
      <c r="O2" s="73"/>
      <c r="P2" s="73"/>
      <c r="Q2" s="73"/>
      <c r="R2" s="75"/>
      <c r="S2" s="1"/>
      <c r="T2" s="1"/>
      <c r="U2" s="1"/>
      <c r="V2" s="1"/>
      <c r="W2" s="1"/>
      <c r="X2" s="1"/>
      <c r="Y2" s="1"/>
      <c r="Z2" s="1"/>
    </row>
    <row r="3" spans="1:26" ht="15" thickBot="1" x14ac:dyDescent="0.4">
      <c r="A3" s="73"/>
      <c r="B3" s="75"/>
      <c r="C3" s="76"/>
      <c r="D3" s="76"/>
      <c r="E3" s="76"/>
      <c r="F3" s="76"/>
      <c r="G3" s="73"/>
      <c r="H3" s="73"/>
      <c r="I3" s="73"/>
      <c r="J3" s="75"/>
      <c r="K3" s="73"/>
      <c r="L3" s="73"/>
      <c r="M3" s="73"/>
      <c r="N3" s="75"/>
      <c r="O3" s="73"/>
      <c r="P3" s="73"/>
      <c r="Q3" s="73"/>
      <c r="R3" s="75"/>
      <c r="S3" s="1"/>
      <c r="T3" s="1"/>
      <c r="U3" s="1"/>
      <c r="V3" s="1"/>
      <c r="W3" s="1"/>
      <c r="X3" s="1"/>
      <c r="Y3" s="1"/>
      <c r="Z3" s="1"/>
    </row>
    <row r="4" spans="1:26" ht="15" customHeight="1" x14ac:dyDescent="0.35">
      <c r="A4" s="73"/>
      <c r="B4" s="304" t="s">
        <v>113</v>
      </c>
      <c r="C4" s="305"/>
      <c r="D4" s="305"/>
      <c r="E4" s="305"/>
      <c r="F4" s="305"/>
      <c r="G4" s="73"/>
      <c r="H4" s="73"/>
      <c r="I4" s="73"/>
      <c r="J4" s="75"/>
      <c r="K4" s="73"/>
      <c r="L4" s="73"/>
      <c r="M4" s="73"/>
      <c r="N4" s="75"/>
      <c r="O4" s="73"/>
      <c r="P4" s="73"/>
      <c r="Q4" s="73"/>
      <c r="R4" s="75"/>
      <c r="S4" s="1"/>
      <c r="T4" s="1"/>
      <c r="U4" s="1"/>
      <c r="V4" s="1"/>
      <c r="W4" s="1"/>
      <c r="X4" s="1"/>
      <c r="Y4" s="1"/>
      <c r="Z4" s="1"/>
    </row>
    <row r="5" spans="1:26" ht="30" customHeight="1" x14ac:dyDescent="0.35">
      <c r="A5" s="73"/>
      <c r="B5" s="306" t="s">
        <v>114</v>
      </c>
      <c r="C5" s="307"/>
      <c r="D5" s="307"/>
      <c r="E5" s="307"/>
      <c r="F5" s="307"/>
      <c r="G5" s="73"/>
      <c r="H5" s="73"/>
      <c r="I5" s="73"/>
      <c r="J5" s="75"/>
      <c r="K5" s="73"/>
      <c r="L5" s="73"/>
      <c r="M5" s="73"/>
      <c r="N5" s="75"/>
      <c r="O5" s="73"/>
      <c r="P5" s="73"/>
      <c r="Q5" s="73"/>
      <c r="R5" s="75"/>
      <c r="S5" s="1"/>
      <c r="T5" s="1"/>
      <c r="U5" s="1"/>
      <c r="V5" s="1"/>
      <c r="W5" s="1"/>
      <c r="X5" s="1"/>
      <c r="Y5" s="1"/>
      <c r="Z5" s="1"/>
    </row>
    <row r="6" spans="1:26" ht="30" customHeight="1" x14ac:dyDescent="0.35">
      <c r="A6" s="73"/>
      <c r="B6" s="306" t="s">
        <v>115</v>
      </c>
      <c r="C6" s="307"/>
      <c r="D6" s="307"/>
      <c r="E6" s="307"/>
      <c r="F6" s="307"/>
      <c r="G6" s="73"/>
      <c r="H6" s="73"/>
      <c r="I6" s="73"/>
      <c r="J6" s="75"/>
      <c r="K6" s="73"/>
      <c r="L6" s="73"/>
      <c r="M6" s="73"/>
      <c r="N6" s="75"/>
      <c r="O6" s="73"/>
      <c r="P6" s="73"/>
      <c r="Q6" s="73"/>
      <c r="R6" s="75"/>
      <c r="S6" s="1"/>
      <c r="T6" s="1"/>
      <c r="U6" s="1"/>
      <c r="V6" s="1"/>
      <c r="W6" s="1"/>
      <c r="X6" s="1"/>
      <c r="Y6" s="1"/>
      <c r="Z6" s="1"/>
    </row>
    <row r="7" spans="1:26" ht="30" customHeight="1" x14ac:dyDescent="0.35">
      <c r="A7" s="73"/>
      <c r="B7" s="306" t="s">
        <v>116</v>
      </c>
      <c r="C7" s="307"/>
      <c r="D7" s="307"/>
      <c r="E7" s="307"/>
      <c r="F7" s="307"/>
      <c r="G7" s="73"/>
      <c r="H7" s="73"/>
      <c r="I7" s="73"/>
      <c r="J7" s="75"/>
      <c r="K7" s="73"/>
      <c r="L7" s="73"/>
      <c r="M7" s="73"/>
      <c r="N7" s="75"/>
      <c r="O7" s="73"/>
      <c r="P7" s="73"/>
      <c r="Q7" s="73"/>
      <c r="R7" s="75"/>
      <c r="S7" s="1"/>
      <c r="T7" s="1"/>
      <c r="U7" s="1"/>
      <c r="V7" s="1"/>
      <c r="W7" s="1"/>
      <c r="X7" s="1"/>
      <c r="Y7" s="1"/>
      <c r="Z7" s="1"/>
    </row>
    <row r="8" spans="1:26" ht="15" thickBot="1" x14ac:dyDescent="0.4">
      <c r="A8" s="73"/>
      <c r="B8" s="77"/>
      <c r="C8" s="78"/>
      <c r="D8" s="78"/>
      <c r="E8" s="78"/>
      <c r="F8" s="76"/>
      <c r="G8" s="73"/>
      <c r="H8" s="73"/>
      <c r="I8" s="73"/>
      <c r="J8" s="75"/>
      <c r="K8" s="73"/>
      <c r="L8" s="73"/>
      <c r="M8" s="73"/>
      <c r="N8" s="75"/>
      <c r="O8" s="73"/>
      <c r="P8" s="73"/>
      <c r="Q8" s="73"/>
      <c r="R8" s="75"/>
      <c r="S8" s="1"/>
      <c r="T8" s="1"/>
      <c r="U8" s="1"/>
      <c r="V8" s="1"/>
      <c r="W8" s="1"/>
      <c r="X8" s="1"/>
      <c r="Y8" s="1"/>
      <c r="Z8" s="1"/>
    </row>
    <row r="9" spans="1:26" ht="30" customHeight="1" thickBot="1" x14ac:dyDescent="0.4">
      <c r="A9" s="73"/>
      <c r="B9" s="309" t="s">
        <v>117</v>
      </c>
      <c r="C9" s="310"/>
      <c r="D9" s="310"/>
      <c r="E9" s="310"/>
      <c r="F9" s="76"/>
      <c r="G9" s="73"/>
      <c r="H9" s="73"/>
      <c r="I9" s="73"/>
      <c r="J9" s="75"/>
      <c r="K9" s="73"/>
      <c r="L9" s="73"/>
      <c r="M9" s="73"/>
      <c r="N9" s="75"/>
      <c r="O9" s="73"/>
      <c r="P9" s="73"/>
      <c r="Q9" s="73"/>
      <c r="R9" s="75"/>
      <c r="S9" s="1"/>
      <c r="T9" s="1"/>
      <c r="U9" s="1"/>
      <c r="V9" s="1"/>
      <c r="W9" s="1"/>
      <c r="X9" s="1"/>
      <c r="Y9" s="1"/>
      <c r="Z9" s="1"/>
    </row>
    <row r="10" spans="1:26" x14ac:dyDescent="0.35">
      <c r="A10" s="86"/>
      <c r="B10" s="87"/>
      <c r="C10" s="88"/>
      <c r="D10" s="88"/>
      <c r="E10" s="88"/>
      <c r="F10" s="71"/>
      <c r="G10" s="70"/>
      <c r="H10" s="70"/>
      <c r="I10" s="70"/>
      <c r="J10" s="72"/>
      <c r="K10" s="70"/>
      <c r="L10" s="70"/>
      <c r="M10" s="70"/>
      <c r="N10" s="72"/>
      <c r="O10" s="70"/>
      <c r="P10" s="70"/>
      <c r="Q10" s="70"/>
      <c r="R10" s="72"/>
      <c r="S10" s="69"/>
      <c r="T10" s="89"/>
      <c r="U10" s="89"/>
      <c r="V10" s="89"/>
      <c r="W10" s="89"/>
      <c r="X10" s="89"/>
      <c r="Y10" s="89"/>
      <c r="Z10" s="89"/>
    </row>
    <row r="11" spans="1:26" x14ac:dyDescent="0.35">
      <c r="A11" s="70"/>
      <c r="B11" s="87"/>
      <c r="C11" s="311" t="s">
        <v>118</v>
      </c>
      <c r="D11" s="312"/>
      <c r="E11" s="312"/>
      <c r="F11" s="313"/>
      <c r="G11" s="314" t="s">
        <v>119</v>
      </c>
      <c r="H11" s="315"/>
      <c r="I11" s="315"/>
      <c r="J11" s="315"/>
      <c r="K11" s="315"/>
      <c r="L11" s="315"/>
      <c r="M11" s="315"/>
      <c r="N11" s="315"/>
      <c r="O11" s="315"/>
      <c r="P11" s="315"/>
      <c r="Q11" s="315"/>
      <c r="R11" s="315"/>
      <c r="S11" s="316"/>
      <c r="T11" s="69"/>
      <c r="U11" s="69"/>
      <c r="V11" s="69"/>
      <c r="W11" s="69"/>
      <c r="X11" s="69"/>
      <c r="Y11" s="69"/>
      <c r="Z11" s="69"/>
    </row>
    <row r="12" spans="1:26" ht="24" x14ac:dyDescent="0.35">
      <c r="A12" s="70"/>
      <c r="B12" s="87"/>
      <c r="C12" s="95" t="s">
        <v>95</v>
      </c>
      <c r="D12" s="95" t="s">
        <v>96</v>
      </c>
      <c r="E12" s="95" t="s">
        <v>97</v>
      </c>
      <c r="F12" s="317" t="s">
        <v>6</v>
      </c>
      <c r="G12" s="319" t="s">
        <v>136</v>
      </c>
      <c r="H12" s="320"/>
      <c r="I12" s="320"/>
      <c r="J12" s="321"/>
      <c r="K12" s="322" t="s">
        <v>157</v>
      </c>
      <c r="L12" s="323"/>
      <c r="M12" s="323"/>
      <c r="N12" s="324"/>
      <c r="O12" s="325" t="s">
        <v>158</v>
      </c>
      <c r="P12" s="326"/>
      <c r="Q12" s="326"/>
      <c r="R12" s="327"/>
      <c r="S12" s="328" t="s">
        <v>160</v>
      </c>
      <c r="T12" s="69"/>
      <c r="U12" s="69"/>
      <c r="V12" s="69"/>
      <c r="W12" s="69"/>
      <c r="X12" s="69"/>
      <c r="Y12" s="69"/>
      <c r="Z12" s="69"/>
    </row>
    <row r="13" spans="1:26" ht="60" x14ac:dyDescent="0.35">
      <c r="A13" s="70"/>
      <c r="B13" s="87"/>
      <c r="C13" s="95" t="s">
        <v>18</v>
      </c>
      <c r="D13" s="95" t="s">
        <v>12</v>
      </c>
      <c r="E13" s="95" t="s">
        <v>13</v>
      </c>
      <c r="F13" s="318"/>
      <c r="G13" s="90" t="s">
        <v>9</v>
      </c>
      <c r="H13" s="90" t="s">
        <v>137</v>
      </c>
      <c r="I13" s="90" t="s">
        <v>10</v>
      </c>
      <c r="J13" s="91" t="s">
        <v>11</v>
      </c>
      <c r="K13" s="92" t="s">
        <v>9</v>
      </c>
      <c r="L13" s="92" t="s">
        <v>138</v>
      </c>
      <c r="M13" s="92" t="s">
        <v>10</v>
      </c>
      <c r="N13" s="93" t="s">
        <v>11</v>
      </c>
      <c r="O13" s="140" t="s">
        <v>9</v>
      </c>
      <c r="P13" s="140" t="s">
        <v>139</v>
      </c>
      <c r="Q13" s="140" t="s">
        <v>10</v>
      </c>
      <c r="R13" s="141" t="s">
        <v>11</v>
      </c>
      <c r="S13" s="329"/>
      <c r="T13" s="69"/>
      <c r="U13" s="69"/>
      <c r="V13" s="69"/>
      <c r="W13" s="69"/>
      <c r="X13" s="69"/>
      <c r="Y13" s="69"/>
      <c r="Z13" s="69"/>
    </row>
    <row r="14" spans="1:26" x14ac:dyDescent="0.35">
      <c r="A14" s="297" t="s">
        <v>120</v>
      </c>
      <c r="B14" s="298"/>
      <c r="C14" s="298"/>
      <c r="D14" s="298"/>
      <c r="E14" s="298"/>
      <c r="F14" s="298"/>
      <c r="G14" s="298"/>
      <c r="H14" s="298"/>
      <c r="I14" s="298"/>
      <c r="J14" s="298"/>
      <c r="K14" s="298"/>
      <c r="L14" s="298"/>
      <c r="M14" s="298"/>
      <c r="N14" s="298"/>
      <c r="O14" s="298"/>
      <c r="P14" s="298"/>
      <c r="Q14" s="298"/>
      <c r="R14" s="298"/>
      <c r="S14" s="299"/>
      <c r="T14" s="69"/>
      <c r="U14" s="69"/>
      <c r="V14" s="69"/>
      <c r="W14" s="69"/>
      <c r="X14" s="69"/>
      <c r="Y14" s="69"/>
      <c r="Z14" s="69"/>
    </row>
    <row r="15" spans="1:26" x14ac:dyDescent="0.35">
      <c r="A15" s="94"/>
      <c r="B15" s="297" t="s">
        <v>121</v>
      </c>
      <c r="C15" s="298"/>
      <c r="D15" s="298"/>
      <c r="E15" s="298"/>
      <c r="F15" s="298"/>
      <c r="G15" s="298"/>
      <c r="H15" s="298"/>
      <c r="I15" s="298"/>
      <c r="J15" s="298"/>
      <c r="K15" s="298"/>
      <c r="L15" s="298"/>
      <c r="M15" s="298"/>
      <c r="N15" s="298"/>
      <c r="O15" s="298"/>
      <c r="P15" s="298"/>
      <c r="Q15" s="298"/>
      <c r="R15" s="298"/>
      <c r="S15" s="299"/>
      <c r="T15" s="69"/>
      <c r="U15" s="69"/>
      <c r="V15" s="69"/>
      <c r="W15" s="69"/>
      <c r="X15" s="69"/>
      <c r="Y15" s="69"/>
      <c r="Z15" s="69"/>
    </row>
    <row r="16" spans="1:26" ht="17.5" customHeight="1" thickBot="1" x14ac:dyDescent="0.45">
      <c r="B16" s="85" t="s">
        <v>122</v>
      </c>
      <c r="C16" s="121">
        <f>SUM(C17:C23)</f>
        <v>69000</v>
      </c>
      <c r="D16" s="121">
        <f t="shared" ref="D16:E16" si="0">SUM(D17:D23)</f>
        <v>4000</v>
      </c>
      <c r="E16" s="121">
        <f t="shared" si="0"/>
        <v>3000</v>
      </c>
      <c r="F16" s="114">
        <f>SUM(C16:E16)</f>
        <v>76000</v>
      </c>
      <c r="G16" s="168">
        <f>SUM(G17:G23)</f>
        <v>1854</v>
      </c>
      <c r="H16" s="168">
        <f t="shared" ref="H16:J16" si="1">SUM(H17:H23)</f>
        <v>42000</v>
      </c>
      <c r="I16" s="168">
        <f t="shared" si="1"/>
        <v>0</v>
      </c>
      <c r="J16" s="168">
        <f t="shared" si="1"/>
        <v>43854</v>
      </c>
      <c r="K16" s="172">
        <f>SUM(K17:K23)</f>
        <v>3956</v>
      </c>
      <c r="L16" s="172">
        <f t="shared" ref="L16:N16" si="2">SUM(L17:L23)</f>
        <v>0</v>
      </c>
      <c r="M16" s="172">
        <f t="shared" si="2"/>
        <v>0</v>
      </c>
      <c r="N16" s="172">
        <f t="shared" si="2"/>
        <v>3956</v>
      </c>
      <c r="O16" s="175">
        <f>+O24</f>
        <v>3227.89</v>
      </c>
      <c r="P16" s="175">
        <f t="shared" ref="P16:R16" si="3">+P24</f>
        <v>0</v>
      </c>
      <c r="Q16" s="175">
        <f t="shared" si="3"/>
        <v>0</v>
      </c>
      <c r="R16" s="175">
        <f t="shared" si="3"/>
        <v>3227.89</v>
      </c>
      <c r="S16" s="178">
        <f>SUM(R16+N16+J16)</f>
        <v>51037.89</v>
      </c>
    </row>
    <row r="17" spans="1:20" ht="26.5" customHeight="1" x14ac:dyDescent="0.4">
      <c r="B17" s="82" t="s">
        <v>123</v>
      </c>
      <c r="C17" s="118">
        <v>0</v>
      </c>
      <c r="D17" s="118">
        <v>0</v>
      </c>
      <c r="E17" s="118">
        <v>0</v>
      </c>
      <c r="F17" s="117">
        <f t="shared" ref="F17:F23" si="4">SUM(C17:E17)</f>
        <v>0</v>
      </c>
      <c r="G17" s="134">
        <v>0</v>
      </c>
      <c r="H17" s="134">
        <v>0</v>
      </c>
      <c r="I17" s="164"/>
      <c r="J17" s="169">
        <f>SUM(G17:I17)</f>
        <v>0</v>
      </c>
      <c r="K17" s="137"/>
      <c r="L17" s="137"/>
      <c r="M17" s="171"/>
      <c r="N17" s="173">
        <f>SUM(K17:M17)</f>
        <v>0</v>
      </c>
      <c r="O17" s="144"/>
      <c r="P17" s="144"/>
      <c r="Q17" s="144"/>
      <c r="R17" s="176">
        <f>SUM(O17:Q17)</f>
        <v>0</v>
      </c>
      <c r="S17" s="177">
        <f t="shared" ref="S17:S24" si="5">SUM(R17+N17+J17)</f>
        <v>0</v>
      </c>
    </row>
    <row r="18" spans="1:20" ht="19" customHeight="1" x14ac:dyDescent="0.4">
      <c r="A18" s="118"/>
      <c r="B18" s="80" t="s">
        <v>124</v>
      </c>
      <c r="C18" s="118">
        <v>0</v>
      </c>
      <c r="D18" s="118">
        <v>0</v>
      </c>
      <c r="E18" s="118">
        <v>0</v>
      </c>
      <c r="F18" s="120">
        <f t="shared" si="4"/>
        <v>0</v>
      </c>
      <c r="G18" s="134">
        <v>0</v>
      </c>
      <c r="H18" s="134">
        <v>0</v>
      </c>
      <c r="I18" s="164"/>
      <c r="J18" s="169">
        <f t="shared" ref="J18:J23" si="6">SUM(G18:I18)</f>
        <v>0</v>
      </c>
      <c r="K18" s="137"/>
      <c r="L18" s="137"/>
      <c r="M18" s="171"/>
      <c r="N18" s="173">
        <f t="shared" ref="N18:N23" si="7">SUM(K18:M18)</f>
        <v>0</v>
      </c>
      <c r="O18" s="144"/>
      <c r="P18" s="144"/>
      <c r="Q18" s="144"/>
      <c r="R18" s="176">
        <f t="shared" ref="R18:R23" si="8">SUM(O18:Q18)</f>
        <v>0</v>
      </c>
      <c r="S18" s="177">
        <f t="shared" si="5"/>
        <v>0</v>
      </c>
    </row>
    <row r="19" spans="1:20" ht="16" x14ac:dyDescent="0.4">
      <c r="B19" s="80" t="s">
        <v>125</v>
      </c>
      <c r="C19" s="118">
        <v>0</v>
      </c>
      <c r="D19" s="118"/>
      <c r="E19" s="118"/>
      <c r="F19" s="120">
        <f t="shared" si="4"/>
        <v>0</v>
      </c>
      <c r="G19" s="134">
        <v>0</v>
      </c>
      <c r="H19" s="134">
        <v>0</v>
      </c>
      <c r="I19" s="164"/>
      <c r="J19" s="169">
        <f t="shared" si="6"/>
        <v>0</v>
      </c>
      <c r="K19" s="137"/>
      <c r="L19" s="137"/>
      <c r="M19" s="171"/>
      <c r="N19" s="173">
        <f t="shared" si="7"/>
        <v>0</v>
      </c>
      <c r="O19" s="144"/>
      <c r="P19" s="144"/>
      <c r="Q19" s="144"/>
      <c r="R19" s="176">
        <f t="shared" si="8"/>
        <v>0</v>
      </c>
      <c r="S19" s="177">
        <f t="shared" si="5"/>
        <v>0</v>
      </c>
    </row>
    <row r="20" spans="1:20" ht="16" x14ac:dyDescent="0.4">
      <c r="B20" s="81" t="s">
        <v>126</v>
      </c>
      <c r="C20" s="118">
        <v>51000</v>
      </c>
      <c r="D20" s="118">
        <v>0</v>
      </c>
      <c r="E20" s="118">
        <v>0</v>
      </c>
      <c r="F20" s="120">
        <f t="shared" si="4"/>
        <v>51000</v>
      </c>
      <c r="G20" s="134">
        <v>0</v>
      </c>
      <c r="H20" s="134">
        <v>31000</v>
      </c>
      <c r="I20" s="164"/>
      <c r="J20" s="169">
        <f t="shared" si="6"/>
        <v>31000</v>
      </c>
      <c r="K20" s="137"/>
      <c r="L20" s="137"/>
      <c r="M20" s="171"/>
      <c r="N20" s="173">
        <f t="shared" si="7"/>
        <v>0</v>
      </c>
      <c r="O20" s="144"/>
      <c r="P20" s="144"/>
      <c r="Q20" s="144"/>
      <c r="R20" s="176">
        <f t="shared" si="8"/>
        <v>0</v>
      </c>
      <c r="S20" s="177">
        <f t="shared" si="5"/>
        <v>31000</v>
      </c>
    </row>
    <row r="21" spans="1:20" ht="16" x14ac:dyDescent="0.4">
      <c r="B21" s="80" t="s">
        <v>127</v>
      </c>
      <c r="C21" s="118">
        <v>9000</v>
      </c>
      <c r="D21" s="118">
        <v>4000</v>
      </c>
      <c r="E21" s="118">
        <v>3000</v>
      </c>
      <c r="F21" s="120">
        <f t="shared" si="4"/>
        <v>16000</v>
      </c>
      <c r="G21" s="134">
        <v>1854</v>
      </c>
      <c r="H21" s="134">
        <v>2000</v>
      </c>
      <c r="I21" s="164"/>
      <c r="J21" s="169">
        <f t="shared" si="6"/>
        <v>3854</v>
      </c>
      <c r="K21" s="137">
        <v>3956</v>
      </c>
      <c r="L21" s="137">
        <v>0</v>
      </c>
      <c r="M21" s="171"/>
      <c r="N21" s="173">
        <f t="shared" si="7"/>
        <v>3956</v>
      </c>
      <c r="O21" s="144">
        <v>3227.89</v>
      </c>
      <c r="P21" s="144"/>
      <c r="Q21" s="144"/>
      <c r="R21" s="176">
        <f t="shared" si="8"/>
        <v>3227.89</v>
      </c>
      <c r="S21" s="177">
        <f t="shared" si="5"/>
        <v>11037.89</v>
      </c>
    </row>
    <row r="22" spans="1:20" ht="16" x14ac:dyDescent="0.4">
      <c r="B22" s="80" t="s">
        <v>128</v>
      </c>
      <c r="C22" s="118">
        <v>9000</v>
      </c>
      <c r="D22" s="118"/>
      <c r="E22" s="118"/>
      <c r="F22" s="120">
        <f t="shared" si="4"/>
        <v>9000</v>
      </c>
      <c r="G22" s="134">
        <v>0</v>
      </c>
      <c r="H22" s="134">
        <v>9000</v>
      </c>
      <c r="I22" s="164"/>
      <c r="J22" s="169">
        <f t="shared" si="6"/>
        <v>9000</v>
      </c>
      <c r="K22" s="137"/>
      <c r="L22" s="137"/>
      <c r="M22" s="171"/>
      <c r="N22" s="173">
        <f t="shared" si="7"/>
        <v>0</v>
      </c>
      <c r="O22" s="144"/>
      <c r="P22" s="144"/>
      <c r="Q22" s="144"/>
      <c r="R22" s="176">
        <f t="shared" si="8"/>
        <v>0</v>
      </c>
      <c r="S22" s="177">
        <f t="shared" si="5"/>
        <v>9000</v>
      </c>
    </row>
    <row r="23" spans="1:20" ht="16" x14ac:dyDescent="0.4">
      <c r="B23" s="80" t="s">
        <v>129</v>
      </c>
      <c r="C23" s="118">
        <v>0</v>
      </c>
      <c r="D23" s="118"/>
      <c r="E23" s="118"/>
      <c r="F23" s="120">
        <f t="shared" si="4"/>
        <v>0</v>
      </c>
      <c r="G23" s="134">
        <v>0</v>
      </c>
      <c r="H23" s="134">
        <v>0</v>
      </c>
      <c r="I23" s="164"/>
      <c r="J23" s="169">
        <f t="shared" si="6"/>
        <v>0</v>
      </c>
      <c r="K23" s="137"/>
      <c r="L23" s="137"/>
      <c r="M23" s="171"/>
      <c r="N23" s="173">
        <f t="shared" si="7"/>
        <v>0</v>
      </c>
      <c r="O23" s="144"/>
      <c r="P23" s="144"/>
      <c r="Q23" s="144"/>
      <c r="R23" s="176">
        <f t="shared" si="8"/>
        <v>0</v>
      </c>
      <c r="S23" s="177">
        <f t="shared" si="5"/>
        <v>0</v>
      </c>
    </row>
    <row r="24" spans="1:20" ht="16" x14ac:dyDescent="0.4">
      <c r="B24" s="79" t="s">
        <v>130</v>
      </c>
      <c r="C24" s="121">
        <f>SUM(C17:C23)</f>
        <v>69000</v>
      </c>
      <c r="D24" s="121">
        <f>SUM(D17:D23)</f>
        <v>4000</v>
      </c>
      <c r="E24" s="121">
        <f>SUM(E17:E23)</f>
        <v>3000</v>
      </c>
      <c r="F24" s="121">
        <f>SUM(C24:E24)</f>
        <v>76000</v>
      </c>
      <c r="G24" s="170">
        <f>SUM(G17:G23)</f>
        <v>1854</v>
      </c>
      <c r="H24" s="170">
        <f>SUM(H17:H23)</f>
        <v>42000</v>
      </c>
      <c r="I24" s="170">
        <f>SUM(I17:I23)</f>
        <v>0</v>
      </c>
      <c r="J24" s="170">
        <f>SUM(G24:I24)</f>
        <v>43854</v>
      </c>
      <c r="K24" s="174">
        <f>SUM(K17:K23)</f>
        <v>3956</v>
      </c>
      <c r="L24" s="174">
        <f t="shared" ref="L24:N24" si="9">SUM(L17:L23)</f>
        <v>0</v>
      </c>
      <c r="M24" s="174">
        <f t="shared" si="9"/>
        <v>0</v>
      </c>
      <c r="N24" s="174">
        <f t="shared" si="9"/>
        <v>3956</v>
      </c>
      <c r="O24" s="175">
        <f>SUM(O17:O23)</f>
        <v>3227.89</v>
      </c>
      <c r="P24" s="175">
        <f t="shared" ref="P24:R24" si="10">SUM(P17:P23)</f>
        <v>0</v>
      </c>
      <c r="Q24" s="175">
        <f t="shared" si="10"/>
        <v>0</v>
      </c>
      <c r="R24" s="175">
        <f t="shared" si="10"/>
        <v>3227.89</v>
      </c>
      <c r="S24" s="178">
        <f t="shared" si="5"/>
        <v>51037.89</v>
      </c>
    </row>
    <row r="26" spans="1:20" ht="16" x14ac:dyDescent="0.4">
      <c r="B26" s="300" t="s">
        <v>131</v>
      </c>
      <c r="C26" s="301"/>
      <c r="D26" s="301"/>
      <c r="E26" s="301"/>
      <c r="F26" s="301"/>
      <c r="G26" s="301"/>
      <c r="H26" s="301"/>
      <c r="I26" s="301"/>
      <c r="J26" s="301"/>
      <c r="K26" s="301"/>
      <c r="L26" s="301"/>
      <c r="M26" s="301"/>
      <c r="N26" s="301"/>
      <c r="O26" s="301"/>
      <c r="P26" s="301"/>
      <c r="Q26" s="301"/>
      <c r="R26" s="301"/>
      <c r="S26" s="301"/>
      <c r="T26" s="302"/>
    </row>
    <row r="27" spans="1:20" ht="16.5" thickBot="1" x14ac:dyDescent="0.45">
      <c r="B27" s="83" t="s">
        <v>132</v>
      </c>
      <c r="C27" s="122">
        <v>185000</v>
      </c>
      <c r="D27" s="122">
        <v>47000</v>
      </c>
      <c r="E27" s="122">
        <v>30000</v>
      </c>
      <c r="F27" s="123">
        <f t="shared" ref="F27:F35" si="11">SUM(C27:E27)</f>
        <v>262000</v>
      </c>
      <c r="G27" s="168">
        <f>SUM(G28:G34)</f>
        <v>26323.360000000001</v>
      </c>
      <c r="H27" s="168">
        <f t="shared" ref="H27:K27" si="12">SUM(H28:H34)</f>
        <v>105905.99</v>
      </c>
      <c r="I27" s="168">
        <f t="shared" si="12"/>
        <v>0</v>
      </c>
      <c r="J27" s="168">
        <f t="shared" si="12"/>
        <v>132229.35</v>
      </c>
      <c r="K27" s="172">
        <f t="shared" si="12"/>
        <v>31541</v>
      </c>
      <c r="L27" s="172">
        <f t="shared" ref="L27" si="13">SUM(L28:L34)</f>
        <v>0</v>
      </c>
      <c r="M27" s="172">
        <f t="shared" ref="M27" si="14">SUM(M28:M34)</f>
        <v>0</v>
      </c>
      <c r="N27" s="172">
        <f t="shared" ref="N27" si="15">SUM(N28:N34)</f>
        <v>31541</v>
      </c>
      <c r="O27" s="175">
        <f>+O35</f>
        <v>21351.21</v>
      </c>
      <c r="P27" s="175">
        <f t="shared" ref="P27:R27" si="16">+P35</f>
        <v>0</v>
      </c>
      <c r="Q27" s="175">
        <f t="shared" si="16"/>
        <v>2219.17</v>
      </c>
      <c r="R27" s="175">
        <f t="shared" si="16"/>
        <v>23570.38</v>
      </c>
      <c r="S27" s="178">
        <f>SUM(J27+N27+R27)</f>
        <v>187340.73</v>
      </c>
    </row>
    <row r="28" spans="1:20" ht="16" x14ac:dyDescent="0.4">
      <c r="B28" s="82" t="s">
        <v>123</v>
      </c>
      <c r="C28" s="115">
        <v>0</v>
      </c>
      <c r="D28" s="116"/>
      <c r="E28" s="116"/>
      <c r="F28" s="117">
        <f t="shared" si="11"/>
        <v>0</v>
      </c>
      <c r="G28" s="134">
        <v>0</v>
      </c>
      <c r="H28" s="134">
        <v>0</v>
      </c>
      <c r="I28" s="164"/>
      <c r="J28" s="169">
        <f>SUM(G28:I28)</f>
        <v>0</v>
      </c>
      <c r="K28" s="137"/>
      <c r="L28" s="137"/>
      <c r="M28" s="171"/>
      <c r="N28" s="173">
        <f>SUM(K28:M28)</f>
        <v>0</v>
      </c>
      <c r="O28" s="144"/>
      <c r="P28" s="144"/>
      <c r="Q28" s="144"/>
      <c r="R28" s="176">
        <f t="shared" ref="R28:R34" si="17">SUM(O28:Q28)</f>
        <v>0</v>
      </c>
      <c r="S28" s="177">
        <f t="shared" ref="S28:S35" si="18">SUM(J28+N28+R28)</f>
        <v>0</v>
      </c>
    </row>
    <row r="29" spans="1:20" ht="16" x14ac:dyDescent="0.4">
      <c r="B29" s="80" t="s">
        <v>124</v>
      </c>
      <c r="C29" s="118">
        <v>2700</v>
      </c>
      <c r="D29" s="119">
        <v>2000</v>
      </c>
      <c r="E29" s="119"/>
      <c r="F29" s="120">
        <f t="shared" si="11"/>
        <v>4700</v>
      </c>
      <c r="G29" s="134">
        <v>446.48</v>
      </c>
      <c r="H29" s="134">
        <v>0</v>
      </c>
      <c r="I29" s="164"/>
      <c r="J29" s="169">
        <f t="shared" ref="J29:J34" si="19">SUM(G29:I29)</f>
        <v>446.48</v>
      </c>
      <c r="K29" s="137">
        <v>1877</v>
      </c>
      <c r="L29" s="137">
        <v>0</v>
      </c>
      <c r="M29" s="171"/>
      <c r="N29" s="173">
        <f t="shared" ref="N29:N34" si="20">SUM(K29:M29)</f>
        <v>1877</v>
      </c>
      <c r="O29" s="144"/>
      <c r="P29" s="144"/>
      <c r="Q29" s="144"/>
      <c r="R29" s="176">
        <f t="shared" si="17"/>
        <v>0</v>
      </c>
      <c r="S29" s="177">
        <f t="shared" si="18"/>
        <v>2323.48</v>
      </c>
    </row>
    <row r="30" spans="1:20" ht="16" x14ac:dyDescent="0.4">
      <c r="B30" s="80" t="s">
        <v>125</v>
      </c>
      <c r="C30" s="118">
        <v>0</v>
      </c>
      <c r="D30" s="118">
        <v>10000</v>
      </c>
      <c r="E30" s="118"/>
      <c r="F30" s="120">
        <f t="shared" si="11"/>
        <v>10000</v>
      </c>
      <c r="G30" s="134">
        <v>0</v>
      </c>
      <c r="H30" s="134">
        <v>0</v>
      </c>
      <c r="I30" s="164"/>
      <c r="J30" s="169">
        <f t="shared" si="19"/>
        <v>0</v>
      </c>
      <c r="K30" s="137">
        <v>5966</v>
      </c>
      <c r="L30" s="137">
        <v>0</v>
      </c>
      <c r="M30" s="171"/>
      <c r="N30" s="173">
        <f t="shared" si="20"/>
        <v>5966</v>
      </c>
      <c r="O30" s="144"/>
      <c r="P30" s="144"/>
      <c r="Q30" s="144"/>
      <c r="R30" s="176">
        <f t="shared" si="17"/>
        <v>0</v>
      </c>
      <c r="S30" s="177">
        <f t="shared" si="18"/>
        <v>5966</v>
      </c>
    </row>
    <row r="31" spans="1:20" ht="16" x14ac:dyDescent="0.4">
      <c r="B31" s="81" t="s">
        <v>126</v>
      </c>
      <c r="C31" s="118">
        <v>17000</v>
      </c>
      <c r="D31" s="118">
        <v>15000</v>
      </c>
      <c r="E31" s="118">
        <v>10000</v>
      </c>
      <c r="F31" s="120">
        <f t="shared" si="11"/>
        <v>42000</v>
      </c>
      <c r="G31" s="134">
        <v>85.69</v>
      </c>
      <c r="H31" s="134">
        <v>0</v>
      </c>
      <c r="I31" s="164"/>
      <c r="J31" s="169">
        <f t="shared" si="19"/>
        <v>85.69</v>
      </c>
      <c r="K31" s="137">
        <v>9969</v>
      </c>
      <c r="L31" s="137">
        <v>0</v>
      </c>
      <c r="M31" s="171"/>
      <c r="N31" s="173">
        <f t="shared" si="20"/>
        <v>9969</v>
      </c>
      <c r="O31" s="144">
        <v>1431.88</v>
      </c>
      <c r="P31" s="144"/>
      <c r="Q31" s="144">
        <v>2219.17</v>
      </c>
      <c r="R31" s="176">
        <f t="shared" si="17"/>
        <v>3651.05</v>
      </c>
      <c r="S31" s="177">
        <f t="shared" si="18"/>
        <v>13705.740000000002</v>
      </c>
    </row>
    <row r="32" spans="1:20" ht="16" x14ac:dyDescent="0.4">
      <c r="B32" s="80" t="s">
        <v>127</v>
      </c>
      <c r="C32" s="118">
        <v>37000</v>
      </c>
      <c r="D32" s="118">
        <v>10000</v>
      </c>
      <c r="E32" s="118">
        <v>5000</v>
      </c>
      <c r="F32" s="120">
        <f t="shared" si="11"/>
        <v>52000</v>
      </c>
      <c r="G32" s="134">
        <v>19117.12</v>
      </c>
      <c r="H32" s="134">
        <v>5905.99</v>
      </c>
      <c r="I32" s="164"/>
      <c r="J32" s="169">
        <f t="shared" si="19"/>
        <v>25023.11</v>
      </c>
      <c r="K32" s="137">
        <v>6898</v>
      </c>
      <c r="L32" s="137">
        <v>0</v>
      </c>
      <c r="M32" s="171"/>
      <c r="N32" s="173">
        <f t="shared" si="20"/>
        <v>6898</v>
      </c>
      <c r="O32" s="144">
        <v>4919.33</v>
      </c>
      <c r="P32" s="144"/>
      <c r="Q32" s="144"/>
      <c r="R32" s="176">
        <f t="shared" si="17"/>
        <v>4919.33</v>
      </c>
      <c r="S32" s="177">
        <f t="shared" si="18"/>
        <v>36840.44</v>
      </c>
    </row>
    <row r="33" spans="1:26" ht="16" x14ac:dyDescent="0.4">
      <c r="B33" s="80" t="s">
        <v>128</v>
      </c>
      <c r="C33" s="118">
        <v>100000</v>
      </c>
      <c r="D33" s="118">
        <v>10000</v>
      </c>
      <c r="E33" s="118">
        <v>15000</v>
      </c>
      <c r="F33" s="120">
        <f t="shared" si="11"/>
        <v>125000</v>
      </c>
      <c r="G33" s="134">
        <v>0</v>
      </c>
      <c r="H33" s="134">
        <v>100000</v>
      </c>
      <c r="I33" s="164"/>
      <c r="J33" s="169">
        <f t="shared" si="19"/>
        <v>100000</v>
      </c>
      <c r="K33" s="137">
        <v>6831</v>
      </c>
      <c r="L33" s="137">
        <v>0</v>
      </c>
      <c r="M33" s="171"/>
      <c r="N33" s="173">
        <f t="shared" si="20"/>
        <v>6831</v>
      </c>
      <c r="O33" s="144">
        <f>14061.47+938.53</f>
        <v>15000</v>
      </c>
      <c r="P33" s="144"/>
      <c r="Q33" s="144"/>
      <c r="R33" s="176">
        <f t="shared" si="17"/>
        <v>15000</v>
      </c>
      <c r="S33" s="177">
        <f t="shared" si="18"/>
        <v>121831</v>
      </c>
    </row>
    <row r="34" spans="1:26" ht="16" x14ac:dyDescent="0.4">
      <c r="B34" s="80" t="s">
        <v>129</v>
      </c>
      <c r="C34" s="118">
        <v>19000</v>
      </c>
      <c r="D34" s="118"/>
      <c r="E34" s="118"/>
      <c r="F34" s="120">
        <f t="shared" si="11"/>
        <v>19000</v>
      </c>
      <c r="G34" s="134">
        <v>6674.07</v>
      </c>
      <c r="H34" s="134">
        <v>0</v>
      </c>
      <c r="I34" s="164"/>
      <c r="J34" s="169">
        <f t="shared" si="19"/>
        <v>6674.07</v>
      </c>
      <c r="K34" s="137">
        <v>0</v>
      </c>
      <c r="L34" s="137"/>
      <c r="M34" s="171"/>
      <c r="N34" s="173">
        <f t="shared" si="20"/>
        <v>0</v>
      </c>
      <c r="O34" s="144"/>
      <c r="P34" s="144"/>
      <c r="Q34" s="144"/>
      <c r="R34" s="176">
        <f t="shared" si="17"/>
        <v>0</v>
      </c>
      <c r="S34" s="177">
        <f t="shared" si="18"/>
        <v>6674.07</v>
      </c>
    </row>
    <row r="35" spans="1:26" ht="16" x14ac:dyDescent="0.4">
      <c r="B35" s="79" t="s">
        <v>130</v>
      </c>
      <c r="C35" s="121">
        <f>SUM(C28:C34)</f>
        <v>175700</v>
      </c>
      <c r="D35" s="121">
        <f>SUM(D28:D34)</f>
        <v>47000</v>
      </c>
      <c r="E35" s="121">
        <f>SUM(E28:E34)</f>
        <v>30000</v>
      </c>
      <c r="F35" s="121">
        <f t="shared" si="11"/>
        <v>252700</v>
      </c>
      <c r="G35" s="170">
        <f>SUM(G28:G34)</f>
        <v>26323.360000000001</v>
      </c>
      <c r="H35" s="170">
        <f t="shared" ref="H35:I35" si="21">SUM(H28:H34)</f>
        <v>105905.99</v>
      </c>
      <c r="I35" s="170">
        <f t="shared" si="21"/>
        <v>0</v>
      </c>
      <c r="J35" s="170">
        <f>SUM(J28:J34)</f>
        <v>132229.35</v>
      </c>
      <c r="K35" s="174">
        <f>SUM(K28:K34)</f>
        <v>31541</v>
      </c>
      <c r="L35" s="174">
        <f t="shared" ref="L35:N35" si="22">SUM(L28:L34)</f>
        <v>0</v>
      </c>
      <c r="M35" s="174">
        <f t="shared" si="22"/>
        <v>0</v>
      </c>
      <c r="N35" s="174">
        <f t="shared" si="22"/>
        <v>31541</v>
      </c>
      <c r="O35" s="175">
        <f>SUM(O28:O34)</f>
        <v>21351.21</v>
      </c>
      <c r="P35" s="175">
        <f t="shared" ref="P35:R35" si="23">SUM(P28:P34)</f>
        <v>0</v>
      </c>
      <c r="Q35" s="175">
        <f t="shared" si="23"/>
        <v>2219.17</v>
      </c>
      <c r="R35" s="175">
        <f t="shared" si="23"/>
        <v>23570.38</v>
      </c>
      <c r="S35" s="178">
        <f t="shared" si="18"/>
        <v>187340.73</v>
      </c>
    </row>
    <row r="37" spans="1:26" ht="16" hidden="1" x14ac:dyDescent="0.4">
      <c r="B37" s="300" t="s">
        <v>133</v>
      </c>
      <c r="C37" s="301"/>
      <c r="D37" s="301"/>
      <c r="E37" s="301"/>
      <c r="F37" s="301"/>
      <c r="G37" s="301"/>
      <c r="H37" s="301"/>
      <c r="I37" s="301"/>
      <c r="J37" s="301"/>
      <c r="K37" s="301"/>
      <c r="L37" s="301"/>
      <c r="M37" s="301"/>
      <c r="N37" s="301"/>
      <c r="O37" s="301"/>
      <c r="P37" s="301"/>
      <c r="Q37" s="301"/>
      <c r="R37" s="301"/>
      <c r="S37" s="301"/>
      <c r="T37" s="302"/>
    </row>
    <row r="38" spans="1:26" ht="16.5" hidden="1" thickBot="1" x14ac:dyDescent="0.45">
      <c r="B38" s="83" t="s">
        <v>134</v>
      </c>
      <c r="C38" s="122">
        <v>0</v>
      </c>
      <c r="D38" s="122">
        <v>0</v>
      </c>
      <c r="E38" s="122">
        <v>0</v>
      </c>
      <c r="F38" s="123">
        <f t="shared" ref="F38:F46" si="24">SUM(C38:E38)</f>
        <v>0</v>
      </c>
      <c r="G38" s="47"/>
      <c r="H38" s="47"/>
      <c r="I38" s="47"/>
      <c r="J38" s="47"/>
      <c r="K38" s="47"/>
      <c r="L38" s="47"/>
      <c r="M38" s="47"/>
      <c r="N38" s="47"/>
      <c r="O38" s="47"/>
      <c r="P38" s="47"/>
      <c r="Q38" s="47"/>
      <c r="R38" s="47"/>
      <c r="S38" s="47"/>
    </row>
    <row r="39" spans="1:26" ht="16" hidden="1" x14ac:dyDescent="0.4">
      <c r="B39" s="82" t="s">
        <v>123</v>
      </c>
      <c r="C39" s="115"/>
      <c r="D39" s="124"/>
      <c r="E39" s="125"/>
      <c r="F39" s="117">
        <f t="shared" si="24"/>
        <v>0</v>
      </c>
      <c r="G39" s="47"/>
      <c r="H39" s="47"/>
      <c r="I39" s="47"/>
      <c r="J39" s="47"/>
      <c r="K39" s="47"/>
      <c r="L39" s="47"/>
      <c r="M39" s="47"/>
      <c r="N39" s="47"/>
      <c r="O39" s="47"/>
      <c r="P39" s="47"/>
      <c r="Q39" s="47"/>
      <c r="R39" s="47"/>
      <c r="S39" s="47"/>
    </row>
    <row r="40" spans="1:26" ht="16" hidden="1" x14ac:dyDescent="0.4">
      <c r="B40" s="80" t="s">
        <v>124</v>
      </c>
      <c r="C40" s="118"/>
      <c r="D40" s="125"/>
      <c r="E40" s="118"/>
      <c r="F40" s="120">
        <f t="shared" si="24"/>
        <v>0</v>
      </c>
      <c r="G40" s="47"/>
      <c r="H40" s="47"/>
      <c r="I40" s="47"/>
      <c r="J40" s="47"/>
      <c r="K40" s="47"/>
      <c r="L40" s="47"/>
      <c r="M40" s="47"/>
      <c r="N40" s="47"/>
      <c r="O40" s="47"/>
      <c r="P40" s="47"/>
      <c r="Q40" s="47"/>
      <c r="R40" s="47"/>
      <c r="S40" s="47"/>
    </row>
    <row r="41" spans="1:26" ht="16" hidden="1" x14ac:dyDescent="0.4">
      <c r="B41" s="80" t="s">
        <v>125</v>
      </c>
      <c r="C41" s="118"/>
      <c r="D41" s="118"/>
      <c r="E41" s="118"/>
      <c r="F41" s="120">
        <f t="shared" si="24"/>
        <v>0</v>
      </c>
      <c r="G41" s="47"/>
      <c r="H41" s="47"/>
      <c r="I41" s="47"/>
      <c r="J41" s="47"/>
      <c r="K41" s="47"/>
      <c r="L41" s="47"/>
      <c r="M41" s="47"/>
      <c r="N41" s="47"/>
      <c r="O41" s="47"/>
      <c r="P41" s="47"/>
      <c r="Q41" s="47"/>
      <c r="R41" s="47"/>
      <c r="S41" s="47"/>
    </row>
    <row r="42" spans="1:26" ht="16" hidden="1" x14ac:dyDescent="0.4">
      <c r="B42" s="81" t="s">
        <v>126</v>
      </c>
      <c r="C42" s="118">
        <v>0</v>
      </c>
      <c r="D42" s="118"/>
      <c r="E42" s="118"/>
      <c r="F42" s="120">
        <f t="shared" si="24"/>
        <v>0</v>
      </c>
      <c r="G42" s="47"/>
      <c r="H42" s="47"/>
      <c r="I42" s="47"/>
      <c r="J42" s="47"/>
      <c r="K42" s="47"/>
      <c r="L42" s="47"/>
      <c r="M42" s="47"/>
      <c r="N42" s="47"/>
      <c r="O42" s="47"/>
      <c r="P42" s="47"/>
      <c r="Q42" s="47"/>
      <c r="R42" s="47"/>
      <c r="S42" s="47"/>
    </row>
    <row r="43" spans="1:26" ht="16" hidden="1" x14ac:dyDescent="0.4">
      <c r="B43" s="80" t="s">
        <v>127</v>
      </c>
      <c r="C43" s="118">
        <v>0</v>
      </c>
      <c r="D43" s="118"/>
      <c r="E43" s="118"/>
      <c r="F43" s="120">
        <f t="shared" si="24"/>
        <v>0</v>
      </c>
      <c r="G43" s="47"/>
      <c r="H43" s="47"/>
      <c r="I43" s="47"/>
      <c r="J43" s="47"/>
      <c r="K43" s="47"/>
      <c r="L43" s="47"/>
      <c r="M43" s="47"/>
      <c r="N43" s="47"/>
      <c r="O43" s="47"/>
      <c r="P43" s="47"/>
      <c r="Q43" s="47"/>
      <c r="R43" s="47"/>
      <c r="S43" s="47"/>
    </row>
    <row r="44" spans="1:26" ht="16" hidden="1" x14ac:dyDescent="0.4">
      <c r="B44" s="80" t="s">
        <v>128</v>
      </c>
      <c r="C44" s="118"/>
      <c r="D44" s="118"/>
      <c r="E44" s="118"/>
      <c r="F44" s="120">
        <f t="shared" si="24"/>
        <v>0</v>
      </c>
      <c r="G44" s="47"/>
      <c r="H44" s="47"/>
      <c r="I44" s="47"/>
      <c r="J44" s="47"/>
      <c r="K44" s="47"/>
      <c r="L44" s="47"/>
      <c r="M44" s="47"/>
      <c r="N44" s="47"/>
      <c r="O44" s="47"/>
      <c r="P44" s="47"/>
      <c r="Q44" s="47"/>
      <c r="R44" s="47"/>
      <c r="S44" s="47"/>
    </row>
    <row r="45" spans="1:26" ht="16" hidden="1" x14ac:dyDescent="0.4">
      <c r="B45" s="80" t="s">
        <v>129</v>
      </c>
      <c r="C45" s="118"/>
      <c r="D45" s="118"/>
      <c r="E45" s="118"/>
      <c r="F45" s="120">
        <f t="shared" si="24"/>
        <v>0</v>
      </c>
      <c r="G45" s="47"/>
      <c r="H45" s="47"/>
      <c r="I45" s="47"/>
      <c r="J45" s="47"/>
      <c r="K45" s="47"/>
      <c r="L45" s="47"/>
      <c r="M45" s="47"/>
      <c r="N45" s="47"/>
      <c r="O45" s="47"/>
      <c r="P45" s="47"/>
      <c r="Q45" s="47"/>
      <c r="R45" s="47"/>
      <c r="S45" s="47"/>
    </row>
    <row r="46" spans="1:26" ht="16" hidden="1" x14ac:dyDescent="0.4">
      <c r="B46" s="84" t="s">
        <v>130</v>
      </c>
      <c r="C46" s="126">
        <f>SUM(C39:C45)</f>
        <v>0</v>
      </c>
      <c r="D46" s="126">
        <f>SUM(D39:D45)</f>
        <v>0</v>
      </c>
      <c r="E46" s="126">
        <f>SUM(E39:E45)</f>
        <v>0</v>
      </c>
      <c r="F46" s="127">
        <f t="shared" si="24"/>
        <v>0</v>
      </c>
    </row>
    <row r="48" spans="1:26" x14ac:dyDescent="0.35">
      <c r="A48" s="297" t="s">
        <v>135</v>
      </c>
      <c r="B48" s="298"/>
      <c r="C48" s="298"/>
      <c r="D48" s="298"/>
      <c r="E48" s="298"/>
      <c r="F48" s="298"/>
      <c r="G48" s="298"/>
      <c r="H48" s="298"/>
      <c r="I48" s="298"/>
      <c r="J48" s="298"/>
      <c r="K48" s="298"/>
      <c r="L48" s="298"/>
      <c r="M48" s="298"/>
      <c r="N48" s="298"/>
      <c r="O48" s="298"/>
      <c r="P48" s="298"/>
      <c r="Q48" s="298"/>
      <c r="R48" s="298"/>
      <c r="S48" s="299"/>
      <c r="T48" s="69"/>
      <c r="U48" s="69"/>
      <c r="V48" s="69"/>
      <c r="W48" s="69"/>
      <c r="X48" s="69"/>
      <c r="Y48" s="69"/>
      <c r="Z48" s="69"/>
    </row>
    <row r="49" spans="1:26" x14ac:dyDescent="0.35">
      <c r="A49" s="94"/>
      <c r="B49" s="297" t="s">
        <v>38</v>
      </c>
      <c r="C49" s="298"/>
      <c r="D49" s="298"/>
      <c r="E49" s="298"/>
      <c r="F49" s="298"/>
      <c r="G49" s="298"/>
      <c r="H49" s="298"/>
      <c r="I49" s="298"/>
      <c r="J49" s="298"/>
      <c r="K49" s="298"/>
      <c r="L49" s="298"/>
      <c r="M49" s="298"/>
      <c r="N49" s="298"/>
      <c r="O49" s="298"/>
      <c r="P49" s="298"/>
      <c r="Q49" s="298"/>
      <c r="R49" s="298"/>
      <c r="S49" s="299"/>
      <c r="T49" s="69"/>
      <c r="U49" s="69"/>
      <c r="V49" s="69"/>
      <c r="W49" s="69"/>
      <c r="X49" s="69"/>
      <c r="Y49" s="69"/>
      <c r="Z49" s="69"/>
    </row>
    <row r="50" spans="1:26" ht="16.5" thickBot="1" x14ac:dyDescent="0.45">
      <c r="B50" s="85" t="s">
        <v>141</v>
      </c>
      <c r="C50" s="113">
        <v>143000</v>
      </c>
      <c r="D50" s="113">
        <v>147000</v>
      </c>
      <c r="E50" s="113">
        <v>5000</v>
      </c>
      <c r="F50" s="114">
        <f t="shared" ref="F50:F58" si="25">SUM(C50:E50)</f>
        <v>295000</v>
      </c>
      <c r="G50" s="168">
        <f>SUM(G51:G57)</f>
        <v>98190.74000000002</v>
      </c>
      <c r="H50" s="168">
        <f t="shared" ref="H50:J50" si="26">SUM(H51:H57)</f>
        <v>1398.09</v>
      </c>
      <c r="I50" s="168">
        <f t="shared" si="26"/>
        <v>0</v>
      </c>
      <c r="J50" s="168">
        <f t="shared" si="26"/>
        <v>99588.830000000016</v>
      </c>
      <c r="K50" s="172">
        <f t="shared" ref="K50" si="27">SUM(K51:K57)</f>
        <v>112412</v>
      </c>
      <c r="L50" s="172">
        <f t="shared" ref="L50" si="28">SUM(L51:L57)</f>
        <v>0</v>
      </c>
      <c r="M50" s="172">
        <f t="shared" ref="M50" si="29">SUM(M51:M57)</f>
        <v>1387</v>
      </c>
      <c r="N50" s="172">
        <f t="shared" ref="N50" si="30">SUM(N51:N57)</f>
        <v>113799</v>
      </c>
      <c r="O50" s="175">
        <f>+O58</f>
        <v>5000</v>
      </c>
      <c r="P50" s="175">
        <f t="shared" ref="P50:R50" si="31">+P58</f>
        <v>0</v>
      </c>
      <c r="Q50" s="175">
        <f t="shared" si="31"/>
        <v>0</v>
      </c>
      <c r="R50" s="175">
        <f t="shared" si="31"/>
        <v>5000</v>
      </c>
      <c r="S50" s="178">
        <f>SUM(J50+N50+R50)</f>
        <v>218387.83000000002</v>
      </c>
    </row>
    <row r="51" spans="1:26" ht="16" x14ac:dyDescent="0.4">
      <c r="B51" s="82" t="s">
        <v>123</v>
      </c>
      <c r="C51" s="115">
        <v>0</v>
      </c>
      <c r="D51" s="116"/>
      <c r="E51" s="116"/>
      <c r="F51" s="117">
        <f t="shared" si="25"/>
        <v>0</v>
      </c>
      <c r="G51" s="134">
        <v>0</v>
      </c>
      <c r="H51" s="134">
        <v>0</v>
      </c>
      <c r="I51" s="164"/>
      <c r="J51" s="169">
        <f>SUM(G51:I51)</f>
        <v>0</v>
      </c>
      <c r="K51" s="137"/>
      <c r="L51" s="137"/>
      <c r="M51" s="171"/>
      <c r="N51" s="173">
        <f>SUM(K51:M51)</f>
        <v>0</v>
      </c>
      <c r="O51" s="144"/>
      <c r="P51" s="144"/>
      <c r="Q51" s="144"/>
      <c r="R51" s="176">
        <f t="shared" ref="R51:R57" si="32">SUM(O51:Q51)</f>
        <v>0</v>
      </c>
      <c r="S51" s="177">
        <f t="shared" ref="S51:S58" si="33">SUM(J51+N51+R51)</f>
        <v>0</v>
      </c>
    </row>
    <row r="52" spans="1:26" ht="16" x14ac:dyDescent="0.4">
      <c r="B52" s="80" t="s">
        <v>124</v>
      </c>
      <c r="C52" s="118">
        <v>1000</v>
      </c>
      <c r="D52" s="119">
        <v>2000</v>
      </c>
      <c r="E52" s="119"/>
      <c r="F52" s="120">
        <f t="shared" si="25"/>
        <v>3000</v>
      </c>
      <c r="G52" s="134">
        <v>1000.0000000000002</v>
      </c>
      <c r="H52" s="134">
        <v>0</v>
      </c>
      <c r="I52" s="164"/>
      <c r="J52" s="169">
        <f t="shared" ref="J52:J57" si="34">SUM(G52:I52)</f>
        <v>1000.0000000000002</v>
      </c>
      <c r="K52" s="137"/>
      <c r="L52" s="137"/>
      <c r="M52" s="171"/>
      <c r="N52" s="173">
        <f t="shared" ref="N52:N57" si="35">SUM(K52:M52)</f>
        <v>0</v>
      </c>
      <c r="O52" s="144"/>
      <c r="P52" s="144"/>
      <c r="Q52" s="144"/>
      <c r="R52" s="176">
        <f t="shared" si="32"/>
        <v>0</v>
      </c>
      <c r="S52" s="177">
        <f t="shared" si="33"/>
        <v>1000.0000000000002</v>
      </c>
    </row>
    <row r="53" spans="1:26" ht="16" x14ac:dyDescent="0.4">
      <c r="B53" s="80" t="s">
        <v>125</v>
      </c>
      <c r="C53" s="118">
        <v>0</v>
      </c>
      <c r="D53" s="118">
        <v>30000</v>
      </c>
      <c r="E53" s="118"/>
      <c r="F53" s="120">
        <f t="shared" si="25"/>
        <v>30000</v>
      </c>
      <c r="G53" s="134">
        <v>0</v>
      </c>
      <c r="H53" s="134">
        <v>0</v>
      </c>
      <c r="I53" s="164"/>
      <c r="J53" s="169">
        <f t="shared" si="34"/>
        <v>0</v>
      </c>
      <c r="K53" s="137">
        <v>29527</v>
      </c>
      <c r="L53" s="137">
        <v>0</v>
      </c>
      <c r="M53" s="171"/>
      <c r="N53" s="173">
        <f t="shared" si="35"/>
        <v>29527</v>
      </c>
      <c r="O53" s="144"/>
      <c r="P53" s="144"/>
      <c r="Q53" s="144"/>
      <c r="R53" s="176">
        <f t="shared" si="32"/>
        <v>0</v>
      </c>
      <c r="S53" s="177">
        <f t="shared" si="33"/>
        <v>29527</v>
      </c>
    </row>
    <row r="54" spans="1:26" ht="16" x14ac:dyDescent="0.4">
      <c r="B54" s="81" t="s">
        <v>126</v>
      </c>
      <c r="C54" s="118">
        <v>22000</v>
      </c>
      <c r="D54" s="118">
        <v>64000</v>
      </c>
      <c r="E54" s="118">
        <v>5000</v>
      </c>
      <c r="F54" s="120">
        <f t="shared" si="25"/>
        <v>91000</v>
      </c>
      <c r="G54" s="134">
        <v>12188.57</v>
      </c>
      <c r="H54" s="134">
        <v>390.17</v>
      </c>
      <c r="I54" s="164"/>
      <c r="J54" s="169">
        <f t="shared" si="34"/>
        <v>12578.74</v>
      </c>
      <c r="K54" s="137">
        <v>54272</v>
      </c>
      <c r="L54" s="137">
        <v>0</v>
      </c>
      <c r="M54" s="171"/>
      <c r="N54" s="173">
        <f t="shared" si="35"/>
        <v>54272</v>
      </c>
      <c r="O54" s="144">
        <v>5000</v>
      </c>
      <c r="P54" s="144"/>
      <c r="Q54" s="144"/>
      <c r="R54" s="176">
        <f t="shared" si="32"/>
        <v>5000</v>
      </c>
      <c r="S54" s="177">
        <f t="shared" si="33"/>
        <v>71850.740000000005</v>
      </c>
    </row>
    <row r="55" spans="1:26" ht="16" x14ac:dyDescent="0.4">
      <c r="B55" s="80" t="s">
        <v>127</v>
      </c>
      <c r="C55" s="118">
        <v>60200</v>
      </c>
      <c r="D55" s="118">
        <v>31000</v>
      </c>
      <c r="E55" s="118"/>
      <c r="F55" s="120">
        <f t="shared" si="25"/>
        <v>91200</v>
      </c>
      <c r="G55" s="134">
        <v>53827.94</v>
      </c>
      <c r="H55" s="134"/>
      <c r="I55" s="164"/>
      <c r="J55" s="169">
        <f t="shared" si="34"/>
        <v>53827.94</v>
      </c>
      <c r="K55" s="137">
        <v>28613</v>
      </c>
      <c r="L55" s="137">
        <v>0</v>
      </c>
      <c r="M55" s="171">
        <v>1387</v>
      </c>
      <c r="N55" s="173">
        <f>SUM(K55:M55)</f>
        <v>30000</v>
      </c>
      <c r="O55" s="144"/>
      <c r="P55" s="144"/>
      <c r="Q55" s="144"/>
      <c r="R55" s="176">
        <f t="shared" si="32"/>
        <v>0</v>
      </c>
      <c r="S55" s="177">
        <f t="shared" si="33"/>
        <v>83827.94</v>
      </c>
    </row>
    <row r="56" spans="1:26" ht="16" x14ac:dyDescent="0.4">
      <c r="B56" s="80" t="s">
        <v>128</v>
      </c>
      <c r="C56" s="118">
        <v>0</v>
      </c>
      <c r="D56" s="118">
        <v>20000</v>
      </c>
      <c r="E56" s="118"/>
      <c r="F56" s="120">
        <f t="shared" si="25"/>
        <v>20000</v>
      </c>
      <c r="G56" s="134">
        <v>0</v>
      </c>
      <c r="H56" s="134">
        <v>0</v>
      </c>
      <c r="I56" s="164"/>
      <c r="J56" s="169">
        <f t="shared" si="34"/>
        <v>0</v>
      </c>
      <c r="K56" s="137"/>
      <c r="L56" s="137"/>
      <c r="M56" s="171"/>
      <c r="N56" s="173">
        <f t="shared" si="35"/>
        <v>0</v>
      </c>
      <c r="O56" s="144"/>
      <c r="P56" s="144"/>
      <c r="Q56" s="144"/>
      <c r="R56" s="176">
        <f t="shared" si="32"/>
        <v>0</v>
      </c>
      <c r="S56" s="177">
        <f t="shared" si="33"/>
        <v>0</v>
      </c>
    </row>
    <row r="57" spans="1:26" ht="16" x14ac:dyDescent="0.4">
      <c r="B57" s="80" t="s">
        <v>129</v>
      </c>
      <c r="C57" s="118">
        <v>37000</v>
      </c>
      <c r="D57" s="118"/>
      <c r="E57" s="118"/>
      <c r="F57" s="120">
        <f t="shared" si="25"/>
        <v>37000</v>
      </c>
      <c r="G57" s="134">
        <v>31174.230000000003</v>
      </c>
      <c r="H57" s="134">
        <v>1007.92</v>
      </c>
      <c r="I57" s="164"/>
      <c r="J57" s="169">
        <f t="shared" si="34"/>
        <v>32182.15</v>
      </c>
      <c r="K57" s="137"/>
      <c r="L57" s="137"/>
      <c r="M57" s="171"/>
      <c r="N57" s="173">
        <f t="shared" si="35"/>
        <v>0</v>
      </c>
      <c r="O57" s="144"/>
      <c r="P57" s="144"/>
      <c r="Q57" s="144"/>
      <c r="R57" s="176">
        <f t="shared" si="32"/>
        <v>0</v>
      </c>
      <c r="S57" s="177">
        <f t="shared" si="33"/>
        <v>32182.15</v>
      </c>
    </row>
    <row r="58" spans="1:26" ht="16" x14ac:dyDescent="0.4">
      <c r="B58" s="79" t="s">
        <v>130</v>
      </c>
      <c r="C58" s="121">
        <f>SUM(C51:C57)</f>
        <v>120200</v>
      </c>
      <c r="D58" s="121">
        <f>SUM(D51:D57)</f>
        <v>147000</v>
      </c>
      <c r="E58" s="121">
        <f>SUM(E51:E57)</f>
        <v>5000</v>
      </c>
      <c r="F58" s="121">
        <f t="shared" si="25"/>
        <v>272200</v>
      </c>
      <c r="G58" s="170">
        <f>SUM(G51:G57)</f>
        <v>98190.74000000002</v>
      </c>
      <c r="H58" s="170">
        <f t="shared" ref="H58:I58" si="36">SUM(H51:H57)</f>
        <v>1398.09</v>
      </c>
      <c r="I58" s="170">
        <f t="shared" si="36"/>
        <v>0</v>
      </c>
      <c r="J58" s="170">
        <f>SUM(J51:J57)</f>
        <v>99588.830000000016</v>
      </c>
      <c r="K58" s="174">
        <f>SUM(K51:K57)</f>
        <v>112412</v>
      </c>
      <c r="L58" s="174">
        <f t="shared" ref="L58:N58" si="37">SUM(L51:L57)</f>
        <v>0</v>
      </c>
      <c r="M58" s="174">
        <f t="shared" si="37"/>
        <v>1387</v>
      </c>
      <c r="N58" s="174">
        <f t="shared" si="37"/>
        <v>113799</v>
      </c>
      <c r="O58" s="175">
        <f t="shared" ref="O58:R58" si="38">SUM(O51:O57)</f>
        <v>5000</v>
      </c>
      <c r="P58" s="175">
        <f t="shared" si="38"/>
        <v>0</v>
      </c>
      <c r="Q58" s="175">
        <f t="shared" si="38"/>
        <v>0</v>
      </c>
      <c r="R58" s="175">
        <f t="shared" si="38"/>
        <v>5000</v>
      </c>
      <c r="S58" s="178">
        <f t="shared" si="33"/>
        <v>218387.83000000002</v>
      </c>
    </row>
    <row r="60" spans="1:26" x14ac:dyDescent="0.35">
      <c r="A60" s="94"/>
      <c r="B60" s="297" t="s">
        <v>48</v>
      </c>
      <c r="C60" s="298"/>
      <c r="D60" s="298"/>
      <c r="E60" s="298"/>
      <c r="F60" s="298"/>
      <c r="G60" s="298"/>
      <c r="H60" s="298"/>
      <c r="I60" s="298"/>
      <c r="J60" s="298"/>
      <c r="K60" s="298"/>
      <c r="L60" s="298"/>
      <c r="M60" s="298"/>
      <c r="N60" s="298"/>
      <c r="O60" s="298"/>
      <c r="P60" s="298"/>
      <c r="Q60" s="298"/>
      <c r="R60" s="298"/>
      <c r="S60" s="299"/>
      <c r="T60" s="69"/>
      <c r="U60" s="69"/>
      <c r="V60" s="69"/>
      <c r="W60" s="69"/>
      <c r="X60" s="69"/>
      <c r="Y60" s="69"/>
      <c r="Z60" s="69"/>
    </row>
    <row r="61" spans="1:26" ht="16.5" thickBot="1" x14ac:dyDescent="0.45">
      <c r="B61" s="85" t="s">
        <v>140</v>
      </c>
      <c r="C61" s="113">
        <v>63000</v>
      </c>
      <c r="D61" s="113">
        <v>21000</v>
      </c>
      <c r="E61" s="113">
        <v>50000</v>
      </c>
      <c r="F61" s="114">
        <f t="shared" ref="F61:F69" si="39">SUM(C61:E61)</f>
        <v>134000</v>
      </c>
      <c r="G61" s="168">
        <f>SUM(G62:G68)</f>
        <v>10898.34</v>
      </c>
      <c r="H61" s="168">
        <f t="shared" ref="H61:I61" si="40">SUM(H62:H68)</f>
        <v>35000</v>
      </c>
      <c r="I61" s="168">
        <f t="shared" si="40"/>
        <v>0</v>
      </c>
      <c r="J61" s="168">
        <f>SUM(J62:J68)</f>
        <v>45898.34</v>
      </c>
      <c r="K61" s="172">
        <f>SUM(K62:K68)</f>
        <v>9359</v>
      </c>
      <c r="L61" s="172">
        <f t="shared" ref="L61:N61" si="41">SUM(L62:L68)</f>
        <v>4919</v>
      </c>
      <c r="M61" s="172">
        <f t="shared" si="41"/>
        <v>328</v>
      </c>
      <c r="N61" s="172">
        <f t="shared" si="41"/>
        <v>14606</v>
      </c>
      <c r="O61" s="175">
        <f>+O69</f>
        <v>41736.019934505195</v>
      </c>
      <c r="P61" s="175">
        <f t="shared" ref="P61:R61" si="42">+P69</f>
        <v>0</v>
      </c>
      <c r="Q61" s="175">
        <f t="shared" si="42"/>
        <v>0</v>
      </c>
      <c r="R61" s="175">
        <f t="shared" si="42"/>
        <v>41736.019934505195</v>
      </c>
      <c r="S61" s="178">
        <f>J61+N61+R61</f>
        <v>102240.35993450519</v>
      </c>
    </row>
    <row r="62" spans="1:26" ht="16" x14ac:dyDescent="0.4">
      <c r="B62" s="82" t="s">
        <v>123</v>
      </c>
      <c r="C62" s="115">
        <v>0</v>
      </c>
      <c r="D62" s="116"/>
      <c r="E62" s="116"/>
      <c r="F62" s="117">
        <f t="shared" si="39"/>
        <v>0</v>
      </c>
      <c r="G62" s="134">
        <v>0</v>
      </c>
      <c r="H62" s="134">
        <v>0</v>
      </c>
      <c r="I62" s="164"/>
      <c r="J62" s="169">
        <f>SUM(G62:I62)</f>
        <v>0</v>
      </c>
      <c r="K62" s="137"/>
      <c r="L62" s="137"/>
      <c r="M62" s="171"/>
      <c r="N62" s="173">
        <v>0</v>
      </c>
      <c r="O62" s="144"/>
      <c r="P62" s="144"/>
      <c r="Q62" s="144"/>
      <c r="R62" s="176">
        <f t="shared" ref="R62:R68" si="43">SUM(O62:Q62)</f>
        <v>0</v>
      </c>
      <c r="S62" s="177">
        <f t="shared" ref="S62:S69" si="44">J62+N62+R62</f>
        <v>0</v>
      </c>
    </row>
    <row r="63" spans="1:26" ht="16" x14ac:dyDescent="0.4">
      <c r="B63" s="80" t="s">
        <v>124</v>
      </c>
      <c r="C63" s="118">
        <v>1800</v>
      </c>
      <c r="D63" s="119"/>
      <c r="E63" s="119"/>
      <c r="F63" s="120">
        <f t="shared" si="39"/>
        <v>1800</v>
      </c>
      <c r="G63" s="134">
        <v>0</v>
      </c>
      <c r="H63" s="134">
        <v>0</v>
      </c>
      <c r="I63" s="164"/>
      <c r="J63" s="169">
        <f t="shared" ref="J63:J68" si="45">SUM(G63:I63)</f>
        <v>0</v>
      </c>
      <c r="K63" s="137"/>
      <c r="L63" s="137"/>
      <c r="M63" s="171"/>
      <c r="N63" s="173">
        <v>0</v>
      </c>
      <c r="O63" s="144"/>
      <c r="P63" s="144"/>
      <c r="Q63" s="144"/>
      <c r="R63" s="176">
        <f t="shared" si="43"/>
        <v>0</v>
      </c>
      <c r="S63" s="177">
        <f t="shared" si="44"/>
        <v>0</v>
      </c>
    </row>
    <row r="64" spans="1:26" ht="16" x14ac:dyDescent="0.4">
      <c r="B64" s="80" t="s">
        <v>125</v>
      </c>
      <c r="C64" s="118">
        <v>0</v>
      </c>
      <c r="D64" s="118">
        <v>9000</v>
      </c>
      <c r="E64" s="118"/>
      <c r="F64" s="120">
        <f t="shared" si="39"/>
        <v>9000</v>
      </c>
      <c r="G64" s="134">
        <v>0</v>
      </c>
      <c r="H64" s="134">
        <v>0</v>
      </c>
      <c r="I64" s="164"/>
      <c r="J64" s="169">
        <f t="shared" si="45"/>
        <v>0</v>
      </c>
      <c r="K64" s="137">
        <v>2728</v>
      </c>
      <c r="L64" s="137">
        <v>4177</v>
      </c>
      <c r="M64" s="171"/>
      <c r="N64" s="173">
        <v>6905</v>
      </c>
      <c r="O64" s="144"/>
      <c r="P64" s="144"/>
      <c r="Q64" s="144"/>
      <c r="R64" s="176">
        <f t="shared" si="43"/>
        <v>0</v>
      </c>
      <c r="S64" s="177">
        <f t="shared" si="44"/>
        <v>6905</v>
      </c>
    </row>
    <row r="65" spans="1:26" ht="16" x14ac:dyDescent="0.4">
      <c r="B65" s="81" t="s">
        <v>126</v>
      </c>
      <c r="C65" s="118">
        <v>0</v>
      </c>
      <c r="D65" s="118">
        <v>5700</v>
      </c>
      <c r="E65" s="118">
        <v>25000</v>
      </c>
      <c r="F65" s="120">
        <f t="shared" si="39"/>
        <v>30700</v>
      </c>
      <c r="G65" s="134">
        <v>0</v>
      </c>
      <c r="H65" s="134">
        <v>0</v>
      </c>
      <c r="I65" s="164"/>
      <c r="J65" s="169">
        <f t="shared" si="45"/>
        <v>0</v>
      </c>
      <c r="K65" s="137">
        <v>1959</v>
      </c>
      <c r="L65" s="137">
        <v>742</v>
      </c>
      <c r="M65" s="171"/>
      <c r="N65" s="173">
        <v>2701</v>
      </c>
      <c r="O65" s="144">
        <v>16382.949934505199</v>
      </c>
      <c r="P65" s="144"/>
      <c r="Q65" s="144"/>
      <c r="R65" s="176">
        <f t="shared" si="43"/>
        <v>16382.949934505199</v>
      </c>
      <c r="S65" s="177">
        <f t="shared" si="44"/>
        <v>19083.949934505199</v>
      </c>
    </row>
    <row r="66" spans="1:26" ht="16" x14ac:dyDescent="0.4">
      <c r="B66" s="80" t="s">
        <v>127</v>
      </c>
      <c r="C66" s="118">
        <v>16000</v>
      </c>
      <c r="D66" s="118">
        <v>6300</v>
      </c>
      <c r="E66" s="118">
        <v>5000</v>
      </c>
      <c r="F66" s="120">
        <f t="shared" si="39"/>
        <v>27300</v>
      </c>
      <c r="G66" s="134">
        <v>10898.34</v>
      </c>
      <c r="H66" s="134">
        <v>0</v>
      </c>
      <c r="I66" s="164"/>
      <c r="J66" s="169">
        <f t="shared" si="45"/>
        <v>10898.34</v>
      </c>
      <c r="K66" s="137">
        <v>4672</v>
      </c>
      <c r="L66" s="137">
        <v>0</v>
      </c>
      <c r="M66" s="171">
        <v>328</v>
      </c>
      <c r="N66" s="173">
        <v>5000</v>
      </c>
      <c r="O66" s="144">
        <v>5934.08</v>
      </c>
      <c r="P66" s="144"/>
      <c r="Q66" s="144"/>
      <c r="R66" s="176">
        <f t="shared" si="43"/>
        <v>5934.08</v>
      </c>
      <c r="S66" s="177">
        <f t="shared" si="44"/>
        <v>21832.42</v>
      </c>
    </row>
    <row r="67" spans="1:26" ht="16" x14ac:dyDescent="0.4">
      <c r="B67" s="80" t="s">
        <v>128</v>
      </c>
      <c r="C67" s="118">
        <v>35000</v>
      </c>
      <c r="D67" s="118"/>
      <c r="E67" s="118">
        <v>20000</v>
      </c>
      <c r="F67" s="120">
        <f t="shared" si="39"/>
        <v>55000</v>
      </c>
      <c r="G67" s="134">
        <v>0</v>
      </c>
      <c r="H67" s="134">
        <v>35000</v>
      </c>
      <c r="I67" s="164"/>
      <c r="J67" s="169">
        <f t="shared" si="45"/>
        <v>35000</v>
      </c>
      <c r="K67" s="137"/>
      <c r="L67" s="137"/>
      <c r="M67" s="171"/>
      <c r="N67" s="173">
        <v>0</v>
      </c>
      <c r="O67" s="144">
        <f>18004.47+930+484.52</f>
        <v>19418.990000000002</v>
      </c>
      <c r="P67" s="144"/>
      <c r="Q67" s="144"/>
      <c r="R67" s="176">
        <f t="shared" si="43"/>
        <v>19418.990000000002</v>
      </c>
      <c r="S67" s="177">
        <f t="shared" si="44"/>
        <v>54418.990000000005</v>
      </c>
    </row>
    <row r="68" spans="1:26" ht="16" x14ac:dyDescent="0.4">
      <c r="B68" s="80" t="s">
        <v>129</v>
      </c>
      <c r="C68" s="118">
        <v>9200</v>
      </c>
      <c r="D68" s="118"/>
      <c r="E68" s="118"/>
      <c r="F68" s="120">
        <f t="shared" si="39"/>
        <v>9200</v>
      </c>
      <c r="G68" s="134">
        <v>0</v>
      </c>
      <c r="H68" s="134">
        <v>0</v>
      </c>
      <c r="I68" s="164"/>
      <c r="J68" s="169">
        <f t="shared" si="45"/>
        <v>0</v>
      </c>
      <c r="K68" s="137"/>
      <c r="L68" s="137"/>
      <c r="M68" s="171"/>
      <c r="N68" s="173">
        <v>0</v>
      </c>
      <c r="O68" s="144"/>
      <c r="P68" s="144"/>
      <c r="Q68" s="144"/>
      <c r="R68" s="176">
        <f t="shared" si="43"/>
        <v>0</v>
      </c>
      <c r="S68" s="177">
        <f t="shared" si="44"/>
        <v>0</v>
      </c>
    </row>
    <row r="69" spans="1:26" ht="16" x14ac:dyDescent="0.4">
      <c r="B69" s="79" t="s">
        <v>130</v>
      </c>
      <c r="C69" s="121">
        <f>SUM(C62:C68)</f>
        <v>62000</v>
      </c>
      <c r="D69" s="121">
        <f>SUM(D62:D68)</f>
        <v>21000</v>
      </c>
      <c r="E69" s="121">
        <f>SUM(E62:E68)</f>
        <v>50000</v>
      </c>
      <c r="F69" s="121">
        <f t="shared" si="39"/>
        <v>133000</v>
      </c>
      <c r="G69" s="170">
        <f>SUM(G62:G68)</f>
        <v>10898.34</v>
      </c>
      <c r="H69" s="170">
        <f t="shared" ref="H69:J69" si="46">SUM(H62:H68)</f>
        <v>35000</v>
      </c>
      <c r="I69" s="170">
        <f t="shared" si="46"/>
        <v>0</v>
      </c>
      <c r="J69" s="170">
        <f t="shared" si="46"/>
        <v>45898.34</v>
      </c>
      <c r="K69" s="174">
        <f>SUM(K62:K68)</f>
        <v>9359</v>
      </c>
      <c r="L69" s="174">
        <v>4919</v>
      </c>
      <c r="M69" s="174">
        <v>328</v>
      </c>
      <c r="N69" s="174">
        <v>14606</v>
      </c>
      <c r="O69" s="175">
        <f t="shared" ref="O69:R69" si="47">SUM(O62:O68)</f>
        <v>41736.019934505195</v>
      </c>
      <c r="P69" s="175">
        <f t="shared" si="47"/>
        <v>0</v>
      </c>
      <c r="Q69" s="175">
        <f t="shared" si="47"/>
        <v>0</v>
      </c>
      <c r="R69" s="175">
        <f t="shared" si="47"/>
        <v>41736.019934505195</v>
      </c>
      <c r="S69" s="178">
        <f t="shared" si="44"/>
        <v>102240.35993450519</v>
      </c>
    </row>
    <row r="71" spans="1:26" ht="20.25" customHeight="1" x14ac:dyDescent="0.4">
      <c r="A71" s="96"/>
      <c r="B71" s="308" t="s">
        <v>142</v>
      </c>
      <c r="C71" s="308"/>
      <c r="D71" s="308"/>
      <c r="E71" s="308"/>
      <c r="F71" s="308"/>
      <c r="G71" s="308"/>
      <c r="H71" s="308"/>
      <c r="I71" s="308"/>
      <c r="J71" s="308"/>
      <c r="K71" s="308"/>
      <c r="L71" s="308"/>
      <c r="M71" s="308"/>
      <c r="N71" s="308"/>
      <c r="O71" s="308"/>
      <c r="P71" s="308"/>
      <c r="Q71" s="308"/>
      <c r="R71" s="308"/>
      <c r="S71" s="308"/>
      <c r="T71" s="308"/>
      <c r="U71" s="308"/>
    </row>
    <row r="72" spans="1:26" x14ac:dyDescent="0.35">
      <c r="A72" s="94"/>
      <c r="B72" s="297" t="s">
        <v>58</v>
      </c>
      <c r="C72" s="298"/>
      <c r="D72" s="298"/>
      <c r="E72" s="298"/>
      <c r="F72" s="298"/>
      <c r="G72" s="298"/>
      <c r="H72" s="298"/>
      <c r="I72" s="298"/>
      <c r="J72" s="298"/>
      <c r="K72" s="298"/>
      <c r="L72" s="298"/>
      <c r="M72" s="298"/>
      <c r="N72" s="298"/>
      <c r="O72" s="298"/>
      <c r="P72" s="298"/>
      <c r="Q72" s="298"/>
      <c r="R72" s="298"/>
      <c r="S72" s="299"/>
      <c r="T72" s="69"/>
      <c r="U72" s="69"/>
      <c r="V72" s="69"/>
      <c r="W72" s="69"/>
      <c r="X72" s="69"/>
      <c r="Y72" s="69"/>
      <c r="Z72" s="69"/>
    </row>
    <row r="73" spans="1:26" ht="16.5" thickBot="1" x14ac:dyDescent="0.45">
      <c r="B73" s="85" t="s">
        <v>143</v>
      </c>
      <c r="C73" s="113">
        <v>115000</v>
      </c>
      <c r="D73" s="113">
        <v>47500</v>
      </c>
      <c r="E73" s="113">
        <v>0</v>
      </c>
      <c r="F73" s="114">
        <f t="shared" ref="F73:F81" si="48">SUM(C73:E73)</f>
        <v>162500</v>
      </c>
      <c r="G73" s="168">
        <f>SUM(G74:G80)</f>
        <v>19816.940000000002</v>
      </c>
      <c r="H73" s="168">
        <f t="shared" ref="H73:J73" si="49">SUM(H74:H80)</f>
        <v>78000</v>
      </c>
      <c r="I73" s="168">
        <f t="shared" si="49"/>
        <v>0</v>
      </c>
      <c r="J73" s="168">
        <f t="shared" si="49"/>
        <v>97816.94</v>
      </c>
      <c r="K73" s="172">
        <f t="shared" ref="K73:M73" si="50">+K81</f>
        <v>24847</v>
      </c>
      <c r="L73" s="172">
        <f t="shared" si="50"/>
        <v>1216</v>
      </c>
      <c r="M73" s="172">
        <f t="shared" si="50"/>
        <v>11452</v>
      </c>
      <c r="N73" s="172">
        <f>K73+L73+M73</f>
        <v>37515</v>
      </c>
      <c r="O73" s="175">
        <f>+O81</f>
        <v>0</v>
      </c>
      <c r="P73" s="175">
        <f t="shared" ref="P73:R73" si="51">+P81</f>
        <v>0</v>
      </c>
      <c r="Q73" s="175">
        <f t="shared" si="51"/>
        <v>0</v>
      </c>
      <c r="R73" s="175">
        <f t="shared" si="51"/>
        <v>0</v>
      </c>
      <c r="S73" s="178">
        <f>SUM(J73+N73+R73)</f>
        <v>135331.94</v>
      </c>
    </row>
    <row r="74" spans="1:26" ht="16" x14ac:dyDescent="0.4">
      <c r="B74" s="82" t="s">
        <v>123</v>
      </c>
      <c r="C74" s="115">
        <v>0</v>
      </c>
      <c r="D74" s="116"/>
      <c r="E74" s="116"/>
      <c r="F74" s="117">
        <f t="shared" si="48"/>
        <v>0</v>
      </c>
      <c r="G74" s="134">
        <v>0</v>
      </c>
      <c r="H74" s="134">
        <v>0</v>
      </c>
      <c r="I74" s="164"/>
      <c r="J74" s="169">
        <f>SUM(G74:I74)</f>
        <v>0</v>
      </c>
      <c r="K74" s="137"/>
      <c r="L74" s="137"/>
      <c r="M74" s="171"/>
      <c r="N74" s="173">
        <f t="shared" ref="N74:N81" si="52">K74+L74+M74</f>
        <v>0</v>
      </c>
      <c r="O74" s="144"/>
      <c r="P74" s="144"/>
      <c r="Q74" s="144"/>
      <c r="R74" s="176">
        <f t="shared" ref="R74:R80" si="53">SUM(O74:Q74)</f>
        <v>0</v>
      </c>
      <c r="S74" s="177">
        <f t="shared" ref="S74:S81" si="54">SUM(J74+N74+R74)</f>
        <v>0</v>
      </c>
    </row>
    <row r="75" spans="1:26" ht="16" x14ac:dyDescent="0.4">
      <c r="B75" s="80" t="s">
        <v>124</v>
      </c>
      <c r="C75" s="118">
        <v>2000</v>
      </c>
      <c r="D75" s="119">
        <v>3000</v>
      </c>
      <c r="E75" s="119"/>
      <c r="F75" s="120">
        <f t="shared" si="48"/>
        <v>5000</v>
      </c>
      <c r="G75" s="134">
        <v>147.78</v>
      </c>
      <c r="H75" s="134">
        <v>0</v>
      </c>
      <c r="I75" s="164"/>
      <c r="J75" s="169">
        <f t="shared" ref="J75:J80" si="55">SUM(G75:I75)</f>
        <v>147.78</v>
      </c>
      <c r="K75" s="137">
        <v>11</v>
      </c>
      <c r="L75" s="137">
        <v>1113</v>
      </c>
      <c r="M75" s="171"/>
      <c r="N75" s="173">
        <f t="shared" si="52"/>
        <v>1124</v>
      </c>
      <c r="O75" s="144"/>
      <c r="P75" s="144"/>
      <c r="Q75" s="144"/>
      <c r="R75" s="176">
        <f t="shared" si="53"/>
        <v>0</v>
      </c>
      <c r="S75" s="177">
        <f t="shared" si="54"/>
        <v>1271.78</v>
      </c>
    </row>
    <row r="76" spans="1:26" ht="16" x14ac:dyDescent="0.4">
      <c r="B76" s="80" t="s">
        <v>125</v>
      </c>
      <c r="C76" s="118">
        <v>0</v>
      </c>
      <c r="D76" s="118">
        <v>5000</v>
      </c>
      <c r="E76" s="118"/>
      <c r="F76" s="120">
        <f t="shared" si="48"/>
        <v>5000</v>
      </c>
      <c r="G76" s="134">
        <v>0</v>
      </c>
      <c r="H76" s="134">
        <v>0</v>
      </c>
      <c r="I76" s="164"/>
      <c r="J76" s="169">
        <f t="shared" si="55"/>
        <v>0</v>
      </c>
      <c r="K76" s="137">
        <v>2548</v>
      </c>
      <c r="L76" s="137">
        <v>0</v>
      </c>
      <c r="M76" s="171">
        <v>2452</v>
      </c>
      <c r="N76" s="173">
        <f t="shared" si="52"/>
        <v>5000</v>
      </c>
      <c r="O76" s="144"/>
      <c r="P76" s="144"/>
      <c r="Q76" s="144"/>
      <c r="R76" s="176">
        <f t="shared" si="53"/>
        <v>0</v>
      </c>
      <c r="S76" s="177">
        <f t="shared" si="54"/>
        <v>5000</v>
      </c>
    </row>
    <row r="77" spans="1:26" ht="16" x14ac:dyDescent="0.4">
      <c r="B77" s="81" t="s">
        <v>126</v>
      </c>
      <c r="C77" s="118">
        <v>0</v>
      </c>
      <c r="D77" s="118">
        <v>18500</v>
      </c>
      <c r="E77" s="118"/>
      <c r="F77" s="120">
        <f t="shared" si="48"/>
        <v>18500</v>
      </c>
      <c r="G77" s="134">
        <v>0</v>
      </c>
      <c r="H77" s="134">
        <v>0</v>
      </c>
      <c r="I77" s="164"/>
      <c r="J77" s="169">
        <f t="shared" si="55"/>
        <v>0</v>
      </c>
      <c r="K77" s="137">
        <v>12318</v>
      </c>
      <c r="L77" s="137">
        <v>103</v>
      </c>
      <c r="M77" s="171"/>
      <c r="N77" s="173">
        <f t="shared" si="52"/>
        <v>12421</v>
      </c>
      <c r="O77" s="144"/>
      <c r="P77" s="144"/>
      <c r="Q77" s="144"/>
      <c r="R77" s="176">
        <f t="shared" si="53"/>
        <v>0</v>
      </c>
      <c r="S77" s="177">
        <f t="shared" si="54"/>
        <v>12421</v>
      </c>
    </row>
    <row r="78" spans="1:26" ht="16" x14ac:dyDescent="0.4">
      <c r="B78" s="80" t="s">
        <v>127</v>
      </c>
      <c r="C78" s="118">
        <v>28500</v>
      </c>
      <c r="D78" s="118">
        <v>12000</v>
      </c>
      <c r="E78" s="118"/>
      <c r="F78" s="120">
        <f t="shared" si="48"/>
        <v>40500</v>
      </c>
      <c r="G78" s="134">
        <v>14669.16</v>
      </c>
      <c r="H78" s="134">
        <v>0</v>
      </c>
      <c r="I78" s="164"/>
      <c r="J78" s="169">
        <f t="shared" si="55"/>
        <v>14669.16</v>
      </c>
      <c r="K78" s="137">
        <v>9970</v>
      </c>
      <c r="L78" s="137"/>
      <c r="M78" s="171"/>
      <c r="N78" s="173">
        <f t="shared" si="52"/>
        <v>9970</v>
      </c>
      <c r="O78" s="144"/>
      <c r="P78" s="144"/>
      <c r="Q78" s="144"/>
      <c r="R78" s="176">
        <f t="shared" si="53"/>
        <v>0</v>
      </c>
      <c r="S78" s="177">
        <f t="shared" si="54"/>
        <v>24639.16</v>
      </c>
    </row>
    <row r="79" spans="1:26" ht="16" x14ac:dyDescent="0.4">
      <c r="B79" s="80" t="s">
        <v>128</v>
      </c>
      <c r="C79" s="118">
        <v>78000</v>
      </c>
      <c r="D79" s="118">
        <v>9000</v>
      </c>
      <c r="E79" s="118"/>
      <c r="F79" s="120">
        <f t="shared" si="48"/>
        <v>87000</v>
      </c>
      <c r="G79" s="134">
        <v>0</v>
      </c>
      <c r="H79" s="134">
        <v>78000</v>
      </c>
      <c r="I79" s="164"/>
      <c r="J79" s="169">
        <f t="shared" si="55"/>
        <v>78000</v>
      </c>
      <c r="K79" s="137"/>
      <c r="L79" s="137"/>
      <c r="M79" s="171">
        <v>9000</v>
      </c>
      <c r="N79" s="173">
        <f t="shared" si="52"/>
        <v>9000</v>
      </c>
      <c r="O79" s="144"/>
      <c r="P79" s="144"/>
      <c r="Q79" s="144"/>
      <c r="R79" s="176">
        <f t="shared" si="53"/>
        <v>0</v>
      </c>
      <c r="S79" s="177">
        <f t="shared" si="54"/>
        <v>87000</v>
      </c>
    </row>
    <row r="80" spans="1:26" ht="16" x14ac:dyDescent="0.4">
      <c r="B80" s="80" t="s">
        <v>129</v>
      </c>
      <c r="C80" s="118">
        <v>5000</v>
      </c>
      <c r="D80" s="118"/>
      <c r="E80" s="118"/>
      <c r="F80" s="120">
        <f t="shared" si="48"/>
        <v>5000</v>
      </c>
      <c r="G80" s="134">
        <v>5000</v>
      </c>
      <c r="H80" s="134">
        <v>0</v>
      </c>
      <c r="I80" s="164"/>
      <c r="J80" s="169">
        <f t="shared" si="55"/>
        <v>5000</v>
      </c>
      <c r="K80" s="137"/>
      <c r="L80" s="137"/>
      <c r="M80" s="171"/>
      <c r="N80" s="173">
        <f t="shared" si="52"/>
        <v>0</v>
      </c>
      <c r="O80" s="144"/>
      <c r="P80" s="144"/>
      <c r="Q80" s="144"/>
      <c r="R80" s="176">
        <f t="shared" si="53"/>
        <v>0</v>
      </c>
      <c r="S80" s="177">
        <f t="shared" si="54"/>
        <v>5000</v>
      </c>
    </row>
    <row r="81" spans="1:26" ht="16" x14ac:dyDescent="0.4">
      <c r="B81" s="79" t="s">
        <v>130</v>
      </c>
      <c r="C81" s="121">
        <f>SUM(C74:C80)</f>
        <v>113500</v>
      </c>
      <c r="D81" s="121">
        <f>SUM(D74:D80)</f>
        <v>47500</v>
      </c>
      <c r="E81" s="121">
        <f>SUM(E74:E80)</f>
        <v>0</v>
      </c>
      <c r="F81" s="121">
        <f t="shared" si="48"/>
        <v>161000</v>
      </c>
      <c r="G81" s="170">
        <f>SUM(G74:G80)</f>
        <v>19816.940000000002</v>
      </c>
      <c r="H81" s="170">
        <f t="shared" ref="H81:I81" si="56">SUM(H74:H80)</f>
        <v>78000</v>
      </c>
      <c r="I81" s="170">
        <f t="shared" si="56"/>
        <v>0</v>
      </c>
      <c r="J81" s="170">
        <f>SUM(G81:I81)</f>
        <v>97816.94</v>
      </c>
      <c r="K81" s="174">
        <f t="shared" ref="K81:M81" si="57">SUM(K74:K80)</f>
        <v>24847</v>
      </c>
      <c r="L81" s="174">
        <f t="shared" si="57"/>
        <v>1216</v>
      </c>
      <c r="M81" s="174">
        <f t="shared" si="57"/>
        <v>11452</v>
      </c>
      <c r="N81" s="174">
        <f t="shared" si="52"/>
        <v>37515</v>
      </c>
      <c r="O81" s="175">
        <f t="shared" ref="O81:R81" si="58">SUM(O74:O80)</f>
        <v>0</v>
      </c>
      <c r="P81" s="175">
        <f t="shared" si="58"/>
        <v>0</v>
      </c>
      <c r="Q81" s="175">
        <f t="shared" si="58"/>
        <v>0</v>
      </c>
      <c r="R81" s="175">
        <f t="shared" si="58"/>
        <v>0</v>
      </c>
      <c r="S81" s="178">
        <f t="shared" si="54"/>
        <v>135331.94</v>
      </c>
    </row>
    <row r="83" spans="1:26" x14ac:dyDescent="0.35">
      <c r="A83" s="94"/>
      <c r="B83" s="297" t="s">
        <v>144</v>
      </c>
      <c r="C83" s="298"/>
      <c r="D83" s="298"/>
      <c r="E83" s="298"/>
      <c r="F83" s="298"/>
      <c r="G83" s="298"/>
      <c r="H83" s="298"/>
      <c r="I83" s="298"/>
      <c r="J83" s="298"/>
      <c r="K83" s="298"/>
      <c r="L83" s="298"/>
      <c r="M83" s="298"/>
      <c r="N83" s="298"/>
      <c r="O83" s="298"/>
      <c r="P83" s="298"/>
      <c r="Q83" s="298"/>
      <c r="R83" s="298"/>
      <c r="S83" s="299"/>
      <c r="T83" s="69"/>
      <c r="U83" s="69"/>
      <c r="V83" s="69"/>
      <c r="W83" s="69"/>
      <c r="X83" s="69"/>
      <c r="Y83" s="69"/>
      <c r="Z83" s="69"/>
    </row>
    <row r="84" spans="1:26" ht="16.5" thickBot="1" x14ac:dyDescent="0.45">
      <c r="B84" s="85" t="s">
        <v>145</v>
      </c>
      <c r="C84" s="113">
        <v>10000</v>
      </c>
      <c r="D84" s="113">
        <v>45000</v>
      </c>
      <c r="E84" s="113">
        <v>170000</v>
      </c>
      <c r="F84" s="114">
        <f t="shared" ref="F84:F92" si="59">SUM(C84:E84)</f>
        <v>225000</v>
      </c>
      <c r="G84" s="168">
        <f>SUM(G85:G91)</f>
        <v>0</v>
      </c>
      <c r="H84" s="168">
        <f t="shared" ref="H84:I84" si="60">SUM(H85:H91)</f>
        <v>7000</v>
      </c>
      <c r="I84" s="168">
        <f t="shared" si="60"/>
        <v>0</v>
      </c>
      <c r="J84" s="168">
        <f>SUM(J85:J91)</f>
        <v>7000</v>
      </c>
      <c r="K84" s="172">
        <f>+K92</f>
        <v>21951</v>
      </c>
      <c r="L84" s="172">
        <f t="shared" ref="L84:M84" si="61">+L92</f>
        <v>2675</v>
      </c>
      <c r="M84" s="172">
        <f t="shared" si="61"/>
        <v>0</v>
      </c>
      <c r="N84" s="172">
        <f>K84+L84+M84</f>
        <v>24626</v>
      </c>
      <c r="O84" s="175">
        <f>+O92</f>
        <v>100299.26999999999</v>
      </c>
      <c r="P84" s="175">
        <f t="shared" ref="P84:R84" si="62">+P92</f>
        <v>5774.02</v>
      </c>
      <c r="Q84" s="175">
        <f t="shared" si="62"/>
        <v>0</v>
      </c>
      <c r="R84" s="175">
        <f t="shared" si="62"/>
        <v>106073.29</v>
      </c>
      <c r="S84" s="178">
        <f>SUM(J84+N84+R84)</f>
        <v>137699.28999999998</v>
      </c>
    </row>
    <row r="85" spans="1:26" ht="16" x14ac:dyDescent="0.4">
      <c r="B85" s="82" t="s">
        <v>123</v>
      </c>
      <c r="C85" s="115">
        <v>0</v>
      </c>
      <c r="D85" s="116"/>
      <c r="E85" s="116"/>
      <c r="F85" s="117">
        <f t="shared" si="59"/>
        <v>0</v>
      </c>
      <c r="G85" s="134">
        <v>0</v>
      </c>
      <c r="H85" s="134">
        <v>0</v>
      </c>
      <c r="I85" s="164"/>
      <c r="J85" s="169">
        <f>SUM(G85:I85)</f>
        <v>0</v>
      </c>
      <c r="K85" s="137"/>
      <c r="L85" s="137"/>
      <c r="M85" s="171"/>
      <c r="N85" s="173">
        <f t="shared" ref="N85:N91" si="63">K85+L85+M85</f>
        <v>0</v>
      </c>
      <c r="O85" s="144"/>
      <c r="P85" s="144"/>
      <c r="Q85" s="144"/>
      <c r="R85" s="176">
        <f t="shared" ref="R85:R91" si="64">SUM(O85:Q85)</f>
        <v>0</v>
      </c>
      <c r="S85" s="177">
        <f t="shared" ref="S85:S92" si="65">SUM(J85+N85+R85)</f>
        <v>0</v>
      </c>
    </row>
    <row r="86" spans="1:26" ht="16" x14ac:dyDescent="0.4">
      <c r="B86" s="80" t="s">
        <v>124</v>
      </c>
      <c r="C86" s="118">
        <v>0</v>
      </c>
      <c r="D86" s="119">
        <v>3000</v>
      </c>
      <c r="E86" s="118">
        <v>35000</v>
      </c>
      <c r="F86" s="120">
        <f t="shared" si="59"/>
        <v>38000</v>
      </c>
      <c r="G86" s="134">
        <v>0</v>
      </c>
      <c r="H86" s="134">
        <v>0</v>
      </c>
      <c r="I86" s="164"/>
      <c r="J86" s="169">
        <f t="shared" ref="J86:J91" si="66">SUM(G86:I86)</f>
        <v>0</v>
      </c>
      <c r="K86" s="137">
        <v>1057</v>
      </c>
      <c r="L86" s="137">
        <v>0</v>
      </c>
      <c r="M86" s="171"/>
      <c r="N86" s="173">
        <f t="shared" si="63"/>
        <v>1057</v>
      </c>
      <c r="O86" s="144"/>
      <c r="P86" s="144"/>
      <c r="Q86" s="144"/>
      <c r="R86" s="176">
        <f t="shared" si="64"/>
        <v>0</v>
      </c>
      <c r="S86" s="177">
        <f t="shared" si="65"/>
        <v>1057</v>
      </c>
    </row>
    <row r="87" spans="1:26" ht="16" x14ac:dyDescent="0.4">
      <c r="B87" s="80" t="s">
        <v>125</v>
      </c>
      <c r="C87" s="118">
        <v>0</v>
      </c>
      <c r="D87" s="118">
        <v>9000</v>
      </c>
      <c r="E87" s="118">
        <v>10000</v>
      </c>
      <c r="F87" s="120">
        <f t="shared" si="59"/>
        <v>19000</v>
      </c>
      <c r="G87" s="134">
        <v>0</v>
      </c>
      <c r="H87" s="134">
        <v>0</v>
      </c>
      <c r="I87" s="164"/>
      <c r="J87" s="169">
        <f t="shared" si="66"/>
        <v>0</v>
      </c>
      <c r="K87" s="137">
        <v>1203</v>
      </c>
      <c r="L87" s="137">
        <v>2675</v>
      </c>
      <c r="M87" s="171"/>
      <c r="N87" s="173">
        <f t="shared" si="63"/>
        <v>3878</v>
      </c>
      <c r="O87" s="144"/>
      <c r="P87" s="144"/>
      <c r="Q87" s="144"/>
      <c r="R87" s="176">
        <f t="shared" si="64"/>
        <v>0</v>
      </c>
      <c r="S87" s="177">
        <f t="shared" si="65"/>
        <v>3878</v>
      </c>
    </row>
    <row r="88" spans="1:26" ht="16" x14ac:dyDescent="0.4">
      <c r="B88" s="81" t="s">
        <v>126</v>
      </c>
      <c r="C88" s="128">
        <v>0</v>
      </c>
      <c r="D88" s="118">
        <v>15000</v>
      </c>
      <c r="E88" s="118">
        <v>95000</v>
      </c>
      <c r="F88" s="120">
        <f t="shared" si="59"/>
        <v>110000</v>
      </c>
      <c r="G88" s="134">
        <v>0</v>
      </c>
      <c r="H88" s="134">
        <v>0</v>
      </c>
      <c r="I88" s="164"/>
      <c r="J88" s="169">
        <f t="shared" si="66"/>
        <v>0</v>
      </c>
      <c r="K88" s="137">
        <v>9713</v>
      </c>
      <c r="L88" s="137"/>
      <c r="M88" s="171"/>
      <c r="N88" s="173">
        <f t="shared" si="63"/>
        <v>9713</v>
      </c>
      <c r="O88" s="144">
        <f>60298.46+10133.66</f>
        <v>70432.12</v>
      </c>
      <c r="P88" s="144">
        <v>5774.02</v>
      </c>
      <c r="Q88" s="144"/>
      <c r="R88" s="176">
        <f t="shared" si="64"/>
        <v>76206.14</v>
      </c>
      <c r="S88" s="177">
        <f t="shared" si="65"/>
        <v>85919.14</v>
      </c>
    </row>
    <row r="89" spans="1:26" ht="16" x14ac:dyDescent="0.4">
      <c r="B89" s="80" t="s">
        <v>127</v>
      </c>
      <c r="C89" s="118">
        <v>3000</v>
      </c>
      <c r="D89" s="118">
        <v>18000</v>
      </c>
      <c r="E89" s="118">
        <v>15000</v>
      </c>
      <c r="F89" s="120">
        <f t="shared" si="59"/>
        <v>36000</v>
      </c>
      <c r="G89" s="134">
        <v>0</v>
      </c>
      <c r="H89" s="134">
        <v>0</v>
      </c>
      <c r="I89" s="164"/>
      <c r="J89" s="169">
        <f t="shared" si="66"/>
        <v>0</v>
      </c>
      <c r="K89" s="137">
        <v>9978</v>
      </c>
      <c r="L89" s="137"/>
      <c r="M89" s="171"/>
      <c r="N89" s="173">
        <f t="shared" si="63"/>
        <v>9978</v>
      </c>
      <c r="O89" s="144">
        <v>14867.15</v>
      </c>
      <c r="P89" s="144"/>
      <c r="Q89" s="144"/>
      <c r="R89" s="176">
        <f t="shared" si="64"/>
        <v>14867.15</v>
      </c>
      <c r="S89" s="177">
        <f t="shared" si="65"/>
        <v>24845.15</v>
      </c>
    </row>
    <row r="90" spans="1:26" ht="16" x14ac:dyDescent="0.4">
      <c r="B90" s="80" t="s">
        <v>128</v>
      </c>
      <c r="C90" s="118">
        <v>7000</v>
      </c>
      <c r="D90" s="118"/>
      <c r="E90" s="118">
        <v>15000</v>
      </c>
      <c r="F90" s="120">
        <f t="shared" si="59"/>
        <v>22000</v>
      </c>
      <c r="G90" s="134">
        <v>0</v>
      </c>
      <c r="H90" s="134">
        <v>7000</v>
      </c>
      <c r="I90" s="164"/>
      <c r="J90" s="169">
        <f t="shared" si="66"/>
        <v>7000</v>
      </c>
      <c r="K90" s="137"/>
      <c r="L90" s="137"/>
      <c r="M90" s="171"/>
      <c r="N90" s="173">
        <f t="shared" si="63"/>
        <v>0</v>
      </c>
      <c r="O90" s="144">
        <f>12974.85+2025.15</f>
        <v>15000</v>
      </c>
      <c r="P90" s="144"/>
      <c r="Q90" s="144"/>
      <c r="R90" s="176">
        <f t="shared" si="64"/>
        <v>15000</v>
      </c>
      <c r="S90" s="177">
        <f t="shared" si="65"/>
        <v>22000</v>
      </c>
    </row>
    <row r="91" spans="1:26" ht="16" x14ac:dyDescent="0.4">
      <c r="B91" s="80" t="s">
        <v>129</v>
      </c>
      <c r="C91" s="118">
        <v>0</v>
      </c>
      <c r="D91" s="118"/>
      <c r="E91" s="118"/>
      <c r="F91" s="120">
        <f t="shared" si="59"/>
        <v>0</v>
      </c>
      <c r="G91" s="134">
        <v>0</v>
      </c>
      <c r="H91" s="134">
        <v>0</v>
      </c>
      <c r="I91" s="164"/>
      <c r="J91" s="169">
        <f t="shared" si="66"/>
        <v>0</v>
      </c>
      <c r="K91" s="137"/>
      <c r="L91" s="137"/>
      <c r="M91" s="171"/>
      <c r="N91" s="173">
        <f t="shared" si="63"/>
        <v>0</v>
      </c>
      <c r="O91" s="144"/>
      <c r="P91" s="144"/>
      <c r="Q91" s="144"/>
      <c r="R91" s="176">
        <f t="shared" si="64"/>
        <v>0</v>
      </c>
      <c r="S91" s="177">
        <f t="shared" si="65"/>
        <v>0</v>
      </c>
    </row>
    <row r="92" spans="1:26" ht="16" x14ac:dyDescent="0.4">
      <c r="B92" s="79" t="s">
        <v>130</v>
      </c>
      <c r="C92" s="121">
        <f>SUM(C85:C91)</f>
        <v>10000</v>
      </c>
      <c r="D92" s="121">
        <f>SUM(D85:D91)</f>
        <v>45000</v>
      </c>
      <c r="E92" s="121">
        <f>SUM(E85:E91)</f>
        <v>170000</v>
      </c>
      <c r="F92" s="121">
        <f t="shared" si="59"/>
        <v>225000</v>
      </c>
      <c r="G92" s="170">
        <f>SUM(G85:G91)</f>
        <v>0</v>
      </c>
      <c r="H92" s="170">
        <f t="shared" ref="H92:J92" si="67">SUM(H85:H91)</f>
        <v>7000</v>
      </c>
      <c r="I92" s="170">
        <f t="shared" si="67"/>
        <v>0</v>
      </c>
      <c r="J92" s="170">
        <f t="shared" si="67"/>
        <v>7000</v>
      </c>
      <c r="K92" s="174">
        <f>SUM(K85:K91)</f>
        <v>21951</v>
      </c>
      <c r="L92" s="174">
        <f t="shared" ref="L92:M92" si="68">SUM(L85:L91)</f>
        <v>2675</v>
      </c>
      <c r="M92" s="174">
        <f t="shared" si="68"/>
        <v>0</v>
      </c>
      <c r="N92" s="174">
        <f>SUM(N85:N91)</f>
        <v>24626</v>
      </c>
      <c r="O92" s="175">
        <f t="shared" ref="O92:R92" si="69">SUM(O85:O91)</f>
        <v>100299.26999999999</v>
      </c>
      <c r="P92" s="175">
        <f t="shared" si="69"/>
        <v>5774.02</v>
      </c>
      <c r="Q92" s="175">
        <f t="shared" si="69"/>
        <v>0</v>
      </c>
      <c r="R92" s="175">
        <f t="shared" si="69"/>
        <v>106073.29</v>
      </c>
      <c r="S92" s="178">
        <f t="shared" si="65"/>
        <v>137699.28999999998</v>
      </c>
    </row>
    <row r="94" spans="1:26" x14ac:dyDescent="0.35">
      <c r="A94" s="94"/>
      <c r="B94" s="297" t="s">
        <v>80</v>
      </c>
      <c r="C94" s="298"/>
      <c r="D94" s="298"/>
      <c r="E94" s="298"/>
      <c r="F94" s="298"/>
      <c r="G94" s="298"/>
      <c r="H94" s="298"/>
      <c r="I94" s="298"/>
      <c r="J94" s="298"/>
      <c r="K94" s="298"/>
      <c r="L94" s="298"/>
      <c r="M94" s="298"/>
      <c r="N94" s="298"/>
      <c r="O94" s="298"/>
      <c r="P94" s="298"/>
      <c r="Q94" s="298"/>
      <c r="R94" s="298"/>
      <c r="S94" s="299"/>
      <c r="T94" s="69"/>
      <c r="U94" s="69"/>
      <c r="V94" s="69"/>
      <c r="W94" s="69"/>
      <c r="X94" s="69"/>
      <c r="Y94" s="69"/>
      <c r="Z94" s="69"/>
    </row>
    <row r="95" spans="1:26" ht="16.5" thickBot="1" x14ac:dyDescent="0.45">
      <c r="B95" s="85" t="s">
        <v>146</v>
      </c>
      <c r="C95" s="113">
        <v>30000</v>
      </c>
      <c r="D95" s="113">
        <v>10000</v>
      </c>
      <c r="E95" s="113">
        <v>5000</v>
      </c>
      <c r="F95" s="114">
        <f t="shared" ref="F95" si="70">SUM(C95:E95)</f>
        <v>45000</v>
      </c>
      <c r="G95" s="168">
        <f>SUM(G96:G102)</f>
        <v>1799.98</v>
      </c>
      <c r="H95" s="168">
        <f t="shared" ref="H95:J95" si="71">SUM(H96:H102)</f>
        <v>16000</v>
      </c>
      <c r="I95" s="168">
        <f t="shared" si="71"/>
        <v>0</v>
      </c>
      <c r="J95" s="168">
        <f t="shared" si="71"/>
        <v>17799.98</v>
      </c>
      <c r="K95" s="172">
        <f t="shared" ref="K95" si="72">+K103</f>
        <v>0</v>
      </c>
      <c r="L95" s="172"/>
      <c r="M95" s="172"/>
      <c r="N95" s="172">
        <f t="shared" ref="N95:N103" si="73">K95+L95+M95</f>
        <v>0</v>
      </c>
      <c r="O95" s="175">
        <f>+O103</f>
        <v>4039.22</v>
      </c>
      <c r="P95" s="175">
        <f t="shared" ref="P95:R95" si="74">+P103</f>
        <v>0</v>
      </c>
      <c r="Q95" s="175">
        <f t="shared" si="74"/>
        <v>0</v>
      </c>
      <c r="R95" s="175">
        <f t="shared" si="74"/>
        <v>4039.22</v>
      </c>
      <c r="S95" s="178">
        <f>SUM(J95+N95+R95)</f>
        <v>21839.200000000001</v>
      </c>
    </row>
    <row r="96" spans="1:26" ht="16" x14ac:dyDescent="0.4">
      <c r="B96" s="82" t="s">
        <v>123</v>
      </c>
      <c r="C96" s="115">
        <v>0</v>
      </c>
      <c r="D96" s="116"/>
      <c r="E96" s="116"/>
      <c r="F96" s="117">
        <f>C96+D96+E96</f>
        <v>0</v>
      </c>
      <c r="G96" s="134">
        <v>0</v>
      </c>
      <c r="H96" s="134">
        <v>0</v>
      </c>
      <c r="I96" s="164"/>
      <c r="J96" s="169">
        <f>SUM(G96:I96)</f>
        <v>0</v>
      </c>
      <c r="K96" s="137"/>
      <c r="L96" s="137"/>
      <c r="M96" s="171"/>
      <c r="N96" s="173">
        <f t="shared" si="73"/>
        <v>0</v>
      </c>
      <c r="O96" s="144"/>
      <c r="P96" s="144"/>
      <c r="Q96" s="144"/>
      <c r="R96" s="176">
        <f t="shared" ref="R96:R102" si="75">SUM(O96:Q96)</f>
        <v>0</v>
      </c>
      <c r="S96" s="177">
        <f t="shared" ref="S96:S103" si="76">SUM(J96+N96+R96)</f>
        <v>0</v>
      </c>
    </row>
    <row r="97" spans="1:21" ht="16" x14ac:dyDescent="0.4">
      <c r="B97" s="80" t="s">
        <v>124</v>
      </c>
      <c r="C97" s="118">
        <v>0</v>
      </c>
      <c r="D97" s="119"/>
      <c r="E97" s="119"/>
      <c r="F97" s="117">
        <f t="shared" ref="F97:F102" si="77">C97+D97+E97</f>
        <v>0</v>
      </c>
      <c r="G97" s="134">
        <v>0</v>
      </c>
      <c r="H97" s="134">
        <v>0</v>
      </c>
      <c r="I97" s="164"/>
      <c r="J97" s="169">
        <f t="shared" ref="J97:J102" si="78">SUM(G97:I97)</f>
        <v>0</v>
      </c>
      <c r="K97" s="137"/>
      <c r="L97" s="137"/>
      <c r="M97" s="171"/>
      <c r="N97" s="173">
        <f t="shared" si="73"/>
        <v>0</v>
      </c>
      <c r="O97" s="144"/>
      <c r="P97" s="144"/>
      <c r="Q97" s="144"/>
      <c r="R97" s="176">
        <f t="shared" si="75"/>
        <v>0</v>
      </c>
      <c r="S97" s="177">
        <f t="shared" si="76"/>
        <v>0</v>
      </c>
    </row>
    <row r="98" spans="1:21" ht="16" x14ac:dyDescent="0.4">
      <c r="B98" s="80" t="s">
        <v>125</v>
      </c>
      <c r="C98" s="118">
        <v>0</v>
      </c>
      <c r="D98" s="118"/>
      <c r="E98" s="118"/>
      <c r="F98" s="117">
        <f t="shared" si="77"/>
        <v>0</v>
      </c>
      <c r="G98" s="134">
        <v>0</v>
      </c>
      <c r="H98" s="134">
        <v>0</v>
      </c>
      <c r="I98" s="164"/>
      <c r="J98" s="169">
        <f t="shared" si="78"/>
        <v>0</v>
      </c>
      <c r="K98" s="137"/>
      <c r="L98" s="137"/>
      <c r="M98" s="171"/>
      <c r="N98" s="173">
        <f t="shared" si="73"/>
        <v>0</v>
      </c>
      <c r="O98" s="144"/>
      <c r="P98" s="144"/>
      <c r="Q98" s="144"/>
      <c r="R98" s="176">
        <f t="shared" si="75"/>
        <v>0</v>
      </c>
      <c r="S98" s="177">
        <f t="shared" si="76"/>
        <v>0</v>
      </c>
    </row>
    <row r="99" spans="1:21" ht="16" x14ac:dyDescent="0.4">
      <c r="B99" s="81" t="s">
        <v>126</v>
      </c>
      <c r="C99" s="118">
        <v>0</v>
      </c>
      <c r="D99" s="118">
        <v>10000</v>
      </c>
      <c r="E99" s="118"/>
      <c r="F99" s="117">
        <f t="shared" si="77"/>
        <v>10000</v>
      </c>
      <c r="G99" s="134">
        <v>0</v>
      </c>
      <c r="H99" s="134">
        <v>0</v>
      </c>
      <c r="I99" s="164"/>
      <c r="J99" s="169">
        <f t="shared" si="78"/>
        <v>0</v>
      </c>
      <c r="K99" s="137">
        <v>0</v>
      </c>
      <c r="L99" s="137"/>
      <c r="M99" s="171"/>
      <c r="N99" s="173">
        <f t="shared" si="73"/>
        <v>0</v>
      </c>
      <c r="O99" s="144">
        <v>0</v>
      </c>
      <c r="P99" s="144"/>
      <c r="Q99" s="144"/>
      <c r="R99" s="176">
        <f t="shared" si="75"/>
        <v>0</v>
      </c>
      <c r="S99" s="177">
        <f t="shared" si="76"/>
        <v>0</v>
      </c>
    </row>
    <row r="100" spans="1:21" ht="16" x14ac:dyDescent="0.4">
      <c r="B100" s="80" t="s">
        <v>127</v>
      </c>
      <c r="C100" s="118">
        <v>14000</v>
      </c>
      <c r="D100" s="118"/>
      <c r="E100" s="118">
        <v>5000</v>
      </c>
      <c r="F100" s="117">
        <f t="shared" si="77"/>
        <v>19000</v>
      </c>
      <c r="G100" s="134">
        <v>1799.98</v>
      </c>
      <c r="H100" s="134">
        <v>0</v>
      </c>
      <c r="I100" s="164"/>
      <c r="J100" s="169">
        <f t="shared" si="78"/>
        <v>1799.98</v>
      </c>
      <c r="K100" s="137"/>
      <c r="L100" s="137"/>
      <c r="M100" s="171"/>
      <c r="N100" s="173">
        <f t="shared" si="73"/>
        <v>0</v>
      </c>
      <c r="O100" s="144">
        <v>4039.22</v>
      </c>
      <c r="P100" s="144"/>
      <c r="Q100" s="144"/>
      <c r="R100" s="176">
        <f t="shared" si="75"/>
        <v>4039.22</v>
      </c>
      <c r="S100" s="177">
        <f t="shared" si="76"/>
        <v>5839.2</v>
      </c>
    </row>
    <row r="101" spans="1:21" ht="16" x14ac:dyDescent="0.4">
      <c r="B101" s="80" t="s">
        <v>128</v>
      </c>
      <c r="C101" s="118">
        <v>16000</v>
      </c>
      <c r="D101" s="118"/>
      <c r="E101" s="118"/>
      <c r="F101" s="117">
        <f t="shared" si="77"/>
        <v>16000</v>
      </c>
      <c r="G101" s="134">
        <v>0</v>
      </c>
      <c r="H101" s="134">
        <v>16000</v>
      </c>
      <c r="I101" s="164"/>
      <c r="J101" s="169">
        <f t="shared" si="78"/>
        <v>16000</v>
      </c>
      <c r="K101" s="137"/>
      <c r="L101" s="137"/>
      <c r="M101" s="171"/>
      <c r="N101" s="173">
        <f t="shared" si="73"/>
        <v>0</v>
      </c>
      <c r="O101" s="144"/>
      <c r="P101" s="144"/>
      <c r="Q101" s="144"/>
      <c r="R101" s="176">
        <f t="shared" si="75"/>
        <v>0</v>
      </c>
      <c r="S101" s="177">
        <f t="shared" si="76"/>
        <v>16000</v>
      </c>
    </row>
    <row r="102" spans="1:21" ht="16" x14ac:dyDescent="0.4">
      <c r="B102" s="80" t="s">
        <v>129</v>
      </c>
      <c r="C102" s="118">
        <v>0</v>
      </c>
      <c r="D102" s="118"/>
      <c r="E102" s="118"/>
      <c r="F102" s="117">
        <f t="shared" si="77"/>
        <v>0</v>
      </c>
      <c r="G102" s="134">
        <v>0</v>
      </c>
      <c r="H102" s="134">
        <v>0</v>
      </c>
      <c r="I102" s="164"/>
      <c r="J102" s="169">
        <f t="shared" si="78"/>
        <v>0</v>
      </c>
      <c r="K102" s="137"/>
      <c r="L102" s="137"/>
      <c r="M102" s="171"/>
      <c r="N102" s="173">
        <f t="shared" si="73"/>
        <v>0</v>
      </c>
      <c r="O102" s="144">
        <v>0</v>
      </c>
      <c r="P102" s="144"/>
      <c r="Q102" s="144"/>
      <c r="R102" s="176">
        <f t="shared" si="75"/>
        <v>0</v>
      </c>
      <c r="S102" s="177">
        <f t="shared" si="76"/>
        <v>0</v>
      </c>
    </row>
    <row r="103" spans="1:21" ht="16" x14ac:dyDescent="0.4">
      <c r="B103" s="79" t="s">
        <v>130</v>
      </c>
      <c r="C103" s="121">
        <f t="shared" ref="C103:F103" si="79">SUM(C96:C102)</f>
        <v>30000</v>
      </c>
      <c r="D103" s="121">
        <f t="shared" si="79"/>
        <v>10000</v>
      </c>
      <c r="E103" s="121">
        <f t="shared" si="79"/>
        <v>5000</v>
      </c>
      <c r="F103" s="121">
        <f t="shared" si="79"/>
        <v>45000</v>
      </c>
      <c r="G103" s="170">
        <f>SUM(G96:G102)</f>
        <v>1799.98</v>
      </c>
      <c r="H103" s="170">
        <f t="shared" ref="H103:M103" si="80">SUM(H96:H102)</f>
        <v>16000</v>
      </c>
      <c r="I103" s="170">
        <f t="shared" si="80"/>
        <v>0</v>
      </c>
      <c r="J103" s="170">
        <f t="shared" si="80"/>
        <v>17799.98</v>
      </c>
      <c r="K103" s="174">
        <f t="shared" si="80"/>
        <v>0</v>
      </c>
      <c r="L103" s="174">
        <f t="shared" si="80"/>
        <v>0</v>
      </c>
      <c r="M103" s="174">
        <f t="shared" si="80"/>
        <v>0</v>
      </c>
      <c r="N103" s="174">
        <f t="shared" si="73"/>
        <v>0</v>
      </c>
      <c r="O103" s="175">
        <f t="shared" ref="O103:R103" si="81">SUM(O96:O102)</f>
        <v>4039.22</v>
      </c>
      <c r="P103" s="175">
        <f t="shared" si="81"/>
        <v>0</v>
      </c>
      <c r="Q103" s="175">
        <f t="shared" si="81"/>
        <v>0</v>
      </c>
      <c r="R103" s="175">
        <f t="shared" si="81"/>
        <v>4039.22</v>
      </c>
      <c r="S103" s="178">
        <f t="shared" si="76"/>
        <v>21839.200000000001</v>
      </c>
    </row>
    <row r="105" spans="1:21" ht="20.25" customHeight="1" x14ac:dyDescent="0.4">
      <c r="A105" s="96"/>
      <c r="B105" s="308" t="s">
        <v>147</v>
      </c>
      <c r="C105" s="308"/>
      <c r="D105" s="308"/>
      <c r="E105" s="308"/>
      <c r="F105" s="308"/>
      <c r="G105" s="308"/>
      <c r="H105" s="308"/>
      <c r="I105" s="308"/>
      <c r="J105" s="308"/>
      <c r="K105" s="308"/>
      <c r="L105" s="308"/>
      <c r="M105" s="308"/>
      <c r="N105" s="308"/>
      <c r="O105" s="308"/>
      <c r="P105" s="308"/>
      <c r="Q105" s="308"/>
      <c r="R105" s="308"/>
      <c r="S105" s="308"/>
      <c r="T105" s="308"/>
      <c r="U105" s="308"/>
    </row>
    <row r="106" spans="1:21" ht="16.5" thickBot="1" x14ac:dyDescent="0.45">
      <c r="B106" s="85" t="s">
        <v>148</v>
      </c>
      <c r="C106" s="113">
        <v>370412</v>
      </c>
      <c r="D106" s="113">
        <v>218247</v>
      </c>
      <c r="E106" s="113">
        <v>69000</v>
      </c>
      <c r="F106" s="114">
        <f>SUM(C106:E106)</f>
        <v>657659</v>
      </c>
      <c r="G106" s="168">
        <f>SUM(G107:G113)</f>
        <v>221089.36</v>
      </c>
      <c r="H106" s="168">
        <f t="shared" ref="H106:J106" si="82">SUM(H107:H113)</f>
        <v>32235.27</v>
      </c>
      <c r="I106" s="168">
        <f t="shared" si="82"/>
        <v>12375.42</v>
      </c>
      <c r="J106" s="168">
        <f t="shared" si="82"/>
        <v>265700.05</v>
      </c>
      <c r="K106" s="172">
        <f>SUM(K107:K113)</f>
        <v>121678</v>
      </c>
      <c r="L106" s="172">
        <f>SUM(L107:L113)</f>
        <v>7111</v>
      </c>
      <c r="M106" s="172">
        <f>SUM(M107:M113)</f>
        <v>10297</v>
      </c>
      <c r="N106" s="172">
        <f>SUM(N107:N113)</f>
        <v>139086</v>
      </c>
      <c r="O106" s="175">
        <f>+O114</f>
        <v>27248.78</v>
      </c>
      <c r="P106" s="175">
        <f t="shared" ref="P106:R106" si="83">+P114</f>
        <v>15720.66</v>
      </c>
      <c r="Q106" s="175">
        <f t="shared" si="83"/>
        <v>0</v>
      </c>
      <c r="R106" s="175">
        <f t="shared" si="83"/>
        <v>42969.440000000002</v>
      </c>
      <c r="S106" s="178">
        <f>SUM(J106+N106+R106)</f>
        <v>447755.49</v>
      </c>
    </row>
    <row r="107" spans="1:21" ht="16" x14ac:dyDescent="0.4">
      <c r="B107" s="82" t="s">
        <v>123</v>
      </c>
      <c r="C107" s="115">
        <v>247884.24</v>
      </c>
      <c r="D107" s="116">
        <v>137547</v>
      </c>
      <c r="E107" s="129">
        <v>41000</v>
      </c>
      <c r="F107" s="117">
        <f t="shared" ref="F107:F114" si="84">SUM(C107:E107)</f>
        <v>426431.24</v>
      </c>
      <c r="G107" s="134">
        <v>138358.09</v>
      </c>
      <c r="H107" s="134">
        <v>29615.360000000001</v>
      </c>
      <c r="I107" s="164"/>
      <c r="J107" s="169">
        <f>SUM(G107:I107)</f>
        <v>167973.45</v>
      </c>
      <c r="K107" s="137">
        <v>71136</v>
      </c>
      <c r="L107" s="137">
        <v>6472</v>
      </c>
      <c r="M107" s="171">
        <v>10000</v>
      </c>
      <c r="N107" s="173">
        <f>SUM(K107:M107)</f>
        <v>87608</v>
      </c>
      <c r="O107" s="144">
        <v>21946.17</v>
      </c>
      <c r="P107" s="144">
        <v>15720.66</v>
      </c>
      <c r="Q107" s="144"/>
      <c r="R107" s="176">
        <f t="shared" ref="R107:R113" si="85">SUM(O107:Q107)</f>
        <v>37666.83</v>
      </c>
      <c r="S107" s="177">
        <f t="shared" ref="S107:S113" si="86">SUM(J107+N107+R107)</f>
        <v>293248.28000000003</v>
      </c>
    </row>
    <row r="108" spans="1:21" ht="16" x14ac:dyDescent="0.4">
      <c r="B108" s="80" t="s">
        <v>124</v>
      </c>
      <c r="C108" s="118">
        <v>2000</v>
      </c>
      <c r="D108" s="119">
        <v>5000</v>
      </c>
      <c r="E108" s="129">
        <v>5000</v>
      </c>
      <c r="F108" s="120">
        <f t="shared" si="84"/>
        <v>12000</v>
      </c>
      <c r="G108" s="134">
        <v>960.59</v>
      </c>
      <c r="H108" s="134">
        <v>0</v>
      </c>
      <c r="I108" s="164"/>
      <c r="J108" s="169">
        <f t="shared" ref="J108:J113" si="87">SUM(G108:I108)</f>
        <v>960.59</v>
      </c>
      <c r="K108" s="137">
        <v>4419</v>
      </c>
      <c r="L108" s="137">
        <v>269</v>
      </c>
      <c r="M108" s="171">
        <v>0</v>
      </c>
      <c r="N108" s="173">
        <v>4688</v>
      </c>
      <c r="O108" s="144"/>
      <c r="P108" s="144"/>
      <c r="Q108" s="144"/>
      <c r="R108" s="176">
        <f t="shared" si="85"/>
        <v>0</v>
      </c>
      <c r="S108" s="177">
        <f t="shared" si="86"/>
        <v>5648.59</v>
      </c>
    </row>
    <row r="109" spans="1:21" ht="16" x14ac:dyDescent="0.4">
      <c r="B109" s="80" t="s">
        <v>125</v>
      </c>
      <c r="C109" s="118">
        <v>9000</v>
      </c>
      <c r="D109" s="118">
        <v>4000</v>
      </c>
      <c r="E109" s="129"/>
      <c r="F109" s="120">
        <f t="shared" si="84"/>
        <v>13000</v>
      </c>
      <c r="G109" s="134">
        <v>5901.07</v>
      </c>
      <c r="H109" s="134">
        <v>0</v>
      </c>
      <c r="I109" s="164"/>
      <c r="J109" s="169">
        <f t="shared" si="87"/>
        <v>5901.07</v>
      </c>
      <c r="K109" s="137">
        <v>3360</v>
      </c>
      <c r="L109" s="137"/>
      <c r="M109" s="171">
        <v>0</v>
      </c>
      <c r="N109" s="173">
        <v>3360</v>
      </c>
      <c r="O109" s="144"/>
      <c r="P109" s="144"/>
      <c r="Q109" s="144"/>
      <c r="R109" s="176">
        <f t="shared" si="85"/>
        <v>0</v>
      </c>
      <c r="S109" s="177">
        <f t="shared" si="86"/>
        <v>9261.07</v>
      </c>
    </row>
    <row r="110" spans="1:21" ht="16" x14ac:dyDescent="0.4">
      <c r="B110" s="81" t="s">
        <v>126</v>
      </c>
      <c r="C110" s="118">
        <v>50588.2</v>
      </c>
      <c r="D110" s="118">
        <v>29700</v>
      </c>
      <c r="E110" s="118"/>
      <c r="F110" s="120">
        <f t="shared" si="84"/>
        <v>80288.2</v>
      </c>
      <c r="G110" s="134">
        <v>160.74</v>
      </c>
      <c r="H110" s="134">
        <v>1008.8699999999999</v>
      </c>
      <c r="I110" s="164"/>
      <c r="J110" s="169">
        <f t="shared" si="87"/>
        <v>1169.6099999999999</v>
      </c>
      <c r="K110" s="137">
        <v>15360</v>
      </c>
      <c r="L110" s="137"/>
      <c r="M110" s="171">
        <v>0</v>
      </c>
      <c r="N110" s="173">
        <v>15360</v>
      </c>
      <c r="O110" s="144"/>
      <c r="P110" s="144"/>
      <c r="Q110" s="144"/>
      <c r="R110" s="176">
        <f t="shared" si="85"/>
        <v>0</v>
      </c>
      <c r="S110" s="177">
        <f t="shared" si="86"/>
        <v>16529.61</v>
      </c>
    </row>
    <row r="111" spans="1:21" ht="16" x14ac:dyDescent="0.4">
      <c r="B111" s="80" t="s">
        <v>127</v>
      </c>
      <c r="C111" s="118">
        <v>51000</v>
      </c>
      <c r="D111" s="118">
        <v>42000</v>
      </c>
      <c r="E111" s="118">
        <v>5000</v>
      </c>
      <c r="F111" s="120">
        <f t="shared" si="84"/>
        <v>98000</v>
      </c>
      <c r="G111" s="134">
        <v>44159.199999999997</v>
      </c>
      <c r="H111" s="134">
        <v>0</v>
      </c>
      <c r="I111" s="164"/>
      <c r="J111" s="169">
        <f t="shared" si="87"/>
        <v>44159.199999999997</v>
      </c>
      <c r="K111" s="137">
        <v>27403</v>
      </c>
      <c r="L111" s="137">
        <v>370</v>
      </c>
      <c r="M111" s="171">
        <v>297</v>
      </c>
      <c r="N111" s="173">
        <v>28070</v>
      </c>
      <c r="O111" s="144">
        <f>3680.29+1260.74</f>
        <v>4941.03</v>
      </c>
      <c r="P111" s="144"/>
      <c r="Q111" s="144"/>
      <c r="R111" s="176">
        <f t="shared" si="85"/>
        <v>4941.03</v>
      </c>
      <c r="S111" s="177">
        <f t="shared" si="86"/>
        <v>77170.23</v>
      </c>
    </row>
    <row r="112" spans="1:21" ht="16" x14ac:dyDescent="0.4">
      <c r="B112" s="80" t="s">
        <v>128</v>
      </c>
      <c r="C112" s="118">
        <v>0</v>
      </c>
      <c r="D112" s="118"/>
      <c r="E112" s="118"/>
      <c r="F112" s="120">
        <f t="shared" si="84"/>
        <v>0</v>
      </c>
      <c r="G112" s="134">
        <v>0</v>
      </c>
      <c r="H112" s="134">
        <v>0</v>
      </c>
      <c r="I112" s="164"/>
      <c r="J112" s="169">
        <f t="shared" si="87"/>
        <v>0</v>
      </c>
      <c r="K112" s="137"/>
      <c r="L112" s="137"/>
      <c r="M112" s="171"/>
      <c r="N112" s="173">
        <v>0</v>
      </c>
      <c r="O112" s="144"/>
      <c r="P112" s="144"/>
      <c r="Q112" s="144"/>
      <c r="R112" s="176">
        <f t="shared" si="85"/>
        <v>0</v>
      </c>
      <c r="S112" s="177">
        <f t="shared" si="86"/>
        <v>0</v>
      </c>
    </row>
    <row r="113" spans="2:19" ht="16" x14ac:dyDescent="0.4">
      <c r="B113" s="80" t="s">
        <v>129</v>
      </c>
      <c r="C113" s="118">
        <v>56539.560000000012</v>
      </c>
      <c r="D113" s="118"/>
      <c r="E113" s="118">
        <v>18000</v>
      </c>
      <c r="F113" s="120">
        <f t="shared" si="84"/>
        <v>74539.560000000012</v>
      </c>
      <c r="G113" s="134">
        <v>31549.67</v>
      </c>
      <c r="H113" s="134">
        <v>1611.04</v>
      </c>
      <c r="I113" s="164">
        <v>12375.42</v>
      </c>
      <c r="J113" s="169">
        <f t="shared" si="87"/>
        <v>45536.13</v>
      </c>
      <c r="K113" s="137"/>
      <c r="L113" s="137"/>
      <c r="M113" s="171"/>
      <c r="N113" s="173">
        <v>0</v>
      </c>
      <c r="O113" s="144">
        <v>361.58</v>
      </c>
      <c r="P113" s="144"/>
      <c r="Q113" s="144"/>
      <c r="R113" s="176">
        <f t="shared" si="85"/>
        <v>361.58</v>
      </c>
      <c r="S113" s="177">
        <f t="shared" si="86"/>
        <v>45897.71</v>
      </c>
    </row>
    <row r="114" spans="2:19" ht="16" x14ac:dyDescent="0.4">
      <c r="B114" s="79" t="s">
        <v>130</v>
      </c>
      <c r="C114" s="121">
        <f>SUM(C107:C113)</f>
        <v>417012</v>
      </c>
      <c r="D114" s="121">
        <f>SUM(D107:D113)</f>
        <v>218247</v>
      </c>
      <c r="E114" s="121">
        <f>SUM(E107:E113)</f>
        <v>69000</v>
      </c>
      <c r="F114" s="121">
        <f t="shared" si="84"/>
        <v>704259</v>
      </c>
      <c r="G114" s="170">
        <f>+SUM(G107:G113)</f>
        <v>221089.36</v>
      </c>
      <c r="H114" s="170">
        <f t="shared" ref="H114:J114" si="88">+SUM(H107:H113)</f>
        <v>32235.27</v>
      </c>
      <c r="I114" s="170">
        <f t="shared" si="88"/>
        <v>12375.42</v>
      </c>
      <c r="J114" s="170">
        <f t="shared" si="88"/>
        <v>265700.05</v>
      </c>
      <c r="K114" s="174">
        <v>121678</v>
      </c>
      <c r="L114" s="174">
        <v>7111</v>
      </c>
      <c r="M114" s="174">
        <v>90297</v>
      </c>
      <c r="N114" s="174">
        <v>219086</v>
      </c>
      <c r="O114" s="175">
        <f t="shared" ref="O114:R114" si="89">SUM(O107:O113)</f>
        <v>27248.78</v>
      </c>
      <c r="P114" s="175">
        <f t="shared" si="89"/>
        <v>15720.66</v>
      </c>
      <c r="Q114" s="175">
        <f t="shared" si="89"/>
        <v>0</v>
      </c>
      <c r="R114" s="175">
        <f t="shared" si="89"/>
        <v>42969.440000000002</v>
      </c>
      <c r="S114" s="178">
        <f>SUM(J114+N114+R114)</f>
        <v>527755.49</v>
      </c>
    </row>
    <row r="116" spans="2:19" ht="15" thickBot="1" x14ac:dyDescent="0.4"/>
    <row r="117" spans="2:19" ht="16.5" thickBot="1" x14ac:dyDescent="0.45">
      <c r="B117" s="97"/>
      <c r="C117" s="330" t="s">
        <v>118</v>
      </c>
      <c r="D117" s="331"/>
      <c r="E117" s="331"/>
      <c r="F117" s="332"/>
      <c r="G117" s="314" t="s">
        <v>119</v>
      </c>
      <c r="H117" s="315"/>
      <c r="I117" s="315"/>
      <c r="J117" s="315"/>
      <c r="K117" s="315"/>
      <c r="L117" s="315"/>
      <c r="M117" s="315"/>
      <c r="N117" s="315"/>
      <c r="O117" s="315"/>
      <c r="P117" s="315"/>
      <c r="Q117" s="315"/>
      <c r="R117" s="315"/>
      <c r="S117" s="316"/>
    </row>
    <row r="118" spans="2:19" ht="25" x14ac:dyDescent="0.4">
      <c r="B118" s="98"/>
      <c r="C118" s="209" t="s">
        <v>95</v>
      </c>
      <c r="D118" s="209" t="s">
        <v>96</v>
      </c>
      <c r="E118" s="209" t="s">
        <v>97</v>
      </c>
      <c r="F118" s="333" t="s">
        <v>6</v>
      </c>
      <c r="G118" s="335" t="s">
        <v>136</v>
      </c>
      <c r="H118" s="336"/>
      <c r="I118" s="336"/>
      <c r="J118" s="337"/>
      <c r="K118" s="338" t="s">
        <v>157</v>
      </c>
      <c r="L118" s="339"/>
      <c r="M118" s="339"/>
      <c r="N118" s="340"/>
      <c r="O118" s="341" t="s">
        <v>158</v>
      </c>
      <c r="P118" s="342"/>
      <c r="Q118" s="342"/>
      <c r="R118" s="343"/>
      <c r="S118" s="328" t="s">
        <v>160</v>
      </c>
    </row>
    <row r="119" spans="2:19" ht="70" customHeight="1" x14ac:dyDescent="0.4">
      <c r="B119" s="99"/>
      <c r="C119" s="209" t="s">
        <v>18</v>
      </c>
      <c r="D119" s="209" t="s">
        <v>12</v>
      </c>
      <c r="E119" s="209" t="s">
        <v>13</v>
      </c>
      <c r="F119" s="334"/>
      <c r="G119" s="91" t="s">
        <v>156</v>
      </c>
      <c r="H119" s="91" t="s">
        <v>137</v>
      </c>
      <c r="I119" s="91" t="s">
        <v>10</v>
      </c>
      <c r="J119" s="91" t="s">
        <v>11</v>
      </c>
      <c r="K119" s="93" t="s">
        <v>9</v>
      </c>
      <c r="L119" s="93" t="s">
        <v>138</v>
      </c>
      <c r="M119" s="93" t="s">
        <v>10</v>
      </c>
      <c r="N119" s="93" t="s">
        <v>11</v>
      </c>
      <c r="O119" s="141" t="s">
        <v>9</v>
      </c>
      <c r="P119" s="141" t="s">
        <v>139</v>
      </c>
      <c r="Q119" s="141" t="s">
        <v>10</v>
      </c>
      <c r="R119" s="141" t="s">
        <v>11</v>
      </c>
      <c r="S119" s="329"/>
    </row>
    <row r="120" spans="2:19" ht="23.5" customHeight="1" x14ac:dyDescent="0.4">
      <c r="B120" s="100" t="s">
        <v>123</v>
      </c>
      <c r="C120" s="210">
        <f>SUM(C107+C96+C85+C74+C62+C51+C28+C17)</f>
        <v>247884.24</v>
      </c>
      <c r="D120" s="128">
        <v>137547</v>
      </c>
      <c r="E120" s="211">
        <v>41000</v>
      </c>
      <c r="F120" s="128">
        <f>SUM(C120:E120)</f>
        <v>426431.24</v>
      </c>
      <c r="G120" s="134">
        <f>SUM(G107+G96+G85+G74+G62+G51+G28+G17)</f>
        <v>138358.09</v>
      </c>
      <c r="H120" s="134">
        <f>SUM(H107+H96+H85+H74+H62+H51+H28+H17)</f>
        <v>29615.360000000001</v>
      </c>
      <c r="I120" s="134">
        <f>SUM(I107+I96+I85+I74+I62+I51+I28+I17)</f>
        <v>0</v>
      </c>
      <c r="J120" s="136">
        <f>SUM(G120:I120)</f>
        <v>167973.45</v>
      </c>
      <c r="K120" s="137">
        <f>SUM(K107+K96+K85+K74+K62+K51+K28+K17)</f>
        <v>71136</v>
      </c>
      <c r="L120" s="137">
        <f>SUM(L107+L96+L85+L74+L62+L51+L28+L17)</f>
        <v>6472</v>
      </c>
      <c r="M120" s="137">
        <f>SUM(M107+M96+M85+M74+M62+M51+M28+M17)</f>
        <v>10000</v>
      </c>
      <c r="N120" s="139">
        <f>SUM(N107+N96+N85+N74+N62+N51+N28+N17)</f>
        <v>87608</v>
      </c>
      <c r="O120" s="144">
        <f>SUM(O107,O96,O85,O74,O62,O51,O39,O28,O17)</f>
        <v>21946.17</v>
      </c>
      <c r="P120" s="144">
        <f t="shared" ref="O120:Q126" si="90">SUM(P107,P96,P85,P74,P62,P51,P39,P28,P17)</f>
        <v>15720.66</v>
      </c>
      <c r="Q120" s="144">
        <f t="shared" si="90"/>
        <v>0</v>
      </c>
      <c r="R120" s="146">
        <f>SUM(O120:Q120)</f>
        <v>37666.83</v>
      </c>
      <c r="S120" s="156">
        <f>SUM(S107+S96+S85+S74+S62+S51+S28+S17)</f>
        <v>293248.28000000003</v>
      </c>
    </row>
    <row r="121" spans="2:19" ht="23.5" customHeight="1" x14ac:dyDescent="0.4">
      <c r="B121" s="101" t="s">
        <v>124</v>
      </c>
      <c r="C121" s="210">
        <v>9500</v>
      </c>
      <c r="D121" s="128">
        <v>15000</v>
      </c>
      <c r="E121" s="212">
        <v>40000</v>
      </c>
      <c r="F121" s="128">
        <f t="shared" ref="F121:F126" si="91">SUM(C121:E121)</f>
        <v>64500</v>
      </c>
      <c r="G121" s="134">
        <f t="shared" ref="G121:G127" si="92">SUM(G108+G97+G86+G75+G63+G52+G29+G18)</f>
        <v>2554.8500000000004</v>
      </c>
      <c r="H121" s="134">
        <f t="shared" ref="H121:J127" si="93">SUM(H108+H97+H86+H75+H63+H52+H29+H18)</f>
        <v>0</v>
      </c>
      <c r="I121" s="134">
        <f t="shared" si="93"/>
        <v>0</v>
      </c>
      <c r="J121" s="136">
        <f t="shared" ref="J121:J126" si="94">SUM(G121:I121)</f>
        <v>2554.8500000000004</v>
      </c>
      <c r="K121" s="137">
        <f t="shared" ref="K121:N121" si="95">SUM(K108+K97+K86+K75+K63+K52+K29+K18)</f>
        <v>7364</v>
      </c>
      <c r="L121" s="137">
        <f t="shared" si="95"/>
        <v>1382</v>
      </c>
      <c r="M121" s="137">
        <f t="shared" si="95"/>
        <v>0</v>
      </c>
      <c r="N121" s="139">
        <f t="shared" si="95"/>
        <v>8746</v>
      </c>
      <c r="O121" s="144">
        <f t="shared" si="90"/>
        <v>0</v>
      </c>
      <c r="P121" s="144">
        <f t="shared" si="90"/>
        <v>0</v>
      </c>
      <c r="Q121" s="144">
        <f t="shared" si="90"/>
        <v>0</v>
      </c>
      <c r="R121" s="146">
        <f t="shared" ref="R121:R126" si="96">SUM(O121:Q121)</f>
        <v>0</v>
      </c>
      <c r="S121" s="156">
        <f t="shared" ref="S121:S127" si="97">J121+N121+R121</f>
        <v>11300.85</v>
      </c>
    </row>
    <row r="122" spans="2:19" ht="23.5" customHeight="1" x14ac:dyDescent="0.4">
      <c r="B122" s="101" t="s">
        <v>125</v>
      </c>
      <c r="C122" s="210">
        <v>9000</v>
      </c>
      <c r="D122" s="128">
        <v>67000</v>
      </c>
      <c r="E122" s="212">
        <v>10000</v>
      </c>
      <c r="F122" s="128">
        <f t="shared" si="91"/>
        <v>86000</v>
      </c>
      <c r="G122" s="134">
        <f t="shared" si="92"/>
        <v>5901.07</v>
      </c>
      <c r="H122" s="134">
        <f t="shared" si="93"/>
        <v>0</v>
      </c>
      <c r="I122" s="134">
        <f t="shared" si="93"/>
        <v>0</v>
      </c>
      <c r="J122" s="136">
        <f t="shared" si="94"/>
        <v>5901.07</v>
      </c>
      <c r="K122" s="137">
        <f t="shared" ref="K122:N122" si="98">SUM(K109+K98+K87+K76+K64+K53+K30+K19)</f>
        <v>45332</v>
      </c>
      <c r="L122" s="137">
        <f t="shared" si="98"/>
        <v>6852</v>
      </c>
      <c r="M122" s="137">
        <f t="shared" si="98"/>
        <v>2452</v>
      </c>
      <c r="N122" s="139">
        <f t="shared" si="98"/>
        <v>54636</v>
      </c>
      <c r="O122" s="144">
        <f t="shared" si="90"/>
        <v>0</v>
      </c>
      <c r="P122" s="144">
        <f t="shared" si="90"/>
        <v>0</v>
      </c>
      <c r="Q122" s="144">
        <f t="shared" si="90"/>
        <v>0</v>
      </c>
      <c r="R122" s="146">
        <f t="shared" si="96"/>
        <v>0</v>
      </c>
      <c r="S122" s="156">
        <f t="shared" si="97"/>
        <v>60537.07</v>
      </c>
    </row>
    <row r="123" spans="2:19" ht="23.5" customHeight="1" x14ac:dyDescent="0.4">
      <c r="B123" s="102" t="s">
        <v>126</v>
      </c>
      <c r="C123" s="210">
        <v>140588.20000000001</v>
      </c>
      <c r="D123" s="128">
        <v>157900</v>
      </c>
      <c r="E123" s="212">
        <v>135000</v>
      </c>
      <c r="F123" s="128">
        <f t="shared" si="91"/>
        <v>433488.2</v>
      </c>
      <c r="G123" s="134">
        <f t="shared" si="92"/>
        <v>12435</v>
      </c>
      <c r="H123" s="134">
        <f t="shared" si="93"/>
        <v>32399.040000000001</v>
      </c>
      <c r="I123" s="134">
        <f t="shared" si="93"/>
        <v>0</v>
      </c>
      <c r="J123" s="136">
        <f t="shared" si="94"/>
        <v>44834.04</v>
      </c>
      <c r="K123" s="137">
        <f t="shared" ref="K123:N123" si="99">SUM(K110+K99+K88+K77+K65+K54+K31+K20)</f>
        <v>103591</v>
      </c>
      <c r="L123" s="137">
        <f t="shared" si="99"/>
        <v>845</v>
      </c>
      <c r="M123" s="137">
        <f t="shared" si="99"/>
        <v>0</v>
      </c>
      <c r="N123" s="139">
        <f t="shared" si="99"/>
        <v>104436</v>
      </c>
      <c r="O123" s="144">
        <f t="shared" si="90"/>
        <v>93246.949934505203</v>
      </c>
      <c r="P123" s="144">
        <f t="shared" si="90"/>
        <v>5774.02</v>
      </c>
      <c r="Q123" s="144">
        <f t="shared" si="90"/>
        <v>2219.17</v>
      </c>
      <c r="R123" s="146">
        <f t="shared" si="96"/>
        <v>101240.13993450521</v>
      </c>
      <c r="S123" s="156">
        <f t="shared" si="97"/>
        <v>250510.1799345052</v>
      </c>
    </row>
    <row r="124" spans="2:19" ht="23.5" customHeight="1" x14ac:dyDescent="0.4">
      <c r="B124" s="101" t="s">
        <v>127</v>
      </c>
      <c r="C124" s="210">
        <v>218700</v>
      </c>
      <c r="D124" s="128">
        <v>123300</v>
      </c>
      <c r="E124" s="212">
        <v>38000</v>
      </c>
      <c r="F124" s="128">
        <f t="shared" si="91"/>
        <v>380000</v>
      </c>
      <c r="G124" s="134">
        <f t="shared" si="92"/>
        <v>146325.74</v>
      </c>
      <c r="H124" s="134">
        <f t="shared" si="93"/>
        <v>7905.99</v>
      </c>
      <c r="I124" s="134">
        <f t="shared" si="93"/>
        <v>0</v>
      </c>
      <c r="J124" s="136">
        <f t="shared" si="94"/>
        <v>154231.72999999998</v>
      </c>
      <c r="K124" s="137">
        <f t="shared" ref="K124:N124" si="100">SUM(K111+K100+K89+K78+K66+K55+K32+K21)</f>
        <v>91490</v>
      </c>
      <c r="L124" s="137">
        <f t="shared" si="100"/>
        <v>370</v>
      </c>
      <c r="M124" s="137">
        <f t="shared" si="100"/>
        <v>2012</v>
      </c>
      <c r="N124" s="139">
        <f t="shared" si="100"/>
        <v>93872</v>
      </c>
      <c r="O124" s="144">
        <f t="shared" si="90"/>
        <v>37928.700000000004</v>
      </c>
      <c r="P124" s="144">
        <f t="shared" si="90"/>
        <v>0</v>
      </c>
      <c r="Q124" s="144">
        <f t="shared" si="90"/>
        <v>0</v>
      </c>
      <c r="R124" s="146">
        <f t="shared" si="96"/>
        <v>37928.700000000004</v>
      </c>
      <c r="S124" s="156">
        <f t="shared" si="97"/>
        <v>286032.43</v>
      </c>
    </row>
    <row r="125" spans="2:19" ht="23.5" customHeight="1" x14ac:dyDescent="0.4">
      <c r="B125" s="101" t="s">
        <v>128</v>
      </c>
      <c r="C125" s="210">
        <v>245000</v>
      </c>
      <c r="D125" s="128">
        <v>39000</v>
      </c>
      <c r="E125" s="212">
        <v>50000</v>
      </c>
      <c r="F125" s="128">
        <f t="shared" si="91"/>
        <v>334000</v>
      </c>
      <c r="G125" s="134">
        <f t="shared" si="92"/>
        <v>0</v>
      </c>
      <c r="H125" s="134">
        <f t="shared" si="93"/>
        <v>245000</v>
      </c>
      <c r="I125" s="134">
        <f t="shared" si="93"/>
        <v>0</v>
      </c>
      <c r="J125" s="136">
        <f t="shared" si="94"/>
        <v>245000</v>
      </c>
      <c r="K125" s="137">
        <f t="shared" ref="K125:N125" si="101">SUM(K112+K101+K90+K79+K67+K56+K33+K22)</f>
        <v>6831</v>
      </c>
      <c r="L125" s="137">
        <f t="shared" si="101"/>
        <v>0</v>
      </c>
      <c r="M125" s="137">
        <f t="shared" si="101"/>
        <v>9000</v>
      </c>
      <c r="N125" s="139">
        <f t="shared" si="101"/>
        <v>15831</v>
      </c>
      <c r="O125" s="144">
        <f t="shared" si="90"/>
        <v>49418.990000000005</v>
      </c>
      <c r="P125" s="144">
        <f t="shared" si="90"/>
        <v>0</v>
      </c>
      <c r="Q125" s="144">
        <f t="shared" si="90"/>
        <v>0</v>
      </c>
      <c r="R125" s="146">
        <f t="shared" si="96"/>
        <v>49418.990000000005</v>
      </c>
      <c r="S125" s="156">
        <f t="shared" si="97"/>
        <v>310249.99</v>
      </c>
    </row>
    <row r="126" spans="2:19" ht="23.5" customHeight="1" x14ac:dyDescent="0.4">
      <c r="B126" s="101" t="s">
        <v>129</v>
      </c>
      <c r="C126" s="210">
        <v>126739.56000000001</v>
      </c>
      <c r="D126" s="128">
        <v>0</v>
      </c>
      <c r="E126" s="211">
        <v>18000</v>
      </c>
      <c r="F126" s="128">
        <f t="shared" si="91"/>
        <v>144739.56</v>
      </c>
      <c r="G126" s="134">
        <f t="shared" si="92"/>
        <v>74397.97</v>
      </c>
      <c r="H126" s="134">
        <f t="shared" si="93"/>
        <v>2618.96</v>
      </c>
      <c r="I126" s="134">
        <f t="shared" si="93"/>
        <v>12375.42</v>
      </c>
      <c r="J126" s="136">
        <f t="shared" si="94"/>
        <v>89392.35</v>
      </c>
      <c r="K126" s="137">
        <f t="shared" ref="K126:N126" si="102">SUM(K113+K102+K91+K80+K68+K57+K34+K23)</f>
        <v>0</v>
      </c>
      <c r="L126" s="137">
        <f t="shared" si="102"/>
        <v>0</v>
      </c>
      <c r="M126" s="137">
        <f t="shared" si="102"/>
        <v>0</v>
      </c>
      <c r="N126" s="139">
        <f t="shared" si="102"/>
        <v>0</v>
      </c>
      <c r="O126" s="144">
        <f t="shared" si="90"/>
        <v>361.58</v>
      </c>
      <c r="P126" s="144">
        <f t="shared" si="90"/>
        <v>0</v>
      </c>
      <c r="Q126" s="144">
        <f t="shared" si="90"/>
        <v>0</v>
      </c>
      <c r="R126" s="146">
        <f t="shared" si="96"/>
        <v>361.58</v>
      </c>
      <c r="S126" s="156">
        <f t="shared" si="97"/>
        <v>89753.930000000008</v>
      </c>
    </row>
    <row r="127" spans="2:19" ht="23.5" customHeight="1" x14ac:dyDescent="0.4">
      <c r="B127" s="103" t="s">
        <v>98</v>
      </c>
      <c r="C127" s="130">
        <f>SUM(C120:C126)</f>
        <v>997412</v>
      </c>
      <c r="D127" s="130">
        <f>SUM(D114+D103+D92+D81+D69+D58+D46+D35+D24)</f>
        <v>539747</v>
      </c>
      <c r="E127" s="130">
        <f>SUM(E114+E103+E92+E81+E69+E58+E46+E35+E24)</f>
        <v>332000</v>
      </c>
      <c r="F127" s="130">
        <f>SUM(C127:E127)</f>
        <v>1869159</v>
      </c>
      <c r="G127" s="136">
        <f t="shared" si="92"/>
        <v>379972.72</v>
      </c>
      <c r="H127" s="136">
        <f t="shared" si="93"/>
        <v>317539.35000000003</v>
      </c>
      <c r="I127" s="136">
        <f>SUM(I114+I103+I92+I81+I69+I58+I35+I24)</f>
        <v>12375.42</v>
      </c>
      <c r="J127" s="136">
        <f t="shared" si="93"/>
        <v>709887.48999999987</v>
      </c>
      <c r="K127" s="139">
        <f>SUM(K114+K103+K92+K81+K69+K58+K35+K24)</f>
        <v>325744</v>
      </c>
      <c r="L127" s="139">
        <f>SUM(L114+L103+L92+L81+L69+L58+L35+L24)</f>
        <v>15921</v>
      </c>
      <c r="M127" s="139">
        <f>SUM(M114+M103+M92+M81+M69+M58+M35+M24)</f>
        <v>103464</v>
      </c>
      <c r="N127" s="139">
        <f>SUM(N120:N126)</f>
        <v>365129</v>
      </c>
      <c r="O127" s="145">
        <f>SUM(O120:O126)</f>
        <v>202902.38993450519</v>
      </c>
      <c r="P127" s="145">
        <f t="shared" ref="P127:R127" si="103">SUM(P120:P126)</f>
        <v>21494.68</v>
      </c>
      <c r="Q127" s="145">
        <f t="shared" si="103"/>
        <v>2219.17</v>
      </c>
      <c r="R127" s="145">
        <f t="shared" si="103"/>
        <v>226616.23993450523</v>
      </c>
      <c r="S127" s="156">
        <f t="shared" si="97"/>
        <v>1301632.729934505</v>
      </c>
    </row>
    <row r="128" spans="2:19" ht="23.5" customHeight="1" x14ac:dyDescent="0.4">
      <c r="B128" s="103" t="s">
        <v>99</v>
      </c>
      <c r="C128" s="128">
        <f>C127*0.07</f>
        <v>69818.840000000011</v>
      </c>
      <c r="D128" s="128">
        <f>D127*0.07</f>
        <v>37782.29</v>
      </c>
      <c r="E128" s="128">
        <f>E127*0.07</f>
        <v>23240.000000000004</v>
      </c>
      <c r="F128" s="128">
        <f>F127*0.07</f>
        <v>130841.13000000002</v>
      </c>
      <c r="G128" s="134">
        <f>G127*0.07</f>
        <v>26598.090400000001</v>
      </c>
      <c r="H128" s="134">
        <f t="shared" ref="H128:J128" si="104">H127*0.07</f>
        <v>22227.754500000006</v>
      </c>
      <c r="I128" s="134">
        <f t="shared" si="104"/>
        <v>866.27940000000012</v>
      </c>
      <c r="J128" s="136">
        <f t="shared" si="104"/>
        <v>49692.124299999996</v>
      </c>
      <c r="K128" s="137">
        <f>K127*0.07</f>
        <v>22802.080000000002</v>
      </c>
      <c r="L128" s="137">
        <f t="shared" ref="L128" si="105">L127*0.07</f>
        <v>1114.47</v>
      </c>
      <c r="M128" s="137">
        <f>M127*0.07</f>
        <v>7242.4800000000005</v>
      </c>
      <c r="N128" s="139">
        <f t="shared" ref="N128:S128" si="106">N127*0.07</f>
        <v>25559.030000000002</v>
      </c>
      <c r="O128" s="144">
        <f t="shared" si="106"/>
        <v>14203.167295415366</v>
      </c>
      <c r="P128" s="144">
        <f t="shared" si="106"/>
        <v>1504.6276000000003</v>
      </c>
      <c r="Q128" s="144">
        <f t="shared" si="106"/>
        <v>155.34190000000001</v>
      </c>
      <c r="R128" s="144">
        <f t="shared" si="106"/>
        <v>15863.136795415367</v>
      </c>
      <c r="S128" s="156">
        <f t="shared" si="106"/>
        <v>91114.291095415349</v>
      </c>
    </row>
    <row r="129" spans="2:19" ht="34" customHeight="1" thickBot="1" x14ac:dyDescent="0.4">
      <c r="B129" s="157" t="s">
        <v>149</v>
      </c>
      <c r="C129" s="213">
        <f>SUM(C127:C128)</f>
        <v>1067230.8400000001</v>
      </c>
      <c r="D129" s="213">
        <f>SUM(D127:D128)</f>
        <v>577529.29</v>
      </c>
      <c r="E129" s="213">
        <f>SUM(E127:E128)</f>
        <v>355240</v>
      </c>
      <c r="F129" s="213">
        <f>SUM(F127:F128)</f>
        <v>2000000.1300000001</v>
      </c>
      <c r="G129" s="135">
        <f>SUM(G127:G128)</f>
        <v>406570.81039999996</v>
      </c>
      <c r="H129" s="135">
        <f t="shared" ref="H129" si="107">SUM(H127:H128)</f>
        <v>339767.10450000002</v>
      </c>
      <c r="I129" s="135">
        <f>SUM(I127:I128)</f>
        <v>13241.6994</v>
      </c>
      <c r="J129" s="135">
        <f>SUM(J127:J128)</f>
        <v>759579.6142999999</v>
      </c>
      <c r="K129" s="138">
        <f>SUM(K127:K128)</f>
        <v>348546.08</v>
      </c>
      <c r="L129" s="138">
        <f t="shared" ref="L129" si="108">SUM(L127:L128)</f>
        <v>17035.47</v>
      </c>
      <c r="M129" s="138">
        <f>SUM(M127:M128)</f>
        <v>110706.48</v>
      </c>
      <c r="N129" s="138">
        <f>SUM(N127:N128)</f>
        <v>390688.03</v>
      </c>
      <c r="O129" s="145">
        <f>SUM(O127:O128)</f>
        <v>217105.55722992055</v>
      </c>
      <c r="P129" s="145">
        <f t="shared" ref="P129:S129" si="109">SUM(P127:P128)</f>
        <v>22999.3076</v>
      </c>
      <c r="Q129" s="145">
        <f t="shared" si="109"/>
        <v>2374.5119</v>
      </c>
      <c r="R129" s="145">
        <f t="shared" si="109"/>
        <v>242479.37672992059</v>
      </c>
      <c r="S129" s="156">
        <f t="shared" si="109"/>
        <v>1392747.0210299203</v>
      </c>
    </row>
    <row r="133" spans="2:19" x14ac:dyDescent="0.35">
      <c r="O133" s="159"/>
    </row>
  </sheetData>
  <mergeCells count="32">
    <mergeCell ref="C117:F117"/>
    <mergeCell ref="F118:F119"/>
    <mergeCell ref="G117:S117"/>
    <mergeCell ref="G118:J118"/>
    <mergeCell ref="K118:N118"/>
    <mergeCell ref="O118:R118"/>
    <mergeCell ref="S118:S119"/>
    <mergeCell ref="B83:S83"/>
    <mergeCell ref="B94:S94"/>
    <mergeCell ref="B105:U105"/>
    <mergeCell ref="B9:E9"/>
    <mergeCell ref="B60:S60"/>
    <mergeCell ref="B71:U71"/>
    <mergeCell ref="B72:S72"/>
    <mergeCell ref="C11:F11"/>
    <mergeCell ref="G11:S11"/>
    <mergeCell ref="F12:F13"/>
    <mergeCell ref="G12:J12"/>
    <mergeCell ref="K12:N12"/>
    <mergeCell ref="O12:R12"/>
    <mergeCell ref="S12:S13"/>
    <mergeCell ref="A48:S48"/>
    <mergeCell ref="B49:S49"/>
    <mergeCell ref="A14:S14"/>
    <mergeCell ref="B15:S15"/>
    <mergeCell ref="B26:T26"/>
    <mergeCell ref="B37:T37"/>
    <mergeCell ref="B1:E1"/>
    <mergeCell ref="B4:F4"/>
    <mergeCell ref="B5:F5"/>
    <mergeCell ref="B6:F6"/>
    <mergeCell ref="B7:F7"/>
  </mergeCells>
  <conditionalFormatting sqref="F46">
    <cfRule type="cellIs" dxfId="0" priority="7" operator="notEqual">
      <formula>$G$39</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B23 B34 B45 B68 B57 B80 B91 B102 B113 B126" xr:uid="{7494D570-8E3B-4637-9C73-880DB517ABB1}"/>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22 B33 B44 B67 B56 B79 B90 B101 B112 B125" xr:uid="{58E3F2F1-FCD0-419E-BD32-4E236C87E27B}"/>
    <dataValidation allowBlank="1" showInputMessage="1" showErrorMessage="1" prompt="Services contracted by an organization which follow the normal procurement processes." sqref="B20 B31 B42 B65 B54 B77 B88 B99 B110 B123" xr:uid="{C3AE3E04-73A3-4212-9E25-BF98CE3EE6B2}"/>
    <dataValidation allowBlank="1" showInputMessage="1" showErrorMessage="1" prompt="Includes staff and non-staff travel paid for by the organization directly related to a project." sqref="B21 B32 B43 B66 B55 B78 B89 B100 B111 B124" xr:uid="{C0D176A9-D7F5-462C-A562-F716B838C949}"/>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9 B30 B41 B64 B53 B76 B87 B98 B109 B122" xr:uid="{7002325D-66B7-4984-A96C-04CB743CA372}"/>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121 B29 B40 B63 B52 B75 B86 B97 B108 B18" xr:uid="{B2407623-EE55-4CBD-9835-A987C07B7F54}"/>
    <dataValidation allowBlank="1" showInputMessage="1" showErrorMessage="1" prompt="Includes all related staff and temporary staff costs including base salary, post adjustment and all staff entitlements." sqref="B17 B28 B39 B62 B51 B74 B85 B96 B107 B120" xr:uid="{43C522C8-6762-4BA1-8A5A-E31FD09F2D16}"/>
    <dataValidation allowBlank="1" showInputMessage="1" showErrorMessage="1" prompt="Output totals must match the original total from Table 1, and will show as red if not. " sqref="F24:J24" xr:uid="{844CF5A3-A396-4363-BF88-AA335946CFE7}"/>
  </dataValidations>
  <pageMargins left="0.7" right="0.7" top="0.75" bottom="0.75" header="0.3" footer="0.3"/>
  <ignoredErrors>
    <ignoredError sqref="J62:J68 J52 J51 J53:J57 J28:J34 J17:J23 J74:J80 J85:J91 J107:J113 J96:J102 H120:H129 I123 I120:I122 I124:I129 J127:J128 N18 N17 N19:N23 F120:F129 E127:E128 C127:D128 N100 N96:N99 N101:N103 N51:N54 N28:N34 G120:G128 N56:N57" unlockedFormula="1"/>
    <ignoredError sqref="N84 N73:N80" formula="1"/>
    <ignoredError sqref="R62:R68" formulaRange="1"/>
    <ignoredError sqref="N85:N91 J120:J126"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0E86-2648-4568-9A92-FE955739B291}">
  <dimension ref="A2:J17"/>
  <sheetViews>
    <sheetView tabSelected="1" topLeftCell="A6" zoomScale="62" workbookViewId="0">
      <selection activeCell="C12" sqref="C12"/>
    </sheetView>
  </sheetViews>
  <sheetFormatPr baseColWidth="10" defaultColWidth="8.7265625" defaultRowHeight="14.5" x14ac:dyDescent="0.35"/>
  <cols>
    <col min="1" max="1" width="37.453125" customWidth="1"/>
    <col min="2" max="2" width="20.1796875" customWidth="1"/>
    <col min="3" max="3" width="16" customWidth="1"/>
    <col min="4" max="4" width="16.54296875" customWidth="1"/>
    <col min="5" max="5" width="19.453125" customWidth="1"/>
    <col min="6" max="6" width="13.453125" customWidth="1"/>
    <col min="7" max="8" width="18.1796875" customWidth="1"/>
    <col min="9" max="9" width="24.81640625" customWidth="1"/>
    <col min="10" max="10" width="9" bestFit="1" customWidth="1"/>
  </cols>
  <sheetData>
    <row r="2" spans="1:10" x14ac:dyDescent="0.35">
      <c r="A2" s="104"/>
      <c r="B2" s="104"/>
      <c r="C2" s="104"/>
      <c r="D2" s="104"/>
    </row>
    <row r="3" spans="1:10" x14ac:dyDescent="0.35">
      <c r="A3" s="104"/>
      <c r="B3" s="104"/>
      <c r="C3" s="104"/>
      <c r="D3" s="104"/>
    </row>
    <row r="4" spans="1:10" ht="15" thickBot="1" x14ac:dyDescent="0.4"/>
    <row r="5" spans="1:10" ht="15" customHeight="1" x14ac:dyDescent="0.35">
      <c r="A5" s="344" t="s">
        <v>150</v>
      </c>
      <c r="B5" s="344" t="s">
        <v>18</v>
      </c>
      <c r="C5" s="346"/>
      <c r="D5" s="344" t="s">
        <v>12</v>
      </c>
      <c r="E5" s="346"/>
      <c r="F5" s="344" t="s">
        <v>13</v>
      </c>
      <c r="G5" s="346"/>
      <c r="H5" s="344" t="s">
        <v>151</v>
      </c>
      <c r="I5" s="346"/>
    </row>
    <row r="6" spans="1:10" ht="43.5" x14ac:dyDescent="0.35">
      <c r="A6" s="345"/>
      <c r="B6" s="105" t="s">
        <v>152</v>
      </c>
      <c r="C6" s="106" t="s">
        <v>155</v>
      </c>
      <c r="D6" s="107" t="s">
        <v>152</v>
      </c>
      <c r="E6" s="106" t="s">
        <v>155</v>
      </c>
      <c r="F6" s="105" t="s">
        <v>152</v>
      </c>
      <c r="G6" s="106" t="s">
        <v>155</v>
      </c>
      <c r="H6" s="108" t="s">
        <v>152</v>
      </c>
      <c r="I6" s="106" t="s">
        <v>155</v>
      </c>
    </row>
    <row r="7" spans="1:10" ht="23.15" customHeight="1" x14ac:dyDescent="0.4">
      <c r="A7" s="109" t="s">
        <v>123</v>
      </c>
      <c r="B7" s="153">
        <v>247884.24</v>
      </c>
      <c r="C7" s="147">
        <v>167973.45</v>
      </c>
      <c r="D7" s="155">
        <v>137547</v>
      </c>
      <c r="E7" s="155">
        <v>87608</v>
      </c>
      <c r="F7" s="151">
        <v>41000</v>
      </c>
      <c r="G7" s="147">
        <f>'[1]2)UNDG Budget categ par produit'!R120</f>
        <v>37666.83</v>
      </c>
      <c r="H7" s="147">
        <f>SUM(B7+D7+F7)</f>
        <v>426431.24</v>
      </c>
      <c r="I7" s="147">
        <f>C7+E7+G7</f>
        <v>293248.28000000003</v>
      </c>
    </row>
    <row r="8" spans="1:10" ht="23.15" customHeight="1" x14ac:dyDescent="0.4">
      <c r="A8" s="109" t="s">
        <v>124</v>
      </c>
      <c r="B8" s="153">
        <v>9500</v>
      </c>
      <c r="C8" s="147">
        <v>2554.8500000000004</v>
      </c>
      <c r="D8" s="155">
        <v>15000</v>
      </c>
      <c r="E8" s="155">
        <v>8746</v>
      </c>
      <c r="F8" s="152">
        <v>40000</v>
      </c>
      <c r="G8" s="147">
        <f>'[1]2)UNDG Budget categ par produit'!R121</f>
        <v>0</v>
      </c>
      <c r="H8" s="147">
        <f>SUM(B8+D8+F8)</f>
        <v>64500</v>
      </c>
      <c r="I8" s="147">
        <f t="shared" ref="I8:I14" si="0">C8+E8+G8</f>
        <v>11300.85</v>
      </c>
    </row>
    <row r="9" spans="1:10" ht="37" customHeight="1" x14ac:dyDescent="0.4">
      <c r="A9" s="109" t="s">
        <v>125</v>
      </c>
      <c r="B9" s="153">
        <v>9000</v>
      </c>
      <c r="C9" s="147">
        <v>5901.07</v>
      </c>
      <c r="D9" s="155">
        <v>67000</v>
      </c>
      <c r="E9" s="155">
        <v>54636</v>
      </c>
      <c r="F9" s="152">
        <v>10000</v>
      </c>
      <c r="G9" s="147">
        <f>'[1]2)UNDG Budget categ par produit'!R122</f>
        <v>0</v>
      </c>
      <c r="H9" s="147">
        <f t="shared" ref="H9:H13" si="1">SUM(B9+D9+F9)</f>
        <v>86000</v>
      </c>
      <c r="I9" s="147">
        <f t="shared" si="0"/>
        <v>60537.07</v>
      </c>
    </row>
    <row r="10" spans="1:10" ht="23.15" customHeight="1" x14ac:dyDescent="0.4">
      <c r="A10" s="109" t="s">
        <v>126</v>
      </c>
      <c r="B10" s="153">
        <v>140588.20000000001</v>
      </c>
      <c r="C10" s="147">
        <v>44834.04</v>
      </c>
      <c r="D10" s="155">
        <v>157900</v>
      </c>
      <c r="E10" s="155">
        <v>104436</v>
      </c>
      <c r="F10" s="152">
        <v>135000</v>
      </c>
      <c r="G10" s="147">
        <f>'[1]2)UNDG Budget categ par produit'!R123</f>
        <v>101240.13993450521</v>
      </c>
      <c r="H10" s="147">
        <f t="shared" si="1"/>
        <v>433488.2</v>
      </c>
      <c r="I10" s="147">
        <f t="shared" si="0"/>
        <v>250510.1799345052</v>
      </c>
    </row>
    <row r="11" spans="1:10" ht="23.15" customHeight="1" x14ac:dyDescent="0.4">
      <c r="A11" s="109" t="s">
        <v>127</v>
      </c>
      <c r="B11" s="153">
        <v>218700</v>
      </c>
      <c r="C11" s="147">
        <v>154231.72999999998</v>
      </c>
      <c r="D11" s="155">
        <v>123300</v>
      </c>
      <c r="E11" s="155">
        <v>93872</v>
      </c>
      <c r="F11" s="152">
        <v>38000</v>
      </c>
      <c r="G11" s="147">
        <f>'[1]2)UNDG Budget categ par produit'!R124</f>
        <v>37928.700000000004</v>
      </c>
      <c r="H11" s="147">
        <f t="shared" si="1"/>
        <v>380000</v>
      </c>
      <c r="I11" s="147">
        <f t="shared" si="0"/>
        <v>286032.43</v>
      </c>
    </row>
    <row r="12" spans="1:10" ht="27" customHeight="1" x14ac:dyDescent="0.4">
      <c r="A12" s="109" t="s">
        <v>128</v>
      </c>
      <c r="B12" s="153">
        <v>245000</v>
      </c>
      <c r="C12" s="147">
        <v>245000</v>
      </c>
      <c r="D12" s="155">
        <v>39000</v>
      </c>
      <c r="E12" s="155">
        <v>15831</v>
      </c>
      <c r="F12" s="152">
        <v>50000</v>
      </c>
      <c r="G12" s="147">
        <f>'[1]2)UNDG Budget categ par produit'!R125</f>
        <v>49418.990000000005</v>
      </c>
      <c r="H12" s="147">
        <f t="shared" si="1"/>
        <v>334000</v>
      </c>
      <c r="I12" s="147">
        <f t="shared" si="0"/>
        <v>310249.99</v>
      </c>
    </row>
    <row r="13" spans="1:10" ht="32.25" customHeight="1" x14ac:dyDescent="0.4">
      <c r="A13" s="109" t="s">
        <v>129</v>
      </c>
      <c r="B13" s="153">
        <v>126739.56</v>
      </c>
      <c r="C13" s="147">
        <v>89392.35</v>
      </c>
      <c r="D13" s="155">
        <v>0</v>
      </c>
      <c r="E13" s="155">
        <v>0</v>
      </c>
      <c r="F13" s="151">
        <v>18000</v>
      </c>
      <c r="G13" s="147">
        <f>'[1]2)UNDG Budget categ par produit'!R126</f>
        <v>361.58</v>
      </c>
      <c r="H13" s="147">
        <f t="shared" si="1"/>
        <v>144739.56</v>
      </c>
      <c r="I13" s="147">
        <f t="shared" si="0"/>
        <v>89753.930000000008</v>
      </c>
    </row>
    <row r="14" spans="1:10" ht="18.649999999999999" customHeight="1" x14ac:dyDescent="0.4">
      <c r="A14" s="110" t="s">
        <v>153</v>
      </c>
      <c r="B14" s="148">
        <f>SUM(B7:B13)</f>
        <v>997412</v>
      </c>
      <c r="C14" s="148">
        <f>SUM(C7:C13)</f>
        <v>709887.49</v>
      </c>
      <c r="D14" s="148">
        <f>SUM(D7:D13)</f>
        <v>539747</v>
      </c>
      <c r="E14" s="148">
        <f>SUM(E7:E13)</f>
        <v>365129</v>
      </c>
      <c r="F14" s="150">
        <v>332000</v>
      </c>
      <c r="G14" s="149">
        <f>SUM(G7:G13)</f>
        <v>226616.23993450523</v>
      </c>
      <c r="H14" s="154">
        <f>SUM(B14+D14+F14)</f>
        <v>1869159</v>
      </c>
      <c r="I14" s="154">
        <f t="shared" si="0"/>
        <v>1301632.7299345052</v>
      </c>
    </row>
    <row r="15" spans="1:10" ht="16" x14ac:dyDescent="0.4">
      <c r="A15" s="109" t="s">
        <v>154</v>
      </c>
      <c r="B15" s="147">
        <f>B14*0.07</f>
        <v>69818.840000000011</v>
      </c>
      <c r="C15" s="147">
        <f>C14*0.07</f>
        <v>49692.124300000003</v>
      </c>
      <c r="D15" s="147">
        <f>D14*0.07</f>
        <v>37782.29</v>
      </c>
      <c r="E15" s="147">
        <f>E14*0.07</f>
        <v>25559.030000000002</v>
      </c>
      <c r="F15" s="147">
        <f>F14*0.07</f>
        <v>23240.000000000004</v>
      </c>
      <c r="G15" s="147">
        <f t="shared" ref="G15" si="2">G14*0.07</f>
        <v>15863.136795415367</v>
      </c>
      <c r="H15" s="147">
        <f>H14*0.07</f>
        <v>130841.13000000002</v>
      </c>
      <c r="I15" s="147">
        <f>I14*0.07</f>
        <v>91114.291095415378</v>
      </c>
    </row>
    <row r="16" spans="1:10" ht="26.15" customHeight="1" thickBot="1" x14ac:dyDescent="0.45">
      <c r="A16" s="111" t="s">
        <v>149</v>
      </c>
      <c r="B16" s="148">
        <f>SUM(B14:B15)</f>
        <v>1067230.8400000001</v>
      </c>
      <c r="C16" s="148">
        <f>+SUM(C14:C15)</f>
        <v>759579.61430000002</v>
      </c>
      <c r="D16" s="148">
        <f>+SUM(D14:D15)</f>
        <v>577529.29</v>
      </c>
      <c r="E16" s="148">
        <f>+SUM(E14:E15)</f>
        <v>390688.03</v>
      </c>
      <c r="F16" s="148">
        <f>+SUM(F14:F15)</f>
        <v>355240</v>
      </c>
      <c r="G16" s="149">
        <f>SUM(G14:G15)</f>
        <v>242479.37672992059</v>
      </c>
      <c r="H16" s="154">
        <f>SUM(H14:H15)</f>
        <v>2000000.1300000001</v>
      </c>
      <c r="I16" s="154">
        <f>SUM(I14:I15)</f>
        <v>1392747.0210299206</v>
      </c>
      <c r="J16" s="112"/>
    </row>
    <row r="17" spans="10:10" x14ac:dyDescent="0.35">
      <c r="J17" s="112"/>
    </row>
  </sheetData>
  <mergeCells count="5">
    <mergeCell ref="A5:A6"/>
    <mergeCell ref="B5:C5"/>
    <mergeCell ref="D5:E5"/>
    <mergeCell ref="F5:G5"/>
    <mergeCell ref="H5:I5"/>
  </mergeCells>
  <pageMargins left="0.7" right="0.7" top="0.75" bottom="0.75" header="0.3" footer="0.3"/>
  <ignoredErrors>
    <ignoredError sqref="C1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MPTF_00006_01064</ProjectId>
    <FundCode xmlns="f9695bc1-6109-4dcd-a27a-f8a0370b00e2">MPTF_00006</FundCode>
    <Comments xmlns="f9695bc1-6109-4dcd-a27a-f8a0370b00e2">Rapport financier annuel Novembre 2025</Comments>
    <Active xmlns="f9695bc1-6109-4dcd-a27a-f8a0370b00e2">Yes</Active>
    <DocumentDate xmlns="b1528a4b-5ccb-40f7-a09e-43427183cd95">2025-11-03T08:00:00+00:00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2AD8F8-6E15-4070-86C0-03CD0BB8D603}">
  <ds:schemaRefs>
    <ds:schemaRef ds:uri="http://schemas.microsoft.com/office/2006/metadata/properties"/>
    <ds:schemaRef ds:uri="http://schemas.microsoft.com/office/infopath/2007/PartnerControls"/>
    <ds:schemaRef ds:uri="c29f26f8-736a-4692-8fe8-72783c3539ce"/>
    <ds:schemaRef ds:uri="119f6826-1431-47ae-9366-0daff12dd02d"/>
  </ds:schemaRefs>
</ds:datastoreItem>
</file>

<file path=customXml/itemProps2.xml><?xml version="1.0" encoding="utf-8"?>
<ds:datastoreItem xmlns:ds="http://schemas.openxmlformats.org/officeDocument/2006/customXml" ds:itemID="{0E417554-2675-4F4B-B712-367F6EF8B98D}">
  <ds:schemaRefs>
    <ds:schemaRef ds:uri="http://schemas.microsoft.com/sharepoint/v3/contenttype/forms"/>
  </ds:schemaRefs>
</ds:datastoreItem>
</file>

<file path=customXml/itemProps3.xml><?xml version="1.0" encoding="utf-8"?>
<ds:datastoreItem xmlns:ds="http://schemas.openxmlformats.org/officeDocument/2006/customXml" ds:itemID="{AE56F4FE-0E78-42DF-B094-C04E56C65D53}"/>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RF par produits</vt:lpstr>
      <vt:lpstr>2)UNDG Budget categ par produit</vt:lpstr>
      <vt:lpstr>3) RF - Par catégories budgétai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Annuel RAM 2_20251103.xlsx</dc:title>
  <dc:creator>Princy Joanna BELAHY</dc:creator>
  <cp:lastModifiedBy>Henintsoa Tahiana Ravoala</cp:lastModifiedBy>
  <dcterms:created xsi:type="dcterms:W3CDTF">2025-10-28T09:11:14Z</dcterms:created>
  <dcterms:modified xsi:type="dcterms:W3CDTF">2025-11-27T07:06:41Z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1006100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_SourceUrl">
    <vt:lpwstr/>
  </property>
  <property fmtid="{D5CDD505-2E9C-101B-9397-08002B2CF9AE}" pid="9" name="_SharedFileIndex">
    <vt:lpwstr/>
  </property>
</Properties>
</file>