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undp.sharepoint.com/teams/MDG/PBF Madagascar/Phase nouvelle éligibilité PBF 2023-2027/Projet RARY ARO 2_Protection jeunes YPI 2023/RAM 2 Rapports/RAM 2 Rapports 2026/"/>
    </mc:Choice>
  </mc:AlternateContent>
  <xr:revisionPtr revIDLastSave="0" documentId="8_{241EF222-E40B-4BE3-BBE6-D409525474FF}" xr6:coauthVersionLast="47" xr6:coauthVersionMax="47" xr10:uidLastSave="{00000000-0000-0000-0000-000000000000}"/>
  <bookViews>
    <workbookView xWindow="-110" yWindow="-110" windowWidth="19420" windowHeight="11500" xr2:uid="{A2353AF3-8C8A-43F5-A849-D84EB9E266CE}"/>
  </bookViews>
  <sheets>
    <sheet name="RF par produits" sheetId="1" r:id="rId1"/>
    <sheet name="2)UNDG Budget categ par produit" sheetId="3" r:id="rId2"/>
    <sheet name="3) RF - Par catégories budgétai"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3" i="1" l="1"/>
  <c r="I63" i="1"/>
  <c r="L63" i="1" s="1"/>
  <c r="L8" i="1"/>
  <c r="L10" i="1" s="1"/>
  <c r="I15" i="4"/>
  <c r="J129" i="3"/>
  <c r="K64" i="1"/>
  <c r="I128" i="3"/>
  <c r="G128" i="3"/>
  <c r="J128" i="3"/>
  <c r="G8" i="4"/>
  <c r="G9" i="4"/>
  <c r="G10" i="4"/>
  <c r="G11" i="4"/>
  <c r="G12" i="4"/>
  <c r="G13" i="4"/>
  <c r="G14" i="4"/>
  <c r="G15" i="4"/>
  <c r="G7" i="4"/>
  <c r="E15" i="4"/>
  <c r="E8" i="4"/>
  <c r="E9" i="4"/>
  <c r="E10" i="4"/>
  <c r="E11" i="4"/>
  <c r="E12" i="4"/>
  <c r="E13" i="4"/>
  <c r="E7" i="4"/>
  <c r="C14" i="4"/>
  <c r="C15" i="4"/>
  <c r="C16" i="4"/>
  <c r="C8" i="4"/>
  <c r="C9" i="4"/>
  <c r="C10" i="4"/>
  <c r="C11" i="4"/>
  <c r="C12" i="4"/>
  <c r="C13" i="4"/>
  <c r="C7" i="4"/>
  <c r="J121" i="3"/>
  <c r="J122" i="3"/>
  <c r="J123" i="3"/>
  <c r="J124" i="3"/>
  <c r="J125" i="3"/>
  <c r="J126" i="3"/>
  <c r="J127" i="3"/>
  <c r="J120" i="3"/>
  <c r="J107" i="3"/>
  <c r="J108" i="3"/>
  <c r="J109" i="3"/>
  <c r="J110" i="3"/>
  <c r="J111" i="3"/>
  <c r="J112" i="3"/>
  <c r="J113" i="3"/>
  <c r="J114" i="3"/>
  <c r="J106" i="3"/>
  <c r="J96" i="3"/>
  <c r="J97" i="3"/>
  <c r="J98" i="3"/>
  <c r="J99" i="3"/>
  <c r="J100" i="3"/>
  <c r="J101" i="3"/>
  <c r="J102" i="3"/>
  <c r="J103" i="3"/>
  <c r="J95" i="3"/>
  <c r="J85" i="3"/>
  <c r="J86" i="3"/>
  <c r="J87" i="3"/>
  <c r="J88" i="3"/>
  <c r="J89" i="3"/>
  <c r="J90" i="3"/>
  <c r="J91" i="3"/>
  <c r="J92" i="3"/>
  <c r="J84" i="3"/>
  <c r="J74" i="3"/>
  <c r="J75" i="3"/>
  <c r="J76" i="3"/>
  <c r="J77" i="3"/>
  <c r="J78" i="3"/>
  <c r="J79" i="3"/>
  <c r="J80" i="3"/>
  <c r="J81" i="3"/>
  <c r="J73" i="3"/>
  <c r="J62" i="3"/>
  <c r="J63" i="3"/>
  <c r="J64" i="3"/>
  <c r="J65" i="3"/>
  <c r="J66" i="3"/>
  <c r="J67" i="3"/>
  <c r="J68" i="3"/>
  <c r="J69" i="3"/>
  <c r="J61" i="3"/>
  <c r="J51" i="3"/>
  <c r="J52" i="3"/>
  <c r="J53" i="3"/>
  <c r="J54" i="3"/>
  <c r="J55" i="3"/>
  <c r="J56" i="3"/>
  <c r="J57" i="3"/>
  <c r="J58" i="3"/>
  <c r="J50" i="3"/>
  <c r="J28" i="3"/>
  <c r="J29" i="3"/>
  <c r="J30" i="3"/>
  <c r="J31" i="3"/>
  <c r="J32" i="3"/>
  <c r="J33" i="3"/>
  <c r="J34" i="3"/>
  <c r="J35" i="3"/>
  <c r="J27" i="3"/>
  <c r="J17" i="3"/>
  <c r="J18" i="3"/>
  <c r="J19" i="3"/>
  <c r="J20" i="3"/>
  <c r="J21" i="3"/>
  <c r="J22" i="3"/>
  <c r="J23" i="3"/>
  <c r="J24" i="3"/>
  <c r="J16" i="3"/>
  <c r="L54" i="1"/>
  <c r="L55" i="1"/>
  <c r="K37" i="1"/>
  <c r="L34" i="1"/>
  <c r="L35" i="1"/>
  <c r="L36" i="1"/>
  <c r="L21" i="1"/>
  <c r="L22" i="1"/>
  <c r="L23" i="1"/>
  <c r="L20" i="1"/>
  <c r="L25" i="1" s="1"/>
  <c r="L15" i="1"/>
  <c r="L9" i="1"/>
  <c r="I46" i="1" l="1"/>
  <c r="L46" i="1" s="1"/>
  <c r="I33" i="1"/>
  <c r="L33" i="1" s="1"/>
  <c r="L37" i="1" s="1"/>
  <c r="I28" i="1"/>
  <c r="L28" i="1" s="1"/>
  <c r="I27" i="1"/>
  <c r="L27" i="1" s="1"/>
  <c r="I12" i="1"/>
  <c r="L12" i="1" s="1"/>
  <c r="I13" i="1"/>
  <c r="L13" i="1" s="1"/>
  <c r="D126" i="3"/>
  <c r="D125" i="3"/>
  <c r="D124" i="3"/>
  <c r="D123" i="3"/>
  <c r="D122" i="3"/>
  <c r="D121" i="3"/>
  <c r="D120" i="3"/>
  <c r="J25" i="1" l="1"/>
  <c r="J49" i="1" l="1"/>
  <c r="D44" i="1" l="1"/>
  <c r="J37" i="1" l="1"/>
  <c r="J16" i="1"/>
  <c r="J44" i="1" l="1"/>
  <c r="J56" i="1"/>
  <c r="J30" i="1"/>
  <c r="H114" i="3"/>
  <c r="I121" i="3" l="1"/>
  <c r="I122" i="3"/>
  <c r="G121" i="3"/>
  <c r="G122" i="3"/>
  <c r="G123" i="3"/>
  <c r="G124" i="3"/>
  <c r="G125" i="3"/>
  <c r="G126" i="3"/>
  <c r="G16" i="3"/>
  <c r="G24" i="3"/>
  <c r="G120" i="3"/>
  <c r="K43" i="1"/>
  <c r="L43" i="1" s="1"/>
  <c r="K53" i="1"/>
  <c r="L53" i="1" s="1"/>
  <c r="I90" i="3"/>
  <c r="K41" i="1"/>
  <c r="L41" i="1" s="1"/>
  <c r="K42" i="1"/>
  <c r="L42" i="1" s="1"/>
  <c r="K40" i="1"/>
  <c r="L40" i="1" s="1"/>
  <c r="K39" i="1"/>
  <c r="L39" i="1" s="1"/>
  <c r="I67" i="3"/>
  <c r="K29" i="1"/>
  <c r="L29" i="1" s="1"/>
  <c r="L30" i="1" s="1"/>
  <c r="I33" i="3"/>
  <c r="K14" i="1"/>
  <c r="L14" i="1" s="1"/>
  <c r="L16" i="1" s="1"/>
  <c r="L44" i="1" l="1"/>
  <c r="I125" i="3"/>
  <c r="G127" i="3"/>
  <c r="I113" i="3"/>
  <c r="I126" i="3" s="1"/>
  <c r="I89" i="3"/>
  <c r="I66" i="3"/>
  <c r="K47" i="1"/>
  <c r="L47" i="1" s="1"/>
  <c r="L49" i="1" s="1"/>
  <c r="I100" i="3"/>
  <c r="I32" i="3"/>
  <c r="I111" i="3"/>
  <c r="I88" i="3"/>
  <c r="I123" i="3" s="1"/>
  <c r="I124" i="3" l="1"/>
  <c r="K52" i="1"/>
  <c r="L52" i="1" s="1"/>
  <c r="L56" i="1" s="1"/>
  <c r="I107" i="3"/>
  <c r="I120" i="3" s="1"/>
  <c r="I127" i="3" s="1"/>
  <c r="E121" i="3" l="1"/>
  <c r="E122" i="3"/>
  <c r="E123" i="3"/>
  <c r="E124" i="3"/>
  <c r="E125" i="3"/>
  <c r="E126" i="3"/>
  <c r="E120" i="3"/>
  <c r="F127" i="3" l="1"/>
  <c r="C129" i="3"/>
  <c r="F121" i="3"/>
  <c r="H8" i="4" s="1"/>
  <c r="F122" i="3"/>
  <c r="H9" i="4" s="1"/>
  <c r="F123" i="3"/>
  <c r="H10" i="4" s="1"/>
  <c r="F124" i="3"/>
  <c r="H11" i="4" s="1"/>
  <c r="F125" i="3"/>
  <c r="H12" i="4" s="1"/>
  <c r="F126" i="3"/>
  <c r="H13" i="4" s="1"/>
  <c r="F120" i="3"/>
  <c r="H7" i="4" s="1"/>
  <c r="F8" i="4"/>
  <c r="F9" i="4"/>
  <c r="F10" i="4"/>
  <c r="F11" i="4"/>
  <c r="F12" i="4"/>
  <c r="F13" i="4"/>
  <c r="F14" i="4"/>
  <c r="F15" i="4"/>
  <c r="F7" i="4"/>
  <c r="D8" i="4"/>
  <c r="D9" i="4"/>
  <c r="D10" i="4"/>
  <c r="D11" i="4"/>
  <c r="D12" i="4"/>
  <c r="D13" i="4"/>
  <c r="D14" i="4"/>
  <c r="D15" i="4"/>
  <c r="D7" i="4"/>
  <c r="B14" i="4"/>
  <c r="B15" i="4"/>
  <c r="B16" i="4"/>
  <c r="B8" i="4"/>
  <c r="B9" i="4"/>
  <c r="B10" i="4"/>
  <c r="B11" i="4"/>
  <c r="B12" i="4"/>
  <c r="B13" i="4"/>
  <c r="B7" i="4"/>
  <c r="C103" i="3"/>
  <c r="F99" i="3"/>
  <c r="C69" i="3"/>
  <c r="D35" i="3"/>
  <c r="F96" i="3"/>
  <c r="C35" i="3"/>
  <c r="F8" i="1"/>
  <c r="F9" i="1"/>
  <c r="C10" i="1"/>
  <c r="D10" i="1"/>
  <c r="E10" i="1"/>
  <c r="G10" i="1"/>
  <c r="I10" i="1"/>
  <c r="J10" i="1"/>
  <c r="K10" i="1"/>
  <c r="F12" i="1"/>
  <c r="E13" i="1"/>
  <c r="F13" i="1"/>
  <c r="F14" i="1"/>
  <c r="F15" i="1"/>
  <c r="C16" i="1"/>
  <c r="D16" i="1"/>
  <c r="G16" i="1"/>
  <c r="H16" i="1"/>
  <c r="I16" i="1"/>
  <c r="K16" i="1"/>
  <c r="F20" i="1"/>
  <c r="F21" i="1"/>
  <c r="F22" i="1"/>
  <c r="F23" i="1"/>
  <c r="C25" i="1"/>
  <c r="D25" i="1"/>
  <c r="E25" i="1"/>
  <c r="G25" i="1"/>
  <c r="H25" i="1"/>
  <c r="K25" i="1"/>
  <c r="F27" i="1"/>
  <c r="F28" i="1"/>
  <c r="F29" i="1"/>
  <c r="K30" i="1"/>
  <c r="C30" i="1"/>
  <c r="D30" i="1"/>
  <c r="E30" i="1"/>
  <c r="G30" i="1"/>
  <c r="H30" i="1"/>
  <c r="I30" i="1"/>
  <c r="F33" i="1"/>
  <c r="F34" i="1"/>
  <c r="F35" i="1"/>
  <c r="F36" i="1"/>
  <c r="C37" i="1"/>
  <c r="D37" i="1"/>
  <c r="E37" i="1"/>
  <c r="G37" i="1"/>
  <c r="H37" i="1"/>
  <c r="I37" i="1"/>
  <c r="F39" i="1"/>
  <c r="K44" i="1"/>
  <c r="F40" i="1"/>
  <c r="F41" i="1"/>
  <c r="F42" i="1"/>
  <c r="F43" i="1"/>
  <c r="C44" i="1"/>
  <c r="E44" i="1"/>
  <c r="I44" i="1"/>
  <c r="F46" i="1"/>
  <c r="F47" i="1"/>
  <c r="C49" i="1"/>
  <c r="D49" i="1"/>
  <c r="E49" i="1"/>
  <c r="G49" i="1"/>
  <c r="H49" i="1"/>
  <c r="I49" i="1"/>
  <c r="K49" i="1"/>
  <c r="F52" i="1"/>
  <c r="F53" i="1"/>
  <c r="F54" i="1"/>
  <c r="F55" i="1"/>
  <c r="C56" i="1"/>
  <c r="F10" i="1" l="1"/>
  <c r="C63" i="1"/>
  <c r="F49" i="1"/>
  <c r="F44" i="1"/>
  <c r="F37" i="1"/>
  <c r="F30" i="1"/>
  <c r="F25" i="1"/>
  <c r="E16" i="1"/>
  <c r="F16" i="1"/>
  <c r="H14" i="4"/>
  <c r="I25" i="1"/>
  <c r="I114" i="3" l="1"/>
  <c r="I106" i="3" s="1"/>
  <c r="I103" i="3"/>
  <c r="I95" i="3" s="1"/>
  <c r="I81" i="3"/>
  <c r="I73" i="3" s="1"/>
  <c r="I69" i="3"/>
  <c r="I61" i="3" s="1"/>
  <c r="I58" i="3"/>
  <c r="I50" i="3" s="1"/>
  <c r="I35" i="3"/>
  <c r="I27" i="3" s="1"/>
  <c r="I24" i="3"/>
  <c r="I16" i="3" s="1"/>
  <c r="K56" i="1"/>
  <c r="H120" i="3"/>
  <c r="H121" i="3"/>
  <c r="H122" i="3"/>
  <c r="H123" i="3"/>
  <c r="H124" i="3"/>
  <c r="H125" i="3"/>
  <c r="H126" i="3"/>
  <c r="H92" i="3"/>
  <c r="H84" i="3" s="1"/>
  <c r="H106" i="3"/>
  <c r="H103" i="3"/>
  <c r="H81" i="3"/>
  <c r="H61" i="3"/>
  <c r="H69" i="3"/>
  <c r="H50" i="3"/>
  <c r="H58" i="3"/>
  <c r="H27" i="3"/>
  <c r="H35" i="3"/>
  <c r="H16" i="3"/>
  <c r="H24" i="3"/>
  <c r="H127" i="3" l="1"/>
  <c r="I92" i="3"/>
  <c r="I84" i="3" s="1"/>
  <c r="H95" i="3"/>
  <c r="H73" i="3"/>
  <c r="E14" i="4" l="1"/>
  <c r="H15" i="4"/>
  <c r="H16" i="4" s="1"/>
  <c r="I129" i="3"/>
  <c r="G16" i="4" s="1"/>
  <c r="H129" i="3"/>
  <c r="G50" i="3"/>
  <c r="G106" i="3"/>
  <c r="G114" i="3"/>
  <c r="G95" i="3"/>
  <c r="G103" i="3"/>
  <c r="G92" i="3"/>
  <c r="G84" i="3"/>
  <c r="G73" i="3"/>
  <c r="G81" i="3"/>
  <c r="G61" i="3"/>
  <c r="G69" i="3"/>
  <c r="F38" i="3"/>
  <c r="F39" i="3"/>
  <c r="F40" i="3"/>
  <c r="F41" i="3"/>
  <c r="F42" i="3"/>
  <c r="F43" i="3"/>
  <c r="F44" i="3"/>
  <c r="F45" i="3"/>
  <c r="C46" i="3"/>
  <c r="D46" i="3"/>
  <c r="E46" i="3"/>
  <c r="G27" i="3"/>
  <c r="G35" i="3"/>
  <c r="D16" i="3"/>
  <c r="E16" i="3"/>
  <c r="C16" i="3"/>
  <c r="E114" i="3"/>
  <c r="D114" i="3"/>
  <c r="C114" i="3"/>
  <c r="F113" i="3"/>
  <c r="F112" i="3"/>
  <c r="F111" i="3"/>
  <c r="F110" i="3"/>
  <c r="F109" i="3"/>
  <c r="F108" i="3"/>
  <c r="F107" i="3"/>
  <c r="F106" i="3"/>
  <c r="E103" i="3"/>
  <c r="D103" i="3"/>
  <c r="F102" i="3"/>
  <c r="F101" i="3"/>
  <c r="F100" i="3"/>
  <c r="F98" i="3"/>
  <c r="F97" i="3"/>
  <c r="F95" i="3"/>
  <c r="E92" i="3"/>
  <c r="D92" i="3"/>
  <c r="C92" i="3"/>
  <c r="F91" i="3"/>
  <c r="F90" i="3"/>
  <c r="F89" i="3"/>
  <c r="F88" i="3"/>
  <c r="F87" i="3"/>
  <c r="F86" i="3"/>
  <c r="F85" i="3"/>
  <c r="F84" i="3"/>
  <c r="E81" i="3"/>
  <c r="D81" i="3"/>
  <c r="C81" i="3"/>
  <c r="F80" i="3"/>
  <c r="F79" i="3"/>
  <c r="F78" i="3"/>
  <c r="F77" i="3"/>
  <c r="F76" i="3"/>
  <c r="F75" i="3"/>
  <c r="F74" i="3"/>
  <c r="F73" i="3"/>
  <c r="E69" i="3"/>
  <c r="D69" i="3"/>
  <c r="F68" i="3"/>
  <c r="F67" i="3"/>
  <c r="F66" i="3"/>
  <c r="F65" i="3"/>
  <c r="F64" i="3"/>
  <c r="F63" i="3"/>
  <c r="F62" i="3"/>
  <c r="F61" i="3"/>
  <c r="E58" i="3"/>
  <c r="D58" i="3"/>
  <c r="C58" i="3"/>
  <c r="F57" i="3"/>
  <c r="F56" i="3"/>
  <c r="F55" i="3"/>
  <c r="F54" i="3"/>
  <c r="F53" i="3"/>
  <c r="F52" i="3"/>
  <c r="F51" i="3"/>
  <c r="F50" i="3"/>
  <c r="E35" i="3"/>
  <c r="F34" i="3"/>
  <c r="F33" i="3"/>
  <c r="F32" i="3"/>
  <c r="F31" i="3"/>
  <c r="F30" i="3"/>
  <c r="F29" i="3"/>
  <c r="F28" i="3"/>
  <c r="F27" i="3"/>
  <c r="E24" i="3"/>
  <c r="D24" i="3"/>
  <c r="C24" i="3"/>
  <c r="F23" i="3"/>
  <c r="F22" i="3"/>
  <c r="F21" i="3"/>
  <c r="F20" i="3"/>
  <c r="F19" i="3"/>
  <c r="F18" i="3"/>
  <c r="F17" i="3"/>
  <c r="E16" i="4" l="1"/>
  <c r="F114" i="3"/>
  <c r="F46" i="3"/>
  <c r="F69" i="3"/>
  <c r="F58" i="3"/>
  <c r="F92" i="3"/>
  <c r="F35" i="3"/>
  <c r="F81" i="3"/>
  <c r="F103" i="3"/>
  <c r="F24" i="3"/>
  <c r="F16" i="3"/>
  <c r="I12" i="4"/>
  <c r="G58" i="3"/>
  <c r="I8" i="4" l="1"/>
  <c r="I13" i="4"/>
  <c r="I7" i="4"/>
  <c r="I9" i="4"/>
  <c r="I10" i="4"/>
  <c r="I11" i="4"/>
  <c r="D129" i="3"/>
  <c r="D16" i="4" s="1"/>
  <c r="G129" i="3"/>
  <c r="E129" i="3"/>
  <c r="F16" i="4" s="1"/>
  <c r="F128" i="3" l="1"/>
  <c r="F129" i="3" s="1"/>
  <c r="K63" i="1"/>
  <c r="K65" i="1" s="1"/>
  <c r="G56" i="1"/>
  <c r="I56" i="1"/>
  <c r="H56" i="1"/>
  <c r="E56" i="1"/>
  <c r="D56" i="1"/>
  <c r="C64" i="1" l="1"/>
  <c r="J65" i="1"/>
  <c r="F56" i="1"/>
  <c r="I64" i="1"/>
  <c r="E63" i="1"/>
  <c r="E64" i="1" s="1"/>
  <c r="D63" i="1"/>
  <c r="I65" i="1" l="1"/>
  <c r="L65" i="1" s="1"/>
  <c r="L64" i="1"/>
  <c r="D64" i="1"/>
  <c r="D65" i="1" s="1"/>
  <c r="F63" i="1"/>
  <c r="F64" i="1" s="1"/>
  <c r="F65" i="1" s="1"/>
  <c r="C65" i="1"/>
  <c r="E65" i="1"/>
  <c r="I14" i="4" l="1"/>
  <c r="I1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tc={C406F7EE-70BB-4A1D-B308-55B07194FBBF}</author>
  </authors>
  <commentList>
    <comment ref="H29" authorId="0" shapeId="0" xr:uid="{C406F7EE-70BB-4A1D-B308-55B07194FBB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Creation d’espace de participation citoyenne des jeunes avec une promotion de l’inclusion des adolescenetes en particulier. Les intervenantes feminins ont ete encouragé particulièrement dans les sessions sur terrain.</t>
      </text>
    </comment>
  </commentList>
</comments>
</file>

<file path=xl/sharedStrings.xml><?xml version="1.0" encoding="utf-8"?>
<sst xmlns="http://schemas.openxmlformats.org/spreadsheetml/2006/main" count="318" uniqueCount="152">
  <si>
    <t>Tableau 1 - RAPPORT FINANCIER du projet PBF par résultat, produit et activité</t>
  </si>
  <si>
    <t>Nombre de resultat/ produit</t>
  </si>
  <si>
    <t>Formulation du resultat/ produit/activite</t>
  </si>
  <si>
    <t>Organisation recipiendiaire 1 (budget en USD)</t>
  </si>
  <si>
    <t>Organisation recipiendiaire 2 (budget en USD)</t>
  </si>
  <si>
    <t>Organisation recipiendiaire 3 (budget en USD)</t>
  </si>
  <si>
    <t>Total</t>
  </si>
  <si>
    <t xml:space="preserve">Pourcentage du budget pour chaque produit ou activite reserve pour action directe sur égalité des sexes et autonomisation des femmes (GEWE) (cas echeant) </t>
  </si>
  <si>
    <t>Notes quelconque le cas echeant (.e.g sur types des entrants ou justification du budget)</t>
  </si>
  <si>
    <t>Niveau de depense en USD (a remplir au moment des rapports de projet)</t>
  </si>
  <si>
    <t>Niveau de depense/ engagement actuel en USD (a remplir au moment des rapports de projet)*</t>
  </si>
  <si>
    <t>Niveau de depense/ engagement actuel en USD (a remplir au moment des rapports de projet)</t>
  </si>
  <si>
    <t xml:space="preserve">Niveau de depense TOTAL/ engagement actuel en USD (a remplir au moment des rapports de projet) </t>
  </si>
  <si>
    <t>HCDH</t>
  </si>
  <si>
    <t>UNESCO</t>
  </si>
  <si>
    <t>UNICEF</t>
  </si>
  <si>
    <t xml:space="preserve">RESULTAT 1: </t>
  </si>
  <si>
    <t>Des outils d’autoprotection des jeunes qui s’engagent, s’expriment et s’exposent pour la défense des droits humains dans l’espace civique leur permettent d’être en pleine confiance et d’être en pleine possession de la capacité d’agir effectivement pour faire entendre un discours pacifique, professionnel et responsable</t>
  </si>
  <si>
    <t>Produit 1.1:</t>
  </si>
  <si>
    <t>Le cadre juridique et les pratiques des différents acteurs de l’occupation et de la gestion de l’espace civique sont circonscrits, discutés et vulgarisés en vue d’une autoprotection qualifiée, responsable et sure des jeunes s’engageant et se mobilisant pour la défense des droits humains dans cet espace</t>
  </si>
  <si>
    <t>Activite 1.1.1:</t>
  </si>
  <si>
    <t xml:space="preserve">Réaliser un état des lieux (incluant une étude de baseline des indicateurs) du fonctionnement de l'espace civique relatif aux actrices.teurs étatiques et  aux groupes cibles de jeunes (acteurs non étatiques) afin de documenter les systèmes formels et informels d'engagement, y compris au niveau communautaire (en ligne et hors ligne) ; les bonnes pratiques, les défis et les opportunités ; les obstacles (structurels et comportementaux ) à la participation et à la consolidation de la paix des jeunes femmes et hommes ainsi que les minorités ; les risques de l'engagement et les éventuels mécanismes de protection, afin d'informer intersectionnellement la mise en œuvre de ce projet. </t>
  </si>
  <si>
    <t>Activite 1.1.2:</t>
  </si>
  <si>
    <t>Sur la base des résultats de l'état des lieux de l'activité 1.1.1, élaborer des guides pratiques à l'intention des groupes cibles de jeunes présentant les détails des lois et cadres clés en vigueur, un outil d’engagement civique (le passeport du jeune ZA MIOVA) régissant l'engagement dans l'espace civique et assurer un processus de vulgarisation et de diffusion.</t>
  </si>
  <si>
    <t xml:space="preserve"> $                             -  </t>
  </si>
  <si>
    <t>Produit total</t>
  </si>
  <si>
    <t>Produit 1.2:</t>
  </si>
  <si>
    <t>Les capacités en autoprotection des jeunes s’engageant et se mobilisant pour la défense des droits humains dans l’espace civique sont renforcées pour une adéquation avec le cadre juridique et les pratiques des différents acteurs de l’occupation et de la gestion de cet espace</t>
  </si>
  <si>
    <t>Activite 1.2.1</t>
  </si>
  <si>
    <t xml:space="preserve">Renforcer les capacités en autoprotection, en tenant compte des spécificités de genre, de pools de jeunes défenseurs des droits humains, jeunes reporters, club, réseaux des jeunes journalistes, influenceurs et des femmes journalistes </t>
  </si>
  <si>
    <t>Activite 1.2.2</t>
  </si>
  <si>
    <t xml:space="preserve">Appuyer l’autoprotection et l’empowerment spécifiques aux jeunes filles et jeunes femmes et des minorités (incluant les personnes handicapées et les personnes atteintes d’albinisme et les filles et jeunes femmes déplacées, et celles en conflit avec la loi) aux niveaux individuel et collectif pour une occupation qualifiée, responsable, sûre et reconnue de l’espace civique </t>
  </si>
  <si>
    <t>Activite 1.2.3</t>
  </si>
  <si>
    <t>Appuyer 60 initiatives d’engagement autoprotégé de jeunes qui souhaitent s'engager dans l’espace civique de manière à promouvoir les droits humains incluant ceux des enfants, les libertés fondamentales et la lutte contre la corruption de manière sûre et pacifique.</t>
  </si>
  <si>
    <t>Activite 1.2.4</t>
  </si>
  <si>
    <t>Mettre en œuvre le plan de vulgarisation et de diffusion à travers une campagne nationale sur les détails des lois et cadres clés en vigueur régissant la protection et l'engagement des jeunes dans l'espace civique</t>
  </si>
  <si>
    <t xml:space="preserve">RESULTAT 2: </t>
  </si>
  <si>
    <t>La protection des jeunes engagé(es) dans l’espace civique pour la défense des droits humains, par les acteurs des mécanismes institutionnels concernées est effective et accrue à travers un engagement conjoint et une collaboration responsable, inclusive et sûre</t>
  </si>
  <si>
    <t>Produit 2.1</t>
  </si>
  <si>
    <t>Les institutions de l'État ont les connaissances, la capacité et la volonté de s’engager et d’accroître l’effectivité des mécanismes de protection des jeunes défenseurs des droits humains engagés dans l’espace civique afin de s'assurer que les violations des droits humains et des libertés fondamentales soient traitées selon les normes</t>
  </si>
  <si>
    <t>Activite 2.1.1</t>
  </si>
  <si>
    <t>Renforcer les capacités des forces de sécurité en fonction pour contribuer à l’amélioration de la protection des jeunes engagé.e.s (à travers les plateformes et mécanismes mis en place par Rary Aro Mada, OBS Mada, PRF) garantissant un engagement régulier entre la société civile des jeunes et les forces de sécurité locales pour prévenir la violence, les attaques et les conflits</t>
  </si>
  <si>
    <t>Activite 2.1.2</t>
  </si>
  <si>
    <t>Renforcer les capacités des forces de sécurité en fonction pour contribuer à l’amélioration de la protection des jeunes engagé.e.s (à travers les plateformes et mécanismes mis en place par Rary Aro Mada, OBSMada, PRF) garantissant un engagement régulier entre la société civile des jeunes et les forces de sécurité locales pour prévenir la violence, les attaques et les conflits.</t>
  </si>
  <si>
    <t>Activite 2.1.3</t>
  </si>
  <si>
    <t>Renforcer l’offre de formation sur les droits humains et la liberté d’expression des forces de sécurité et des institutions judiciaires à travers les cursus dans les universités et les écoles professionnelles étatiques et non étatique</t>
  </si>
  <si>
    <t>Activite 2.1.4</t>
  </si>
  <si>
    <t>Appuyer les institutions pour l'organisation de portes ouvertes, journées thématiques, forums nationaux en lien avec la promotion et la protection en vue de la vulgarisation et de l'appropriation des droits humains et de la liberté d'expression</t>
  </si>
  <si>
    <t>Produit 2.2</t>
  </si>
  <si>
    <t xml:space="preserve">En s'appuyant sur les outils de dialogues existants, une passerelle de dialogue axée sur la protection entre les institutions, notamment politiques, judiciaires, juridiques et les forces de sécurité et les jeunes engagé(es) est renforcée pour permettre une meilleure inclusion et protection institutionnelle des jeunes défenseurs des droits humains dans l’espaces civique pour une collaboration responsable, inclusive et sûre </t>
  </si>
  <si>
    <t>Activite 2.2.1</t>
  </si>
  <si>
    <t>Appuyer au niveau local, des mécanismes de dialogues réguliers et institutionnalisés mis en œuvre par les projets PBF afin de renforcer la confiance des jeunes envers les institutions étatiques sur leur protection pour appuyer une participation sereine, progressive et libre de jeunes engagé.e.s</t>
  </si>
  <si>
    <t>Activite' 2.2.2</t>
  </si>
  <si>
    <t xml:space="preserve">Renforcer au niveau local la protection spécifique pour la participation active et inclusive des femmes et des minorités pour une visibilité efficace et une acceptation sociale de leur rôle moteur dans les espaces de dialogues et de prise de parole. </t>
  </si>
  <si>
    <t>Activite 2.2.3</t>
  </si>
  <si>
    <t>Mettre en place un mécanisme participatif de feedback communautaire et de redevabilité sociale pour tous les participants et intervenants.</t>
  </si>
  <si>
    <t xml:space="preserve">RESULTAT 3: </t>
  </si>
  <si>
    <t>Des mécanismes institutionnels, non étatiques, en ligne et hors-ligne, de protection co-existent et sont opérationnels et pérennes pour assurer la légitimité, la liberté, la résilience et la protection des jeunes défenseuses/eurs des droits humains engagés dans l’espace civique</t>
  </si>
  <si>
    <t>Produit 3.1</t>
  </si>
  <si>
    <t>Les stratégies et mécanismes de protection des jeunes engagé(es) dans l’espace civique sont développés et/ou renforcés, incluant un système d’alerte précoce en réseaux et coordonné de jeunes défenseurs des droits humains en danger</t>
  </si>
  <si>
    <t>Activite 3.1.1</t>
  </si>
  <si>
    <t>Développer et promouvoir une stratégie et des mécanismes de protection et de sécurité des jeunes engagé.e.s basée sur l’état de lieux et en intégrant des méthodologies liées aux besoins sexo-spécifiques des femmes, se basant notamment sur les MoU signés avec les autorités et les Comités de Paix</t>
  </si>
  <si>
    <t>Activite 3.1.2</t>
  </si>
  <si>
    <t xml:space="preserve">Appuyer et mettre en réseau des structures existantes et pérennes de protection non étatiques pour élargir leurs actions à tous les jeunes engagé.e.s, en leur dotant des capacités, d’outils et de moyens nécessaires </t>
  </si>
  <si>
    <t>Activite 3.1.3</t>
  </si>
  <si>
    <t>Mettre en place un fonds d’appui à la protection juridique et judiciaire (frais engagés dans le système judiciaire) des jeunes défenseuses.seurs des droits humains, en tenant compte des risques spécifiques aux femmes selon une approche intersectionnelle</t>
  </si>
  <si>
    <t>Activite 3.1.4</t>
  </si>
  <si>
    <t>Développer des applications et outils de collectes de données (Data) et d’alertes précoces, en coopération avec les structures existantes (étatiques et non étatiques) de suivi et d’adresser des cas de violations des droits humains et d’atteintes à la liberté d’expression, pour appuyer les actions de protection des jeunes et soutenir la libre participation de tou.te.s dans les espaces civique et démocratique.</t>
  </si>
  <si>
    <t>Produit 3.2:</t>
  </si>
  <si>
    <t>Les stratégies d’engagement civique des jeunes, les mécanismes étatiques et des OSC-s sont soutenues par des approches et outils de protection en ligne/numériques et au niveau communautaire afin d’inciter un changement social et comportemental en soutien aux objectifs du projet</t>
  </si>
  <si>
    <t>Activite 3.2.1</t>
  </si>
  <si>
    <t>Développer et mettre en œuvre des stratégies de changement social et comportemental basées sur les évidences pour accompagner les institutions et les jeunes acteurs de paix à soutenir les actions de protection des jeunes engagé.e.s dans l’espace civique</t>
  </si>
  <si>
    <t>Activite 3.2.2</t>
  </si>
  <si>
    <t>Opérationnaliser les mécanismes d’écoutes sociales (online et offline) permettant de collecter les évidences communicationnelles et feedbacks des acteurs de paix engages dans l’espace civique</t>
  </si>
  <si>
    <t>Activite 3.2.3</t>
  </si>
  <si>
    <t>Soutenir l’opérationnalisation des mécanismes de protection des jeunes cibles via les structures et infrastructures de jeunesses (maisons de jeunes, centres de jeunes, associations de jeunes locaux, observatoires, comité de paix) pour renforcer les interventions en faveur de l’engagement civique des jeunes au niveau local.</t>
  </si>
  <si>
    <t>Activite 3.2.4</t>
  </si>
  <si>
    <t xml:space="preserve">Appuyer les structures qui soutiennent les jeunes dans le processus de protection pour la mise en place de podcasts relatifs aux droits humains et à la liberté d’expression, aux niveaux régionaux via les Comités de Paix, les Maisons des Jeunes et le réseau du Studio Sifaka, afin d’inciter un changement social et comportemental </t>
  </si>
  <si>
    <t>Activite 3.2.5</t>
  </si>
  <si>
    <t>Mise en place d’un partenariat de collaboration entre les OSC de jeunes et les médias nationaux pour assurer l'accès à des outils d'expression et la diffusion de messages pour la paix portés par les jeunes cibles</t>
  </si>
  <si>
    <t>Produit 3.3</t>
  </si>
  <si>
    <t xml:space="preserve">Des capacités de développement de projet, de mobilisation de ressources, de suivi et évaluation, sensibles au genre et à l’intersectionnalité, en vue de la pérennisation des acquis du projet en termes de protection des défenseuses/eurs des droits humains, sont développées et effectives </t>
  </si>
  <si>
    <t>Activite 3.3.1</t>
  </si>
  <si>
    <t>Développer les capacités des jeunes aux techniques de montage de projet sensibles au genre et à l’intersectionnalité, au développement des partenariats et à la mobilisation de ressources</t>
  </si>
  <si>
    <t>Activite 3.3.2</t>
  </si>
  <si>
    <t>Développer des mécanismes et des outils d’intégration des jeunes filles et garçons dans le suivi, évaluation du programme à toutes les étapes de mise en œuvre du programme</t>
  </si>
  <si>
    <t>Activite 3.3.3</t>
  </si>
  <si>
    <t>Cout de personnel du projet si pas inclus dans les activites ci-dessus</t>
  </si>
  <si>
    <t>Voir liste complète dans le document de projet</t>
  </si>
  <si>
    <t>Couts operationnels si pas inclus dans les activites ci-dessus</t>
  </si>
  <si>
    <t>Budget de suivi</t>
  </si>
  <si>
    <t xml:space="preserve">Enquête de perception, missions de suivi trimestrielles et visites du comité de pilotage, réunion du comité technique du projet, évaluation finale </t>
  </si>
  <si>
    <t>Budget pour l'évaluation finale indépendante</t>
  </si>
  <si>
    <t>Coûts supplémentaires total</t>
  </si>
  <si>
    <t>Totaux</t>
  </si>
  <si>
    <t>Organisation recipiendiaire 1</t>
  </si>
  <si>
    <t>Organisation recipiendiaire 2</t>
  </si>
  <si>
    <t>Organisation recipiendiaire 3</t>
  </si>
  <si>
    <t>Organisation recipiendiaire 1 Dépenses actuelles</t>
  </si>
  <si>
    <t>Organisation recipiendiaire 2 Dépenses actuelles</t>
  </si>
  <si>
    <t>Organisation recipiendiaire 3 Dépenses actuelles</t>
  </si>
  <si>
    <t>Sous-budget total du projet</t>
  </si>
  <si>
    <t>Coûts indirects (7%):</t>
  </si>
  <si>
    <t xml:space="preserve">*UNESCO - the expenses for the indirect costs is less than 7% as indirect costs are not applicable to some expenses in line with UNESCO’s policies endorsed by its governing bodies. As endorsed by its Executive Board at its 212th session, UNESCO is charging post occupancy charge (POC) as from 1 January 2022 on personnel costs under projects funded by voluntary contributions and the indirect costs charge shall be applied to the total project costs excluding POC charge. </t>
  </si>
  <si>
    <t>Annexe D - Revision budétaire du projet PBF</t>
  </si>
  <si>
    <t>Instructions:</t>
  </si>
  <si>
    <t>1. Divisez le total de chaque budget entre les catégories de budget des Nations Unies concernées.</t>
  </si>
  <si>
    <t>2. À titre de référence, les totaux des produits ont été transférés du tableau 1.</t>
  </si>
  <si>
    <r>
      <t>3. Les totaux des produits doivent correspondre et seront sinon affichés</t>
    </r>
    <r>
      <rPr>
        <b/>
        <sz val="11"/>
        <color rgb="FFFF0000"/>
        <rFont val="DM Sans"/>
      </rPr>
      <t xml:space="preserve"> en rouge</t>
    </r>
    <r>
      <rPr>
        <b/>
        <sz val="11"/>
        <color rgb="FF000000"/>
        <rFont val="DM Sans"/>
      </rPr>
      <t>.</t>
    </r>
  </si>
  <si>
    <t>Tableau 2 - Répartition des produits par catégories de budget de l’ONU</t>
  </si>
  <si>
    <t>BUDGET</t>
  </si>
  <si>
    <t xml:space="preserve">DEPENSES </t>
  </si>
  <si>
    <t>Organisation recipiendiaire 1 - HCDH</t>
  </si>
  <si>
    <t>Organisation recipiendiaire 2 - UNESCO</t>
  </si>
  <si>
    <t>Organisation recipiendiaire 3 - UNICEF</t>
  </si>
  <si>
    <t>TOTAL DEPENSES</t>
  </si>
  <si>
    <t>RESULTAT 1</t>
  </si>
  <si>
    <t>Produit 1.1</t>
  </si>
  <si>
    <t>Total pour produit 1.1 (du tableau 1)</t>
  </si>
  <si>
    <t>1. Personnel et autres employés</t>
  </si>
  <si>
    <t xml:space="preserve">$-   </t>
  </si>
  <si>
    <t>2. Fournitures, produits de base, matériels</t>
  </si>
  <si>
    <t xml:space="preserve"> $-   </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</si>
  <si>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</si>
  <si>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</si>
  <si>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</si>
  <si>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</si>
  <si>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</si>
  <si>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</si>
  <si>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</si>
  <si>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</si>
  <si>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</si>
  <si>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</si>
  <si>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RESULTAT 2</t>
  </si>
  <si>
    <t>Total pour produit 2.1 (du tableau 1)</t>
  </si>
  <si>
    <t>Total pour produit 2.2 (du tableau 1)</t>
  </si>
  <si>
    <t>RESULTAT 3</t>
  </si>
  <si>
    <t>Total pour produit 3.1 (du tableau 1)</t>
  </si>
  <si>
    <t>Produit 3.2</t>
  </si>
  <si>
    <t>Total pour produit 3.2 (du tableau 1)</t>
  </si>
  <si>
    <t>Total pour produit 3.3 (du tableau 1)</t>
  </si>
  <si>
    <t>Coûts supplémentaires</t>
  </si>
  <si>
    <t>Total des coûts supplémentaires (du tableau 1)</t>
  </si>
  <si>
    <t>Niveau de depense/  actuel en USD (a remplir au moment des rapports de projet)</t>
  </si>
  <si>
    <t>TOTAL</t>
  </si>
  <si>
    <t>CATEGORIES</t>
  </si>
  <si>
    <t xml:space="preserve"> TOTAL PROJET</t>
  </si>
  <si>
    <t>Budget</t>
  </si>
  <si>
    <t>Dépenses réelles</t>
  </si>
  <si>
    <t>Sous-total</t>
  </si>
  <si>
    <t xml:space="preserve">8. Coûts indirects*  </t>
  </si>
  <si>
    <t xml:space="preserve">**UNESCO - the expenses for the indirect costs is less than 7% as indirect costs are not applicable to some expenses in line with UNESCO’s policies endorsed by its governing bodies. As endorsed by its Executive Board at its 212th session, UNESCO is charging post occupancy charge (POC) as from 1 January 2022 on personnel costs under projects funded by voluntary contributions and the indirect costs charge shall be applied to the total project costs excluding POC charge.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</si>
</sst>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quot;$&quot;* #,##0.00_);_(&quot;$&quot;* \(#,##0.00\);_(&quot;$&quot;* &quot;-&quot;??_);_(@_)"/>
    <numFmt numFmtId="165" formatCode="_(* #,##0.00_);_(* \(#,##0.00\);_(* &quot;-&quot;??_);_(@_)"/>
    <numFmt numFmtId="166" formatCode="_-* #,##0.00\ &quot;€&quot;_-;\-* #,##0.00\ &quot;€&quot;_-;_-* &quot;-&quot;??\ &quot;€&quot;_-;_-@_-"/>
    <numFmt numFmtId="167" formatCode="_-* #,##0.00\ _€_-;\-* #,##0.00\ _€_-;_-* &quot;-&quot;??\ _€_-;_-@_-"/>
    <numFmt numFmtId="168" formatCode="_(&quot;$&quot;* #,##0.0_);_(&quot;$&quot;* \(#,##0.0\);_(&quot;$&quot;* &quot;-&quot;??_);_(@_)"/>
    <numFmt numFmtId="169" formatCode="[$$-409]#,##0.00"/>
  </numFmts>
  <fonts count="27" x14ac:knownFonts="1">
    <font>
      <sz val="11"/>
      <color theme="1"/>
      <name val="Aptos Narrow"/>
      <family val="2"/>
      <scheme val="minor"/>
    </font>
    <font>
      <sz val="11"/>
      <color theme="1"/>
      <name val="Aptos Narrow"/>
      <family val="2"/>
      <scheme val="minor"/>
    </font>
    <font>
      <b/>
      <sz val="20"/>
      <color rgb="FF000000"/>
      <name val="DM Sans"/>
    </font>
    <font>
      <sz val="11"/>
      <color rgb="FF000000"/>
      <name val="DM Sans"/>
    </font>
    <font>
      <sz val="11"/>
      <name val="DM Sans"/>
    </font>
    <font>
      <b/>
      <sz val="11"/>
      <color rgb="FF000000"/>
      <name val="DM Sans"/>
    </font>
    <font>
      <b/>
      <sz val="12"/>
      <color rgb="FF000000"/>
      <name val="Calibri"/>
      <family val="2"/>
    </font>
    <font>
      <sz val="12"/>
      <color rgb="FF000000"/>
      <name val="Calibri"/>
      <family val="2"/>
    </font>
    <font>
      <sz val="12"/>
      <color theme="1"/>
      <name val="Aptos Narrow"/>
      <family val="2"/>
      <scheme val="minor"/>
    </font>
    <font>
      <sz val="11"/>
      <color theme="1"/>
      <name val="Calibri"/>
      <family val="2"/>
    </font>
    <font>
      <sz val="12"/>
      <color rgb="FF000000"/>
      <name val="Aptos Narrow"/>
      <family val="2"/>
      <scheme val="minor"/>
    </font>
    <font>
      <sz val="9"/>
      <color rgb="FF000000"/>
      <name val="DM Sans"/>
    </font>
    <font>
      <b/>
      <sz val="9"/>
      <color rgb="FF000000"/>
      <name val="DM Sans"/>
    </font>
    <font>
      <b/>
      <sz val="11"/>
      <color rgb="FF00B0F0"/>
      <name val="DM Sans"/>
    </font>
    <font>
      <b/>
      <sz val="11"/>
      <color rgb="FFFF0000"/>
      <name val="DM Sans"/>
    </font>
    <font>
      <b/>
      <sz val="12"/>
      <color theme="1"/>
      <name val="Aptos Narrow"/>
      <family val="2"/>
      <scheme val="minor"/>
    </font>
    <font>
      <sz val="12"/>
      <color theme="1"/>
      <name val="Calibri"/>
      <family val="2"/>
    </font>
    <font>
      <b/>
      <sz val="10"/>
      <color rgb="FF000000"/>
      <name val="DM Sans"/>
    </font>
    <font>
      <b/>
      <sz val="11"/>
      <color theme="1"/>
      <name val="Aptos Narrow"/>
      <family val="2"/>
      <scheme val="minor"/>
    </font>
    <font>
      <b/>
      <sz val="12"/>
      <color theme="1"/>
      <name val="Calibri"/>
      <family val="2"/>
    </font>
    <font>
      <b/>
      <sz val="11"/>
      <name val="DM Sans"/>
    </font>
    <font>
      <b/>
      <sz val="11"/>
      <color theme="1"/>
      <name val="Calibri"/>
      <family val="2"/>
    </font>
    <font>
      <sz val="12"/>
      <name val="Calibri"/>
      <family val="2"/>
    </font>
    <font>
      <sz val="11"/>
      <name val="Aptos Narrow"/>
      <family val="2"/>
      <scheme val="minor"/>
    </font>
    <font>
      <sz val="11"/>
      <color rgb="FF000000"/>
      <name val="Aptos Narrow"/>
      <family val="2"/>
    </font>
    <font>
      <sz val="12"/>
      <color rgb="FF000000"/>
      <name val="Aptos Narrow"/>
      <family val="2"/>
    </font>
    <font>
      <sz val="12"/>
      <name val="Aptos Narrow"/>
      <family val="2"/>
      <scheme val="minor"/>
    </font>
  </fonts>
  <fills count="41">
    <fill>
      <patternFill patternType="none"/>
    </fill>
    <fill>
      <patternFill patternType="gray125"/>
    </fill>
    <fill>
      <patternFill patternType="solid">
        <fgColor rgb="FFD9E1F2"/>
        <bgColor rgb="FF000000"/>
      </patternFill>
    </fill>
    <fill>
      <patternFill patternType="solid">
        <fgColor rgb="FFFFFFFF"/>
        <bgColor rgb="FF000000"/>
      </patternFill>
    </fill>
    <fill>
      <patternFill patternType="solid">
        <fgColor rgb="FFD9D9D9"/>
        <bgColor rgb="FF000000"/>
      </patternFill>
    </fill>
    <fill>
      <patternFill patternType="solid">
        <fgColor rgb="FFF8CBAD"/>
        <bgColor rgb="FF000000"/>
      </patternFill>
    </fill>
    <fill>
      <patternFill patternType="solid">
        <fgColor rgb="FFBDD7EE"/>
        <bgColor rgb="FF000000"/>
      </patternFill>
    </fill>
    <fill>
      <patternFill patternType="solid">
        <fgColor rgb="FFF2F2F2"/>
        <bgColor rgb="FF000000"/>
      </patternFill>
    </fill>
    <fill>
      <patternFill patternType="solid">
        <fgColor rgb="FFE7E6E6"/>
        <bgColor rgb="FF000000"/>
      </patternFill>
    </fill>
    <fill>
      <patternFill patternType="solid">
        <fgColor theme="0" tint="-0.14999847407452621"/>
        <bgColor indexed="64"/>
      </patternFill>
    </fill>
    <fill>
      <patternFill patternType="solid">
        <fgColor rgb="FFD0CECE"/>
        <bgColor rgb="FF000000"/>
      </patternFill>
    </fill>
    <fill>
      <patternFill patternType="solid">
        <fgColor theme="2" tint="-9.9978637043366805E-2"/>
        <bgColor indexed="64"/>
      </patternFill>
    </fill>
    <fill>
      <patternFill patternType="solid">
        <fgColor rgb="FFFCE4D6"/>
        <bgColor rgb="FF000000"/>
      </patternFill>
    </fill>
    <fill>
      <patternFill patternType="solid">
        <fgColor rgb="FFDDEBF7"/>
        <bgColor rgb="FF000000"/>
      </patternFill>
    </fill>
    <fill>
      <patternFill patternType="solid">
        <fgColor theme="8" tint="0.79998168889431442"/>
        <bgColor rgb="FF000000"/>
      </patternFill>
    </fill>
    <fill>
      <patternFill patternType="solid">
        <fgColor rgb="FFB3B3B3"/>
        <bgColor indexed="64"/>
      </patternFill>
    </fill>
    <fill>
      <patternFill patternType="solid">
        <fgColor rgb="FFBFBFBF"/>
        <bgColor indexed="64"/>
      </patternFill>
    </fill>
    <fill>
      <patternFill patternType="solid">
        <fgColor rgb="FFD9D9D9"/>
        <bgColor indexed="64"/>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rgb="FFFFFFCC"/>
        <bgColor indexed="64"/>
      </patternFill>
    </fill>
    <fill>
      <patternFill patternType="solid">
        <fgColor rgb="FFFFFFCC"/>
        <bgColor rgb="FF000000"/>
      </patternFill>
    </fill>
    <fill>
      <patternFill patternType="solid">
        <fgColor theme="3" tint="0.749992370372631"/>
        <bgColor indexed="64"/>
      </patternFill>
    </fill>
    <fill>
      <patternFill patternType="solid">
        <fgColor theme="9" tint="0.59999389629810485"/>
        <bgColor indexed="64"/>
      </patternFill>
    </fill>
    <fill>
      <patternFill patternType="solid">
        <fgColor rgb="FFFFC611"/>
        <bgColor rgb="FF000000"/>
      </patternFill>
    </fill>
    <fill>
      <patternFill patternType="solid">
        <fgColor theme="5" tint="0.59999389629810485"/>
        <bgColor indexed="64"/>
      </patternFill>
    </fill>
    <fill>
      <patternFill patternType="solid">
        <fgColor theme="5"/>
        <bgColor indexed="64"/>
      </patternFill>
    </fill>
    <fill>
      <patternFill patternType="solid">
        <fgColor theme="3" tint="0.49998474074526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rgb="FF000000"/>
      </patternFill>
    </fill>
    <fill>
      <patternFill patternType="solid">
        <fgColor theme="3" tint="0.89999084444715716"/>
        <bgColor rgb="FF000000"/>
      </patternFill>
    </fill>
    <fill>
      <patternFill patternType="solid">
        <fgColor theme="2" tint="-9.9978637043366805E-2"/>
        <bgColor rgb="FF000000"/>
      </patternFill>
    </fill>
    <fill>
      <patternFill patternType="solid">
        <fgColor rgb="FFFBE2D5"/>
        <bgColor rgb="FF000000"/>
      </patternFill>
    </fill>
    <fill>
      <patternFill patternType="solid">
        <fgColor theme="2" tint="-0.249977111117893"/>
        <bgColor indexed="64"/>
      </patternFill>
    </fill>
    <fill>
      <patternFill patternType="solid">
        <fgColor rgb="FFE2EFDA"/>
        <bgColor rgb="FF000000"/>
      </patternFill>
    </fill>
    <fill>
      <patternFill patternType="solid">
        <fgColor theme="0"/>
        <bgColor rgb="FF000000"/>
      </patternFill>
    </fill>
    <fill>
      <patternFill patternType="solid">
        <fgColor theme="9" tint="0.79998168889431442"/>
        <bgColor rgb="FF000000"/>
      </patternFill>
    </fill>
    <fill>
      <patternFill patternType="solid">
        <fgColor rgb="FF92D050"/>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auto="1"/>
      </left>
      <right/>
      <top style="thin">
        <color auto="1"/>
      </top>
      <bottom style="medium">
        <color auto="1"/>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s>
  <cellStyleXfs count="26">
    <xf numFmtId="0" fontId="0" fillId="0" borderId="0"/>
    <xf numFmtId="41"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cellStyleXfs>
  <cellXfs count="311">
    <xf numFmtId="0" fontId="0" fillId="0" borderId="0" xfId="0"/>
    <xf numFmtId="0" fontId="3" fillId="0" borderId="0" xfId="0" applyFont="1"/>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wrapText="1"/>
    </xf>
    <xf numFmtId="0" fontId="3" fillId="3" borderId="0" xfId="0" applyFont="1" applyFill="1" applyAlignment="1">
      <alignment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4" borderId="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6" fillId="8" borderId="6" xfId="0" applyFont="1" applyFill="1" applyBorder="1" applyAlignment="1">
      <alignment vertical="center" wrapText="1"/>
    </xf>
    <xf numFmtId="0" fontId="0" fillId="0" borderId="15" xfId="0" applyBorder="1"/>
    <xf numFmtId="0" fontId="6" fillId="8" borderId="16" xfId="0" applyFont="1" applyFill="1" applyBorder="1" applyAlignment="1">
      <alignment vertical="center" wrapText="1"/>
    </xf>
    <xf numFmtId="0" fontId="7" fillId="8" borderId="6" xfId="0" applyFont="1" applyFill="1" applyBorder="1" applyAlignment="1">
      <alignment vertical="center" wrapText="1"/>
    </xf>
    <xf numFmtId="0" fontId="7" fillId="0" borderId="6" xfId="0" applyFont="1" applyBorder="1" applyAlignment="1" applyProtection="1">
      <alignment horizontal="left" vertical="top" wrapText="1"/>
      <protection locked="0"/>
    </xf>
    <xf numFmtId="164" fontId="7" fillId="0" borderId="6" xfId="3" applyFont="1" applyFill="1" applyBorder="1" applyAlignment="1" applyProtection="1">
      <alignment horizontal="center" vertical="center" wrapText="1"/>
      <protection locked="0"/>
    </xf>
    <xf numFmtId="9" fontId="7" fillId="0" borderId="6" xfId="2" applyFont="1" applyFill="1" applyBorder="1" applyAlignment="1" applyProtection="1">
      <alignment horizontal="center" vertical="center" wrapText="1"/>
      <protection locked="0"/>
    </xf>
    <xf numFmtId="164" fontId="0" fillId="0" borderId="6" xfId="0" applyNumberFormat="1" applyBorder="1" applyAlignment="1">
      <alignment vertical="center"/>
    </xf>
    <xf numFmtId="0" fontId="6" fillId="4" borderId="6" xfId="0" applyFont="1" applyFill="1" applyBorder="1" applyAlignment="1">
      <alignment vertical="center" wrapText="1"/>
    </xf>
    <xf numFmtId="164" fontId="6" fillId="4" borderId="6" xfId="3" applyFont="1" applyFill="1" applyBorder="1" applyAlignment="1" applyProtection="1">
      <alignment horizontal="center" vertical="center" wrapText="1"/>
    </xf>
    <xf numFmtId="164" fontId="6" fillId="0" borderId="6" xfId="3" applyFont="1" applyFill="1" applyBorder="1" applyAlignment="1" applyProtection="1">
      <alignment horizontal="center" vertical="center" wrapText="1"/>
    </xf>
    <xf numFmtId="0" fontId="8" fillId="0" borderId="6" xfId="0" applyFont="1" applyBorder="1" applyAlignment="1" applyProtection="1">
      <alignment horizontal="left" vertical="top" wrapText="1"/>
      <protection locked="0"/>
    </xf>
    <xf numFmtId="41" fontId="8" fillId="0" borderId="6" xfId="1" applyFont="1" applyBorder="1" applyAlignment="1" applyProtection="1">
      <alignment horizontal="center" vertical="center" wrapText="1"/>
      <protection locked="0"/>
    </xf>
    <xf numFmtId="41" fontId="8" fillId="0" borderId="6" xfId="1" applyFont="1" applyFill="1" applyBorder="1" applyAlignment="1" applyProtection="1">
      <alignment horizontal="center" vertical="center" wrapText="1"/>
      <protection locked="0"/>
    </xf>
    <xf numFmtId="164" fontId="7" fillId="4" borderId="16" xfId="3" applyFont="1" applyFill="1" applyBorder="1" applyAlignment="1" applyProtection="1">
      <alignment horizontal="center" vertical="center" wrapText="1"/>
    </xf>
    <xf numFmtId="9" fontId="7" fillId="0" borderId="16" xfId="2" applyFont="1" applyFill="1" applyBorder="1" applyAlignment="1" applyProtection="1">
      <alignment horizontal="center" vertical="center" wrapText="1"/>
      <protection locked="0"/>
    </xf>
    <xf numFmtId="164" fontId="7" fillId="4" borderId="6" xfId="3" applyFont="1" applyFill="1" applyBorder="1" applyAlignment="1" applyProtection="1">
      <alignment horizontal="center" vertical="center" wrapText="1"/>
    </xf>
    <xf numFmtId="0" fontId="9" fillId="0" borderId="0" xfId="0" applyFont="1" applyAlignment="1">
      <alignment wrapText="1"/>
    </xf>
    <xf numFmtId="164" fontId="6" fillId="4" borderId="17" xfId="3" applyFont="1" applyFill="1" applyBorder="1" applyAlignment="1" applyProtection="1">
      <alignment horizontal="center" vertical="center" wrapText="1"/>
    </xf>
    <xf numFmtId="164" fontId="6" fillId="0" borderId="17" xfId="3" applyFont="1" applyFill="1" applyBorder="1" applyAlignment="1" applyProtection="1">
      <alignment horizontal="center" vertical="center" wrapText="1"/>
    </xf>
    <xf numFmtId="0" fontId="6" fillId="4" borderId="7" xfId="0" applyFont="1" applyFill="1" applyBorder="1" applyAlignment="1">
      <alignment vertical="center" wrapText="1"/>
    </xf>
    <xf numFmtId="164" fontId="6" fillId="4" borderId="12" xfId="3" applyFont="1" applyFill="1" applyBorder="1" applyAlignment="1" applyProtection="1">
      <alignment horizontal="center" vertical="center" wrapText="1"/>
    </xf>
    <xf numFmtId="164" fontId="6" fillId="0" borderId="12" xfId="3" applyFont="1" applyFill="1" applyBorder="1" applyAlignment="1" applyProtection="1">
      <alignment horizontal="center" vertical="center" wrapText="1"/>
    </xf>
    <xf numFmtId="164" fontId="6" fillId="4" borderId="8" xfId="3" applyFont="1" applyFill="1" applyBorder="1" applyAlignment="1" applyProtection="1">
      <alignment horizontal="center" vertical="center" wrapText="1"/>
    </xf>
    <xf numFmtId="9" fontId="8" fillId="0" borderId="6" xfId="2" applyFont="1" applyBorder="1" applyAlignment="1" applyProtection="1">
      <alignment horizontal="center" vertical="center" wrapText="1"/>
      <protection locked="0"/>
    </xf>
    <xf numFmtId="0" fontId="6" fillId="7" borderId="6" xfId="0" applyFont="1" applyFill="1" applyBorder="1" applyAlignment="1">
      <alignment vertical="center" wrapText="1"/>
    </xf>
    <xf numFmtId="0" fontId="10" fillId="3" borderId="6" xfId="0" applyFont="1" applyFill="1" applyBorder="1" applyAlignment="1">
      <alignment vertical="center" wrapText="1"/>
    </xf>
    <xf numFmtId="0" fontId="7" fillId="3" borderId="6" xfId="0" applyFont="1" applyFill="1" applyBorder="1" applyAlignment="1" applyProtection="1">
      <alignment vertical="center" wrapText="1"/>
      <protection locked="0"/>
    </xf>
    <xf numFmtId="0" fontId="0" fillId="0" borderId="6" xfId="0" applyBorder="1"/>
    <xf numFmtId="0" fontId="7" fillId="3" borderId="10" xfId="0" applyFont="1" applyFill="1" applyBorder="1" applyAlignment="1" applyProtection="1">
      <alignment vertical="center" wrapText="1"/>
      <protection locked="0"/>
    </xf>
    <xf numFmtId="0" fontId="6" fillId="4" borderId="16" xfId="0" applyFont="1" applyFill="1" applyBorder="1" applyAlignment="1">
      <alignment vertical="center" wrapText="1"/>
    </xf>
    <xf numFmtId="0" fontId="6" fillId="3" borderId="0" xfId="0" applyFont="1" applyFill="1" applyAlignment="1">
      <alignment vertical="center" wrapText="1"/>
    </xf>
    <xf numFmtId="0" fontId="6" fillId="10" borderId="6" xfId="0" applyFont="1" applyFill="1" applyBorder="1" applyAlignment="1" applyProtection="1">
      <alignment vertical="center" wrapText="1"/>
      <protection locked="0"/>
    </xf>
    <xf numFmtId="164" fontId="6" fillId="10" borderId="6" xfId="3" applyFont="1" applyFill="1" applyBorder="1" applyAlignment="1" applyProtection="1">
      <alignment vertical="center" wrapText="1"/>
    </xf>
    <xf numFmtId="0" fontId="6" fillId="4" borderId="6" xfId="3" applyNumberFormat="1" applyFont="1" applyFill="1" applyBorder="1" applyAlignment="1" applyProtection="1">
      <alignment horizontal="center" vertical="center" wrapText="1"/>
    </xf>
    <xf numFmtId="0" fontId="6" fillId="0" borderId="6" xfId="3" applyNumberFormat="1" applyFont="1" applyFill="1" applyBorder="1" applyAlignment="1" applyProtection="1">
      <alignment horizontal="center" vertical="center" wrapText="1"/>
    </xf>
    <xf numFmtId="0" fontId="7" fillId="4" borderId="5" xfId="0" applyFont="1" applyFill="1" applyBorder="1" applyAlignment="1">
      <alignment vertical="center" wrapText="1"/>
    </xf>
    <xf numFmtId="0" fontId="6" fillId="4" borderId="25" xfId="0" applyFont="1" applyFill="1" applyBorder="1" applyAlignment="1">
      <alignment vertical="center" wrapText="1"/>
    </xf>
    <xf numFmtId="164" fontId="6" fillId="11" borderId="6" xfId="3" applyFont="1" applyFill="1" applyBorder="1" applyAlignment="1" applyProtection="1">
      <alignment horizontal="center" vertical="center" wrapText="1"/>
    </xf>
    <xf numFmtId="0" fontId="0" fillId="11" borderId="6" xfId="0" applyFill="1" applyBorder="1"/>
    <xf numFmtId="164" fontId="6" fillId="4" borderId="28" xfId="3" applyFont="1" applyFill="1" applyBorder="1" applyAlignment="1" applyProtection="1">
      <alignment horizontal="center" vertical="center" wrapText="1"/>
    </xf>
    <xf numFmtId="0" fontId="0" fillId="0" borderId="16" xfId="0" applyBorder="1"/>
    <xf numFmtId="0" fontId="7" fillId="8" borderId="16" xfId="0" applyFont="1" applyFill="1" applyBorder="1" applyAlignment="1">
      <alignment vertical="center" wrapText="1"/>
    </xf>
    <xf numFmtId="0" fontId="8" fillId="0" borderId="16" xfId="0" applyFont="1" applyBorder="1" applyAlignment="1" applyProtection="1">
      <alignment horizontal="left" vertical="top" wrapText="1"/>
      <protection locked="0"/>
    </xf>
    <xf numFmtId="9" fontId="8" fillId="0" borderId="16" xfId="2" applyFont="1" applyBorder="1" applyAlignment="1" applyProtection="1">
      <alignment horizontal="center" vertical="center" wrapText="1"/>
      <protection locked="0"/>
    </xf>
    <xf numFmtId="164" fontId="6" fillId="11" borderId="28" xfId="3" applyFont="1" applyFill="1" applyBorder="1" applyAlignment="1" applyProtection="1">
      <alignment horizontal="center" vertical="center" wrapText="1"/>
    </xf>
    <xf numFmtId="164" fontId="0" fillId="11" borderId="6" xfId="0" applyNumberFormat="1" applyFill="1" applyBorder="1" applyAlignment="1">
      <alignment vertical="center"/>
    </xf>
    <xf numFmtId="0" fontId="6" fillId="3" borderId="7" xfId="0" applyFont="1" applyFill="1" applyBorder="1" applyAlignment="1" applyProtection="1">
      <alignment vertical="top" wrapText="1"/>
      <protection locked="0"/>
    </xf>
    <xf numFmtId="0" fontId="6" fillId="3" borderId="8" xfId="0" applyFont="1" applyFill="1" applyBorder="1" applyAlignment="1" applyProtection="1">
      <alignment vertical="top" wrapText="1"/>
      <protection locked="0"/>
    </xf>
    <xf numFmtId="0" fontId="11" fillId="0" borderId="0" xfId="0" applyFont="1"/>
    <xf numFmtId="0" fontId="11" fillId="0" borderId="0" xfId="0" applyFont="1" applyAlignment="1">
      <alignment wrapText="1"/>
    </xf>
    <xf numFmtId="0" fontId="11" fillId="3" borderId="0" xfId="0" applyFont="1" applyFill="1" applyAlignment="1">
      <alignment horizontal="right" wrapText="1"/>
    </xf>
    <xf numFmtId="0" fontId="3" fillId="0" borderId="0" xfId="0" applyFont="1" applyAlignment="1">
      <alignment wrapText="1"/>
    </xf>
    <xf numFmtId="0" fontId="5" fillId="0" borderId="0" xfId="0" applyFont="1" applyAlignment="1">
      <alignment horizontal="right" wrapText="1"/>
    </xf>
    <xf numFmtId="0" fontId="5" fillId="0" borderId="0" xfId="0" applyFont="1" applyAlignment="1">
      <alignment wrapText="1"/>
    </xf>
    <xf numFmtId="0" fontId="3" fillId="0" borderId="0" xfId="0" applyFont="1" applyAlignment="1">
      <alignment horizontal="right" wrapText="1"/>
    </xf>
    <xf numFmtId="0" fontId="5" fillId="3" borderId="0" xfId="0" applyFont="1" applyFill="1" applyAlignment="1">
      <alignment horizontal="left" wrapText="1"/>
    </xf>
    <xf numFmtId="0" fontId="5" fillId="3" borderId="0" xfId="0" applyFont="1" applyFill="1" applyAlignment="1">
      <alignment horizontal="right" wrapText="1"/>
    </xf>
    <xf numFmtId="166" fontId="15" fillId="11" borderId="6" xfId="6" applyFont="1" applyFill="1" applyBorder="1" applyAlignment="1">
      <alignment wrapText="1"/>
    </xf>
    <xf numFmtId="0" fontId="16" fillId="9" borderId="6" xfId="0" applyFont="1" applyFill="1" applyBorder="1" applyAlignment="1">
      <alignment vertical="center" wrapText="1"/>
    </xf>
    <xf numFmtId="0" fontId="16" fillId="9" borderId="6" xfId="0" applyFont="1" applyFill="1" applyBorder="1" applyAlignment="1" applyProtection="1">
      <alignment vertical="center" wrapText="1"/>
      <protection locked="0"/>
    </xf>
    <xf numFmtId="0" fontId="16" fillId="9" borderId="16" xfId="0" applyFont="1" applyFill="1" applyBorder="1" applyAlignment="1">
      <alignment vertical="center" wrapText="1"/>
    </xf>
    <xf numFmtId="0" fontId="15" fillId="9" borderId="26" xfId="0" applyFont="1" applyFill="1" applyBorder="1" applyAlignment="1">
      <alignment horizontal="left" wrapText="1"/>
    </xf>
    <xf numFmtId="166" fontId="15" fillId="11" borderId="17" xfId="6" applyFont="1" applyFill="1" applyBorder="1" applyAlignment="1">
      <alignment wrapText="1"/>
    </xf>
    <xf numFmtId="0" fontId="15" fillId="9" borderId="33" xfId="0" applyFont="1" applyFill="1" applyBorder="1" applyAlignment="1">
      <alignment horizontal="left" wrapText="1"/>
    </xf>
    <xf numFmtId="0" fontId="11" fillId="3" borderId="0" xfId="0" applyFont="1" applyFill="1" applyAlignment="1">
      <alignment wrapText="1"/>
    </xf>
    <xf numFmtId="0" fontId="12" fillId="3" borderId="0" xfId="0" applyFont="1" applyFill="1" applyAlignment="1">
      <alignment horizontal="left" wrapText="1"/>
    </xf>
    <xf numFmtId="0" fontId="12" fillId="3" borderId="0" xfId="0" applyFont="1" applyFill="1" applyAlignment="1">
      <alignment horizontal="right" wrapText="1"/>
    </xf>
    <xf numFmtId="0" fontId="11" fillId="12" borderId="6"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1" fillId="13" borderId="6"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1" fillId="0" borderId="6" xfId="0" applyFont="1" applyBorder="1" applyAlignment="1">
      <alignment horizontal="left" wrapText="1"/>
    </xf>
    <xf numFmtId="0" fontId="12" fillId="14" borderId="6" xfId="0" applyFont="1" applyFill="1" applyBorder="1" applyAlignment="1">
      <alignment horizontal="center" vertical="center" wrapText="1"/>
    </xf>
    <xf numFmtId="0" fontId="8" fillId="0" borderId="0" xfId="0" applyFont="1" applyAlignment="1">
      <alignment wrapText="1"/>
    </xf>
    <xf numFmtId="0" fontId="15" fillId="9" borderId="1" xfId="0" applyFont="1" applyFill="1" applyBorder="1" applyAlignment="1">
      <alignment wrapText="1"/>
    </xf>
    <xf numFmtId="0" fontId="15" fillId="9" borderId="32" xfId="0" applyFont="1" applyFill="1" applyBorder="1" applyAlignment="1">
      <alignment horizontal="center" wrapText="1"/>
    </xf>
    <xf numFmtId="0" fontId="15" fillId="9" borderId="23" xfId="0" applyFont="1" applyFill="1" applyBorder="1" applyAlignment="1">
      <alignment horizontal="center" wrapText="1"/>
    </xf>
    <xf numFmtId="0" fontId="19" fillId="9" borderId="34" xfId="0" applyFont="1" applyFill="1" applyBorder="1" applyAlignment="1">
      <alignment vertical="center" wrapText="1"/>
    </xf>
    <xf numFmtId="0" fontId="19" fillId="9" borderId="35" xfId="0" applyFont="1" applyFill="1" applyBorder="1" applyAlignment="1">
      <alignment vertical="center" wrapText="1"/>
    </xf>
    <xf numFmtId="0" fontId="19" fillId="9" borderId="35" xfId="0" applyFont="1" applyFill="1" applyBorder="1" applyAlignment="1" applyProtection="1">
      <alignment vertical="center" wrapText="1"/>
      <protection locked="0"/>
    </xf>
    <xf numFmtId="0" fontId="8" fillId="9" borderId="35" xfId="0" applyFont="1" applyFill="1" applyBorder="1" applyAlignment="1">
      <alignment vertical="center" wrapText="1"/>
    </xf>
    <xf numFmtId="0" fontId="18" fillId="0" borderId="0" xfId="0" applyFont="1"/>
    <xf numFmtId="0" fontId="18" fillId="16" borderId="5" xfId="0" applyFont="1" applyFill="1" applyBorder="1" applyAlignment="1">
      <alignment horizontal="center" vertical="center" wrapText="1"/>
    </xf>
    <xf numFmtId="0" fontId="18" fillId="16" borderId="10" xfId="0" applyFont="1" applyFill="1" applyBorder="1" applyAlignment="1">
      <alignment horizontal="center" vertical="center" wrapText="1"/>
    </xf>
    <xf numFmtId="0" fontId="18" fillId="15" borderId="10" xfId="0" applyFont="1" applyFill="1" applyBorder="1" applyAlignment="1">
      <alignment horizontal="center" vertical="center" wrapText="1"/>
    </xf>
    <xf numFmtId="0" fontId="0" fillId="0" borderId="35" xfId="0" applyBorder="1" applyAlignment="1">
      <alignment vertical="center" wrapText="1"/>
    </xf>
    <xf numFmtId="0" fontId="18" fillId="17" borderId="35" xfId="0" applyFont="1" applyFill="1" applyBorder="1" applyAlignment="1">
      <alignment vertical="center" wrapText="1"/>
    </xf>
    <xf numFmtId="0" fontId="18" fillId="17" borderId="37" xfId="0" applyFont="1" applyFill="1" applyBorder="1" applyAlignment="1">
      <alignment vertical="center" wrapText="1"/>
    </xf>
    <xf numFmtId="9" fontId="0" fillId="0" borderId="0" xfId="2" applyFont="1"/>
    <xf numFmtId="164" fontId="15" fillId="9" borderId="33" xfId="0" applyNumberFormat="1" applyFont="1" applyFill="1" applyBorder="1" applyAlignment="1">
      <alignment horizontal="center" wrapText="1"/>
    </xf>
    <xf numFmtId="164" fontId="15" fillId="9" borderId="33" xfId="0" applyNumberFormat="1" applyFont="1" applyFill="1" applyBorder="1" applyAlignment="1">
      <alignment wrapText="1"/>
    </xf>
    <xf numFmtId="164" fontId="8" fillId="0" borderId="16" xfId="0" applyNumberFormat="1" applyFont="1" applyBorder="1" applyAlignment="1" applyProtection="1">
      <alignment wrapText="1"/>
      <protection locked="0"/>
    </xf>
    <xf numFmtId="164" fontId="8" fillId="18" borderId="16" xfId="3" applyFont="1" applyFill="1" applyBorder="1" applyAlignment="1" applyProtection="1">
      <alignment horizontal="center" vertical="center" wrapText="1"/>
      <protection locked="0"/>
    </xf>
    <xf numFmtId="164" fontId="15" fillId="9" borderId="16" xfId="0" applyNumberFormat="1" applyFont="1" applyFill="1" applyBorder="1" applyAlignment="1">
      <alignment wrapText="1"/>
    </xf>
    <xf numFmtId="164" fontId="8" fillId="0" borderId="6" xfId="0" applyNumberFormat="1" applyFont="1" applyBorder="1" applyAlignment="1" applyProtection="1">
      <alignment wrapText="1"/>
      <protection locked="0"/>
    </xf>
    <xf numFmtId="164" fontId="8" fillId="18" borderId="6" xfId="3" applyFont="1" applyFill="1" applyBorder="1" applyAlignment="1" applyProtection="1">
      <alignment horizontal="center" vertical="center" wrapText="1"/>
      <protection locked="0"/>
    </xf>
    <xf numFmtId="164" fontId="15" fillId="9" borderId="6" xfId="0" applyNumberFormat="1" applyFont="1" applyFill="1" applyBorder="1" applyAlignment="1">
      <alignment wrapText="1"/>
    </xf>
    <xf numFmtId="164" fontId="15" fillId="11" borderId="6" xfId="6" applyNumberFormat="1" applyFont="1" applyFill="1" applyBorder="1" applyAlignment="1">
      <alignment wrapText="1"/>
    </xf>
    <xf numFmtId="164" fontId="15" fillId="9" borderId="26" xfId="0" applyNumberFormat="1" applyFont="1" applyFill="1" applyBorder="1" applyAlignment="1">
      <alignment horizontal="center" wrapText="1"/>
    </xf>
    <xf numFmtId="164" fontId="15" fillId="9" borderId="26" xfId="0" applyNumberFormat="1" applyFont="1" applyFill="1" applyBorder="1" applyAlignment="1">
      <alignment wrapText="1"/>
    </xf>
    <xf numFmtId="164" fontId="8" fillId="18" borderId="16" xfId="6" applyNumberFormat="1" applyFont="1" applyFill="1" applyBorder="1" applyAlignment="1" applyProtection="1">
      <alignment horizontal="center" vertical="center" wrapText="1"/>
      <protection locked="0"/>
    </xf>
    <xf numFmtId="164" fontId="8" fillId="18" borderId="6" xfId="6" applyNumberFormat="1" applyFont="1" applyFill="1" applyBorder="1" applyAlignment="1" applyProtection="1">
      <alignment horizontal="center" vertical="center" wrapText="1"/>
      <protection locked="0"/>
    </xf>
    <xf numFmtId="164" fontId="15" fillId="11" borderId="17" xfId="6" applyNumberFormat="1" applyFont="1" applyFill="1" applyBorder="1" applyAlignment="1">
      <alignment wrapText="1"/>
    </xf>
    <xf numFmtId="164" fontId="15" fillId="9" borderId="17" xfId="0" applyNumberFormat="1" applyFont="1" applyFill="1" applyBorder="1" applyAlignment="1">
      <alignment wrapText="1"/>
    </xf>
    <xf numFmtId="164" fontId="8" fillId="18" borderId="6" xfId="0" applyNumberFormat="1" applyFont="1" applyFill="1" applyBorder="1" applyAlignment="1" applyProtection="1">
      <alignment wrapText="1"/>
      <protection locked="0"/>
    </xf>
    <xf numFmtId="164" fontId="8" fillId="0" borderId="6" xfId="3" applyFont="1" applyBorder="1" applyAlignment="1" applyProtection="1">
      <alignment vertical="center" wrapText="1"/>
      <protection locked="0"/>
    </xf>
    <xf numFmtId="164" fontId="15" fillId="19" borderId="6" xfId="0" applyNumberFormat="1" applyFont="1" applyFill="1" applyBorder="1" applyAlignment="1" applyProtection="1">
      <alignment wrapText="1"/>
      <protection locked="0"/>
    </xf>
    <xf numFmtId="164" fontId="18" fillId="11" borderId="6" xfId="0" applyNumberFormat="1" applyFont="1" applyFill="1" applyBorder="1"/>
    <xf numFmtId="164" fontId="7" fillId="0" borderId="16" xfId="3" applyFont="1" applyFill="1" applyBorder="1" applyAlignment="1" applyProtection="1">
      <alignment horizontal="center" vertical="center" wrapText="1"/>
      <protection locked="0"/>
    </xf>
    <xf numFmtId="164" fontId="6" fillId="11" borderId="6" xfId="3" applyFont="1" applyFill="1" applyBorder="1" applyAlignment="1" applyProtection="1">
      <alignment vertical="center" wrapText="1"/>
    </xf>
    <xf numFmtId="164" fontId="8" fillId="20" borderId="6" xfId="0" applyNumberFormat="1" applyFont="1" applyFill="1" applyBorder="1" applyAlignment="1" applyProtection="1">
      <alignment wrapText="1"/>
      <protection locked="0"/>
    </xf>
    <xf numFmtId="164" fontId="15" fillId="20" borderId="6" xfId="0" applyNumberFormat="1" applyFont="1" applyFill="1" applyBorder="1" applyAlignment="1" applyProtection="1">
      <alignment wrapText="1"/>
      <protection locked="0"/>
    </xf>
    <xf numFmtId="164" fontId="8" fillId="21" borderId="6" xfId="0" applyNumberFormat="1" applyFont="1" applyFill="1" applyBorder="1" applyAlignment="1" applyProtection="1">
      <alignment wrapText="1"/>
      <protection locked="0"/>
    </xf>
    <xf numFmtId="164" fontId="15" fillId="21" borderId="6" xfId="0" applyNumberFormat="1" applyFont="1" applyFill="1" applyBorder="1" applyAlignment="1" applyProtection="1">
      <alignment wrapText="1"/>
      <protection locked="0"/>
    </xf>
    <xf numFmtId="0" fontId="11" fillId="23" borderId="6" xfId="0" applyFont="1" applyFill="1" applyBorder="1" applyAlignment="1">
      <alignment horizontal="center" vertical="center" wrapText="1"/>
    </xf>
    <xf numFmtId="0" fontId="12" fillId="23" borderId="6" xfId="0" applyFont="1" applyFill="1" applyBorder="1" applyAlignment="1">
      <alignment horizontal="center" vertical="center" wrapText="1"/>
    </xf>
    <xf numFmtId="164" fontId="0" fillId="0" borderId="6" xfId="3" applyFont="1" applyBorder="1" applyAlignment="1">
      <alignment vertical="center"/>
    </xf>
    <xf numFmtId="164" fontId="0" fillId="22" borderId="6" xfId="3" applyFont="1" applyFill="1" applyBorder="1"/>
    <xf numFmtId="164" fontId="18" fillId="22" borderId="6" xfId="3" applyFont="1" applyFill="1" applyBorder="1"/>
    <xf numFmtId="164" fontId="8" fillId="0" borderId="6" xfId="0" applyNumberFormat="1" applyFont="1" applyBorder="1" applyAlignment="1" applyProtection="1">
      <alignment horizontal="left" wrapText="1"/>
      <protection locked="0"/>
    </xf>
    <xf numFmtId="169" fontId="8" fillId="0" borderId="6" xfId="0" applyNumberFormat="1" applyFont="1" applyBorder="1" applyAlignment="1" applyProtection="1">
      <alignment horizontal="left" wrapText="1"/>
      <protection locked="0"/>
    </xf>
    <xf numFmtId="164" fontId="18" fillId="25" borderId="6" xfId="3" applyFont="1" applyFill="1" applyBorder="1"/>
    <xf numFmtId="0" fontId="18" fillId="9" borderId="36" xfId="0" applyFont="1" applyFill="1" applyBorder="1" applyAlignment="1">
      <alignment wrapText="1"/>
    </xf>
    <xf numFmtId="164" fontId="7" fillId="18" borderId="6" xfId="3" applyFont="1" applyFill="1" applyBorder="1" applyAlignment="1" applyProtection="1">
      <alignment horizontal="center" vertical="center" wrapText="1"/>
      <protection locked="0"/>
    </xf>
    <xf numFmtId="43" fontId="0" fillId="0" borderId="0" xfId="0" applyNumberFormat="1"/>
    <xf numFmtId="164" fontId="18" fillId="11" borderId="6" xfId="3" applyFont="1" applyFill="1" applyBorder="1" applyAlignment="1">
      <alignment vertical="center"/>
    </xf>
    <xf numFmtId="0" fontId="4" fillId="26" borderId="4" xfId="0" applyFont="1" applyFill="1" applyBorder="1" applyAlignment="1">
      <alignment horizontal="center" vertical="center" wrapText="1"/>
    </xf>
    <xf numFmtId="164" fontId="0" fillId="27" borderId="6" xfId="0" applyNumberFormat="1" applyFill="1" applyBorder="1" applyAlignment="1">
      <alignment vertical="center"/>
    </xf>
    <xf numFmtId="164" fontId="15" fillId="28" borderId="33" xfId="0" applyNumberFormat="1" applyFont="1" applyFill="1" applyBorder="1" applyAlignment="1">
      <alignment wrapText="1"/>
    </xf>
    <xf numFmtId="164" fontId="15" fillId="28" borderId="6" xfId="6" applyNumberFormat="1" applyFont="1" applyFill="1" applyBorder="1" applyAlignment="1">
      <alignment wrapText="1"/>
    </xf>
    <xf numFmtId="164" fontId="15" fillId="29" borderId="33" xfId="0" applyNumberFormat="1" applyFont="1" applyFill="1" applyBorder="1" applyAlignment="1">
      <alignment wrapText="1"/>
    </xf>
    <xf numFmtId="164" fontId="15" fillId="29" borderId="6" xfId="6" applyNumberFormat="1" applyFont="1" applyFill="1" applyBorder="1" applyAlignment="1">
      <alignment wrapText="1"/>
    </xf>
    <xf numFmtId="164" fontId="18" fillId="30" borderId="6" xfId="3" applyFont="1" applyFill="1" applyBorder="1"/>
    <xf numFmtId="164" fontId="18" fillId="25" borderId="6" xfId="0" applyNumberFormat="1" applyFont="1" applyFill="1" applyBorder="1"/>
    <xf numFmtId="164" fontId="0" fillId="21" borderId="6" xfId="3" applyFont="1" applyFill="1" applyBorder="1" applyAlignment="1">
      <alignment vertical="center"/>
    </xf>
    <xf numFmtId="164" fontId="0" fillId="21" borderId="6" xfId="0" applyNumberFormat="1" applyFill="1" applyBorder="1"/>
    <xf numFmtId="164" fontId="1" fillId="21" borderId="6" xfId="3" applyFont="1" applyFill="1" applyBorder="1" applyAlignment="1">
      <alignment vertical="center"/>
    </xf>
    <xf numFmtId="164" fontId="0" fillId="21" borderId="16" xfId="3" applyFont="1" applyFill="1" applyBorder="1" applyAlignment="1">
      <alignment vertical="center"/>
    </xf>
    <xf numFmtId="0" fontId="4" fillId="26" borderId="3" xfId="0" applyFont="1" applyFill="1" applyBorder="1" applyAlignment="1">
      <alignment horizontal="center" vertical="center" wrapText="1"/>
    </xf>
    <xf numFmtId="164" fontId="7" fillId="26" borderId="5" xfId="0" applyNumberFormat="1" applyFont="1" applyFill="1" applyBorder="1" applyAlignment="1">
      <alignment vertical="center" wrapText="1"/>
    </xf>
    <xf numFmtId="164" fontId="6" fillId="26" borderId="25" xfId="3" applyFont="1" applyFill="1" applyBorder="1" applyAlignment="1" applyProtection="1">
      <alignment vertical="center" wrapText="1"/>
    </xf>
    <xf numFmtId="164" fontId="7" fillId="32" borderId="5" xfId="0" applyNumberFormat="1" applyFont="1" applyFill="1" applyBorder="1" applyAlignment="1">
      <alignment vertical="center" wrapText="1"/>
    </xf>
    <xf numFmtId="164" fontId="7" fillId="33" borderId="10" xfId="0" applyNumberFormat="1" applyFont="1" applyFill="1" applyBorder="1" applyAlignment="1">
      <alignment vertical="center" wrapText="1"/>
    </xf>
    <xf numFmtId="0" fontId="4" fillId="32" borderId="38" xfId="0" applyFont="1" applyFill="1" applyBorder="1" applyAlignment="1">
      <alignment horizontal="center" vertical="center" wrapText="1"/>
    </xf>
    <xf numFmtId="0" fontId="4" fillId="33" borderId="39" xfId="0" applyFont="1" applyFill="1" applyBorder="1" applyAlignment="1">
      <alignment horizontal="center" vertical="center" wrapText="1"/>
    </xf>
    <xf numFmtId="0" fontId="12" fillId="34" borderId="6" xfId="0" applyFont="1" applyFill="1" applyBorder="1" applyAlignment="1">
      <alignment horizontal="center" vertical="center" wrapText="1"/>
    </xf>
    <xf numFmtId="164" fontId="18" fillId="19" borderId="6" xfId="0" applyNumberFormat="1" applyFont="1" applyFill="1" applyBorder="1"/>
    <xf numFmtId="0" fontId="0" fillId="0" borderId="6" xfId="0" applyBorder="1" applyAlignment="1">
      <alignment wrapText="1"/>
    </xf>
    <xf numFmtId="164" fontId="7" fillId="27" borderId="16" xfId="3" applyFont="1" applyFill="1" applyBorder="1" applyAlignment="1" applyProtection="1">
      <alignment horizontal="center" vertical="center" wrapText="1"/>
      <protection locked="0"/>
    </xf>
    <xf numFmtId="0" fontId="21" fillId="0" borderId="0" xfId="0" applyFont="1" applyAlignment="1">
      <alignment wrapText="1"/>
    </xf>
    <xf numFmtId="164" fontId="7" fillId="27" borderId="6" xfId="3" applyFont="1" applyFill="1" applyBorder="1" applyAlignment="1" applyProtection="1">
      <alignment vertical="center" wrapText="1"/>
      <protection locked="0"/>
    </xf>
    <xf numFmtId="164" fontId="6" fillId="4" borderId="27" xfId="3" applyFont="1" applyFill="1" applyBorder="1" applyAlignment="1" applyProtection="1">
      <alignment vertical="center" wrapText="1"/>
    </xf>
    <xf numFmtId="164" fontId="7" fillId="4" borderId="6" xfId="0" applyNumberFormat="1" applyFont="1" applyFill="1" applyBorder="1" applyAlignment="1">
      <alignment vertical="center" wrapText="1"/>
    </xf>
    <xf numFmtId="164" fontId="7" fillId="0" borderId="6" xfId="0" applyNumberFormat="1" applyFont="1" applyBorder="1" applyAlignment="1">
      <alignment vertical="center" wrapText="1"/>
    </xf>
    <xf numFmtId="164" fontId="7" fillId="4" borderId="9" xfId="0" applyNumberFormat="1" applyFont="1" applyFill="1" applyBorder="1" applyAlignment="1">
      <alignment vertical="center" wrapText="1"/>
    </xf>
    <xf numFmtId="164" fontId="6" fillId="4" borderId="26" xfId="3" applyFont="1" applyFill="1" applyBorder="1" applyAlignment="1" applyProtection="1">
      <alignment vertical="center" wrapText="1"/>
    </xf>
    <xf numFmtId="164" fontId="6" fillId="0" borderId="26" xfId="3" applyFont="1" applyFill="1" applyBorder="1" applyAlignment="1" applyProtection="1">
      <alignment vertical="center" wrapText="1"/>
    </xf>
    <xf numFmtId="164" fontId="0" fillId="0" borderId="0" xfId="0" applyNumberFormat="1"/>
    <xf numFmtId="164" fontId="22" fillId="18" borderId="6" xfId="3" applyFont="1" applyFill="1" applyBorder="1" applyAlignment="1" applyProtection="1">
      <alignment horizontal="center" vertical="center" wrapText="1"/>
      <protection locked="0"/>
    </xf>
    <xf numFmtId="0" fontId="0" fillId="11" borderId="7" xfId="0" applyFill="1" applyBorder="1"/>
    <xf numFmtId="0" fontId="18" fillId="11" borderId="7" xfId="0" applyFont="1" applyFill="1" applyBorder="1"/>
    <xf numFmtId="9" fontId="18" fillId="0" borderId="0" xfId="2" applyFont="1" applyAlignment="1">
      <alignment horizontal="center"/>
    </xf>
    <xf numFmtId="0" fontId="5" fillId="3" borderId="29" xfId="0" applyFont="1" applyFill="1" applyBorder="1" applyAlignment="1">
      <alignment horizontal="center" vertical="center" wrapText="1"/>
    </xf>
    <xf numFmtId="0" fontId="15" fillId="9" borderId="16" xfId="0" applyFont="1" applyFill="1" applyBorder="1" applyAlignment="1">
      <alignment wrapText="1"/>
    </xf>
    <xf numFmtId="164" fontId="8" fillId="18" borderId="6" xfId="1" applyNumberFormat="1" applyFont="1" applyFill="1" applyBorder="1" applyAlignment="1">
      <alignment wrapText="1"/>
    </xf>
    <xf numFmtId="164" fontId="8" fillId="0" borderId="6" xfId="23" applyFont="1" applyBorder="1" applyAlignment="1" applyProtection="1">
      <alignment horizontal="left" wrapText="1"/>
      <protection locked="0"/>
    </xf>
    <xf numFmtId="165" fontId="0" fillId="0" borderId="0" xfId="0" applyNumberFormat="1"/>
    <xf numFmtId="164" fontId="6" fillId="33" borderId="10" xfId="0" applyNumberFormat="1" applyFont="1" applyFill="1" applyBorder="1" applyAlignment="1">
      <alignment vertical="center" wrapText="1"/>
    </xf>
    <xf numFmtId="9" fontId="0" fillId="0" borderId="6" xfId="0" applyNumberFormat="1" applyBorder="1"/>
    <xf numFmtId="9" fontId="7" fillId="3" borderId="6" xfId="0" applyNumberFormat="1" applyFont="1" applyFill="1" applyBorder="1" applyAlignment="1" applyProtection="1">
      <alignment horizontal="left" vertical="top" wrapText="1"/>
      <protection locked="0"/>
    </xf>
    <xf numFmtId="164" fontId="25" fillId="35" borderId="6" xfId="0" applyNumberFormat="1" applyFont="1" applyFill="1" applyBorder="1" applyAlignment="1">
      <alignment wrapText="1"/>
    </xf>
    <xf numFmtId="164" fontId="25" fillId="35" borderId="16" xfId="0" applyNumberFormat="1" applyFont="1" applyFill="1" applyBorder="1" applyAlignment="1">
      <alignment wrapText="1"/>
    </xf>
    <xf numFmtId="164" fontId="24" fillId="26" borderId="6" xfId="0" applyNumberFormat="1" applyFont="1" applyFill="1" applyBorder="1"/>
    <xf numFmtId="164" fontId="24" fillId="26" borderId="16" xfId="0" applyNumberFormat="1" applyFont="1" applyFill="1" applyBorder="1"/>
    <xf numFmtId="164" fontId="8" fillId="22" borderId="6" xfId="0" applyNumberFormat="1" applyFont="1" applyFill="1" applyBorder="1" applyAlignment="1" applyProtection="1">
      <alignment wrapText="1"/>
      <protection locked="0"/>
    </xf>
    <xf numFmtId="164" fontId="18" fillId="18" borderId="6" xfId="3" applyFont="1" applyFill="1" applyBorder="1"/>
    <xf numFmtId="164" fontId="15" fillId="36" borderId="6" xfId="0" applyNumberFormat="1" applyFont="1" applyFill="1" applyBorder="1" applyAlignment="1" applyProtection="1">
      <alignment horizontal="left" wrapText="1"/>
      <protection locked="0"/>
    </xf>
    <xf numFmtId="169" fontId="15" fillId="36" borderId="6" xfId="0" applyNumberFormat="1" applyFont="1" applyFill="1" applyBorder="1" applyAlignment="1" applyProtection="1">
      <alignment horizontal="left" wrapText="1"/>
      <protection locked="0"/>
    </xf>
    <xf numFmtId="164" fontId="15" fillId="36" borderId="6" xfId="23" applyFont="1" applyFill="1" applyBorder="1" applyAlignment="1" applyProtection="1">
      <alignment horizontal="left" wrapText="1"/>
      <protection locked="0"/>
    </xf>
    <xf numFmtId="169" fontId="26" fillId="0" borderId="6" xfId="0" applyNumberFormat="1" applyFont="1" applyBorder="1" applyAlignment="1" applyProtection="1">
      <alignment horizontal="left" wrapText="1"/>
      <protection locked="0"/>
    </xf>
    <xf numFmtId="0" fontId="12" fillId="0" borderId="0" xfId="0" applyFont="1" applyAlignment="1">
      <alignment horizontal="center" wrapText="1"/>
    </xf>
    <xf numFmtId="0" fontId="12" fillId="0" borderId="0" xfId="0" applyFont="1" applyAlignment="1">
      <alignment horizontal="center" vertical="center" wrapText="1"/>
    </xf>
    <xf numFmtId="0" fontId="17" fillId="0" borderId="0" xfId="0" applyFont="1" applyAlignment="1">
      <alignment horizontal="left" wrapText="1"/>
    </xf>
    <xf numFmtId="164" fontId="18" fillId="0" borderId="0" xfId="0" applyNumberFormat="1" applyFont="1"/>
    <xf numFmtId="0" fontId="15" fillId="0" borderId="0" xfId="0" applyFont="1" applyAlignment="1">
      <alignment horizontal="left" wrapText="1"/>
    </xf>
    <xf numFmtId="164" fontId="18" fillId="0" borderId="0" xfId="3" applyFont="1" applyFill="1" applyBorder="1"/>
    <xf numFmtId="0" fontId="0" fillId="0" borderId="0" xfId="0" applyAlignment="1">
      <alignment horizontal="left" vertical="center"/>
    </xf>
    <xf numFmtId="43" fontId="0" fillId="0" borderId="0" xfId="24" applyFont="1" applyBorder="1"/>
    <xf numFmtId="164" fontId="8" fillId="21" borderId="16" xfId="0" applyNumberFormat="1" applyFont="1" applyFill="1" applyBorder="1" applyAlignment="1" applyProtection="1">
      <alignment wrapText="1"/>
      <protection locked="0"/>
    </xf>
    <xf numFmtId="164" fontId="15" fillId="11" borderId="26" xfId="6" applyNumberFormat="1" applyFont="1" applyFill="1" applyBorder="1" applyAlignment="1">
      <alignment wrapText="1"/>
    </xf>
    <xf numFmtId="164" fontId="15" fillId="28" borderId="26" xfId="0" applyNumberFormat="1" applyFont="1" applyFill="1" applyBorder="1" applyAlignment="1">
      <alignment wrapText="1"/>
    </xf>
    <xf numFmtId="164" fontId="15" fillId="29" borderId="26" xfId="0" applyNumberFormat="1" applyFont="1" applyFill="1" applyBorder="1" applyAlignment="1">
      <alignment wrapText="1"/>
    </xf>
    <xf numFmtId="0" fontId="0" fillId="0" borderId="13" xfId="0" applyBorder="1"/>
    <xf numFmtId="0" fontId="0" fillId="0" borderId="14" xfId="0" applyBorder="1"/>
    <xf numFmtId="0" fontId="22" fillId="8" borderId="6" xfId="0" applyFont="1" applyFill="1" applyBorder="1" applyAlignment="1">
      <alignment vertical="center" wrapText="1"/>
    </xf>
    <xf numFmtId="164" fontId="6" fillId="32" borderId="25" xfId="3" applyFont="1" applyFill="1" applyBorder="1" applyAlignment="1" applyProtection="1">
      <alignment vertical="center" wrapText="1"/>
    </xf>
    <xf numFmtId="164" fontId="7" fillId="27" borderId="6" xfId="3" applyFont="1" applyFill="1" applyBorder="1" applyAlignment="1" applyProtection="1">
      <alignment horizontal="center" wrapText="1"/>
      <protection locked="0"/>
    </xf>
    <xf numFmtId="164" fontId="7" fillId="27" borderId="16" xfId="3" applyFont="1" applyFill="1" applyBorder="1" applyAlignment="1" applyProtection="1">
      <alignment horizontal="center" wrapText="1"/>
      <protection locked="0"/>
    </xf>
    <xf numFmtId="164" fontId="0" fillId="27" borderId="6" xfId="0" applyNumberFormat="1" applyFill="1" applyBorder="1"/>
    <xf numFmtId="0" fontId="20" fillId="32" borderId="6" xfId="0" applyFont="1" applyFill="1" applyBorder="1" applyAlignment="1">
      <alignment horizontal="center" vertical="center" wrapText="1"/>
    </xf>
    <xf numFmtId="0" fontId="20" fillId="3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20" fillId="26" borderId="18" xfId="0" applyFont="1" applyFill="1" applyBorder="1" applyAlignment="1">
      <alignment horizontal="center" vertical="center" wrapText="1"/>
    </xf>
    <xf numFmtId="0" fontId="11" fillId="12" borderId="7" xfId="0" applyFont="1" applyFill="1" applyBorder="1" applyAlignment="1">
      <alignment horizontal="center" vertical="center" wrapText="1"/>
    </xf>
    <xf numFmtId="0" fontId="11" fillId="13" borderId="7" xfId="0" applyFont="1" applyFill="1" applyBorder="1" applyAlignment="1">
      <alignment horizontal="center" vertical="center" wrapText="1"/>
    </xf>
    <xf numFmtId="0" fontId="11" fillId="23" borderId="7" xfId="0" applyFont="1" applyFill="1" applyBorder="1" applyAlignment="1">
      <alignment horizontal="center" vertical="center" wrapText="1"/>
    </xf>
    <xf numFmtId="0" fontId="12" fillId="12" borderId="7" xfId="0" applyFont="1" applyFill="1" applyBorder="1" applyAlignment="1">
      <alignment horizontal="center" vertical="center" wrapText="1"/>
    </xf>
    <xf numFmtId="0" fontId="12" fillId="13" borderId="7" xfId="0" applyFont="1" applyFill="1" applyBorder="1" applyAlignment="1">
      <alignment horizontal="center" vertical="center" wrapText="1"/>
    </xf>
    <xf numFmtId="0" fontId="12" fillId="23" borderId="7" xfId="0" applyFont="1" applyFill="1" applyBorder="1" applyAlignment="1">
      <alignment horizontal="center" vertical="center" wrapText="1"/>
    </xf>
    <xf numFmtId="0" fontId="3" fillId="37" borderId="4" xfId="0" applyFont="1" applyFill="1" applyBorder="1" applyAlignment="1">
      <alignment horizontal="center" vertical="center" wrapText="1"/>
    </xf>
    <xf numFmtId="164" fontId="0" fillId="31" borderId="6" xfId="0" applyNumberFormat="1" applyFill="1" applyBorder="1"/>
    <xf numFmtId="164" fontId="23" fillId="31" borderId="6" xfId="0" applyNumberFormat="1" applyFont="1" applyFill="1" applyBorder="1" applyAlignment="1">
      <alignment vertical="center"/>
    </xf>
    <xf numFmtId="164" fontId="0" fillId="31" borderId="6" xfId="0" applyNumberFormat="1" applyFill="1" applyBorder="1" applyAlignment="1">
      <alignment vertical="center"/>
    </xf>
    <xf numFmtId="164" fontId="1" fillId="31" borderId="6" xfId="0" applyNumberFormat="1" applyFont="1" applyFill="1" applyBorder="1"/>
    <xf numFmtId="164" fontId="7" fillId="38" borderId="0" xfId="0" applyNumberFormat="1" applyFont="1" applyFill="1" applyAlignment="1">
      <alignment vertical="center" wrapText="1"/>
    </xf>
    <xf numFmtId="168" fontId="6" fillId="38" borderId="0" xfId="3" applyNumberFormat="1" applyFont="1" applyFill="1" applyBorder="1" applyAlignment="1" applyProtection="1">
      <alignment vertical="center" wrapText="1"/>
    </xf>
    <xf numFmtId="0" fontId="6" fillId="38" borderId="0" xfId="0" applyFont="1" applyFill="1" applyAlignment="1">
      <alignment vertical="center" wrapText="1"/>
    </xf>
    <xf numFmtId="0" fontId="5" fillId="39" borderId="6" xfId="0" applyFont="1" applyFill="1" applyBorder="1" applyAlignment="1">
      <alignment horizontal="center" vertical="center" wrapText="1"/>
    </xf>
    <xf numFmtId="0" fontId="20" fillId="39" borderId="6" xfId="0" applyFont="1" applyFill="1" applyBorder="1" applyAlignment="1">
      <alignment horizontal="center" vertical="center" wrapText="1"/>
    </xf>
    <xf numFmtId="164" fontId="7" fillId="39" borderId="6" xfId="0" applyNumberFormat="1" applyFont="1" applyFill="1" applyBorder="1" applyAlignment="1">
      <alignment vertical="center" wrapText="1"/>
    </xf>
    <xf numFmtId="164" fontId="6" fillId="39" borderId="6" xfId="0" applyNumberFormat="1" applyFont="1" applyFill="1" applyBorder="1" applyAlignment="1">
      <alignment vertical="center" wrapText="1"/>
    </xf>
    <xf numFmtId="164" fontId="18" fillId="40" borderId="6" xfId="0" applyNumberFormat="1" applyFont="1" applyFill="1" applyBorder="1"/>
    <xf numFmtId="164" fontId="18" fillId="27" borderId="6" xfId="0" applyNumberFormat="1" applyFont="1" applyFill="1" applyBorder="1"/>
    <xf numFmtId="164" fontId="18" fillId="24" borderId="6" xfId="0" applyNumberFormat="1" applyFont="1" applyFill="1" applyBorder="1"/>
    <xf numFmtId="164" fontId="18" fillId="40" borderId="6" xfId="3" applyFont="1" applyFill="1" applyBorder="1"/>
    <xf numFmtId="0" fontId="5" fillId="10" borderId="6" xfId="0" applyFont="1" applyFill="1" applyBorder="1" applyAlignment="1">
      <alignment horizontal="center" vertical="center" wrapText="1"/>
    </xf>
    <xf numFmtId="164" fontId="8" fillId="18" borderId="6" xfId="0" applyNumberFormat="1" applyFont="1" applyFill="1" applyBorder="1" applyAlignment="1" applyProtection="1">
      <alignment horizontal="left" wrapText="1"/>
      <protection locked="0"/>
    </xf>
    <xf numFmtId="164" fontId="7" fillId="33" borderId="5" xfId="0" applyNumberFormat="1" applyFont="1" applyFill="1" applyBorder="1" applyAlignment="1">
      <alignment vertical="center" wrapText="1"/>
    </xf>
    <xf numFmtId="0" fontId="4" fillId="38" borderId="0" xfId="0" applyFont="1" applyFill="1" applyAlignment="1">
      <alignment horizontal="center" vertical="center" wrapText="1"/>
    </xf>
    <xf numFmtId="0" fontId="6" fillId="10" borderId="13" xfId="0" applyFont="1" applyFill="1" applyBorder="1" applyAlignment="1">
      <alignment horizontal="center" vertical="center" wrapText="1"/>
    </xf>
    <xf numFmtId="0" fontId="6" fillId="10" borderId="0" xfId="0" applyFont="1" applyFill="1" applyAlignment="1">
      <alignment horizontal="center" vertical="center" wrapText="1"/>
    </xf>
    <xf numFmtId="0" fontId="0" fillId="0" borderId="0" xfId="0" applyAlignment="1">
      <alignment horizontal="left" vertical="center" wrapText="1"/>
    </xf>
    <xf numFmtId="0" fontId="7" fillId="3" borderId="6"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protection locked="0"/>
    </xf>
    <xf numFmtId="0" fontId="7" fillId="3" borderId="7" xfId="0" applyFont="1" applyFill="1" applyBorder="1" applyAlignment="1" applyProtection="1">
      <alignment horizontal="left" vertical="top"/>
      <protection locked="0"/>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49" fontId="6" fillId="3" borderId="7" xfId="0" applyNumberFormat="1" applyFont="1" applyFill="1" applyBorder="1" applyAlignment="1" applyProtection="1">
      <alignment horizontal="left" vertical="top" wrapText="1"/>
      <protection locked="0"/>
    </xf>
    <xf numFmtId="49" fontId="6" fillId="3" borderId="8" xfId="0" applyNumberFormat="1" applyFont="1" applyFill="1" applyBorder="1" applyAlignment="1" applyProtection="1">
      <alignment horizontal="left" vertical="top" wrapText="1"/>
      <protection locked="0"/>
    </xf>
    <xf numFmtId="49" fontId="7" fillId="3" borderId="14" xfId="0" applyNumberFormat="1" applyFont="1" applyFill="1" applyBorder="1" applyAlignment="1" applyProtection="1">
      <alignment horizontal="left" vertical="top" wrapText="1"/>
      <protection locked="0"/>
    </xf>
    <xf numFmtId="49" fontId="7" fillId="3" borderId="15" xfId="0" applyNumberFormat="1" applyFont="1" applyFill="1" applyBorder="1" applyAlignment="1" applyProtection="1">
      <alignment horizontal="left" vertical="top" wrapText="1"/>
      <protection locked="0"/>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164" fontId="6" fillId="4" borderId="8" xfId="3" applyFont="1" applyFill="1" applyBorder="1" applyAlignment="1" applyProtection="1">
      <alignment horizontal="center" vertical="center" wrapText="1"/>
    </xf>
    <xf numFmtId="0" fontId="7" fillId="3" borderId="13"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6" fillId="3" borderId="6" xfId="0"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7" fillId="3" borderId="11" xfId="0" applyFont="1" applyFill="1" applyBorder="1" applyAlignment="1" applyProtection="1">
      <alignment horizontal="left" vertical="top" wrapText="1"/>
      <protection locked="0"/>
    </xf>
    <xf numFmtId="0" fontId="7" fillId="3" borderId="12" xfId="0" applyFont="1" applyFill="1" applyBorder="1" applyAlignment="1" applyProtection="1">
      <alignment horizontal="left" vertical="top" wrapText="1"/>
      <protection locked="0"/>
    </xf>
    <xf numFmtId="0" fontId="6" fillId="10" borderId="18" xfId="0" applyFont="1" applyFill="1" applyBorder="1" applyAlignment="1">
      <alignment horizontal="center" vertical="center" wrapText="1"/>
    </xf>
    <xf numFmtId="0" fontId="6" fillId="10" borderId="19" xfId="0" applyFont="1" applyFill="1" applyBorder="1" applyAlignment="1">
      <alignment horizontal="center" vertical="center" wrapText="1"/>
    </xf>
    <xf numFmtId="0" fontId="6" fillId="10" borderId="20"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3" xfId="0" applyFont="1" applyFill="1" applyBorder="1" applyAlignment="1">
      <alignment horizontal="center" vertical="center" wrapText="1"/>
    </xf>
    <xf numFmtId="164" fontId="6" fillId="4" borderId="22" xfId="3" applyFont="1" applyFill="1" applyBorder="1" applyAlignment="1" applyProtection="1">
      <alignment horizontal="center" vertical="center" wrapText="1"/>
    </xf>
    <xf numFmtId="164" fontId="6" fillId="4" borderId="24" xfId="3" applyFont="1" applyFill="1" applyBorder="1" applyAlignment="1" applyProtection="1">
      <alignment horizontal="center" vertical="center" wrapText="1"/>
    </xf>
    <xf numFmtId="0" fontId="13" fillId="0" borderId="0" xfId="0" applyFont="1" applyAlignment="1">
      <alignment horizontal="left" vertical="top" wrapText="1"/>
    </xf>
    <xf numFmtId="0" fontId="5" fillId="2" borderId="30" xfId="0" applyFont="1" applyFill="1" applyBorder="1" applyAlignment="1">
      <alignment horizontal="left" wrapText="1"/>
    </xf>
    <xf numFmtId="0" fontId="5" fillId="2" borderId="31" xfId="0" applyFont="1" applyFill="1" applyBorder="1" applyAlignment="1">
      <alignment horizontal="left" wrapText="1"/>
    </xf>
    <xf numFmtId="0" fontId="5" fillId="2" borderId="32" xfId="0" applyFont="1" applyFill="1" applyBorder="1" applyAlignment="1">
      <alignment horizontal="left" vertical="center" wrapText="1"/>
    </xf>
    <xf numFmtId="0" fontId="5" fillId="2" borderId="0" xfId="0" applyFont="1" applyFill="1" applyAlignment="1">
      <alignment horizontal="left" vertical="center" wrapText="1"/>
    </xf>
    <xf numFmtId="0" fontId="15" fillId="9" borderId="7" xfId="0" applyFont="1" applyFill="1" applyBorder="1" applyAlignment="1">
      <alignment horizontal="left" wrapText="1"/>
    </xf>
    <xf numFmtId="0" fontId="15" fillId="9" borderId="8" xfId="0" applyFont="1" applyFill="1" applyBorder="1" applyAlignment="1">
      <alignment horizontal="left" wrapText="1"/>
    </xf>
    <xf numFmtId="0" fontId="5" fillId="2" borderId="1" xfId="0" applyFont="1" applyFill="1" applyBorder="1" applyAlignment="1">
      <alignment horizontal="left" wrapText="1"/>
    </xf>
    <xf numFmtId="0" fontId="5" fillId="2" borderId="2" xfId="0" applyFont="1" applyFill="1" applyBorder="1" applyAlignment="1">
      <alignment horizontal="left" wrapText="1"/>
    </xf>
    <xf numFmtId="0" fontId="17" fillId="4" borderId="7" xfId="0" applyFont="1" applyFill="1" applyBorder="1" applyAlignment="1">
      <alignment horizontal="left" wrapText="1"/>
    </xf>
    <xf numFmtId="0" fontId="17" fillId="4" borderId="8" xfId="0" applyFont="1" applyFill="1" applyBorder="1" applyAlignment="1">
      <alignment horizontal="left" wrapText="1"/>
    </xf>
    <xf numFmtId="0" fontId="17" fillId="4" borderId="10" xfId="0" applyFont="1" applyFill="1" applyBorder="1" applyAlignment="1">
      <alignment horizontal="left" wrapText="1"/>
    </xf>
    <xf numFmtId="0" fontId="15" fillId="9" borderId="6" xfId="0" applyFont="1" applyFill="1" applyBorder="1" applyAlignment="1">
      <alignment horizontal="left" wrapText="1"/>
    </xf>
    <xf numFmtId="0" fontId="12" fillId="14" borderId="7"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4" borderId="10" xfId="0" applyFont="1" applyFill="1" applyBorder="1" applyAlignment="1">
      <alignment horizontal="center" vertical="center" wrapText="1"/>
    </xf>
    <xf numFmtId="0" fontId="12" fillId="0" borderId="7" xfId="0" applyFont="1" applyBorder="1" applyAlignment="1">
      <alignment horizontal="center" wrapText="1"/>
    </xf>
    <xf numFmtId="0" fontId="12" fillId="0" borderId="8" xfId="0" applyFont="1" applyBorder="1" applyAlignment="1">
      <alignment horizontal="center" wrapText="1"/>
    </xf>
    <xf numFmtId="0" fontId="12" fillId="0" borderId="10" xfId="0" applyFont="1" applyBorder="1" applyAlignment="1">
      <alignment horizontal="center" wrapText="1"/>
    </xf>
    <xf numFmtId="0" fontId="12" fillId="14" borderId="17" xfId="0" applyFont="1" applyFill="1" applyBorder="1" applyAlignment="1">
      <alignment horizontal="center" vertical="center" wrapText="1"/>
    </xf>
    <xf numFmtId="0" fontId="12" fillId="14" borderId="16" xfId="0" applyFont="1" applyFill="1" applyBorder="1" applyAlignment="1">
      <alignment horizontal="center" vertical="center" wrapText="1"/>
    </xf>
    <xf numFmtId="0" fontId="12" fillId="25" borderId="17" xfId="0" applyFont="1" applyFill="1" applyBorder="1" applyAlignment="1">
      <alignment horizontal="center" vertical="center" wrapText="1"/>
    </xf>
    <xf numFmtId="0" fontId="12" fillId="25" borderId="16" xfId="0" applyFont="1" applyFill="1" applyBorder="1" applyAlignment="1">
      <alignment horizontal="center" vertical="center" wrapText="1"/>
    </xf>
    <xf numFmtId="0" fontId="17" fillId="4" borderId="6" xfId="0" applyFont="1" applyFill="1" applyBorder="1" applyAlignment="1">
      <alignment horizontal="left" wrapText="1"/>
    </xf>
    <xf numFmtId="0" fontId="12" fillId="34" borderId="7" xfId="0" applyFont="1" applyFill="1" applyBorder="1" applyAlignment="1">
      <alignment horizontal="center" vertical="center" wrapText="1"/>
    </xf>
    <xf numFmtId="0" fontId="12" fillId="34" borderId="8" xfId="0" applyFont="1" applyFill="1" applyBorder="1" applyAlignment="1">
      <alignment horizontal="center" vertical="center" wrapText="1"/>
    </xf>
    <xf numFmtId="0" fontId="12" fillId="34" borderId="10" xfId="0" applyFont="1" applyFill="1" applyBorder="1" applyAlignment="1">
      <alignment horizontal="center" vertical="center" wrapText="1"/>
    </xf>
    <xf numFmtId="0" fontId="12" fillId="34" borderId="17" xfId="0" applyFont="1" applyFill="1" applyBorder="1" applyAlignment="1">
      <alignment horizontal="center" vertical="center" wrapText="1"/>
    </xf>
    <xf numFmtId="0" fontId="12" fillId="34" borderId="16" xfId="0" applyFont="1" applyFill="1" applyBorder="1" applyAlignment="1">
      <alignment horizontal="center" vertical="center" wrapText="1"/>
    </xf>
    <xf numFmtId="0" fontId="0" fillId="0" borderId="0" xfId="0" applyAlignment="1">
      <alignment horizontal="center" wrapText="1"/>
    </xf>
    <xf numFmtId="0" fontId="18" fillId="15" borderId="18" xfId="0" applyFont="1" applyFill="1" applyBorder="1" applyAlignment="1">
      <alignment horizontal="center" vertical="center" wrapText="1"/>
    </xf>
    <xf numFmtId="0" fontId="18" fillId="15" borderId="35" xfId="0" applyFont="1" applyFill="1" applyBorder="1" applyAlignment="1">
      <alignment horizontal="center" vertical="center" wrapText="1"/>
    </xf>
    <xf numFmtId="0" fontId="18" fillId="15" borderId="20" xfId="0" applyFont="1" applyFill="1" applyBorder="1" applyAlignment="1">
      <alignment horizontal="center" vertical="center" wrapText="1"/>
    </xf>
  </cellXfs>
  <cellStyles count="26">
    <cellStyle name="Comma 2" xfId="25" xr:uid="{DAAAE6C3-7E07-479E-8312-C6759BA92944}"/>
    <cellStyle name="Currency 2" xfId="6" xr:uid="{2798C2AB-FE2C-4CBB-8539-66CBBC31FABB}"/>
    <cellStyle name="Milliers" xfId="24" builtinId="3"/>
    <cellStyle name="Milliers [0]" xfId="1" builtinId="6"/>
    <cellStyle name="Milliers [0] 2" xfId="9" xr:uid="{5DB377EB-C6D0-42DE-A367-BBB2C938027E}"/>
    <cellStyle name="Milliers [0] 3" xfId="12" xr:uid="{EBCBCB43-53E6-49E2-8F75-FA648523B8F3}"/>
    <cellStyle name="Milliers [0] 4" xfId="19" xr:uid="{073F0EC8-577F-419F-883F-B6C644EB6313}"/>
    <cellStyle name="Milliers [0] 5" xfId="7" xr:uid="{A266B84B-48F7-4E52-94E6-1B448B3DBF87}"/>
    <cellStyle name="Milliers [0] 6" xfId="22" xr:uid="{6C80A3BF-7BA0-48D2-913F-0B2B49B12C6C}"/>
    <cellStyle name="Milliers 10" xfId="17" xr:uid="{91CE7B57-0E9B-41AD-A0B6-4B8233799770}"/>
    <cellStyle name="Milliers 11" xfId="18" xr:uid="{F067D861-E394-4D0D-AE66-904EA1C5B9AB}"/>
    <cellStyle name="Milliers 12" xfId="20" xr:uid="{40857BEA-E98E-4E1C-9557-DF17256CE08C}"/>
    <cellStyle name="Milliers 13" xfId="4" xr:uid="{5997B9AD-82C0-44C9-80A7-965368CF4752}"/>
    <cellStyle name="Milliers 2" xfId="5" xr:uid="{43061759-E8B2-40AF-BB0B-4910953F6965}"/>
    <cellStyle name="Milliers 2 2" xfId="21" xr:uid="{0AB9C1BF-C819-4CE3-A34A-A05B8D8BF861}"/>
    <cellStyle name="Milliers 3" xfId="8" xr:uid="{97E93C6C-8B81-44C2-A550-C33F8004B2F7}"/>
    <cellStyle name="Milliers 4" xfId="10" xr:uid="{C7140460-0278-4583-A247-8A83822CBE2B}"/>
    <cellStyle name="Milliers 5" xfId="11" xr:uid="{45B91502-ADFC-4B98-8975-81554543AD09}"/>
    <cellStyle name="Milliers 6" xfId="13" xr:uid="{59D45F11-5A72-4E13-A2E3-253F8BC5A955}"/>
    <cellStyle name="Milliers 7" xfId="15" xr:uid="{A24DBD04-4767-4B87-9F3E-95C8E8675CB3}"/>
    <cellStyle name="Milliers 8" xfId="14" xr:uid="{AE6AC20C-85AE-4CCE-A42B-6159AC4ED724}"/>
    <cellStyle name="Milliers 9" xfId="16" xr:uid="{41A8A691-0E68-4947-9C5A-FFF843D66BF8}"/>
    <cellStyle name="Monétaire" xfId="23" builtinId="4"/>
    <cellStyle name="Monétaire 3" xfId="3" xr:uid="{5276436D-C3CA-4707-9920-05E31C3C452A}"/>
    <cellStyle name="Normal" xfId="0" builtinId="0"/>
    <cellStyle name="Pourcentage" xfId="2" builtinId="5"/>
  </cellStyles>
  <dxfs count="1">
    <dxf>
      <font>
        <color rgb="FF9C0006"/>
      </font>
      <fill>
        <patternFill>
          <bgColor rgb="FFFFC7CE"/>
        </patternFill>
      </fill>
    </dxf>
  </dxfs>
  <tableStyles count="0" defaultTableStyle="TableStyleMedium2" defaultPivotStyle="PivotStyleLight16"/>
  <colors>
    <mruColors>
      <color rgb="FFFFFFCC"/>
      <color rgb="FFFFC6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Luthecia Andrianarivo" id="{102BC4B4-B884-4473-A802-EACF61A428EC}" userId="Luthecia Andrianarivo" providerId="None"/>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29" dT="2026-05-24T22:50:27.87" personId="{102BC4B4-B884-4473-A802-EACF61A428EC}" id="{C406F7EE-70BB-4A1D-B308-55B07194FBBF}">
    <text>Creation d’espace de participation citoyenne des jeunes avec une promotion de l’inclusion des adolescenetes en particulier. Les intervenantes feminins ont ete encouragé particulièrement dans les sessions sur terrain.</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9E2A434-761A-49AD-8D65-E4C3D8654C5D}">
  <we:reference id="wa200010215" version="2.0.0.0" store="en-US" storeType="OMEX"/>
  <we:alternateReferences>
    <we:reference id="WA200010215" version="2.0.0.0" store=""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226DB-F8B5-45EA-8A90-E9F30EF196EF}">
  <dimension ref="A1:P70"/>
  <sheetViews>
    <sheetView tabSelected="1" zoomScale="32" zoomScaleNormal="70" workbookViewId="0">
      <pane xSplit="2" ySplit="4" topLeftCell="H5" activePane="bottomRight" state="frozen"/>
      <selection pane="topRight" activeCell="C1" sqref="C1"/>
      <selection pane="bottomLeft" activeCell="A5" sqref="A5"/>
      <selection pane="bottomRight" activeCell="J8" sqref="J8"/>
    </sheetView>
  </sheetViews>
  <sheetFormatPr baseColWidth="10" defaultColWidth="11.54296875" defaultRowHeight="15" customHeight="1" x14ac:dyDescent="0.35"/>
  <cols>
    <col min="1" max="1" width="14.81640625" customWidth="1"/>
    <col min="2" max="2" width="42.1796875" bestFit="1" customWidth="1"/>
    <col min="3" max="3" width="18.453125" customWidth="1"/>
    <col min="4" max="5" width="18.26953125" customWidth="1"/>
    <col min="6" max="6" width="16.453125" customWidth="1"/>
    <col min="7" max="7" width="24.54296875" customWidth="1"/>
    <col min="8" max="8" width="23" customWidth="1"/>
    <col min="9" max="9" width="18.1796875" customWidth="1"/>
    <col min="10" max="10" width="24.54296875" customWidth="1"/>
    <col min="11" max="11" width="19.7265625" customWidth="1"/>
    <col min="12" max="12" width="24" customWidth="1"/>
    <col min="13" max="13" width="39.453125" customWidth="1"/>
    <col min="14" max="14" width="23.26953125" customWidth="1"/>
    <col min="15" max="15" width="18.08984375" customWidth="1"/>
  </cols>
  <sheetData>
    <row r="1" spans="1:15" ht="52.15" customHeight="1" thickBot="1" x14ac:dyDescent="0.4">
      <c r="A1" s="256" t="s">
        <v>0</v>
      </c>
      <c r="B1" s="257"/>
      <c r="C1" s="257"/>
      <c r="D1" s="257"/>
      <c r="E1" s="257"/>
      <c r="F1" s="257"/>
      <c r="G1" s="257"/>
      <c r="H1" s="2"/>
      <c r="I1" s="2"/>
      <c r="J1" s="2"/>
      <c r="K1" s="2"/>
      <c r="L1" s="2"/>
      <c r="M1" s="2"/>
    </row>
    <row r="2" spans="1:15" x14ac:dyDescent="0.35">
      <c r="A2" s="2"/>
      <c r="B2" s="3"/>
      <c r="C2" s="2"/>
      <c r="D2" s="2"/>
      <c r="E2" s="2"/>
      <c r="F2" s="2"/>
      <c r="G2" s="2"/>
      <c r="H2" s="2"/>
      <c r="I2" s="2"/>
      <c r="J2" s="2"/>
      <c r="K2" s="2"/>
      <c r="L2" s="2"/>
      <c r="M2" s="2"/>
    </row>
    <row r="3" spans="1:15" ht="15.5" thickBot="1" x14ac:dyDescent="0.4">
      <c r="A3" s="2"/>
      <c r="B3" s="3"/>
      <c r="C3" s="4"/>
      <c r="D3" s="4"/>
      <c r="E3" s="4"/>
      <c r="F3" s="4"/>
      <c r="G3" s="2"/>
      <c r="H3" s="5"/>
      <c r="I3" s="5"/>
      <c r="J3" s="2"/>
      <c r="K3" s="2"/>
      <c r="L3" s="2"/>
      <c r="M3" s="2"/>
    </row>
    <row r="4" spans="1:15" ht="120" x14ac:dyDescent="0.35">
      <c r="A4" s="6" t="s">
        <v>1</v>
      </c>
      <c r="B4" s="7" t="s">
        <v>2</v>
      </c>
      <c r="C4" s="8" t="s">
        <v>3</v>
      </c>
      <c r="D4" s="8" t="s">
        <v>4</v>
      </c>
      <c r="E4" s="8" t="s">
        <v>5</v>
      </c>
      <c r="F4" s="8" t="s">
        <v>6</v>
      </c>
      <c r="G4" s="8" t="s">
        <v>7</v>
      </c>
      <c r="H4" s="9" t="s">
        <v>8</v>
      </c>
      <c r="I4" s="145" t="s">
        <v>9</v>
      </c>
      <c r="J4" s="10" t="s">
        <v>10</v>
      </c>
      <c r="K4" s="11" t="s">
        <v>11</v>
      </c>
      <c r="L4" s="229" t="s">
        <v>12</v>
      </c>
      <c r="M4" s="262" t="s">
        <v>8</v>
      </c>
    </row>
    <row r="5" spans="1:15" x14ac:dyDescent="0.35">
      <c r="A5" s="12"/>
      <c r="B5" s="13"/>
      <c r="C5" s="14" t="s">
        <v>13</v>
      </c>
      <c r="D5" s="15" t="s">
        <v>14</v>
      </c>
      <c r="E5" s="14" t="s">
        <v>15</v>
      </c>
      <c r="F5" s="16"/>
      <c r="G5" s="17"/>
      <c r="H5" s="17"/>
      <c r="I5" s="220" t="s">
        <v>13</v>
      </c>
      <c r="J5" s="221" t="s">
        <v>14</v>
      </c>
      <c r="K5" s="220" t="s">
        <v>15</v>
      </c>
      <c r="L5" s="181"/>
      <c r="M5" s="263"/>
    </row>
    <row r="6" spans="1:15" s="19" customFormat="1" ht="15.75" customHeight="1" x14ac:dyDescent="0.35">
      <c r="A6" s="18" t="s">
        <v>16</v>
      </c>
      <c r="B6" s="258" t="s">
        <v>17</v>
      </c>
      <c r="C6" s="259"/>
      <c r="D6" s="259"/>
      <c r="E6" s="259"/>
      <c r="F6" s="259"/>
      <c r="G6" s="259"/>
      <c r="H6" s="259"/>
      <c r="I6" s="259"/>
      <c r="J6" s="259"/>
      <c r="K6" s="259"/>
      <c r="L6" s="259"/>
      <c r="M6" s="259"/>
    </row>
    <row r="7" spans="1:15" s="19" customFormat="1" ht="15.75" customHeight="1" x14ac:dyDescent="0.35">
      <c r="A7" s="20" t="s">
        <v>18</v>
      </c>
      <c r="B7" s="260" t="s">
        <v>19</v>
      </c>
      <c r="C7" s="261"/>
      <c r="D7" s="261"/>
      <c r="E7" s="261"/>
      <c r="F7" s="261"/>
      <c r="G7" s="261"/>
      <c r="H7" s="261"/>
      <c r="I7" s="261"/>
      <c r="J7" s="261"/>
      <c r="K7" s="261"/>
      <c r="L7" s="261"/>
      <c r="M7" s="261"/>
    </row>
    <row r="8" spans="1:15" ht="263.5" x14ac:dyDescent="0.35">
      <c r="A8" s="21" t="s">
        <v>20</v>
      </c>
      <c r="B8" s="22" t="s">
        <v>21</v>
      </c>
      <c r="C8" s="23">
        <v>38000</v>
      </c>
      <c r="D8" s="23"/>
      <c r="E8" s="23"/>
      <c r="F8" s="64">
        <f>SUM(C8:E8)</f>
        <v>38000</v>
      </c>
      <c r="G8" s="24">
        <v>0.5</v>
      </c>
      <c r="H8" s="46"/>
      <c r="I8" s="191">
        <v>9372.3700000000008</v>
      </c>
      <c r="J8" s="146"/>
      <c r="K8" s="153">
        <v>0</v>
      </c>
      <c r="L8" s="230">
        <f>SUM(I8:K8)</f>
        <v>9372.3700000000008</v>
      </c>
      <c r="M8" s="46"/>
      <c r="N8" s="176"/>
      <c r="O8" s="176"/>
    </row>
    <row r="9" spans="1:15" ht="124" x14ac:dyDescent="0.35">
      <c r="A9" s="21" t="s">
        <v>22</v>
      </c>
      <c r="B9" s="22" t="s">
        <v>23</v>
      </c>
      <c r="C9" s="23">
        <v>31000</v>
      </c>
      <c r="D9" s="23">
        <v>4000</v>
      </c>
      <c r="E9" s="23">
        <v>3000</v>
      </c>
      <c r="F9" s="64">
        <f>SUM(C9:E9)</f>
        <v>38000</v>
      </c>
      <c r="G9" s="24">
        <v>0.5</v>
      </c>
      <c r="H9" s="46"/>
      <c r="I9" s="192" t="s">
        <v>24</v>
      </c>
      <c r="J9" s="167">
        <v>3955.64</v>
      </c>
      <c r="K9" s="153">
        <v>3227.89</v>
      </c>
      <c r="L9" s="230">
        <f>SUM(I9:K9)</f>
        <v>7183.53</v>
      </c>
      <c r="M9" s="166"/>
      <c r="N9" s="176"/>
      <c r="O9" s="176"/>
    </row>
    <row r="10" spans="1:15" ht="15.5" x14ac:dyDescent="0.35">
      <c r="B10" s="26" t="s">
        <v>25</v>
      </c>
      <c r="C10" s="27">
        <f>SUM(C8:C9)</f>
        <v>69000</v>
      </c>
      <c r="D10" s="56">
        <f t="shared" ref="D10:G10" si="0">SUM(D8:D9)</f>
        <v>4000</v>
      </c>
      <c r="E10" s="27">
        <f>SUM(E8:E9)</f>
        <v>3000</v>
      </c>
      <c r="F10" s="27">
        <f t="shared" si="0"/>
        <v>76000</v>
      </c>
      <c r="G10" s="27">
        <f t="shared" si="0"/>
        <v>1</v>
      </c>
      <c r="H10" s="57"/>
      <c r="I10" s="27">
        <f>+SUM(I8:I9)</f>
        <v>9372.3700000000008</v>
      </c>
      <c r="J10" s="27">
        <f>SUM(J9:J9)</f>
        <v>3955.64</v>
      </c>
      <c r="K10" s="144">
        <f>+SUM(K8:K9)</f>
        <v>3227.89</v>
      </c>
      <c r="L10" s="144">
        <f>+SUM(L8:L9)</f>
        <v>16555.900000000001</v>
      </c>
      <c r="M10" s="57"/>
    </row>
    <row r="11" spans="1:15" ht="15.75" customHeight="1" x14ac:dyDescent="0.35">
      <c r="A11" s="18" t="s">
        <v>26</v>
      </c>
      <c r="B11" s="254" t="s">
        <v>27</v>
      </c>
      <c r="C11" s="254"/>
      <c r="D11" s="254"/>
      <c r="E11" s="254"/>
      <c r="F11" s="254"/>
      <c r="G11" s="254"/>
      <c r="H11" s="254"/>
      <c r="I11" s="254"/>
      <c r="J11" s="254"/>
      <c r="K11" s="254"/>
      <c r="L11" s="255"/>
      <c r="M11" s="255"/>
    </row>
    <row r="12" spans="1:15" ht="96" x14ac:dyDescent="0.35">
      <c r="A12" s="21" t="s">
        <v>28</v>
      </c>
      <c r="B12" s="61" t="s">
        <v>29</v>
      </c>
      <c r="C12" s="23">
        <v>46700</v>
      </c>
      <c r="D12" s="23">
        <v>12000</v>
      </c>
      <c r="E12" s="23">
        <v>10000</v>
      </c>
      <c r="F12" s="32">
        <f>SUM(C12:E12)</f>
        <v>68700</v>
      </c>
      <c r="G12" s="33">
        <v>0.5</v>
      </c>
      <c r="H12" s="59"/>
      <c r="I12" s="192">
        <f>11154.32+4000</f>
        <v>15154.32</v>
      </c>
      <c r="J12" s="167">
        <v>12000</v>
      </c>
      <c r="K12" s="153">
        <v>10199.67</v>
      </c>
      <c r="L12" s="231">
        <f>SUM(I12:K12)</f>
        <v>37353.99</v>
      </c>
      <c r="M12" s="46"/>
      <c r="N12" s="176"/>
      <c r="O12" s="176"/>
    </row>
    <row r="13" spans="1:15" ht="144" x14ac:dyDescent="0.35">
      <c r="A13" s="21" t="s">
        <v>30</v>
      </c>
      <c r="B13" s="29" t="s">
        <v>31</v>
      </c>
      <c r="C13" s="23">
        <v>108000</v>
      </c>
      <c r="D13" s="23">
        <v>10000</v>
      </c>
      <c r="E13" s="23">
        <f>10000</f>
        <v>10000</v>
      </c>
      <c r="F13" s="34">
        <f t="shared" ref="F13:F15" si="1">SUM(C13:E13)</f>
        <v>128000</v>
      </c>
      <c r="G13" s="24">
        <v>1</v>
      </c>
      <c r="H13" s="46"/>
      <c r="I13" s="192">
        <f>22845.44+80000</f>
        <v>102845.44</v>
      </c>
      <c r="J13" s="167">
        <v>10000</v>
      </c>
      <c r="K13" s="153">
        <v>10213.01</v>
      </c>
      <c r="L13" s="231">
        <f t="shared" ref="L13:L15" si="2">SUM(I13:K13)</f>
        <v>123058.45</v>
      </c>
      <c r="M13" s="46"/>
      <c r="N13" s="176"/>
      <c r="O13" s="176"/>
    </row>
    <row r="14" spans="1:15" ht="96" x14ac:dyDescent="0.35">
      <c r="A14" s="21" t="s">
        <v>32</v>
      </c>
      <c r="B14" s="29" t="s">
        <v>33</v>
      </c>
      <c r="C14" s="23">
        <v>10000</v>
      </c>
      <c r="D14" s="23">
        <v>10000</v>
      </c>
      <c r="E14" s="23">
        <v>10000</v>
      </c>
      <c r="F14" s="34">
        <f t="shared" si="1"/>
        <v>30000</v>
      </c>
      <c r="G14" s="24">
        <v>0.5</v>
      </c>
      <c r="H14" s="46"/>
      <c r="I14" s="192">
        <v>2274.98</v>
      </c>
      <c r="J14" s="167">
        <v>9683.5</v>
      </c>
      <c r="K14" s="155">
        <f>938.53+80.67+7000</f>
        <v>8019.2</v>
      </c>
      <c r="L14" s="231">
        <f t="shared" si="2"/>
        <v>19977.68</v>
      </c>
      <c r="M14" s="46"/>
      <c r="N14" s="176"/>
      <c r="O14" s="176"/>
    </row>
    <row r="15" spans="1:15" ht="80" x14ac:dyDescent="0.35">
      <c r="A15" s="21" t="s">
        <v>34</v>
      </c>
      <c r="B15" s="29" t="s">
        <v>35</v>
      </c>
      <c r="C15" s="23">
        <v>11000</v>
      </c>
      <c r="D15" s="23">
        <v>15000</v>
      </c>
      <c r="E15" s="23"/>
      <c r="F15" s="34">
        <f t="shared" si="1"/>
        <v>26000</v>
      </c>
      <c r="G15" s="24">
        <v>0.5</v>
      </c>
      <c r="H15" s="46"/>
      <c r="I15" s="192">
        <v>6000</v>
      </c>
      <c r="J15" s="167">
        <v>5591.81</v>
      </c>
      <c r="K15" s="154"/>
      <c r="L15" s="231">
        <f t="shared" si="2"/>
        <v>11591.810000000001</v>
      </c>
      <c r="M15" s="46"/>
      <c r="N15" s="176"/>
      <c r="O15" s="176"/>
    </row>
    <row r="16" spans="1:15" s="100" customFormat="1" ht="15.5" x14ac:dyDescent="0.35">
      <c r="A16" s="168"/>
      <c r="B16" s="48" t="s">
        <v>25</v>
      </c>
      <c r="C16" s="58">
        <f>SUM(C12:C15)</f>
        <v>175700</v>
      </c>
      <c r="D16" s="63">
        <f>SUM(D12:D15)</f>
        <v>47000</v>
      </c>
      <c r="E16" s="58">
        <f>SUM(E12:E15)</f>
        <v>30000</v>
      </c>
      <c r="F16" s="58">
        <f t="shared" ref="F16:I16" si="3">SUM(F12:F15)</f>
        <v>252700</v>
      </c>
      <c r="G16" s="58">
        <f t="shared" si="3"/>
        <v>2.5</v>
      </c>
      <c r="H16" s="58">
        <f t="shared" si="3"/>
        <v>0</v>
      </c>
      <c r="I16" s="58">
        <f t="shared" si="3"/>
        <v>126274.74</v>
      </c>
      <c r="J16" s="58">
        <f>SUM(J12:J15)</f>
        <v>37275.31</v>
      </c>
      <c r="K16" s="144">
        <f t="shared" ref="K16" si="4">SUM(K12:K15)</f>
        <v>28431.88</v>
      </c>
      <c r="L16" s="144">
        <f>SUM(L12:L15)</f>
        <v>191981.93</v>
      </c>
      <c r="M16" s="179"/>
    </row>
    <row r="17" spans="1:15" ht="15.5" x14ac:dyDescent="0.35">
      <c r="A17" s="35"/>
      <c r="B17" s="38"/>
      <c r="C17" s="39"/>
      <c r="D17" s="40"/>
      <c r="E17" s="39"/>
      <c r="F17" s="39"/>
      <c r="G17" s="41"/>
      <c r="H17" s="41"/>
      <c r="I17" s="41"/>
      <c r="J17" s="264"/>
      <c r="K17" s="264"/>
      <c r="L17" s="264"/>
      <c r="M17" s="264"/>
    </row>
    <row r="18" spans="1:15" ht="15.75" customHeight="1" x14ac:dyDescent="0.35">
      <c r="A18" s="26" t="s">
        <v>36</v>
      </c>
      <c r="B18" s="65" t="s">
        <v>37</v>
      </c>
      <c r="C18" s="66"/>
      <c r="D18" s="66"/>
      <c r="E18" s="66"/>
      <c r="F18" s="66"/>
      <c r="G18" s="66"/>
      <c r="H18" s="66"/>
      <c r="I18" s="66"/>
      <c r="J18" s="66"/>
    </row>
    <row r="19" spans="1:15" ht="15.75" customHeight="1" x14ac:dyDescent="0.35">
      <c r="A19" s="18" t="s">
        <v>38</v>
      </c>
      <c r="B19" s="265" t="s">
        <v>39</v>
      </c>
      <c r="C19" s="266"/>
      <c r="D19" s="266"/>
      <c r="E19" s="266"/>
      <c r="F19" s="266"/>
      <c r="G19" s="266"/>
      <c r="H19" s="266"/>
      <c r="I19" s="266"/>
      <c r="J19" s="266"/>
      <c r="K19" s="266"/>
      <c r="L19" s="266"/>
      <c r="M19" s="266"/>
    </row>
    <row r="20" spans="1:15" ht="144" x14ac:dyDescent="0.35">
      <c r="A20" s="21" t="s">
        <v>40</v>
      </c>
      <c r="B20" s="29" t="s">
        <v>41</v>
      </c>
      <c r="C20" s="23">
        <v>41000</v>
      </c>
      <c r="D20" s="23">
        <v>14000</v>
      </c>
      <c r="E20" s="23"/>
      <c r="F20" s="34">
        <f>SUM(C20:E20)</f>
        <v>55000</v>
      </c>
      <c r="G20" s="42">
        <v>0.3</v>
      </c>
      <c r="H20" s="46"/>
      <c r="I20" s="191">
        <v>40079.599999999999</v>
      </c>
      <c r="J20" s="215">
        <v>10000</v>
      </c>
      <c r="K20" s="153"/>
      <c r="L20" s="230">
        <f>SUM(I20:K20)</f>
        <v>50079.6</v>
      </c>
      <c r="M20" s="46"/>
      <c r="N20" s="176"/>
      <c r="O20" s="176"/>
    </row>
    <row r="21" spans="1:15" s="19" customFormat="1" ht="144" x14ac:dyDescent="0.35">
      <c r="A21" s="60" t="s">
        <v>42</v>
      </c>
      <c r="B21" s="61" t="s">
        <v>43</v>
      </c>
      <c r="C21" s="23">
        <v>39200</v>
      </c>
      <c r="D21" s="23">
        <v>14000</v>
      </c>
      <c r="E21" s="23"/>
      <c r="F21" s="34">
        <f t="shared" ref="F21:F23" si="5">SUM(C21:E21)</f>
        <v>53200</v>
      </c>
      <c r="G21" s="62">
        <v>0.1</v>
      </c>
      <c r="H21" s="59"/>
      <c r="I21" s="192">
        <v>38000</v>
      </c>
      <c r="J21" s="216">
        <v>5000</v>
      </c>
      <c r="K21" s="153"/>
      <c r="L21" s="230">
        <f t="shared" ref="L21:L23" si="6">SUM(I21:K21)</f>
        <v>43000</v>
      </c>
      <c r="M21" s="46"/>
      <c r="N21" s="176"/>
      <c r="O21" s="176"/>
    </row>
    <row r="22" spans="1:15" ht="96" x14ac:dyDescent="0.35">
      <c r="A22" s="60" t="s">
        <v>44</v>
      </c>
      <c r="B22" s="61" t="s">
        <v>45</v>
      </c>
      <c r="C22" s="127">
        <v>20000</v>
      </c>
      <c r="D22" s="127">
        <v>69000</v>
      </c>
      <c r="E22" s="127"/>
      <c r="F22" s="34">
        <f t="shared" si="5"/>
        <v>89000</v>
      </c>
      <c r="G22" s="62">
        <v>0.35</v>
      </c>
      <c r="H22" s="59"/>
      <c r="I22" s="192">
        <v>14964.5</v>
      </c>
      <c r="J22" s="216">
        <v>53616.07</v>
      </c>
      <c r="K22" s="153"/>
      <c r="L22" s="230">
        <f t="shared" si="6"/>
        <v>68580.570000000007</v>
      </c>
      <c r="M22" s="59"/>
      <c r="N22" s="176"/>
      <c r="O22" s="176"/>
    </row>
    <row r="23" spans="1:15" ht="96" x14ac:dyDescent="0.35">
      <c r="A23" s="21" t="s">
        <v>46</v>
      </c>
      <c r="B23" s="29" t="s">
        <v>47</v>
      </c>
      <c r="C23" s="23">
        <v>20000</v>
      </c>
      <c r="D23" s="23">
        <v>50000</v>
      </c>
      <c r="E23" s="23">
        <v>5000</v>
      </c>
      <c r="F23" s="34">
        <f t="shared" si="5"/>
        <v>75000</v>
      </c>
      <c r="G23" s="42">
        <v>0.4</v>
      </c>
      <c r="H23" s="46"/>
      <c r="I23" s="192">
        <v>8196.35</v>
      </c>
      <c r="J23" s="216">
        <v>46387.000000000007</v>
      </c>
      <c r="K23" s="153">
        <v>5000</v>
      </c>
      <c r="L23" s="230">
        <f t="shared" si="6"/>
        <v>59583.350000000006</v>
      </c>
      <c r="M23" s="46"/>
      <c r="N23" s="176"/>
      <c r="O23" s="176"/>
    </row>
    <row r="24" spans="1:15" ht="15.5" x14ac:dyDescent="0.35">
      <c r="A24" s="21"/>
      <c r="B24" s="22"/>
      <c r="C24" s="23"/>
      <c r="D24" s="23"/>
      <c r="E24" s="23"/>
      <c r="F24" s="34"/>
      <c r="G24" s="24"/>
      <c r="H24" s="46"/>
    </row>
    <row r="25" spans="1:15" ht="15.5" x14ac:dyDescent="0.35">
      <c r="A25" s="35"/>
      <c r="B25" s="26" t="s">
        <v>25</v>
      </c>
      <c r="C25" s="27">
        <f>SUM(C20:C24)</f>
        <v>120200</v>
      </c>
      <c r="D25" s="28">
        <f t="shared" ref="D25:H25" si="7">SUM(D20:D24)</f>
        <v>147000</v>
      </c>
      <c r="E25" s="27">
        <f>SUM(E20:E24)</f>
        <v>5000</v>
      </c>
      <c r="F25" s="27">
        <f t="shared" si="7"/>
        <v>272200</v>
      </c>
      <c r="G25" s="27">
        <f t="shared" si="7"/>
        <v>1.1499999999999999</v>
      </c>
      <c r="H25" s="27">
        <f t="shared" si="7"/>
        <v>0</v>
      </c>
      <c r="I25" s="27">
        <f>SUM(I20:I24)</f>
        <v>101240.45000000001</v>
      </c>
      <c r="J25" s="126">
        <f>SUM(J20:J23)</f>
        <v>115003.07</v>
      </c>
      <c r="K25" s="144">
        <f>SUM(K20:K24)</f>
        <v>5000</v>
      </c>
      <c r="L25" s="144">
        <f>SUM(L20:L24)</f>
        <v>221243.52000000002</v>
      </c>
      <c r="M25" s="178"/>
    </row>
    <row r="26" spans="1:15" ht="15.5" x14ac:dyDescent="0.35">
      <c r="A26" s="18" t="s">
        <v>48</v>
      </c>
      <c r="B26" s="252" t="s">
        <v>49</v>
      </c>
      <c r="C26" s="252"/>
      <c r="D26" s="252"/>
      <c r="E26" s="252"/>
      <c r="F26" s="252"/>
      <c r="G26" s="252"/>
      <c r="H26" s="252"/>
    </row>
    <row r="27" spans="1:15" ht="112" x14ac:dyDescent="0.35">
      <c r="A27" s="213" t="s">
        <v>50</v>
      </c>
      <c r="B27" s="29" t="s">
        <v>51</v>
      </c>
      <c r="C27" s="23">
        <v>18000</v>
      </c>
      <c r="D27" s="23">
        <v>9000</v>
      </c>
      <c r="E27" s="177">
        <v>24070</v>
      </c>
      <c r="F27" s="34">
        <f>SUM(C27:E27)</f>
        <v>51070</v>
      </c>
      <c r="G27" s="42">
        <v>0.4</v>
      </c>
      <c r="H27" s="46"/>
      <c r="I27" s="191">
        <f>5861.92+1102.72</f>
        <v>6964.64</v>
      </c>
      <c r="J27" s="215">
        <v>7171.51</v>
      </c>
      <c r="K27" s="155">
        <v>24999.69</v>
      </c>
      <c r="L27" s="231">
        <f>SUM(I27:K27)</f>
        <v>39135.839999999997</v>
      </c>
      <c r="M27" s="166"/>
      <c r="N27" s="176"/>
      <c r="O27" s="176"/>
    </row>
    <row r="28" spans="1:15" ht="96" x14ac:dyDescent="0.35">
      <c r="A28" s="21" t="s">
        <v>52</v>
      </c>
      <c r="B28" s="29" t="s">
        <v>53</v>
      </c>
      <c r="C28" s="23">
        <v>44000</v>
      </c>
      <c r="D28" s="23">
        <v>12000</v>
      </c>
      <c r="E28" s="142">
        <v>5930</v>
      </c>
      <c r="F28" s="34">
        <f t="shared" ref="F28:F29" si="8">SUM(C28:E28)</f>
        <v>61930</v>
      </c>
      <c r="G28" s="42">
        <v>1</v>
      </c>
      <c r="H28" s="46"/>
      <c r="I28" s="192">
        <f>13409.32+23593.28</f>
        <v>37002.6</v>
      </c>
      <c r="J28" s="216">
        <v>9796.07</v>
      </c>
      <c r="K28" s="153">
        <v>5264.15</v>
      </c>
      <c r="L28" s="231">
        <f t="shared" ref="L28:L29" si="9">SUM(I28:K28)</f>
        <v>52062.82</v>
      </c>
      <c r="M28" s="46"/>
      <c r="N28" s="176"/>
      <c r="O28" s="176"/>
    </row>
    <row r="29" spans="1:15" ht="64" x14ac:dyDescent="0.35">
      <c r="A29" s="21" t="s">
        <v>54</v>
      </c>
      <c r="B29" s="29" t="s">
        <v>55</v>
      </c>
      <c r="C29" s="127">
        <v>0</v>
      </c>
      <c r="D29" s="127"/>
      <c r="E29" s="127">
        <v>20000</v>
      </c>
      <c r="F29" s="34">
        <f t="shared" si="8"/>
        <v>20000</v>
      </c>
      <c r="G29" s="42">
        <v>0.3</v>
      </c>
      <c r="H29" s="187">
        <v>0.3</v>
      </c>
      <c r="I29" s="192" t="s">
        <v>24</v>
      </c>
      <c r="J29" s="217"/>
      <c r="K29" s="155">
        <f>11472.19+365.92+181.01</f>
        <v>12019.12</v>
      </c>
      <c r="L29" s="231">
        <f t="shared" si="9"/>
        <v>12019.12</v>
      </c>
      <c r="M29" s="46"/>
      <c r="N29" s="176"/>
      <c r="O29" s="176"/>
    </row>
    <row r="30" spans="1:15" ht="15.5" x14ac:dyDescent="0.35">
      <c r="A30" s="35"/>
      <c r="B30" s="26" t="s">
        <v>25</v>
      </c>
      <c r="C30" s="36">
        <f>SUM(C27:C29)</f>
        <v>62000</v>
      </c>
      <c r="D30" s="37">
        <f>SUM(D27:D29)</f>
        <v>21000</v>
      </c>
      <c r="E30" s="36">
        <f>SUM(E27:E29)</f>
        <v>50000</v>
      </c>
      <c r="F30" s="36">
        <f>SUM(F27:F29)</f>
        <v>133000</v>
      </c>
      <c r="G30" s="36">
        <f>SUM(G27:G29)</f>
        <v>1.7</v>
      </c>
      <c r="H30" s="36">
        <f t="shared" ref="H30:I30" si="10">SUM(H27:H29)</f>
        <v>0.3</v>
      </c>
      <c r="I30" s="36">
        <f t="shared" si="10"/>
        <v>43967.24</v>
      </c>
      <c r="J30" s="126">
        <f>SUM(J27:J29)</f>
        <v>16967.580000000002</v>
      </c>
      <c r="K30" s="144">
        <f t="shared" ref="K30:L30" si="11">SUM(K27:K29)</f>
        <v>42282.96</v>
      </c>
      <c r="L30" s="144">
        <f t="shared" si="11"/>
        <v>103217.78</v>
      </c>
      <c r="M30" s="178"/>
    </row>
    <row r="31" spans="1:15" ht="15.75" customHeight="1" x14ac:dyDescent="0.35">
      <c r="A31" s="26" t="s">
        <v>56</v>
      </c>
      <c r="B31" s="267" t="s">
        <v>57</v>
      </c>
      <c r="C31" s="267"/>
      <c r="D31" s="267"/>
      <c r="E31" s="267"/>
      <c r="F31" s="267"/>
      <c r="G31" s="267"/>
      <c r="H31" s="267"/>
      <c r="I31" s="267"/>
      <c r="J31" s="267"/>
      <c r="K31" s="267"/>
      <c r="L31" s="268"/>
      <c r="M31" s="268"/>
    </row>
    <row r="32" spans="1:15" ht="15.75" customHeight="1" x14ac:dyDescent="0.35">
      <c r="A32" s="18" t="s">
        <v>58</v>
      </c>
      <c r="B32" s="252" t="s">
        <v>59</v>
      </c>
      <c r="C32" s="252"/>
      <c r="D32" s="252"/>
      <c r="E32" s="252"/>
      <c r="F32" s="252"/>
      <c r="G32" s="252"/>
      <c r="H32" s="252"/>
      <c r="I32" s="252"/>
      <c r="J32" s="252"/>
      <c r="K32" s="252"/>
      <c r="L32" s="253"/>
      <c r="M32" s="253"/>
    </row>
    <row r="33" spans="1:15" ht="112" x14ac:dyDescent="0.35">
      <c r="A33" s="21" t="s">
        <v>60</v>
      </c>
      <c r="B33" s="61" t="s">
        <v>61</v>
      </c>
      <c r="C33" s="23">
        <v>30000</v>
      </c>
      <c r="D33" s="23">
        <v>15000</v>
      </c>
      <c r="E33" s="23"/>
      <c r="F33" s="34">
        <f>SUM(C33:E33)</f>
        <v>45000</v>
      </c>
      <c r="G33" s="62">
        <v>0.5</v>
      </c>
      <c r="H33" s="59"/>
      <c r="I33" s="192">
        <f>9746.37+17000</f>
        <v>26746.370000000003</v>
      </c>
      <c r="J33" s="216">
        <v>9512.1</v>
      </c>
      <c r="K33" s="153"/>
      <c r="L33" s="230">
        <f>SUM(I33:K33)</f>
        <v>36258.47</v>
      </c>
      <c r="M33" s="46"/>
      <c r="N33" s="176"/>
      <c r="O33" s="176"/>
    </row>
    <row r="34" spans="1:15" ht="80" x14ac:dyDescent="0.35">
      <c r="A34" s="21" t="s">
        <v>62</v>
      </c>
      <c r="B34" s="29" t="s">
        <v>63</v>
      </c>
      <c r="C34" s="23">
        <v>58500</v>
      </c>
      <c r="D34" s="23">
        <v>5500</v>
      </c>
      <c r="E34" s="23"/>
      <c r="F34" s="34">
        <f t="shared" ref="F34:F36" si="12">SUM(C34:E34)</f>
        <v>64000</v>
      </c>
      <c r="G34" s="42">
        <v>0.5</v>
      </c>
      <c r="H34" s="46"/>
      <c r="I34" s="192">
        <v>10070.57</v>
      </c>
      <c r="J34" s="216">
        <v>5500</v>
      </c>
      <c r="K34" s="153"/>
      <c r="L34" s="230">
        <f t="shared" ref="L34:L36" si="13">SUM(I34:K34)</f>
        <v>15570.57</v>
      </c>
      <c r="M34" s="46"/>
      <c r="N34" s="176"/>
      <c r="O34" s="176"/>
    </row>
    <row r="35" spans="1:15" ht="96" x14ac:dyDescent="0.35">
      <c r="A35" s="21" t="s">
        <v>64</v>
      </c>
      <c r="B35" s="29" t="s">
        <v>65</v>
      </c>
      <c r="C35" s="127">
        <v>20000</v>
      </c>
      <c r="D35" s="127">
        <v>20000</v>
      </c>
      <c r="E35" s="127"/>
      <c r="F35" s="34">
        <f t="shared" si="12"/>
        <v>40000</v>
      </c>
      <c r="G35" s="42">
        <v>0.3</v>
      </c>
      <c r="H35" s="46"/>
      <c r="I35" s="192" t="s">
        <v>24</v>
      </c>
      <c r="J35" s="216">
        <v>18291.12</v>
      </c>
      <c r="K35" s="153"/>
      <c r="L35" s="230">
        <f t="shared" si="13"/>
        <v>18291.12</v>
      </c>
      <c r="M35" s="46"/>
      <c r="N35" s="176"/>
      <c r="O35" s="176"/>
    </row>
    <row r="36" spans="1:15" ht="160" x14ac:dyDescent="0.35">
      <c r="A36" s="21" t="s">
        <v>66</v>
      </c>
      <c r="B36" s="29" t="s">
        <v>67</v>
      </c>
      <c r="C36" s="23">
        <v>5000</v>
      </c>
      <c r="D36" s="23">
        <v>7000</v>
      </c>
      <c r="E36" s="23"/>
      <c r="F36" s="34">
        <f t="shared" si="12"/>
        <v>12000</v>
      </c>
      <c r="G36" s="42">
        <v>0.2</v>
      </c>
      <c r="H36" s="46"/>
      <c r="I36" s="192" t="s">
        <v>24</v>
      </c>
      <c r="J36" s="216">
        <v>6753</v>
      </c>
      <c r="K36" s="153"/>
      <c r="L36" s="230">
        <f t="shared" si="13"/>
        <v>6753</v>
      </c>
      <c r="M36" s="46"/>
      <c r="N36" s="176"/>
      <c r="O36" s="176"/>
    </row>
    <row r="37" spans="1:15" ht="15.5" x14ac:dyDescent="0.35">
      <c r="A37" s="35"/>
      <c r="B37" s="26" t="s">
        <v>25</v>
      </c>
      <c r="C37" s="27">
        <f>SUM(C33:C36)</f>
        <v>113500</v>
      </c>
      <c r="D37" s="28">
        <f t="shared" ref="D37:I37" si="14">SUM(D33:D36)</f>
        <v>47500</v>
      </c>
      <c r="E37" s="27">
        <f t="shared" si="14"/>
        <v>0</v>
      </c>
      <c r="F37" s="27">
        <f t="shared" si="14"/>
        <v>161000</v>
      </c>
      <c r="G37" s="27">
        <f t="shared" si="14"/>
        <v>1.5</v>
      </c>
      <c r="H37" s="27">
        <f t="shared" si="14"/>
        <v>0</v>
      </c>
      <c r="I37" s="27">
        <f t="shared" si="14"/>
        <v>36816.94</v>
      </c>
      <c r="J37" s="126">
        <f>SUM(J33:J36)</f>
        <v>40056.22</v>
      </c>
      <c r="K37" s="126">
        <f t="shared" ref="K37:L37" si="15">SUM(K33:K36)</f>
        <v>0</v>
      </c>
      <c r="L37" s="126">
        <f t="shared" si="15"/>
        <v>76873.16</v>
      </c>
      <c r="M37" s="178"/>
    </row>
    <row r="38" spans="1:15" ht="15.5" x14ac:dyDescent="0.35">
      <c r="A38" s="18" t="s">
        <v>68</v>
      </c>
      <c r="B38" s="269" t="s">
        <v>69</v>
      </c>
      <c r="C38" s="270"/>
      <c r="D38" s="270"/>
      <c r="E38" s="270"/>
      <c r="F38" s="270"/>
      <c r="G38" s="270"/>
      <c r="H38" s="270"/>
      <c r="I38" s="270"/>
      <c r="J38" s="266"/>
    </row>
    <row r="39" spans="1:15" ht="96" x14ac:dyDescent="0.35">
      <c r="A39" s="21" t="s">
        <v>70</v>
      </c>
      <c r="B39" s="29" t="s">
        <v>71</v>
      </c>
      <c r="C39" s="31">
        <v>0</v>
      </c>
      <c r="D39" s="31"/>
      <c r="E39" s="30">
        <v>75000</v>
      </c>
      <c r="F39" s="34">
        <f>SUM(C39:E39)</f>
        <v>75000</v>
      </c>
      <c r="G39" s="42">
        <v>0.5</v>
      </c>
      <c r="H39" s="188">
        <v>0.5</v>
      </c>
      <c r="I39" s="191" t="s">
        <v>24</v>
      </c>
      <c r="J39" s="217"/>
      <c r="K39" s="155">
        <f>51490.59+9356.76+713.86+13438.79</f>
        <v>75000</v>
      </c>
      <c r="L39" s="232">
        <f>SUM(I39:K39)</f>
        <v>75000</v>
      </c>
      <c r="M39" s="46"/>
      <c r="N39" s="176"/>
      <c r="O39" s="176"/>
    </row>
    <row r="40" spans="1:15" ht="80" x14ac:dyDescent="0.35">
      <c r="A40" s="21" t="s">
        <v>72</v>
      </c>
      <c r="B40" s="29" t="s">
        <v>73</v>
      </c>
      <c r="C40" s="30">
        <v>0</v>
      </c>
      <c r="D40" s="31"/>
      <c r="E40" s="30">
        <v>50000</v>
      </c>
      <c r="F40" s="34">
        <f t="shared" ref="F40:F43" si="16">SUM(C40:E40)</f>
        <v>50000</v>
      </c>
      <c r="G40" s="42">
        <v>0.5</v>
      </c>
      <c r="H40" s="187">
        <v>0.5</v>
      </c>
      <c r="I40" s="192" t="s">
        <v>24</v>
      </c>
      <c r="J40" s="217"/>
      <c r="K40" s="155">
        <f>37521.24+4399.34+8079.42</f>
        <v>50000</v>
      </c>
      <c r="L40" s="232">
        <f t="shared" ref="L40:L43" si="17">SUM(I40:K40)</f>
        <v>50000</v>
      </c>
      <c r="M40" s="46"/>
      <c r="N40" s="176"/>
      <c r="O40" s="176"/>
    </row>
    <row r="41" spans="1:15" ht="128" x14ac:dyDescent="0.35">
      <c r="A41" s="21" t="s">
        <v>74</v>
      </c>
      <c r="B41" s="29" t="s">
        <v>75</v>
      </c>
      <c r="C41" s="30">
        <v>0</v>
      </c>
      <c r="D41" s="31">
        <v>15000</v>
      </c>
      <c r="E41" s="30">
        <v>15000</v>
      </c>
      <c r="F41" s="34">
        <f t="shared" si="16"/>
        <v>30000</v>
      </c>
      <c r="G41" s="42">
        <v>0.5</v>
      </c>
      <c r="H41" s="187">
        <v>0.5</v>
      </c>
      <c r="I41" s="192" t="s">
        <v>24</v>
      </c>
      <c r="J41" s="216">
        <v>9712.619999999999</v>
      </c>
      <c r="K41" s="155">
        <f>2025.15+4744.07</f>
        <v>6769.2199999999993</v>
      </c>
      <c r="L41" s="232">
        <f t="shared" si="17"/>
        <v>16481.839999999997</v>
      </c>
      <c r="M41" s="46"/>
      <c r="N41" s="176"/>
      <c r="O41" s="176"/>
    </row>
    <row r="42" spans="1:15" ht="128" x14ac:dyDescent="0.35">
      <c r="A42" s="21" t="s">
        <v>76</v>
      </c>
      <c r="B42" s="29" t="s">
        <v>77</v>
      </c>
      <c r="C42" s="30">
        <v>10000</v>
      </c>
      <c r="D42" s="31">
        <v>10000</v>
      </c>
      <c r="E42" s="30">
        <v>10000</v>
      </c>
      <c r="F42" s="34">
        <f t="shared" si="16"/>
        <v>30000</v>
      </c>
      <c r="G42" s="42">
        <v>0.4</v>
      </c>
      <c r="H42" s="46"/>
      <c r="I42" s="192" t="s">
        <v>24</v>
      </c>
      <c r="J42" s="216">
        <v>2669.9</v>
      </c>
      <c r="K42" s="153">
        <f>9262.28+737.72</f>
        <v>10000</v>
      </c>
      <c r="L42" s="232">
        <f t="shared" si="17"/>
        <v>12669.9</v>
      </c>
      <c r="M42" s="46"/>
      <c r="N42" s="176"/>
      <c r="O42" s="176"/>
    </row>
    <row r="43" spans="1:15" ht="80" x14ac:dyDescent="0.35">
      <c r="A43" s="21" t="s">
        <v>78</v>
      </c>
      <c r="B43" s="29" t="s">
        <v>79</v>
      </c>
      <c r="C43" s="30">
        <v>0</v>
      </c>
      <c r="D43" s="31">
        <v>20000</v>
      </c>
      <c r="E43" s="30">
        <v>20000</v>
      </c>
      <c r="F43" s="34">
        <f t="shared" si="16"/>
        <v>40000</v>
      </c>
      <c r="G43" s="42">
        <v>0.5</v>
      </c>
      <c r="H43" s="187">
        <v>0.5</v>
      </c>
      <c r="I43" s="192" t="s">
        <v>24</v>
      </c>
      <c r="J43" s="216">
        <v>16574.420000000002</v>
      </c>
      <c r="K43" s="156">
        <f>1571.54+13000+1324.61</f>
        <v>15896.150000000001</v>
      </c>
      <c r="L43" s="232">
        <f t="shared" si="17"/>
        <v>32470.570000000003</v>
      </c>
      <c r="M43" s="46"/>
      <c r="N43" s="176"/>
      <c r="O43" s="176"/>
    </row>
    <row r="44" spans="1:15" ht="15.5" x14ac:dyDescent="0.35">
      <c r="A44" s="35"/>
      <c r="B44" s="26" t="s">
        <v>25</v>
      </c>
      <c r="C44" s="36">
        <f>SUM(C38:C43)</f>
        <v>10000</v>
      </c>
      <c r="D44" s="37">
        <f>SUM(D38:D43)</f>
        <v>45000</v>
      </c>
      <c r="E44" s="36">
        <f>SUM(E39:E43)</f>
        <v>170000</v>
      </c>
      <c r="F44" s="36">
        <f>SUM(F38:F43)</f>
        <v>225000</v>
      </c>
      <c r="G44" s="36"/>
      <c r="H44" s="36"/>
      <c r="I44" s="36">
        <f t="shared" ref="I44" si="18">SUM(I38:I43)</f>
        <v>0</v>
      </c>
      <c r="J44" s="126">
        <f>SUM(J39:J43)</f>
        <v>28956.940000000002</v>
      </c>
      <c r="K44" s="144">
        <f>SUM(K39:K43)</f>
        <v>157665.37</v>
      </c>
      <c r="L44" s="144">
        <f>SUM(L39:L43)</f>
        <v>186622.31</v>
      </c>
      <c r="M44" s="178"/>
    </row>
    <row r="45" spans="1:15" ht="15.75" customHeight="1" x14ac:dyDescent="0.35">
      <c r="A45" s="43" t="s">
        <v>80</v>
      </c>
      <c r="B45" s="252" t="s">
        <v>81</v>
      </c>
      <c r="C45" s="252"/>
      <c r="D45" s="252"/>
      <c r="E45" s="252"/>
      <c r="F45" s="252"/>
      <c r="G45" s="252"/>
      <c r="H45" s="252"/>
      <c r="I45" s="252"/>
      <c r="J45" s="252"/>
      <c r="K45" s="252"/>
      <c r="L45" s="253"/>
      <c r="M45" s="253"/>
    </row>
    <row r="46" spans="1:15" ht="80" x14ac:dyDescent="0.35">
      <c r="A46" s="21" t="s">
        <v>82</v>
      </c>
      <c r="B46" s="29" t="s">
        <v>83</v>
      </c>
      <c r="C46" s="30">
        <v>20000</v>
      </c>
      <c r="D46" s="31">
        <v>5000</v>
      </c>
      <c r="E46" s="30"/>
      <c r="F46" s="34">
        <f>SUM(C46:E46)</f>
        <v>25000</v>
      </c>
      <c r="G46" s="42">
        <v>0.5</v>
      </c>
      <c r="H46" s="46"/>
      <c r="I46" s="191">
        <f>6891.15+3000</f>
        <v>9891.15</v>
      </c>
      <c r="J46" s="216"/>
      <c r="K46" s="153"/>
      <c r="L46" s="232">
        <f>SUM(I46:K46)</f>
        <v>9891.15</v>
      </c>
      <c r="M46" s="46"/>
      <c r="N46" s="176"/>
      <c r="O46" s="176"/>
    </row>
    <row r="47" spans="1:15" ht="64" x14ac:dyDescent="0.35">
      <c r="A47" s="21" t="s">
        <v>84</v>
      </c>
      <c r="B47" s="29" t="s">
        <v>85</v>
      </c>
      <c r="C47" s="30">
        <v>10000</v>
      </c>
      <c r="D47" s="31">
        <v>5000</v>
      </c>
      <c r="E47" s="25">
        <v>5000</v>
      </c>
      <c r="F47" s="34">
        <f t="shared" ref="F47" si="19">SUM(C47:E47)</f>
        <v>20000</v>
      </c>
      <c r="G47" s="42">
        <v>0.5</v>
      </c>
      <c r="H47" s="46"/>
      <c r="I47" s="192">
        <v>4000</v>
      </c>
      <c r="J47" s="215"/>
      <c r="K47" s="153">
        <f>4039.22+960.78</f>
        <v>5000</v>
      </c>
      <c r="L47" s="232">
        <f>SUM(I47:K47)</f>
        <v>9000</v>
      </c>
      <c r="M47" s="46"/>
      <c r="N47" s="176"/>
      <c r="O47" s="176"/>
    </row>
    <row r="48" spans="1:15" ht="16.149999999999999" customHeight="1" x14ac:dyDescent="0.35">
      <c r="A48" s="21" t="s">
        <v>86</v>
      </c>
      <c r="B48" s="22"/>
      <c r="C48" s="23"/>
      <c r="D48" s="23"/>
      <c r="E48" s="23"/>
      <c r="F48" s="34"/>
      <c r="G48" s="24"/>
      <c r="H48" s="46"/>
      <c r="I48" s="46"/>
      <c r="J48" s="142"/>
      <c r="K48" s="135"/>
      <c r="L48" s="46"/>
      <c r="M48" s="46"/>
    </row>
    <row r="49" spans="1:16" ht="15.5" x14ac:dyDescent="0.35">
      <c r="A49" s="35"/>
      <c r="B49" s="26" t="s">
        <v>25</v>
      </c>
      <c r="C49" s="27">
        <f t="shared" ref="C49:I49" si="20">SUM(C46:C48)</f>
        <v>30000</v>
      </c>
      <c r="D49" s="28">
        <f t="shared" si="20"/>
        <v>10000</v>
      </c>
      <c r="E49" s="27">
        <f t="shared" si="20"/>
        <v>5000</v>
      </c>
      <c r="F49" s="27">
        <f t="shared" si="20"/>
        <v>45000</v>
      </c>
      <c r="G49" s="27">
        <f t="shared" si="20"/>
        <v>1</v>
      </c>
      <c r="H49" s="27">
        <f t="shared" si="20"/>
        <v>0</v>
      </c>
      <c r="I49" s="27">
        <f t="shared" si="20"/>
        <v>13891.15</v>
      </c>
      <c r="J49" s="27">
        <f>SUM(J46:J48)</f>
        <v>0</v>
      </c>
      <c r="K49" s="144">
        <f t="shared" ref="K49:L49" si="21">SUM(K46:K48)</f>
        <v>5000</v>
      </c>
      <c r="L49" s="144">
        <f t="shared" si="21"/>
        <v>18891.150000000001</v>
      </c>
      <c r="M49" s="57"/>
    </row>
    <row r="50" spans="1:16" ht="14.65" customHeight="1" x14ac:dyDescent="0.35"/>
    <row r="51" spans="1:16" ht="14.65" customHeight="1" x14ac:dyDescent="0.35"/>
    <row r="52" spans="1:16" ht="93" x14ac:dyDescent="0.35">
      <c r="A52" s="26" t="s">
        <v>87</v>
      </c>
      <c r="B52" s="44" t="s">
        <v>88</v>
      </c>
      <c r="C52" s="25">
        <v>247884.24</v>
      </c>
      <c r="D52" s="25">
        <v>137547</v>
      </c>
      <c r="E52" s="25">
        <v>41000</v>
      </c>
      <c r="F52" s="34">
        <f>SUM(C52:E52)</f>
        <v>426431.24</v>
      </c>
      <c r="G52" s="42">
        <v>0.5</v>
      </c>
      <c r="H52" s="46"/>
      <c r="I52" s="191">
        <v>160090.49</v>
      </c>
      <c r="J52" s="215">
        <v>101330.88999999996</v>
      </c>
      <c r="K52" s="155">
        <f>21946.17+16295.24</f>
        <v>38241.409999999996</v>
      </c>
      <c r="L52" s="233">
        <f>SUM(I52:K52)</f>
        <v>299662.78999999992</v>
      </c>
      <c r="M52" s="46"/>
      <c r="N52" s="176"/>
      <c r="O52" s="176"/>
    </row>
    <row r="53" spans="1:16" ht="100.5" customHeight="1" x14ac:dyDescent="0.35">
      <c r="A53" s="26" t="s">
        <v>89</v>
      </c>
      <c r="B53" s="45"/>
      <c r="C53" s="25">
        <v>88856.2</v>
      </c>
      <c r="D53" s="25">
        <v>40700</v>
      </c>
      <c r="E53" s="25">
        <v>18000</v>
      </c>
      <c r="F53" s="34">
        <f>SUM(C53:E53)</f>
        <v>147556.20000000001</v>
      </c>
      <c r="G53" s="42">
        <v>0.5</v>
      </c>
      <c r="H53" s="46"/>
      <c r="I53" s="192">
        <v>71798.880000000005</v>
      </c>
      <c r="J53" s="216">
        <v>32083.41</v>
      </c>
      <c r="K53" s="155">
        <f>5302.61+352+2458.95+2600</f>
        <v>10713.56</v>
      </c>
      <c r="L53" s="233">
        <f t="shared" ref="L53:L55" si="22">SUM(I53:K53)</f>
        <v>114595.85</v>
      </c>
      <c r="M53" s="46"/>
      <c r="N53" s="176"/>
      <c r="O53" s="176"/>
    </row>
    <row r="54" spans="1:16" ht="62.5" customHeight="1" x14ac:dyDescent="0.35">
      <c r="A54" s="26" t="s">
        <v>90</v>
      </c>
      <c r="B54" s="47" t="s">
        <v>91</v>
      </c>
      <c r="C54" s="25">
        <v>30271.56</v>
      </c>
      <c r="D54" s="25">
        <v>40000</v>
      </c>
      <c r="E54" s="25">
        <v>10000</v>
      </c>
      <c r="F54" s="34">
        <f>SUM(C54:E54)</f>
        <v>80271.56</v>
      </c>
      <c r="G54" s="42">
        <v>0.5</v>
      </c>
      <c r="H54" s="46"/>
      <c r="I54" s="192">
        <v>13288.67</v>
      </c>
      <c r="J54" s="216">
        <v>34446.239999999991</v>
      </c>
      <c r="K54" s="155">
        <v>3143.91</v>
      </c>
      <c r="L54" s="233">
        <f t="shared" si="22"/>
        <v>50878.819999999992</v>
      </c>
      <c r="M54" s="46"/>
      <c r="N54" s="176"/>
      <c r="O54" s="176"/>
    </row>
    <row r="55" spans="1:16" ht="62" x14ac:dyDescent="0.35">
      <c r="A55" s="48" t="s">
        <v>92</v>
      </c>
      <c r="B55" s="45"/>
      <c r="C55" s="25">
        <v>50000</v>
      </c>
      <c r="D55" s="25">
        <v>0</v>
      </c>
      <c r="E55" s="25">
        <v>0</v>
      </c>
      <c r="F55" s="34">
        <f>SUM(C55:E55)</f>
        <v>50000</v>
      </c>
      <c r="G55" s="42">
        <v>0.5</v>
      </c>
      <c r="H55" s="46"/>
      <c r="I55" s="192" t="s">
        <v>24</v>
      </c>
      <c r="J55" s="169"/>
      <c r="K55" s="155"/>
      <c r="L55" s="233">
        <f t="shared" si="22"/>
        <v>0</v>
      </c>
      <c r="M55" s="46"/>
      <c r="O55" s="176"/>
    </row>
    <row r="56" spans="1:16" ht="15.5" x14ac:dyDescent="0.35">
      <c r="A56" s="49"/>
      <c r="B56" s="50" t="s">
        <v>93</v>
      </c>
      <c r="C56" s="128">
        <f>SUM(C52:C55)</f>
        <v>417012</v>
      </c>
      <c r="D56" s="128">
        <f>SUM(D52:D55)</f>
        <v>218247</v>
      </c>
      <c r="E56" s="51">
        <f>SUM(E52:E55)</f>
        <v>69000</v>
      </c>
      <c r="F56" s="51">
        <f>SUM(F52:F55)</f>
        <v>704259</v>
      </c>
      <c r="G56" s="27">
        <f>+SUM(G52:G55)</f>
        <v>2</v>
      </c>
      <c r="H56" s="27">
        <f>SUM(H52:H55)</f>
        <v>0</v>
      </c>
      <c r="I56" s="27">
        <f t="shared" ref="I56" si="23">SUM(I52:I55)</f>
        <v>245178.04</v>
      </c>
      <c r="J56" s="126">
        <f>SUM(J52:J55)</f>
        <v>167860.53999999995</v>
      </c>
      <c r="K56" s="144">
        <f t="shared" ref="K56:L56" si="24">SUM(K52:K55)</f>
        <v>52098.87999999999</v>
      </c>
      <c r="L56" s="144">
        <f t="shared" si="24"/>
        <v>465137.4599999999</v>
      </c>
      <c r="M56" s="57"/>
    </row>
    <row r="59" spans="1:16" thickBot="1" x14ac:dyDescent="0.4"/>
    <row r="60" spans="1:16" ht="16" thickBot="1" x14ac:dyDescent="0.4">
      <c r="B60" s="271" t="s">
        <v>94</v>
      </c>
      <c r="C60" s="272"/>
      <c r="D60" s="272"/>
      <c r="E60" s="272"/>
      <c r="F60" s="273"/>
      <c r="I60" s="249" t="s">
        <v>94</v>
      </c>
      <c r="J60" s="250"/>
      <c r="K60" s="250"/>
      <c r="L60" s="250"/>
      <c r="P60" s="236"/>
    </row>
    <row r="61" spans="1:16" ht="60.5" thickBot="1" x14ac:dyDescent="0.4">
      <c r="B61" s="274"/>
      <c r="C61" s="27" t="s">
        <v>95</v>
      </c>
      <c r="D61" s="28" t="s">
        <v>96</v>
      </c>
      <c r="E61" s="27" t="s">
        <v>97</v>
      </c>
      <c r="F61" s="276" t="s">
        <v>6</v>
      </c>
      <c r="I61" s="157" t="s">
        <v>98</v>
      </c>
      <c r="J61" s="162" t="s">
        <v>99</v>
      </c>
      <c r="K61" s="163" t="s">
        <v>100</v>
      </c>
      <c r="L61" s="237" t="s">
        <v>6</v>
      </c>
      <c r="P61" s="248"/>
    </row>
    <row r="62" spans="1:16" ht="15.5" x14ac:dyDescent="0.35">
      <c r="B62" s="275"/>
      <c r="C62" s="52" t="s">
        <v>13</v>
      </c>
      <c r="D62" s="53" t="s">
        <v>14</v>
      </c>
      <c r="E62" s="52" t="s">
        <v>15</v>
      </c>
      <c r="F62" s="277"/>
      <c r="I62" s="222" t="s">
        <v>13</v>
      </c>
      <c r="J62" s="218" t="s">
        <v>14</v>
      </c>
      <c r="K62" s="219" t="s">
        <v>15</v>
      </c>
      <c r="L62" s="238"/>
      <c r="P62" s="248"/>
    </row>
    <row r="63" spans="1:16" ht="19.5" customHeight="1" x14ac:dyDescent="0.35">
      <c r="B63" s="54" t="s">
        <v>101</v>
      </c>
      <c r="C63" s="171">
        <f>SUM(C56+C49+C44+C37+C30+C25+C16+C10)</f>
        <v>997412</v>
      </c>
      <c r="D63" s="172">
        <f>SUM(D10+D16+D25+D30+D37+D44+D49+D56)</f>
        <v>539747</v>
      </c>
      <c r="E63" s="171">
        <f>SUM(E10+E16+E25+E30+E37+E44+E49+E56)</f>
        <v>332000</v>
      </c>
      <c r="F63" s="173">
        <f>SUM(C63:E63)</f>
        <v>1869159</v>
      </c>
      <c r="I63" s="158">
        <f>SUM(I56+I49+I44+I37+I30+I25+I16+I10)</f>
        <v>576740.93000000005</v>
      </c>
      <c r="J63" s="160">
        <f>SUM(J56+J49+J44+J37+J30+J25+J16+J10)</f>
        <v>410075.3</v>
      </c>
      <c r="K63" s="161">
        <f t="shared" ref="K63" si="25">SUM(K56+K49+K44+K37+K30+K25+K16+K10)</f>
        <v>293706.98</v>
      </c>
      <c r="L63" s="239">
        <f>SUM(I63:K63)</f>
        <v>1280523.21</v>
      </c>
      <c r="P63" s="234"/>
    </row>
    <row r="64" spans="1:16" ht="15.5" x14ac:dyDescent="0.35">
      <c r="B64" s="54" t="s">
        <v>102</v>
      </c>
      <c r="C64" s="171">
        <f>C63*0.07</f>
        <v>69818.840000000011</v>
      </c>
      <c r="D64" s="172">
        <f>D63*0.07</f>
        <v>37782.29</v>
      </c>
      <c r="E64" s="171">
        <f>E63*0.07</f>
        <v>23240.000000000004</v>
      </c>
      <c r="F64" s="173">
        <f>F63*0.07</f>
        <v>130841.13000000002</v>
      </c>
      <c r="I64" s="158">
        <f>I63*0.07</f>
        <v>40371.86510000001</v>
      </c>
      <c r="J64" s="160">
        <v>28552.47</v>
      </c>
      <c r="K64" s="247">
        <f t="shared" ref="K64" si="26">K63*0.07</f>
        <v>20559.488600000001</v>
      </c>
      <c r="L64" s="239">
        <f>SUM(I64:K64)</f>
        <v>89483.823700000008</v>
      </c>
      <c r="P64" s="234"/>
    </row>
    <row r="65" spans="2:16" ht="16" thickBot="1" x14ac:dyDescent="0.4">
      <c r="B65" s="55" t="s">
        <v>6</v>
      </c>
      <c r="C65" s="174">
        <f>SUM(C63:C64)</f>
        <v>1067230.8400000001</v>
      </c>
      <c r="D65" s="175">
        <f>SUM(D63:D64)</f>
        <v>577529.29</v>
      </c>
      <c r="E65" s="174">
        <f>SUM(E63:E64)</f>
        <v>355240</v>
      </c>
      <c r="F65" s="170">
        <f>SUM(F63:F64)</f>
        <v>2000000.1300000001</v>
      </c>
      <c r="I65" s="159">
        <f>SUM(I63:I64)</f>
        <v>617112.7951000001</v>
      </c>
      <c r="J65" s="214">
        <f>SUM(J63:J64)</f>
        <v>438627.77</v>
      </c>
      <c r="K65" s="186">
        <f>SUM(K63:K64)</f>
        <v>314266.46859999996</v>
      </c>
      <c r="L65" s="240">
        <f>SUM(I65:K65)</f>
        <v>1370007.0337000003</v>
      </c>
      <c r="M65" s="235"/>
      <c r="N65" s="235"/>
      <c r="O65" s="235"/>
      <c r="P65" s="235"/>
    </row>
    <row r="66" spans="2:16" ht="14.5" x14ac:dyDescent="0.35">
      <c r="C66" s="176"/>
      <c r="D66" s="176"/>
      <c r="E66" s="176"/>
      <c r="F66" s="176"/>
      <c r="N66" s="180"/>
    </row>
    <row r="68" spans="2:16" ht="14.5" x14ac:dyDescent="0.35"/>
    <row r="69" spans="2:16" ht="38.25" customHeight="1" x14ac:dyDescent="0.35">
      <c r="I69" s="251" t="s">
        <v>103</v>
      </c>
      <c r="J69" s="251"/>
      <c r="K69" s="251"/>
      <c r="L69" s="251"/>
      <c r="M69" s="251"/>
      <c r="N69" s="251"/>
    </row>
    <row r="70" spans="2:16" ht="15" customHeight="1" x14ac:dyDescent="0.35">
      <c r="B70" s="205"/>
    </row>
  </sheetData>
  <mergeCells count="18">
    <mergeCell ref="A1:G1"/>
    <mergeCell ref="B6:M6"/>
    <mergeCell ref="B7:M7"/>
    <mergeCell ref="M4:M5"/>
    <mergeCell ref="B26:H26"/>
    <mergeCell ref="J17:M17"/>
    <mergeCell ref="B19:M19"/>
    <mergeCell ref="P61:P62"/>
    <mergeCell ref="I60:L60"/>
    <mergeCell ref="I69:N69"/>
    <mergeCell ref="B32:M32"/>
    <mergeCell ref="B11:M11"/>
    <mergeCell ref="B31:M31"/>
    <mergeCell ref="B45:M45"/>
    <mergeCell ref="B38:J38"/>
    <mergeCell ref="B60:F60"/>
    <mergeCell ref="B61:B62"/>
    <mergeCell ref="F61:F62"/>
  </mergeCells>
  <dataValidations count="3">
    <dataValidation allowBlank="1" showInputMessage="1" showErrorMessage="1" prompt="Insert *text* description of Output here" sqref="B7 B11 B19 B26 B32 B45 B38" xr:uid="{32872B72-9FAB-4426-96F5-191154F2FC2A}"/>
    <dataValidation allowBlank="1" showInputMessage="1" showErrorMessage="1" prompt="Insert *text* description of Outcome here" sqref="B6 B18 B31" xr:uid="{2A7B9A3C-7656-4845-BE63-590D5C11F7B1}"/>
    <dataValidation allowBlank="1" showInputMessage="1" showErrorMessage="1" prompt="Insert *text* description of Activity here" sqref="B8 B12 B20 B27 B33 B46 B39" xr:uid="{2C52F1EB-6C8C-4282-9564-6DBC88B2534F}"/>
  </dataValidations>
  <pageMargins left="0.7" right="0.7" top="0.75" bottom="0.75" header="0.3" footer="0.3"/>
  <pageSetup paperSize="9" orientation="portrait" r:id="rId1"/>
  <ignoredErrors>
    <ignoredError sqref="E44:F44"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B0CA5-12F3-4205-BD0F-09BDC1149B52}">
  <dimension ref="A1:K138"/>
  <sheetViews>
    <sheetView topLeftCell="B98" zoomScale="42" zoomScaleNormal="42" workbookViewId="0">
      <selection activeCell="H116" sqref="H116"/>
    </sheetView>
  </sheetViews>
  <sheetFormatPr baseColWidth="10" defaultColWidth="11.54296875" defaultRowHeight="14.5" x14ac:dyDescent="0.35"/>
  <cols>
    <col min="2" max="2" width="80.453125" customWidth="1"/>
    <col min="3" max="3" width="14.453125" customWidth="1"/>
    <col min="4" max="4" width="18.7265625" customWidth="1"/>
    <col min="5" max="5" width="19.1796875" customWidth="1"/>
    <col min="6" max="6" width="17.453125" customWidth="1"/>
    <col min="7" max="7" width="15.453125" customWidth="1"/>
    <col min="8" max="8" width="21.26953125" bestFit="1" customWidth="1"/>
    <col min="9" max="9" width="15.453125" customWidth="1"/>
    <col min="10" max="10" width="22.7265625" customWidth="1"/>
    <col min="11" max="11" width="5.26953125" customWidth="1"/>
  </cols>
  <sheetData>
    <row r="1" spans="1:11" ht="15" customHeight="1" x14ac:dyDescent="0.4">
      <c r="A1" s="70"/>
      <c r="B1" s="278" t="s">
        <v>104</v>
      </c>
      <c r="C1" s="278"/>
      <c r="D1" s="278"/>
      <c r="E1" s="278"/>
      <c r="F1" s="71"/>
      <c r="G1" s="70"/>
      <c r="H1" s="70"/>
      <c r="I1" s="70"/>
      <c r="J1" s="1"/>
      <c r="K1" s="1"/>
    </row>
    <row r="2" spans="1:11" ht="15" x14ac:dyDescent="0.4">
      <c r="A2" s="70"/>
      <c r="B2" s="72"/>
      <c r="C2" s="73"/>
      <c r="D2" s="73"/>
      <c r="E2" s="73"/>
      <c r="F2" s="73"/>
      <c r="G2" s="70"/>
      <c r="H2" s="70"/>
      <c r="I2" s="70"/>
      <c r="J2" s="1"/>
      <c r="K2" s="1"/>
    </row>
    <row r="3" spans="1:11" ht="15.5" thickBot="1" x14ac:dyDescent="0.45">
      <c r="A3" s="70"/>
      <c r="B3" s="72"/>
      <c r="C3" s="73"/>
      <c r="D3" s="73"/>
      <c r="E3" s="73"/>
      <c r="F3" s="73"/>
      <c r="G3" s="70"/>
      <c r="H3" s="70"/>
      <c r="I3" s="70"/>
      <c r="J3" s="1"/>
      <c r="K3" s="1"/>
    </row>
    <row r="4" spans="1:11" ht="15" customHeight="1" x14ac:dyDescent="0.4">
      <c r="A4" s="70"/>
      <c r="B4" s="279" t="s">
        <v>105</v>
      </c>
      <c r="C4" s="280"/>
      <c r="D4" s="280"/>
      <c r="E4" s="280"/>
      <c r="F4" s="280"/>
      <c r="G4" s="70"/>
      <c r="H4" s="70"/>
      <c r="I4" s="70"/>
      <c r="J4" s="1"/>
      <c r="K4" s="1"/>
    </row>
    <row r="5" spans="1:11" ht="30" customHeight="1" x14ac:dyDescent="0.4">
      <c r="A5" s="70"/>
      <c r="B5" s="281" t="s">
        <v>106</v>
      </c>
      <c r="C5" s="282"/>
      <c r="D5" s="282"/>
      <c r="E5" s="282"/>
      <c r="F5" s="282"/>
      <c r="G5" s="70"/>
      <c r="H5" s="70"/>
      <c r="I5" s="70"/>
      <c r="J5" s="1"/>
      <c r="K5" s="1"/>
    </row>
    <row r="6" spans="1:11" ht="30" customHeight="1" x14ac:dyDescent="0.4">
      <c r="A6" s="70"/>
      <c r="B6" s="281" t="s">
        <v>107</v>
      </c>
      <c r="C6" s="282"/>
      <c r="D6" s="282"/>
      <c r="E6" s="282"/>
      <c r="F6" s="282"/>
      <c r="G6" s="70"/>
      <c r="H6" s="70"/>
      <c r="I6" s="70"/>
      <c r="J6" s="1"/>
      <c r="K6" s="1"/>
    </row>
    <row r="7" spans="1:11" ht="30" customHeight="1" x14ac:dyDescent="0.4">
      <c r="A7" s="70"/>
      <c r="B7" s="281" t="s">
        <v>108</v>
      </c>
      <c r="C7" s="282"/>
      <c r="D7" s="282"/>
      <c r="E7" s="282"/>
      <c r="F7" s="282"/>
      <c r="G7" s="70"/>
      <c r="H7" s="70"/>
      <c r="I7" s="70"/>
      <c r="J7" s="1"/>
      <c r="K7" s="1"/>
    </row>
    <row r="8" spans="1:11" ht="15.5" thickBot="1" x14ac:dyDescent="0.45">
      <c r="A8" s="70"/>
      <c r="B8" s="74"/>
      <c r="C8" s="75"/>
      <c r="D8" s="75"/>
      <c r="E8" s="75"/>
      <c r="F8" s="73"/>
      <c r="G8" s="70"/>
      <c r="H8" s="70"/>
      <c r="I8" s="70"/>
      <c r="J8" s="1"/>
      <c r="K8" s="1"/>
    </row>
    <row r="9" spans="1:11" ht="30" customHeight="1" thickBot="1" x14ac:dyDescent="0.45">
      <c r="A9" s="70"/>
      <c r="B9" s="285" t="s">
        <v>109</v>
      </c>
      <c r="C9" s="286"/>
      <c r="D9" s="286"/>
      <c r="E9" s="286"/>
      <c r="F9" s="73"/>
      <c r="G9" s="70"/>
      <c r="H9" s="70"/>
      <c r="I9" s="70"/>
      <c r="J9" s="1"/>
      <c r="K9" s="1"/>
    </row>
    <row r="10" spans="1:11" x14ac:dyDescent="0.35">
      <c r="A10" s="83"/>
      <c r="B10" s="84"/>
      <c r="C10" s="85"/>
      <c r="D10" s="85"/>
      <c r="E10" s="85"/>
      <c r="F10" s="69"/>
      <c r="G10" s="68"/>
      <c r="H10" s="68"/>
      <c r="I10" s="68"/>
      <c r="J10" s="67"/>
      <c r="K10" s="67"/>
    </row>
    <row r="11" spans="1:11" x14ac:dyDescent="0.35">
      <c r="A11" s="68"/>
      <c r="B11" s="84"/>
      <c r="C11" s="291" t="s">
        <v>110</v>
      </c>
      <c r="D11" s="292"/>
      <c r="E11" s="292"/>
      <c r="F11" s="293"/>
      <c r="G11" s="294" t="s">
        <v>111</v>
      </c>
      <c r="H11" s="295"/>
      <c r="I11" s="295"/>
      <c r="J11" s="296"/>
      <c r="K11" s="199"/>
    </row>
    <row r="12" spans="1:11" ht="37.5" x14ac:dyDescent="0.35">
      <c r="A12" s="68"/>
      <c r="B12" s="84"/>
      <c r="C12" s="91" t="s">
        <v>95</v>
      </c>
      <c r="D12" s="91" t="s">
        <v>96</v>
      </c>
      <c r="E12" s="91" t="s">
        <v>97</v>
      </c>
      <c r="F12" s="297" t="s">
        <v>6</v>
      </c>
      <c r="G12" s="223" t="s">
        <v>112</v>
      </c>
      <c r="H12" s="224" t="s">
        <v>113</v>
      </c>
      <c r="I12" s="225" t="s">
        <v>114</v>
      </c>
      <c r="J12" s="299" t="s">
        <v>115</v>
      </c>
      <c r="K12" s="200"/>
    </row>
    <row r="13" spans="1:11" ht="82.5" customHeight="1" x14ac:dyDescent="0.35">
      <c r="A13" s="68"/>
      <c r="B13" s="84"/>
      <c r="C13" s="91" t="s">
        <v>13</v>
      </c>
      <c r="D13" s="91" t="s">
        <v>14</v>
      </c>
      <c r="E13" s="91" t="s">
        <v>15</v>
      </c>
      <c r="F13" s="298"/>
      <c r="G13" s="86" t="s">
        <v>11</v>
      </c>
      <c r="H13" s="88" t="s">
        <v>11</v>
      </c>
      <c r="I13" s="133" t="s">
        <v>11</v>
      </c>
      <c r="J13" s="300"/>
      <c r="K13" s="200"/>
    </row>
    <row r="14" spans="1:11" x14ac:dyDescent="0.35">
      <c r="A14" s="287" t="s">
        <v>116</v>
      </c>
      <c r="B14" s="288"/>
      <c r="C14" s="288"/>
      <c r="D14" s="288"/>
      <c r="E14" s="288"/>
      <c r="F14" s="288"/>
      <c r="G14" s="288"/>
      <c r="H14" s="288"/>
      <c r="I14" s="288"/>
      <c r="J14" s="289"/>
      <c r="K14" s="201"/>
    </row>
    <row r="15" spans="1:11" x14ac:dyDescent="0.35">
      <c r="A15" s="90"/>
      <c r="B15" s="301" t="s">
        <v>117</v>
      </c>
      <c r="C15" s="301"/>
      <c r="D15" s="301"/>
      <c r="E15" s="301"/>
      <c r="F15" s="301"/>
      <c r="G15" s="301"/>
      <c r="H15" s="301"/>
      <c r="I15" s="301"/>
      <c r="J15" s="301"/>
      <c r="K15" s="201"/>
    </row>
    <row r="16" spans="1:11" ht="37" customHeight="1" thickBot="1" x14ac:dyDescent="0.45">
      <c r="B16" s="80" t="s">
        <v>118</v>
      </c>
      <c r="C16" s="208">
        <f>SUM(C17:C23)</f>
        <v>69000</v>
      </c>
      <c r="D16" s="208">
        <f t="shared" ref="D16:E16" si="0">SUM(D17:D23)</f>
        <v>4000</v>
      </c>
      <c r="E16" s="208">
        <f t="shared" si="0"/>
        <v>3000</v>
      </c>
      <c r="F16" s="118">
        <f>SUM(C16:E16)</f>
        <v>76000</v>
      </c>
      <c r="G16" s="209">
        <f>SUM(G17:G23)</f>
        <v>9372.369999999999</v>
      </c>
      <c r="H16" s="210">
        <f>SUM(H17:H23)</f>
        <v>3955.64</v>
      </c>
      <c r="I16" s="151">
        <f>+I24</f>
        <v>3227.89</v>
      </c>
      <c r="J16" s="241">
        <f>SUM(G16:I16)</f>
        <v>16555.899999999998</v>
      </c>
      <c r="K16" s="202"/>
    </row>
    <row r="17" spans="1:11" ht="26.65" customHeight="1" x14ac:dyDescent="0.4">
      <c r="B17" s="79" t="s">
        <v>119</v>
      </c>
      <c r="C17" s="110" t="s">
        <v>120</v>
      </c>
      <c r="D17" s="110">
        <v>0</v>
      </c>
      <c r="E17" s="110">
        <v>0</v>
      </c>
      <c r="F17" s="112">
        <f t="shared" ref="F17:F23" si="1">SUM(C17:E17)</f>
        <v>0</v>
      </c>
      <c r="G17" s="190">
        <v>0</v>
      </c>
      <c r="H17" s="207"/>
      <c r="I17" s="136"/>
      <c r="J17" s="152">
        <f t="shared" ref="J17:J24" si="2">SUM(G17:I17)</f>
        <v>0</v>
      </c>
      <c r="K17" s="202"/>
    </row>
    <row r="18" spans="1:11" ht="19.149999999999999" customHeight="1" x14ac:dyDescent="0.4">
      <c r="A18" s="113"/>
      <c r="B18" s="77" t="s">
        <v>121</v>
      </c>
      <c r="C18" s="113" t="s">
        <v>122</v>
      </c>
      <c r="D18" s="113">
        <v>0</v>
      </c>
      <c r="E18" s="113">
        <v>0</v>
      </c>
      <c r="F18" s="115">
        <f t="shared" si="1"/>
        <v>0</v>
      </c>
      <c r="G18" s="189">
        <v>0</v>
      </c>
      <c r="H18" s="131"/>
      <c r="I18" s="136"/>
      <c r="J18" s="152">
        <f t="shared" si="2"/>
        <v>0</v>
      </c>
      <c r="K18" s="202"/>
    </row>
    <row r="19" spans="1:11" ht="16" x14ac:dyDescent="0.4">
      <c r="B19" s="77" t="s">
        <v>123</v>
      </c>
      <c r="C19" s="113" t="s">
        <v>122</v>
      </c>
      <c r="D19" s="113"/>
      <c r="E19" s="113">
        <v>0</v>
      </c>
      <c r="F19" s="115">
        <f t="shared" si="1"/>
        <v>0</v>
      </c>
      <c r="G19" s="189">
        <v>0</v>
      </c>
      <c r="H19" s="131"/>
      <c r="I19" s="136"/>
      <c r="J19" s="152">
        <f t="shared" si="2"/>
        <v>0</v>
      </c>
      <c r="K19" s="202"/>
    </row>
    <row r="20" spans="1:11" ht="16" x14ac:dyDescent="0.4">
      <c r="B20" s="78" t="s">
        <v>124</v>
      </c>
      <c r="C20" s="113">
        <v>51000</v>
      </c>
      <c r="D20" s="113">
        <v>0</v>
      </c>
      <c r="E20" s="113">
        <v>0</v>
      </c>
      <c r="F20" s="115">
        <f t="shared" si="1"/>
        <v>51000</v>
      </c>
      <c r="G20" s="189">
        <v>7518.37</v>
      </c>
      <c r="H20" s="131"/>
      <c r="I20" s="136"/>
      <c r="J20" s="152">
        <f t="shared" si="2"/>
        <v>7518.37</v>
      </c>
      <c r="K20" s="202"/>
    </row>
    <row r="21" spans="1:11" ht="16" x14ac:dyDescent="0.4">
      <c r="B21" s="77" t="s">
        <v>125</v>
      </c>
      <c r="C21" s="113">
        <v>9000</v>
      </c>
      <c r="D21" s="113">
        <v>4000</v>
      </c>
      <c r="E21" s="113">
        <v>3000</v>
      </c>
      <c r="F21" s="115">
        <f t="shared" si="1"/>
        <v>16000</v>
      </c>
      <c r="G21" s="189">
        <v>1854</v>
      </c>
      <c r="H21" s="131">
        <v>3955.64</v>
      </c>
      <c r="I21" s="136">
        <v>3227.89</v>
      </c>
      <c r="J21" s="152">
        <f t="shared" si="2"/>
        <v>9037.5299999999988</v>
      </c>
      <c r="K21" s="202"/>
    </row>
    <row r="22" spans="1:11" ht="16" x14ac:dyDescent="0.4">
      <c r="B22" s="77" t="s">
        <v>126</v>
      </c>
      <c r="C22" s="113">
        <v>9000</v>
      </c>
      <c r="D22" s="113"/>
      <c r="E22" s="113">
        <v>0</v>
      </c>
      <c r="F22" s="115">
        <f t="shared" si="1"/>
        <v>9000</v>
      </c>
      <c r="G22" s="189">
        <v>0</v>
      </c>
      <c r="H22" s="131"/>
      <c r="I22" s="136"/>
      <c r="J22" s="152">
        <f t="shared" si="2"/>
        <v>0</v>
      </c>
      <c r="K22" s="202"/>
    </row>
    <row r="23" spans="1:11" ht="16" x14ac:dyDescent="0.4">
      <c r="B23" s="77" t="s">
        <v>127</v>
      </c>
      <c r="C23" s="113" t="s">
        <v>122</v>
      </c>
      <c r="D23" s="113"/>
      <c r="E23" s="113">
        <v>0</v>
      </c>
      <c r="F23" s="115">
        <f t="shared" si="1"/>
        <v>0</v>
      </c>
      <c r="G23" s="189">
        <v>0</v>
      </c>
      <c r="H23" s="131"/>
      <c r="I23" s="136"/>
      <c r="J23" s="152">
        <f t="shared" si="2"/>
        <v>0</v>
      </c>
      <c r="K23" s="202"/>
    </row>
    <row r="24" spans="1:11" ht="16" x14ac:dyDescent="0.4">
      <c r="B24" s="76" t="s">
        <v>128</v>
      </c>
      <c r="C24" s="116">
        <f>SUM(C17:C23)</f>
        <v>69000</v>
      </c>
      <c r="D24" s="116">
        <f>SUM(D17:D23)</f>
        <v>4000</v>
      </c>
      <c r="E24" s="116">
        <f>SUM(E17:E23)</f>
        <v>3000</v>
      </c>
      <c r="F24" s="116">
        <f>SUM(C24:E24)</f>
        <v>76000</v>
      </c>
      <c r="G24" s="148">
        <f>SUM(G17:G23)</f>
        <v>9372.369999999999</v>
      </c>
      <c r="H24" s="150">
        <f>SUM(H17:H23)</f>
        <v>3955.64</v>
      </c>
      <c r="I24" s="151">
        <f>SUM(I17:I23)</f>
        <v>3227.89</v>
      </c>
      <c r="J24" s="241">
        <f t="shared" si="2"/>
        <v>16555.899999999998</v>
      </c>
      <c r="K24" s="202"/>
    </row>
    <row r="26" spans="1:11" ht="16" x14ac:dyDescent="0.4">
      <c r="B26" s="283" t="s">
        <v>129</v>
      </c>
      <c r="C26" s="284"/>
      <c r="D26" s="284"/>
      <c r="E26" s="284"/>
      <c r="F26" s="284"/>
      <c r="G26" s="284"/>
      <c r="H26" s="284"/>
      <c r="I26" s="284"/>
      <c r="J26" s="284"/>
      <c r="K26" s="203"/>
    </row>
    <row r="27" spans="1:11" ht="16.5" thickBot="1" x14ac:dyDescent="0.45">
      <c r="B27" s="80" t="s">
        <v>130</v>
      </c>
      <c r="C27" s="117">
        <v>185000</v>
      </c>
      <c r="D27" s="117">
        <v>47000</v>
      </c>
      <c r="E27" s="117">
        <v>30000</v>
      </c>
      <c r="F27" s="118">
        <f t="shared" ref="F27:F35" si="3">SUM(C27:E27)</f>
        <v>262000</v>
      </c>
      <c r="G27" s="147">
        <f>SUM(G28:G34)</f>
        <v>126274.73999999999</v>
      </c>
      <c r="H27" s="149">
        <f t="shared" ref="H27" si="4">SUM(H28:H34)</f>
        <v>37275.310000000005</v>
      </c>
      <c r="I27" s="151">
        <f>+I35</f>
        <v>28431.88</v>
      </c>
      <c r="J27" s="241">
        <f>SUM(G27:I27)</f>
        <v>191981.93</v>
      </c>
      <c r="K27" s="202"/>
    </row>
    <row r="28" spans="1:11" ht="16" x14ac:dyDescent="0.4">
      <c r="B28" s="79" t="s">
        <v>119</v>
      </c>
      <c r="C28" s="113" t="s">
        <v>120</v>
      </c>
      <c r="D28" s="113"/>
      <c r="E28" s="113">
        <v>0</v>
      </c>
      <c r="F28" s="112">
        <f t="shared" si="3"/>
        <v>0</v>
      </c>
      <c r="G28" s="189">
        <v>0</v>
      </c>
      <c r="H28" s="131"/>
      <c r="I28" s="136"/>
      <c r="J28" s="152">
        <f t="shared" ref="J28:J35" si="5">SUM(G28:I28)</f>
        <v>0</v>
      </c>
      <c r="K28" s="202"/>
    </row>
    <row r="29" spans="1:11" ht="16" x14ac:dyDescent="0.4">
      <c r="B29" s="77" t="s">
        <v>121</v>
      </c>
      <c r="C29" s="113">
        <v>2700</v>
      </c>
      <c r="D29" s="113">
        <v>2000</v>
      </c>
      <c r="E29" s="113">
        <v>0</v>
      </c>
      <c r="F29" s="115">
        <f t="shared" si="3"/>
        <v>4700</v>
      </c>
      <c r="G29" s="190">
        <v>895.38</v>
      </c>
      <c r="H29" s="131">
        <v>1876.83</v>
      </c>
      <c r="I29" s="136"/>
      <c r="J29" s="152">
        <f t="shared" si="5"/>
        <v>2772.21</v>
      </c>
      <c r="K29" s="202"/>
    </row>
    <row r="30" spans="1:11" ht="16" x14ac:dyDescent="0.4">
      <c r="B30" s="77" t="s">
        <v>123</v>
      </c>
      <c r="C30" s="113" t="s">
        <v>122</v>
      </c>
      <c r="D30" s="113">
        <v>6000</v>
      </c>
      <c r="E30" s="113">
        <v>0</v>
      </c>
      <c r="F30" s="115">
        <f t="shared" si="3"/>
        <v>6000</v>
      </c>
      <c r="G30" s="190">
        <v>0</v>
      </c>
      <c r="H30" s="131">
        <v>5966.17</v>
      </c>
      <c r="I30" s="136"/>
      <c r="J30" s="152">
        <f t="shared" si="5"/>
        <v>5966.17</v>
      </c>
      <c r="K30" s="202"/>
    </row>
    <row r="31" spans="1:11" ht="16" x14ac:dyDescent="0.4">
      <c r="B31" s="78" t="s">
        <v>124</v>
      </c>
      <c r="C31" s="113">
        <v>17000</v>
      </c>
      <c r="D31" s="113">
        <v>19000</v>
      </c>
      <c r="E31" s="113">
        <v>3000</v>
      </c>
      <c r="F31" s="115">
        <f t="shared" si="3"/>
        <v>39000</v>
      </c>
      <c r="G31" s="190">
        <v>85.69</v>
      </c>
      <c r="H31" s="131">
        <v>9969.3700000000008</v>
      </c>
      <c r="I31" s="136">
        <v>1431.88</v>
      </c>
      <c r="J31" s="152">
        <f t="shared" si="5"/>
        <v>11486.940000000002</v>
      </c>
      <c r="K31" s="202"/>
    </row>
    <row r="32" spans="1:11" ht="16" x14ac:dyDescent="0.4">
      <c r="B32" s="77" t="s">
        <v>125</v>
      </c>
      <c r="C32" s="113">
        <v>37000</v>
      </c>
      <c r="D32" s="113">
        <v>10000</v>
      </c>
      <c r="E32" s="113">
        <v>5000</v>
      </c>
      <c r="F32" s="115">
        <f t="shared" si="3"/>
        <v>52000</v>
      </c>
      <c r="G32" s="190">
        <v>25827.69</v>
      </c>
      <c r="H32" s="131">
        <v>9779.44</v>
      </c>
      <c r="I32" s="136">
        <f>4919.33+80.67</f>
        <v>5000</v>
      </c>
      <c r="J32" s="152">
        <f t="shared" si="5"/>
        <v>40607.129999999997</v>
      </c>
      <c r="K32" s="202"/>
    </row>
    <row r="33" spans="1:11" ht="16" x14ac:dyDescent="0.4">
      <c r="B33" s="77" t="s">
        <v>126</v>
      </c>
      <c r="C33" s="113">
        <v>100000</v>
      </c>
      <c r="D33" s="113">
        <v>10000</v>
      </c>
      <c r="E33" s="113">
        <v>22000</v>
      </c>
      <c r="F33" s="115">
        <f t="shared" si="3"/>
        <v>132000</v>
      </c>
      <c r="G33" s="190">
        <v>90000</v>
      </c>
      <c r="H33" s="131">
        <v>9683.5</v>
      </c>
      <c r="I33" s="136">
        <f>15000+7000</f>
        <v>22000</v>
      </c>
      <c r="J33" s="152">
        <f t="shared" si="5"/>
        <v>121683.5</v>
      </c>
      <c r="K33" s="202"/>
    </row>
    <row r="34" spans="1:11" ht="16" x14ac:dyDescent="0.4">
      <c r="B34" s="77" t="s">
        <v>127</v>
      </c>
      <c r="C34" s="113">
        <v>19000</v>
      </c>
      <c r="D34" s="113"/>
      <c r="E34" s="113">
        <v>0</v>
      </c>
      <c r="F34" s="115">
        <f t="shared" si="3"/>
        <v>19000</v>
      </c>
      <c r="G34" s="190">
        <v>9465.98</v>
      </c>
      <c r="H34" s="131"/>
      <c r="I34" s="136"/>
      <c r="J34" s="152">
        <f t="shared" si="5"/>
        <v>9465.98</v>
      </c>
      <c r="K34" s="202"/>
    </row>
    <row r="35" spans="1:11" ht="16" x14ac:dyDescent="0.4">
      <c r="B35" s="76" t="s">
        <v>128</v>
      </c>
      <c r="C35" s="116">
        <f>SUM(C28:C34)</f>
        <v>175700</v>
      </c>
      <c r="D35" s="116">
        <f>SUM(D28:D34)</f>
        <v>47000</v>
      </c>
      <c r="E35" s="116">
        <f>SUM(E28:E34)</f>
        <v>30000</v>
      </c>
      <c r="F35" s="116">
        <f t="shared" si="3"/>
        <v>252700</v>
      </c>
      <c r="G35" s="148">
        <f>SUM(G28:G34)</f>
        <v>126274.73999999999</v>
      </c>
      <c r="H35" s="150">
        <f>SUM(H28:H34)</f>
        <v>37275.310000000005</v>
      </c>
      <c r="I35" s="151">
        <f>SUM(I28:I34)</f>
        <v>28431.88</v>
      </c>
      <c r="J35" s="241">
        <f t="shared" si="5"/>
        <v>191981.93</v>
      </c>
      <c r="K35" s="202"/>
    </row>
    <row r="37" spans="1:11" ht="16" hidden="1" x14ac:dyDescent="0.4">
      <c r="B37" s="283" t="s">
        <v>131</v>
      </c>
      <c r="C37" s="284"/>
      <c r="D37" s="284"/>
      <c r="E37" s="284"/>
      <c r="F37" s="284"/>
      <c r="G37" s="284"/>
      <c r="H37" s="284"/>
      <c r="I37" s="284"/>
      <c r="J37" s="284"/>
      <c r="K37" s="203"/>
    </row>
    <row r="38" spans="1:11" ht="16.5" hidden="1" thickBot="1" x14ac:dyDescent="0.45">
      <c r="B38" s="80" t="s">
        <v>132</v>
      </c>
      <c r="C38" s="117">
        <v>0</v>
      </c>
      <c r="D38" s="117">
        <v>0</v>
      </c>
      <c r="E38" s="117">
        <v>0</v>
      </c>
      <c r="F38" s="118">
        <f t="shared" ref="F38:F46" si="6">SUM(C38:E38)</f>
        <v>0</v>
      </c>
      <c r="G38" s="46"/>
      <c r="H38" s="46"/>
      <c r="I38" s="46"/>
      <c r="J38" s="46"/>
    </row>
    <row r="39" spans="1:11" ht="16" hidden="1" x14ac:dyDescent="0.4">
      <c r="B39" s="79" t="s">
        <v>119</v>
      </c>
      <c r="C39" s="110"/>
      <c r="D39" s="119"/>
      <c r="E39" s="120"/>
      <c r="F39" s="112">
        <f t="shared" si="6"/>
        <v>0</v>
      </c>
      <c r="G39" s="46"/>
      <c r="H39" s="46"/>
      <c r="I39" s="46"/>
      <c r="J39" s="46"/>
    </row>
    <row r="40" spans="1:11" ht="16" hidden="1" x14ac:dyDescent="0.4">
      <c r="B40" s="77" t="s">
        <v>121</v>
      </c>
      <c r="C40" s="113"/>
      <c r="D40" s="120"/>
      <c r="E40" s="113"/>
      <c r="F40" s="115">
        <f t="shared" si="6"/>
        <v>0</v>
      </c>
      <c r="G40" s="46"/>
      <c r="H40" s="46"/>
      <c r="I40" s="46"/>
      <c r="J40" s="46"/>
    </row>
    <row r="41" spans="1:11" ht="16" hidden="1" x14ac:dyDescent="0.4">
      <c r="B41" s="77" t="s">
        <v>123</v>
      </c>
      <c r="C41" s="113"/>
      <c r="D41" s="113"/>
      <c r="E41" s="113"/>
      <c r="F41" s="115">
        <f t="shared" si="6"/>
        <v>0</v>
      </c>
      <c r="G41" s="46"/>
      <c r="H41" s="46"/>
      <c r="I41" s="46"/>
      <c r="J41" s="46"/>
    </row>
    <row r="42" spans="1:11" ht="16" hidden="1" x14ac:dyDescent="0.4">
      <c r="B42" s="78" t="s">
        <v>124</v>
      </c>
      <c r="C42" s="113">
        <v>0</v>
      </c>
      <c r="D42" s="113"/>
      <c r="E42" s="113"/>
      <c r="F42" s="115">
        <f t="shared" si="6"/>
        <v>0</v>
      </c>
      <c r="G42" s="46"/>
      <c r="H42" s="46"/>
      <c r="I42" s="46"/>
      <c r="J42" s="46"/>
    </row>
    <row r="43" spans="1:11" ht="16" hidden="1" x14ac:dyDescent="0.4">
      <c r="B43" s="77" t="s">
        <v>125</v>
      </c>
      <c r="C43" s="113">
        <v>0</v>
      </c>
      <c r="D43" s="113"/>
      <c r="E43" s="113"/>
      <c r="F43" s="115">
        <f t="shared" si="6"/>
        <v>0</v>
      </c>
      <c r="G43" s="46"/>
      <c r="H43" s="46"/>
      <c r="I43" s="46"/>
      <c r="J43" s="46"/>
    </row>
    <row r="44" spans="1:11" ht="16" hidden="1" x14ac:dyDescent="0.4">
      <c r="B44" s="77" t="s">
        <v>126</v>
      </c>
      <c r="C44" s="113"/>
      <c r="D44" s="113"/>
      <c r="E44" s="113"/>
      <c r="F44" s="115">
        <f t="shared" si="6"/>
        <v>0</v>
      </c>
      <c r="G44" s="46"/>
      <c r="H44" s="46"/>
      <c r="I44" s="46"/>
      <c r="J44" s="46"/>
    </row>
    <row r="45" spans="1:11" ht="16" hidden="1" x14ac:dyDescent="0.4">
      <c r="B45" s="77" t="s">
        <v>127</v>
      </c>
      <c r="C45" s="113"/>
      <c r="D45" s="113"/>
      <c r="E45" s="113"/>
      <c r="F45" s="115">
        <f t="shared" si="6"/>
        <v>0</v>
      </c>
      <c r="G45" s="46"/>
      <c r="H45" s="46"/>
      <c r="I45" s="46"/>
      <c r="J45" s="46"/>
    </row>
    <row r="46" spans="1:11" ht="16" hidden="1" x14ac:dyDescent="0.4">
      <c r="B46" s="81" t="s">
        <v>128</v>
      </c>
      <c r="C46" s="121">
        <f>SUM(C39:C45)</f>
        <v>0</v>
      </c>
      <c r="D46" s="121">
        <f>SUM(D39:D45)</f>
        <v>0</v>
      </c>
      <c r="E46" s="121">
        <f>SUM(E39:E45)</f>
        <v>0</v>
      </c>
      <c r="F46" s="122">
        <f t="shared" si="6"/>
        <v>0</v>
      </c>
    </row>
    <row r="48" spans="1:11" x14ac:dyDescent="0.35">
      <c r="A48" s="287" t="s">
        <v>133</v>
      </c>
      <c r="B48" s="288"/>
      <c r="C48" s="288"/>
      <c r="D48" s="288"/>
      <c r="E48" s="288"/>
      <c r="F48" s="288"/>
      <c r="G48" s="288"/>
      <c r="H48" s="288"/>
      <c r="I48" s="288"/>
      <c r="J48" s="289"/>
      <c r="K48" s="201"/>
    </row>
    <row r="49" spans="1:11" x14ac:dyDescent="0.35">
      <c r="A49" s="90"/>
      <c r="B49" s="287" t="s">
        <v>38</v>
      </c>
      <c r="C49" s="288"/>
      <c r="D49" s="288"/>
      <c r="E49" s="288"/>
      <c r="F49" s="288"/>
      <c r="G49" s="288"/>
      <c r="H49" s="288"/>
      <c r="I49" s="288"/>
      <c r="J49" s="289"/>
      <c r="K49" s="201"/>
    </row>
    <row r="50" spans="1:11" ht="16.5" thickBot="1" x14ac:dyDescent="0.45">
      <c r="A50" s="211"/>
      <c r="B50" s="82" t="s">
        <v>134</v>
      </c>
      <c r="C50" s="108">
        <v>143000</v>
      </c>
      <c r="D50" s="108">
        <v>147000</v>
      </c>
      <c r="E50" s="108">
        <v>5000</v>
      </c>
      <c r="F50" s="109">
        <f t="shared" ref="F50:F58" si="7">SUM(C50:E50)</f>
        <v>295000</v>
      </c>
      <c r="G50" s="147">
        <f>SUM(G51:G57)</f>
        <v>101240.45000000001</v>
      </c>
      <c r="H50" s="149">
        <f t="shared" ref="H50" si="8">SUM(H51:H57)</f>
        <v>115003.07</v>
      </c>
      <c r="I50" s="151">
        <f>+I58</f>
        <v>5000</v>
      </c>
      <c r="J50" s="241">
        <f>SUM(G50:I50)</f>
        <v>221243.52000000002</v>
      </c>
      <c r="K50" s="202"/>
    </row>
    <row r="51" spans="1:11" ht="16" x14ac:dyDescent="0.4">
      <c r="A51" s="211"/>
      <c r="B51" s="79" t="s">
        <v>119</v>
      </c>
      <c r="C51" s="110" t="s">
        <v>120</v>
      </c>
      <c r="D51" s="111"/>
      <c r="E51" s="113">
        <v>0</v>
      </c>
      <c r="F51" s="112">
        <f t="shared" si="7"/>
        <v>0</v>
      </c>
      <c r="G51" s="189">
        <v>0</v>
      </c>
      <c r="H51" s="131">
        <v>0</v>
      </c>
      <c r="I51" s="136"/>
      <c r="J51" s="152">
        <f t="shared" ref="J51:J58" si="9">SUM(G51:I51)</f>
        <v>0</v>
      </c>
      <c r="K51" s="202"/>
    </row>
    <row r="52" spans="1:11" ht="16" x14ac:dyDescent="0.4">
      <c r="A52" s="211"/>
      <c r="B52" s="77" t="s">
        <v>121</v>
      </c>
      <c r="C52" s="113">
        <v>1000</v>
      </c>
      <c r="D52" s="114">
        <v>2000</v>
      </c>
      <c r="E52" s="113">
        <v>0</v>
      </c>
      <c r="F52" s="115">
        <f t="shared" si="7"/>
        <v>3000</v>
      </c>
      <c r="G52" s="190">
        <v>1000</v>
      </c>
      <c r="H52" s="131">
        <v>0</v>
      </c>
      <c r="I52" s="136"/>
      <c r="J52" s="152">
        <f t="shared" si="9"/>
        <v>1000</v>
      </c>
      <c r="K52" s="202"/>
    </row>
    <row r="53" spans="1:11" ht="16" x14ac:dyDescent="0.4">
      <c r="A53" s="211"/>
      <c r="B53" s="77" t="s">
        <v>123</v>
      </c>
      <c r="C53" s="113" t="s">
        <v>122</v>
      </c>
      <c r="D53" s="113">
        <v>30000</v>
      </c>
      <c r="E53" s="113">
        <v>0</v>
      </c>
      <c r="F53" s="115">
        <f t="shared" si="7"/>
        <v>30000</v>
      </c>
      <c r="G53" s="190">
        <v>0</v>
      </c>
      <c r="H53" s="131">
        <v>29527.19</v>
      </c>
      <c r="I53" s="136"/>
      <c r="J53" s="152">
        <f t="shared" si="9"/>
        <v>29527.19</v>
      </c>
      <c r="K53" s="202"/>
    </row>
    <row r="54" spans="1:11" ht="16" x14ac:dyDescent="0.4">
      <c r="A54" s="211"/>
      <c r="B54" s="78" t="s">
        <v>124</v>
      </c>
      <c r="C54" s="113">
        <v>22000</v>
      </c>
      <c r="D54" s="113">
        <v>64000</v>
      </c>
      <c r="E54" s="113">
        <v>5000</v>
      </c>
      <c r="F54" s="115">
        <f t="shared" si="7"/>
        <v>91000</v>
      </c>
      <c r="G54" s="190">
        <v>12188.57</v>
      </c>
      <c r="H54" s="131">
        <v>55698.23</v>
      </c>
      <c r="I54" s="136">
        <v>5000</v>
      </c>
      <c r="J54" s="152">
        <f t="shared" si="9"/>
        <v>72886.8</v>
      </c>
      <c r="K54" s="202"/>
    </row>
    <row r="55" spans="1:11" ht="16" x14ac:dyDescent="0.4">
      <c r="A55" s="211"/>
      <c r="B55" s="77" t="s">
        <v>125</v>
      </c>
      <c r="C55" s="113">
        <v>60200</v>
      </c>
      <c r="D55" s="113">
        <v>31000</v>
      </c>
      <c r="E55" s="113">
        <v>0</v>
      </c>
      <c r="F55" s="115">
        <f t="shared" si="7"/>
        <v>91200</v>
      </c>
      <c r="G55" s="190">
        <v>53827.94</v>
      </c>
      <c r="H55" s="131">
        <v>29777.65</v>
      </c>
      <c r="I55" s="136"/>
      <c r="J55" s="152">
        <f t="shared" si="9"/>
        <v>83605.59</v>
      </c>
      <c r="K55" s="202"/>
    </row>
    <row r="56" spans="1:11" ht="16" x14ac:dyDescent="0.4">
      <c r="A56" s="211"/>
      <c r="B56" s="77" t="s">
        <v>126</v>
      </c>
      <c r="C56" s="113" t="s">
        <v>122</v>
      </c>
      <c r="D56" s="113">
        <v>20000</v>
      </c>
      <c r="E56" s="113">
        <v>0</v>
      </c>
      <c r="F56" s="115">
        <f t="shared" si="7"/>
        <v>20000</v>
      </c>
      <c r="G56" s="190">
        <v>0</v>
      </c>
      <c r="H56" s="131">
        <v>0</v>
      </c>
      <c r="I56" s="136"/>
      <c r="J56" s="152">
        <f t="shared" si="9"/>
        <v>0</v>
      </c>
      <c r="K56" s="202"/>
    </row>
    <row r="57" spans="1:11" ht="16" x14ac:dyDescent="0.4">
      <c r="A57" s="211"/>
      <c r="B57" s="77" t="s">
        <v>127</v>
      </c>
      <c r="C57" s="113">
        <v>37000</v>
      </c>
      <c r="D57" s="113"/>
      <c r="E57" s="113">
        <v>0</v>
      </c>
      <c r="F57" s="115">
        <f t="shared" si="7"/>
        <v>37000</v>
      </c>
      <c r="G57" s="190">
        <v>34223.94</v>
      </c>
      <c r="H57" s="131"/>
      <c r="I57" s="136"/>
      <c r="J57" s="152">
        <f t="shared" si="9"/>
        <v>34223.94</v>
      </c>
      <c r="K57" s="202"/>
    </row>
    <row r="58" spans="1:11" ht="16" x14ac:dyDescent="0.4">
      <c r="A58" s="212"/>
      <c r="B58" s="76" t="s">
        <v>128</v>
      </c>
      <c r="C58" s="116">
        <f>SUM(C51:C57)</f>
        <v>120200</v>
      </c>
      <c r="D58" s="116">
        <f>SUM(D51:D57)</f>
        <v>147000</v>
      </c>
      <c r="E58" s="116">
        <f>SUM(E51:E57)</f>
        <v>5000</v>
      </c>
      <c r="F58" s="116">
        <f t="shared" si="7"/>
        <v>272200</v>
      </c>
      <c r="G58" s="148">
        <f>SUM(G51:G57)</f>
        <v>101240.45000000001</v>
      </c>
      <c r="H58" s="150">
        <f>SUM(H51:H57)</f>
        <v>115003.07</v>
      </c>
      <c r="I58" s="151">
        <f t="shared" ref="I58" si="10">SUM(I51:I57)</f>
        <v>5000</v>
      </c>
      <c r="J58" s="241">
        <f t="shared" si="9"/>
        <v>221243.52000000002</v>
      </c>
      <c r="K58" s="202"/>
    </row>
    <row r="60" spans="1:11" x14ac:dyDescent="0.35">
      <c r="A60" s="90"/>
      <c r="B60" s="287" t="s">
        <v>48</v>
      </c>
      <c r="C60" s="288"/>
      <c r="D60" s="288"/>
      <c r="E60" s="288"/>
      <c r="F60" s="288"/>
      <c r="G60" s="288"/>
      <c r="H60" s="288"/>
      <c r="I60" s="288"/>
      <c r="J60" s="289"/>
      <c r="K60" s="201"/>
    </row>
    <row r="61" spans="1:11" ht="16.5" thickBot="1" x14ac:dyDescent="0.45">
      <c r="A61" s="211"/>
      <c r="B61" s="82" t="s">
        <v>135</v>
      </c>
      <c r="C61" s="108">
        <v>63000</v>
      </c>
      <c r="D61" s="108">
        <v>21000</v>
      </c>
      <c r="E61" s="108">
        <v>50000</v>
      </c>
      <c r="F61" s="109">
        <f t="shared" ref="F61:F69" si="11">SUM(C61:E61)</f>
        <v>134000</v>
      </c>
      <c r="G61" s="147">
        <f>SUM(G62:G68)</f>
        <v>43967.24</v>
      </c>
      <c r="H61" s="149">
        <f>SUM(H62:H68)</f>
        <v>16967.580000000002</v>
      </c>
      <c r="I61" s="151">
        <f>+I69</f>
        <v>42282.949934505203</v>
      </c>
      <c r="J61" s="241">
        <f>SUM(G61:I61)</f>
        <v>103217.7699345052</v>
      </c>
      <c r="K61" s="202"/>
    </row>
    <row r="62" spans="1:11" ht="16" x14ac:dyDescent="0.4">
      <c r="A62" s="211"/>
      <c r="B62" s="79" t="s">
        <v>119</v>
      </c>
      <c r="C62" s="110" t="s">
        <v>120</v>
      </c>
      <c r="D62" s="111"/>
      <c r="E62" s="113">
        <v>0</v>
      </c>
      <c r="F62" s="112">
        <f t="shared" si="11"/>
        <v>0</v>
      </c>
      <c r="G62" s="189">
        <v>0</v>
      </c>
      <c r="H62" s="131"/>
      <c r="I62" s="136"/>
      <c r="J62" s="152">
        <f t="shared" ref="J62:J69" si="12">SUM(G62:I62)</f>
        <v>0</v>
      </c>
      <c r="K62" s="202"/>
    </row>
    <row r="63" spans="1:11" ht="16" x14ac:dyDescent="0.4">
      <c r="A63" s="211"/>
      <c r="B63" s="77" t="s">
        <v>121</v>
      </c>
      <c r="C63" s="113">
        <v>1800</v>
      </c>
      <c r="D63" s="114"/>
      <c r="E63" s="113">
        <v>0</v>
      </c>
      <c r="F63" s="115">
        <f t="shared" si="11"/>
        <v>1800</v>
      </c>
      <c r="G63" s="190">
        <v>0</v>
      </c>
      <c r="H63" s="131"/>
      <c r="I63" s="136"/>
      <c r="J63" s="152">
        <f t="shared" si="12"/>
        <v>0</v>
      </c>
      <c r="K63" s="202"/>
    </row>
    <row r="64" spans="1:11" ht="16" x14ac:dyDescent="0.4">
      <c r="A64" s="211"/>
      <c r="B64" s="77" t="s">
        <v>123</v>
      </c>
      <c r="C64" s="113" t="s">
        <v>122</v>
      </c>
      <c r="D64" s="113">
        <v>8000</v>
      </c>
      <c r="E64" s="113">
        <v>0</v>
      </c>
      <c r="F64" s="115">
        <f t="shared" si="11"/>
        <v>8000</v>
      </c>
      <c r="G64" s="190">
        <v>0</v>
      </c>
      <c r="H64" s="131">
        <v>7554.14</v>
      </c>
      <c r="I64" s="136"/>
      <c r="J64" s="152">
        <f t="shared" si="12"/>
        <v>7554.14</v>
      </c>
      <c r="K64" s="202"/>
    </row>
    <row r="65" spans="1:11" ht="16" x14ac:dyDescent="0.4">
      <c r="A65" s="211"/>
      <c r="B65" s="78" t="s">
        <v>124</v>
      </c>
      <c r="C65" s="113" t="s">
        <v>122</v>
      </c>
      <c r="D65" s="113">
        <v>6700</v>
      </c>
      <c r="E65" s="113">
        <v>24100</v>
      </c>
      <c r="F65" s="115">
        <f t="shared" si="11"/>
        <v>30800</v>
      </c>
      <c r="G65" s="190">
        <v>0</v>
      </c>
      <c r="H65" s="131">
        <v>4741.93</v>
      </c>
      <c r="I65" s="136">
        <v>16382.949934505199</v>
      </c>
      <c r="J65" s="152">
        <f t="shared" si="12"/>
        <v>21124.879934505199</v>
      </c>
      <c r="K65" s="202"/>
    </row>
    <row r="66" spans="1:11" ht="16" x14ac:dyDescent="0.4">
      <c r="A66" s="211"/>
      <c r="B66" s="77" t="s">
        <v>125</v>
      </c>
      <c r="C66" s="113">
        <v>16000</v>
      </c>
      <c r="D66" s="113">
        <v>6300</v>
      </c>
      <c r="E66" s="113">
        <v>6300</v>
      </c>
      <c r="F66" s="115">
        <f t="shared" si="11"/>
        <v>28600</v>
      </c>
      <c r="G66" s="190">
        <v>15392.34</v>
      </c>
      <c r="H66" s="131">
        <v>4671.51</v>
      </c>
      <c r="I66" s="136">
        <f>5934.08+365.92</f>
        <v>6300</v>
      </c>
      <c r="J66" s="152">
        <f t="shared" si="12"/>
        <v>26363.85</v>
      </c>
      <c r="K66" s="202"/>
    </row>
    <row r="67" spans="1:11" ht="16" x14ac:dyDescent="0.4">
      <c r="A67" s="211"/>
      <c r="B67" s="77" t="s">
        <v>126</v>
      </c>
      <c r="C67" s="113">
        <v>35000</v>
      </c>
      <c r="D67" s="113"/>
      <c r="E67" s="113">
        <v>19600</v>
      </c>
      <c r="F67" s="115">
        <f t="shared" si="11"/>
        <v>54600</v>
      </c>
      <c r="G67" s="190">
        <v>24696</v>
      </c>
      <c r="H67" s="131"/>
      <c r="I67" s="136">
        <f>19418.99+181.01</f>
        <v>19600</v>
      </c>
      <c r="J67" s="152">
        <f t="shared" si="12"/>
        <v>44296</v>
      </c>
      <c r="K67" s="202"/>
    </row>
    <row r="68" spans="1:11" ht="16" x14ac:dyDescent="0.4">
      <c r="A68" s="211"/>
      <c r="B68" s="77" t="s">
        <v>127</v>
      </c>
      <c r="C68" s="113">
        <v>9200</v>
      </c>
      <c r="D68" s="113"/>
      <c r="E68" s="113">
        <v>0</v>
      </c>
      <c r="F68" s="115">
        <f t="shared" si="11"/>
        <v>9200</v>
      </c>
      <c r="G68" s="190">
        <v>3878.9</v>
      </c>
      <c r="H68" s="131"/>
      <c r="I68" s="136"/>
      <c r="J68" s="152">
        <f t="shared" si="12"/>
        <v>3878.9</v>
      </c>
      <c r="K68" s="202"/>
    </row>
    <row r="69" spans="1:11" ht="16" x14ac:dyDescent="0.4">
      <c r="A69" s="212"/>
      <c r="B69" s="76" t="s">
        <v>128</v>
      </c>
      <c r="C69" s="116">
        <f>SUM(C62:C68)</f>
        <v>62000</v>
      </c>
      <c r="D69" s="116">
        <f>SUM(D62:D68)</f>
        <v>21000</v>
      </c>
      <c r="E69" s="116">
        <f>SUM(E62:E68)</f>
        <v>50000</v>
      </c>
      <c r="F69" s="116">
        <f t="shared" si="11"/>
        <v>133000</v>
      </c>
      <c r="G69" s="148">
        <f>SUM(G62:G68)</f>
        <v>43967.24</v>
      </c>
      <c r="H69" s="150">
        <f>SUM(H62:H68)</f>
        <v>16967.580000000002</v>
      </c>
      <c r="I69" s="151">
        <f t="shared" ref="I69" si="13">SUM(I62:I68)</f>
        <v>42282.949934505203</v>
      </c>
      <c r="J69" s="241">
        <f t="shared" si="12"/>
        <v>103217.7699345052</v>
      </c>
      <c r="K69" s="202"/>
    </row>
    <row r="71" spans="1:11" ht="20.25" customHeight="1" x14ac:dyDescent="0.4">
      <c r="A71" s="92"/>
      <c r="B71" s="290" t="s">
        <v>136</v>
      </c>
      <c r="C71" s="290"/>
      <c r="D71" s="290"/>
      <c r="E71" s="290"/>
      <c r="F71" s="290"/>
      <c r="G71" s="290"/>
      <c r="H71" s="290"/>
      <c r="I71" s="290"/>
      <c r="J71" s="290"/>
      <c r="K71" s="203"/>
    </row>
    <row r="72" spans="1:11" x14ac:dyDescent="0.35">
      <c r="A72" s="90"/>
      <c r="B72" s="287" t="s">
        <v>58</v>
      </c>
      <c r="C72" s="288"/>
      <c r="D72" s="288"/>
      <c r="E72" s="288"/>
      <c r="F72" s="288"/>
      <c r="G72" s="288"/>
      <c r="H72" s="288"/>
      <c r="I72" s="288"/>
      <c r="J72" s="289"/>
      <c r="K72" s="201"/>
    </row>
    <row r="73" spans="1:11" ht="16.5" thickBot="1" x14ac:dyDescent="0.45">
      <c r="B73" s="82" t="s">
        <v>137</v>
      </c>
      <c r="C73" s="108">
        <v>115000</v>
      </c>
      <c r="D73" s="108">
        <v>47500</v>
      </c>
      <c r="E73" s="108">
        <v>0</v>
      </c>
      <c r="F73" s="109">
        <f t="shared" ref="F73:F81" si="14">SUM(C73:E73)</f>
        <v>162500</v>
      </c>
      <c r="G73" s="147">
        <f>SUM(G74:G80)</f>
        <v>36816.94</v>
      </c>
      <c r="H73" s="149">
        <f t="shared" ref="H73" si="15">+H81</f>
        <v>40056.22</v>
      </c>
      <c r="I73" s="151">
        <f>+I81</f>
        <v>0</v>
      </c>
      <c r="J73" s="241">
        <f>SUM(G73:I73)</f>
        <v>76873.16</v>
      </c>
      <c r="K73" s="202"/>
    </row>
    <row r="74" spans="1:11" ht="16" x14ac:dyDescent="0.4">
      <c r="B74" s="79" t="s">
        <v>119</v>
      </c>
      <c r="C74" s="110" t="s">
        <v>120</v>
      </c>
      <c r="D74" s="111"/>
      <c r="E74" s="111">
        <v>0</v>
      </c>
      <c r="F74" s="112">
        <f t="shared" si="14"/>
        <v>0</v>
      </c>
      <c r="G74" s="189">
        <v>0</v>
      </c>
      <c r="H74" s="131"/>
      <c r="I74" s="136"/>
      <c r="J74" s="152">
        <f t="shared" ref="J74:J81" si="16">SUM(G74:I74)</f>
        <v>0</v>
      </c>
      <c r="K74" s="202"/>
    </row>
    <row r="75" spans="1:11" ht="16" x14ac:dyDescent="0.4">
      <c r="B75" s="77" t="s">
        <v>121</v>
      </c>
      <c r="C75" s="113">
        <v>2000</v>
      </c>
      <c r="D75" s="114">
        <v>2000</v>
      </c>
      <c r="E75" s="111">
        <v>0</v>
      </c>
      <c r="F75" s="115">
        <f t="shared" si="14"/>
        <v>4000</v>
      </c>
      <c r="G75" s="190">
        <v>147.78</v>
      </c>
      <c r="H75" s="131">
        <v>1116.78</v>
      </c>
      <c r="I75" s="136"/>
      <c r="J75" s="152">
        <f t="shared" si="16"/>
        <v>1264.56</v>
      </c>
      <c r="K75" s="202"/>
    </row>
    <row r="76" spans="1:11" ht="16" x14ac:dyDescent="0.4">
      <c r="B76" s="77" t="s">
        <v>123</v>
      </c>
      <c r="C76" s="113" t="s">
        <v>122</v>
      </c>
      <c r="D76" s="113">
        <v>5000</v>
      </c>
      <c r="E76" s="111">
        <v>0</v>
      </c>
      <c r="F76" s="115">
        <f t="shared" si="14"/>
        <v>5000</v>
      </c>
      <c r="G76" s="190">
        <v>0</v>
      </c>
      <c r="H76" s="131">
        <v>4449.13</v>
      </c>
      <c r="I76" s="136"/>
      <c r="J76" s="152">
        <f t="shared" si="16"/>
        <v>4449.13</v>
      </c>
      <c r="K76" s="202"/>
    </row>
    <row r="77" spans="1:11" ht="16" x14ac:dyDescent="0.4">
      <c r="B77" s="78" t="s">
        <v>124</v>
      </c>
      <c r="C77" s="113" t="s">
        <v>122</v>
      </c>
      <c r="D77" s="113">
        <v>19500</v>
      </c>
      <c r="E77" s="111">
        <v>0</v>
      </c>
      <c r="F77" s="115">
        <f t="shared" si="14"/>
        <v>19500</v>
      </c>
      <c r="G77" s="190">
        <v>0</v>
      </c>
      <c r="H77" s="131">
        <v>14118.51</v>
      </c>
      <c r="I77" s="136"/>
      <c r="J77" s="152">
        <f t="shared" si="16"/>
        <v>14118.51</v>
      </c>
      <c r="K77" s="202"/>
    </row>
    <row r="78" spans="1:11" ht="16" x14ac:dyDescent="0.4">
      <c r="B78" s="77" t="s">
        <v>125</v>
      </c>
      <c r="C78" s="113">
        <v>28500</v>
      </c>
      <c r="D78" s="113">
        <v>12000</v>
      </c>
      <c r="E78" s="111">
        <v>0</v>
      </c>
      <c r="F78" s="115">
        <f t="shared" si="14"/>
        <v>40500</v>
      </c>
      <c r="G78" s="190">
        <v>14669.16</v>
      </c>
      <c r="H78" s="131">
        <v>11483.19</v>
      </c>
      <c r="I78" s="136"/>
      <c r="J78" s="152">
        <f t="shared" si="16"/>
        <v>26152.35</v>
      </c>
      <c r="K78" s="202"/>
    </row>
    <row r="79" spans="1:11" ht="16" x14ac:dyDescent="0.4">
      <c r="B79" s="77" t="s">
        <v>126</v>
      </c>
      <c r="C79" s="113">
        <v>78000</v>
      </c>
      <c r="D79" s="113">
        <v>9000</v>
      </c>
      <c r="E79" s="111">
        <v>0</v>
      </c>
      <c r="F79" s="115">
        <f t="shared" si="14"/>
        <v>87000</v>
      </c>
      <c r="G79" s="190">
        <v>17000</v>
      </c>
      <c r="H79" s="131">
        <v>8888.61</v>
      </c>
      <c r="I79" s="136"/>
      <c r="J79" s="152">
        <f t="shared" si="16"/>
        <v>25888.61</v>
      </c>
      <c r="K79" s="202"/>
    </row>
    <row r="80" spans="1:11" ht="16" x14ac:dyDescent="0.4">
      <c r="B80" s="77" t="s">
        <v>127</v>
      </c>
      <c r="C80" s="113">
        <v>5000</v>
      </c>
      <c r="D80" s="113"/>
      <c r="E80" s="111">
        <v>0</v>
      </c>
      <c r="F80" s="115">
        <f t="shared" si="14"/>
        <v>5000</v>
      </c>
      <c r="G80" s="190">
        <v>5000</v>
      </c>
      <c r="H80" s="131"/>
      <c r="I80" s="136"/>
      <c r="J80" s="152">
        <f t="shared" si="16"/>
        <v>5000</v>
      </c>
      <c r="K80" s="202"/>
    </row>
    <row r="81" spans="1:11" ht="16" x14ac:dyDescent="0.4">
      <c r="B81" s="76" t="s">
        <v>128</v>
      </c>
      <c r="C81" s="116">
        <f>SUM(C74:C80)</f>
        <v>113500</v>
      </c>
      <c r="D81" s="116">
        <f>SUM(D74:D80)</f>
        <v>47500</v>
      </c>
      <c r="E81" s="116">
        <f>SUM(E74:E80)</f>
        <v>0</v>
      </c>
      <c r="F81" s="116">
        <f t="shared" si="14"/>
        <v>161000</v>
      </c>
      <c r="G81" s="148">
        <f>SUM(G74:G80)</f>
        <v>36816.94</v>
      </c>
      <c r="H81" s="150">
        <f t="shared" ref="H81" si="17">SUM(H74:H80)</f>
        <v>40056.22</v>
      </c>
      <c r="I81" s="151">
        <f t="shared" ref="I81" si="18">SUM(I74:I80)</f>
        <v>0</v>
      </c>
      <c r="J81" s="241">
        <f t="shared" si="16"/>
        <v>76873.16</v>
      </c>
      <c r="K81" s="202"/>
    </row>
    <row r="83" spans="1:11" x14ac:dyDescent="0.35">
      <c r="A83" s="90"/>
      <c r="B83" s="287" t="s">
        <v>138</v>
      </c>
      <c r="C83" s="288"/>
      <c r="D83" s="288"/>
      <c r="E83" s="288"/>
      <c r="F83" s="288"/>
      <c r="G83" s="288"/>
      <c r="H83" s="288"/>
      <c r="I83" s="288"/>
      <c r="J83" s="289"/>
      <c r="K83" s="201"/>
    </row>
    <row r="84" spans="1:11" ht="16.5" thickBot="1" x14ac:dyDescent="0.45">
      <c r="B84" s="82" t="s">
        <v>139</v>
      </c>
      <c r="C84" s="108">
        <v>10000</v>
      </c>
      <c r="D84" s="108">
        <v>45000</v>
      </c>
      <c r="E84" s="108">
        <v>170000</v>
      </c>
      <c r="F84" s="109">
        <f t="shared" ref="F84:F92" si="19">SUM(C84:E84)</f>
        <v>225000</v>
      </c>
      <c r="G84" s="147">
        <f>SUM(G85:G91)</f>
        <v>0</v>
      </c>
      <c r="H84" s="149">
        <f>+H92</f>
        <v>28956.94</v>
      </c>
      <c r="I84" s="151">
        <f>+I92</f>
        <v>157665.38</v>
      </c>
      <c r="J84" s="241">
        <f>SUM(G84:I84)</f>
        <v>186622.32</v>
      </c>
      <c r="K84" s="202"/>
    </row>
    <row r="85" spans="1:11" ht="16" x14ac:dyDescent="0.4">
      <c r="B85" s="79" t="s">
        <v>119</v>
      </c>
      <c r="C85" s="110" t="s">
        <v>120</v>
      </c>
      <c r="D85" s="111"/>
      <c r="E85" s="113">
        <v>0</v>
      </c>
      <c r="F85" s="112">
        <f t="shared" si="19"/>
        <v>0</v>
      </c>
      <c r="G85" s="189">
        <v>0</v>
      </c>
      <c r="H85" s="131"/>
      <c r="I85" s="136"/>
      <c r="J85" s="152">
        <f t="shared" ref="J85:J92" si="20">SUM(G85:I85)</f>
        <v>0</v>
      </c>
      <c r="K85" s="202"/>
    </row>
    <row r="86" spans="1:11" ht="16" x14ac:dyDescent="0.4">
      <c r="B86" s="77" t="s">
        <v>121</v>
      </c>
      <c r="C86" s="113" t="s">
        <v>122</v>
      </c>
      <c r="D86" s="114">
        <v>2000</v>
      </c>
      <c r="E86" s="113">
        <v>0</v>
      </c>
      <c r="F86" s="115">
        <f t="shared" si="19"/>
        <v>2000</v>
      </c>
      <c r="G86" s="190">
        <v>0</v>
      </c>
      <c r="H86" s="131">
        <v>1057.32</v>
      </c>
      <c r="I86" s="136"/>
      <c r="J86" s="152">
        <f t="shared" si="20"/>
        <v>1057.32</v>
      </c>
      <c r="K86" s="202"/>
    </row>
    <row r="87" spans="1:11" ht="16" x14ac:dyDescent="0.4">
      <c r="B87" s="77" t="s">
        <v>123</v>
      </c>
      <c r="C87" s="113" t="s">
        <v>122</v>
      </c>
      <c r="D87" s="113">
        <v>4000</v>
      </c>
      <c r="E87" s="113">
        <v>0</v>
      </c>
      <c r="F87" s="115">
        <f t="shared" si="19"/>
        <v>4000</v>
      </c>
      <c r="G87" s="190">
        <v>0</v>
      </c>
      <c r="H87" s="131">
        <v>1612.58</v>
      </c>
      <c r="I87" s="136"/>
      <c r="J87" s="152">
        <f t="shared" si="20"/>
        <v>1612.58</v>
      </c>
      <c r="K87" s="202"/>
    </row>
    <row r="88" spans="1:11" ht="16" x14ac:dyDescent="0.4">
      <c r="B88" s="78" t="s">
        <v>124</v>
      </c>
      <c r="C88" s="123" t="s">
        <v>122</v>
      </c>
      <c r="D88" s="113">
        <v>21000</v>
      </c>
      <c r="E88" s="113">
        <v>85000</v>
      </c>
      <c r="F88" s="115">
        <f t="shared" si="19"/>
        <v>106000</v>
      </c>
      <c r="G88" s="190">
        <v>0</v>
      </c>
      <c r="H88" s="131">
        <v>9712.6200000000008</v>
      </c>
      <c r="I88" s="136">
        <f>70432.12+4399.34+9356.76</f>
        <v>84188.219999999987</v>
      </c>
      <c r="J88" s="152">
        <f t="shared" si="20"/>
        <v>93900.839999999982</v>
      </c>
      <c r="K88" s="202"/>
    </row>
    <row r="89" spans="1:11" ht="16" x14ac:dyDescent="0.4">
      <c r="B89" s="77" t="s">
        <v>125</v>
      </c>
      <c r="C89" s="113">
        <v>3000</v>
      </c>
      <c r="D89" s="113">
        <v>18000</v>
      </c>
      <c r="E89" s="113">
        <v>20000</v>
      </c>
      <c r="F89" s="115">
        <f t="shared" si="19"/>
        <v>41000</v>
      </c>
      <c r="G89" s="190">
        <v>0</v>
      </c>
      <c r="H89" s="131">
        <v>16574.419999999998</v>
      </c>
      <c r="I89" s="136">
        <f>14867.15+1571.54+713.86</f>
        <v>17152.55</v>
      </c>
      <c r="J89" s="152">
        <f t="shared" si="20"/>
        <v>33726.97</v>
      </c>
      <c r="K89" s="202"/>
    </row>
    <row r="90" spans="1:11" ht="16" x14ac:dyDescent="0.4">
      <c r="B90" s="77" t="s">
        <v>126</v>
      </c>
      <c r="C90" s="113">
        <v>7000</v>
      </c>
      <c r="D90" s="113"/>
      <c r="E90" s="113">
        <v>55000</v>
      </c>
      <c r="F90" s="115">
        <f t="shared" si="19"/>
        <v>62000</v>
      </c>
      <c r="G90" s="190"/>
      <c r="H90" s="131"/>
      <c r="I90" s="136">
        <f>15000+13438.79+8079.42+737.72+13000+4744.07</f>
        <v>55000</v>
      </c>
      <c r="J90" s="152">
        <f t="shared" si="20"/>
        <v>55000</v>
      </c>
      <c r="K90" s="202"/>
    </row>
    <row r="91" spans="1:11" ht="16" x14ac:dyDescent="0.4">
      <c r="B91" s="77" t="s">
        <v>127</v>
      </c>
      <c r="C91" s="113" t="s">
        <v>122</v>
      </c>
      <c r="D91" s="113"/>
      <c r="E91" s="113">
        <v>10000</v>
      </c>
      <c r="F91" s="115">
        <f t="shared" si="19"/>
        <v>10000</v>
      </c>
      <c r="G91" s="190">
        <v>0</v>
      </c>
      <c r="H91" s="131"/>
      <c r="I91" s="136">
        <v>1324.6100000000006</v>
      </c>
      <c r="J91" s="152">
        <f t="shared" si="20"/>
        <v>1324.6100000000006</v>
      </c>
      <c r="K91" s="202"/>
    </row>
    <row r="92" spans="1:11" ht="16" x14ac:dyDescent="0.4">
      <c r="B92" s="76" t="s">
        <v>128</v>
      </c>
      <c r="C92" s="116">
        <f>SUM(C85:C91)</f>
        <v>10000</v>
      </c>
      <c r="D92" s="116">
        <f>SUM(D85:D91)</f>
        <v>45000</v>
      </c>
      <c r="E92" s="116">
        <f>SUM(E85:E91)</f>
        <v>170000</v>
      </c>
      <c r="F92" s="116">
        <f t="shared" si="19"/>
        <v>225000</v>
      </c>
      <c r="G92" s="148">
        <f>SUM(G85:G91)</f>
        <v>0</v>
      </c>
      <c r="H92" s="150">
        <f>SUM(H85:H91)</f>
        <v>28956.94</v>
      </c>
      <c r="I92" s="151">
        <f t="shared" ref="I92" si="21">SUM(I85:I91)</f>
        <v>157665.38</v>
      </c>
      <c r="J92" s="241">
        <f t="shared" si="20"/>
        <v>186622.32</v>
      </c>
      <c r="K92" s="202"/>
    </row>
    <row r="94" spans="1:11" x14ac:dyDescent="0.35">
      <c r="A94" s="90"/>
      <c r="B94" s="287" t="s">
        <v>80</v>
      </c>
      <c r="C94" s="288"/>
      <c r="D94" s="288"/>
      <c r="E94" s="288"/>
      <c r="F94" s="288"/>
      <c r="G94" s="288"/>
      <c r="H94" s="288"/>
      <c r="I94" s="288"/>
      <c r="J94" s="289"/>
      <c r="K94" s="201"/>
    </row>
    <row r="95" spans="1:11" ht="16.5" thickBot="1" x14ac:dyDescent="0.45">
      <c r="B95" s="82" t="s">
        <v>140</v>
      </c>
      <c r="C95" s="108">
        <v>30000</v>
      </c>
      <c r="D95" s="108">
        <v>10000</v>
      </c>
      <c r="E95" s="108">
        <v>5000</v>
      </c>
      <c r="F95" s="109">
        <f t="shared" ref="F95" si="22">SUM(C95:E95)</f>
        <v>45000</v>
      </c>
      <c r="G95" s="147">
        <f>SUM(G96:G102)</f>
        <v>13891.15</v>
      </c>
      <c r="H95" s="149">
        <f t="shared" ref="H95" si="23">+H103</f>
        <v>0</v>
      </c>
      <c r="I95" s="151">
        <f>+I103</f>
        <v>5000</v>
      </c>
      <c r="J95" s="241">
        <f>SUM(G95:I95)</f>
        <v>18891.150000000001</v>
      </c>
      <c r="K95" s="202"/>
    </row>
    <row r="96" spans="1:11" ht="16" x14ac:dyDescent="0.4">
      <c r="B96" s="79" t="s">
        <v>119</v>
      </c>
      <c r="C96" s="110">
        <v>0</v>
      </c>
      <c r="D96" s="110">
        <v>0</v>
      </c>
      <c r="E96" s="110">
        <v>0</v>
      </c>
      <c r="F96" s="182">
        <f>C96+D96+E96</f>
        <v>0</v>
      </c>
      <c r="G96" s="189">
        <v>0</v>
      </c>
      <c r="H96" s="131"/>
      <c r="I96" s="136"/>
      <c r="J96" s="152">
        <f t="shared" ref="J96:J103" si="24">SUM(G96:I96)</f>
        <v>0</v>
      </c>
      <c r="K96" s="202"/>
    </row>
    <row r="97" spans="1:11" ht="16" x14ac:dyDescent="0.4">
      <c r="B97" s="77" t="s">
        <v>121</v>
      </c>
      <c r="C97" s="113">
        <v>0</v>
      </c>
      <c r="D97" s="113">
        <v>0</v>
      </c>
      <c r="E97" s="113">
        <v>0</v>
      </c>
      <c r="F97" s="112">
        <f t="shared" ref="F97:F101" si="25">C97+D97+E97</f>
        <v>0</v>
      </c>
      <c r="G97" s="190">
        <v>0</v>
      </c>
      <c r="H97" s="131"/>
      <c r="I97" s="136"/>
      <c r="J97" s="152">
        <f t="shared" si="24"/>
        <v>0</v>
      </c>
      <c r="K97" s="202"/>
    </row>
    <row r="98" spans="1:11" ht="16" x14ac:dyDescent="0.4">
      <c r="B98" s="77" t="s">
        <v>123</v>
      </c>
      <c r="C98" s="113">
        <v>0</v>
      </c>
      <c r="D98" s="113"/>
      <c r="E98" s="113">
        <v>0</v>
      </c>
      <c r="F98" s="112">
        <f t="shared" si="25"/>
        <v>0</v>
      </c>
      <c r="G98" s="190">
        <v>0</v>
      </c>
      <c r="H98" s="131"/>
      <c r="I98" s="136"/>
      <c r="J98" s="152">
        <f t="shared" si="24"/>
        <v>0</v>
      </c>
      <c r="K98" s="202"/>
    </row>
    <row r="99" spans="1:11" ht="16" x14ac:dyDescent="0.4">
      <c r="B99" s="78" t="s">
        <v>124</v>
      </c>
      <c r="C99" s="110">
        <v>0</v>
      </c>
      <c r="D99" s="113">
        <v>10000</v>
      </c>
      <c r="E99" s="113">
        <v>0</v>
      </c>
      <c r="F99" s="112">
        <f>C99+D99+E99</f>
        <v>10000</v>
      </c>
      <c r="G99" s="190">
        <v>0</v>
      </c>
      <c r="H99" s="131">
        <v>0</v>
      </c>
      <c r="I99" s="136">
        <v>0</v>
      </c>
      <c r="J99" s="152">
        <f t="shared" si="24"/>
        <v>0</v>
      </c>
      <c r="K99" s="202"/>
    </row>
    <row r="100" spans="1:11" ht="16" x14ac:dyDescent="0.4">
      <c r="B100" s="77" t="s">
        <v>125</v>
      </c>
      <c r="C100" s="113">
        <v>14000</v>
      </c>
      <c r="D100" s="113"/>
      <c r="E100" s="113">
        <v>5000</v>
      </c>
      <c r="F100" s="112">
        <f t="shared" si="25"/>
        <v>19000</v>
      </c>
      <c r="G100" s="190">
        <v>10891.15</v>
      </c>
      <c r="H100" s="131"/>
      <c r="I100" s="136">
        <f>4039.22+960.78</f>
        <v>5000</v>
      </c>
      <c r="J100" s="152">
        <f t="shared" si="24"/>
        <v>15891.15</v>
      </c>
      <c r="K100" s="202"/>
    </row>
    <row r="101" spans="1:11" ht="16" x14ac:dyDescent="0.4">
      <c r="B101" s="77" t="s">
        <v>126</v>
      </c>
      <c r="C101" s="113">
        <v>16000</v>
      </c>
      <c r="D101" s="113"/>
      <c r="E101" s="113">
        <v>0</v>
      </c>
      <c r="F101" s="112">
        <f t="shared" si="25"/>
        <v>16000</v>
      </c>
      <c r="G101" s="190">
        <v>3000</v>
      </c>
      <c r="H101" s="131"/>
      <c r="I101" s="136"/>
      <c r="J101" s="152">
        <f t="shared" si="24"/>
        <v>3000</v>
      </c>
      <c r="K101" s="202"/>
    </row>
    <row r="102" spans="1:11" ht="16" x14ac:dyDescent="0.4">
      <c r="B102" s="77" t="s">
        <v>127</v>
      </c>
      <c r="C102" s="110">
        <v>0</v>
      </c>
      <c r="D102" s="110">
        <v>0</v>
      </c>
      <c r="E102" s="110">
        <v>0</v>
      </c>
      <c r="F102" s="112">
        <f>C102+D102+E102</f>
        <v>0</v>
      </c>
      <c r="G102" s="190">
        <v>0</v>
      </c>
      <c r="H102" s="131"/>
      <c r="I102" s="136">
        <v>0</v>
      </c>
      <c r="J102" s="152">
        <f t="shared" si="24"/>
        <v>0</v>
      </c>
      <c r="K102" s="202"/>
    </row>
    <row r="103" spans="1:11" ht="16" x14ac:dyDescent="0.4">
      <c r="B103" s="76" t="s">
        <v>128</v>
      </c>
      <c r="C103" s="116">
        <f t="shared" ref="C103:F103" si="26">SUM(C96:C102)</f>
        <v>30000</v>
      </c>
      <c r="D103" s="116">
        <f>SUM(D96:D102)</f>
        <v>10000</v>
      </c>
      <c r="E103" s="116">
        <f t="shared" si="26"/>
        <v>5000</v>
      </c>
      <c r="F103" s="116">
        <f t="shared" si="26"/>
        <v>45000</v>
      </c>
      <c r="G103" s="148">
        <f>SUM(G96:G102)</f>
        <v>13891.15</v>
      </c>
      <c r="H103" s="150">
        <f t="shared" ref="H103" si="27">SUM(H96:H102)</f>
        <v>0</v>
      </c>
      <c r="I103" s="151">
        <f t="shared" ref="I103" si="28">SUM(I96:I102)</f>
        <v>5000</v>
      </c>
      <c r="J103" s="241">
        <f t="shared" si="24"/>
        <v>18891.150000000001</v>
      </c>
      <c r="K103" s="202"/>
    </row>
    <row r="105" spans="1:11" ht="20.25" customHeight="1" x14ac:dyDescent="0.4">
      <c r="A105" s="92"/>
      <c r="B105" s="290" t="s">
        <v>141</v>
      </c>
      <c r="C105" s="290"/>
      <c r="D105" s="290"/>
      <c r="E105" s="290"/>
      <c r="F105" s="290"/>
      <c r="G105" s="290"/>
      <c r="H105" s="290"/>
      <c r="I105" s="290"/>
      <c r="J105" s="290"/>
      <c r="K105" s="203"/>
    </row>
    <row r="106" spans="1:11" ht="16.5" thickBot="1" x14ac:dyDescent="0.45">
      <c r="B106" s="82" t="s">
        <v>142</v>
      </c>
      <c r="C106" s="108">
        <v>370412</v>
      </c>
      <c r="D106" s="108">
        <v>218247</v>
      </c>
      <c r="E106" s="108">
        <v>69000</v>
      </c>
      <c r="F106" s="109">
        <f>SUM(C106:E106)</f>
        <v>657659</v>
      </c>
      <c r="G106" s="147">
        <f>SUM(G107:G113)</f>
        <v>245178.03999999998</v>
      </c>
      <c r="H106" s="149">
        <f>SUM(H107:H113)</f>
        <v>167860.53999999998</v>
      </c>
      <c r="I106" s="151">
        <f>+I114</f>
        <v>52098.87999999999</v>
      </c>
      <c r="J106" s="241">
        <f>SUM(G106:I106)</f>
        <v>465137.45999999996</v>
      </c>
      <c r="K106" s="202"/>
    </row>
    <row r="107" spans="1:11" ht="16" x14ac:dyDescent="0.4">
      <c r="B107" s="79" t="s">
        <v>119</v>
      </c>
      <c r="C107" s="110">
        <v>247884.24</v>
      </c>
      <c r="D107" s="111">
        <v>137547</v>
      </c>
      <c r="E107" s="124">
        <v>41000</v>
      </c>
      <c r="F107" s="112">
        <f t="shared" ref="F107:F114" si="29">SUM(C107:E107)</f>
        <v>426431.24</v>
      </c>
      <c r="G107" s="189">
        <v>160090.49</v>
      </c>
      <c r="H107" s="131">
        <v>101330.89</v>
      </c>
      <c r="I107" s="136">
        <f>21946.17+16295.24</f>
        <v>38241.409999999996</v>
      </c>
      <c r="J107" s="152">
        <f t="shared" ref="J107:J114" si="30">SUM(G107:I107)</f>
        <v>299662.78999999998</v>
      </c>
      <c r="K107" s="202"/>
    </row>
    <row r="108" spans="1:11" ht="16" x14ac:dyDescent="0.4">
      <c r="B108" s="77" t="s">
        <v>121</v>
      </c>
      <c r="C108" s="113">
        <v>2000</v>
      </c>
      <c r="D108" s="114">
        <v>5000</v>
      </c>
      <c r="E108" s="124">
        <v>0</v>
      </c>
      <c r="F108" s="115">
        <f t="shared" si="29"/>
        <v>7000</v>
      </c>
      <c r="G108" s="190">
        <v>960.59</v>
      </c>
      <c r="H108" s="131">
        <v>4685.43</v>
      </c>
      <c r="I108" s="136"/>
      <c r="J108" s="152">
        <f t="shared" si="30"/>
        <v>5646.02</v>
      </c>
      <c r="K108" s="202"/>
    </row>
    <row r="109" spans="1:11" ht="16" x14ac:dyDescent="0.4">
      <c r="B109" s="77" t="s">
        <v>123</v>
      </c>
      <c r="C109" s="113">
        <v>9000</v>
      </c>
      <c r="D109" s="113">
        <v>4000</v>
      </c>
      <c r="E109" s="124">
        <v>0</v>
      </c>
      <c r="F109" s="115">
        <f t="shared" si="29"/>
        <v>13000</v>
      </c>
      <c r="G109" s="190">
        <v>5901.07</v>
      </c>
      <c r="H109" s="131">
        <v>3960.43</v>
      </c>
      <c r="I109" s="136"/>
      <c r="J109" s="152">
        <f t="shared" si="30"/>
        <v>9861.5</v>
      </c>
      <c r="K109" s="202"/>
    </row>
    <row r="110" spans="1:11" ht="16" x14ac:dyDescent="0.4">
      <c r="B110" s="78" t="s">
        <v>124</v>
      </c>
      <c r="C110" s="113">
        <v>50588.2</v>
      </c>
      <c r="D110" s="113">
        <v>27200</v>
      </c>
      <c r="E110" s="113">
        <v>0</v>
      </c>
      <c r="F110" s="115">
        <f t="shared" si="29"/>
        <v>77788.2</v>
      </c>
      <c r="G110" s="190">
        <v>1067.71</v>
      </c>
      <c r="H110" s="131">
        <v>23437.55</v>
      </c>
      <c r="I110" s="136"/>
      <c r="J110" s="152">
        <f t="shared" si="30"/>
        <v>24505.26</v>
      </c>
      <c r="K110" s="202"/>
    </row>
    <row r="111" spans="1:11" ht="16" x14ac:dyDescent="0.4">
      <c r="B111" s="77" t="s">
        <v>125</v>
      </c>
      <c r="C111" s="113">
        <v>51000</v>
      </c>
      <c r="D111" s="113">
        <v>44500</v>
      </c>
      <c r="E111" s="113">
        <v>15000</v>
      </c>
      <c r="F111" s="115">
        <f t="shared" si="29"/>
        <v>110500</v>
      </c>
      <c r="G111" s="190">
        <v>43482.52</v>
      </c>
      <c r="H111" s="131">
        <v>34446.239999999998</v>
      </c>
      <c r="I111" s="136">
        <f>4941.03+3143.91+352</f>
        <v>8436.9399999999987</v>
      </c>
      <c r="J111" s="152">
        <f t="shared" si="30"/>
        <v>86365.7</v>
      </c>
      <c r="K111" s="202"/>
    </row>
    <row r="112" spans="1:11" ht="16" x14ac:dyDescent="0.4">
      <c r="B112" s="77" t="s">
        <v>126</v>
      </c>
      <c r="C112" s="113">
        <v>0</v>
      </c>
      <c r="D112" s="113">
        <v>0</v>
      </c>
      <c r="E112" s="113">
        <v>2600</v>
      </c>
      <c r="F112" s="115">
        <f t="shared" si="29"/>
        <v>2600</v>
      </c>
      <c r="G112" s="190">
        <v>0</v>
      </c>
      <c r="H112" s="131"/>
      <c r="I112" s="136">
        <v>2600</v>
      </c>
      <c r="J112" s="152">
        <f t="shared" si="30"/>
        <v>2600</v>
      </c>
      <c r="K112" s="202"/>
    </row>
    <row r="113" spans="2:11" ht="16" x14ac:dyDescent="0.4">
      <c r="B113" s="77" t="s">
        <v>127</v>
      </c>
      <c r="C113" s="113">
        <v>56539.56</v>
      </c>
      <c r="D113" s="113">
        <v>0</v>
      </c>
      <c r="E113" s="113">
        <v>10400</v>
      </c>
      <c r="F113" s="115">
        <f t="shared" si="29"/>
        <v>66939.56</v>
      </c>
      <c r="G113" s="190">
        <v>33675.660000000003</v>
      </c>
      <c r="H113" s="131"/>
      <c r="I113" s="136">
        <f>361.58+2458.95</f>
        <v>2820.5299999999997</v>
      </c>
      <c r="J113" s="152">
        <f t="shared" si="30"/>
        <v>36496.19</v>
      </c>
      <c r="K113" s="202"/>
    </row>
    <row r="114" spans="2:11" ht="16" x14ac:dyDescent="0.4">
      <c r="B114" s="76" t="s">
        <v>128</v>
      </c>
      <c r="C114" s="116">
        <f>SUM(C107:C113)</f>
        <v>417012</v>
      </c>
      <c r="D114" s="116">
        <f>SUM(D107:D113)</f>
        <v>218247</v>
      </c>
      <c r="E114" s="116">
        <f>SUM(E107:E113)</f>
        <v>69000</v>
      </c>
      <c r="F114" s="116">
        <f t="shared" si="29"/>
        <v>704259</v>
      </c>
      <c r="G114" s="148">
        <f>+SUM(G107:G113)</f>
        <v>245178.03999999998</v>
      </c>
      <c r="H114" s="150">
        <f>SUM(H107:H113)</f>
        <v>167860.53999999998</v>
      </c>
      <c r="I114" s="151">
        <f t="shared" ref="I114" si="31">SUM(I107:I113)</f>
        <v>52098.87999999999</v>
      </c>
      <c r="J114" s="241">
        <f t="shared" si="30"/>
        <v>465137.45999999996</v>
      </c>
      <c r="K114" s="202"/>
    </row>
    <row r="116" spans="2:11" ht="15" thickBot="1" x14ac:dyDescent="0.4"/>
    <row r="117" spans="2:11" ht="16.5" thickBot="1" x14ac:dyDescent="0.45">
      <c r="B117" s="93"/>
      <c r="C117" s="302" t="s">
        <v>110</v>
      </c>
      <c r="D117" s="303"/>
      <c r="E117" s="303"/>
      <c r="F117" s="304"/>
      <c r="G117" s="294" t="s">
        <v>111</v>
      </c>
      <c r="H117" s="295"/>
      <c r="I117" s="295"/>
      <c r="J117" s="296"/>
      <c r="K117" s="199"/>
    </row>
    <row r="118" spans="2:11" ht="37.5" x14ac:dyDescent="0.4">
      <c r="B118" s="94"/>
      <c r="C118" s="164" t="s">
        <v>95</v>
      </c>
      <c r="D118" s="164" t="s">
        <v>96</v>
      </c>
      <c r="E118" s="164" t="s">
        <v>97</v>
      </c>
      <c r="F118" s="305" t="s">
        <v>6</v>
      </c>
      <c r="G118" s="226" t="s">
        <v>112</v>
      </c>
      <c r="H118" s="227" t="s">
        <v>113</v>
      </c>
      <c r="I118" s="228" t="s">
        <v>114</v>
      </c>
      <c r="J118" s="299" t="s">
        <v>115</v>
      </c>
      <c r="K118" s="200"/>
    </row>
    <row r="119" spans="2:11" ht="100" x14ac:dyDescent="0.4">
      <c r="B119" s="95"/>
      <c r="C119" s="164" t="s">
        <v>13</v>
      </c>
      <c r="D119" s="164" t="s">
        <v>14</v>
      </c>
      <c r="E119" s="164" t="s">
        <v>15</v>
      </c>
      <c r="F119" s="306"/>
      <c r="G119" s="87" t="s">
        <v>143</v>
      </c>
      <c r="H119" s="89" t="s">
        <v>11</v>
      </c>
      <c r="I119" s="134" t="s">
        <v>11</v>
      </c>
      <c r="J119" s="300"/>
      <c r="K119" s="200"/>
    </row>
    <row r="120" spans="2:11" ht="23.65" customHeight="1" x14ac:dyDescent="0.4">
      <c r="B120" s="96" t="s">
        <v>119</v>
      </c>
      <c r="C120" s="183">
        <v>247884.24</v>
      </c>
      <c r="D120" s="183">
        <f>+D107</f>
        <v>137547</v>
      </c>
      <c r="E120" s="183">
        <f>E17+E28+E51+E62+E74+E85+E96+E107</f>
        <v>41000</v>
      </c>
      <c r="F120" s="125">
        <f>SUM(C120:E120)</f>
        <v>426431.24</v>
      </c>
      <c r="G120" s="129">
        <f>SUM(G107+G96+G85+G74+G62+G51+G28+G17)</f>
        <v>160090.49</v>
      </c>
      <c r="H120" s="131">
        <f>SUM(H107+H96+H85+H74+H62+H51+H28+H17)</f>
        <v>101330.89</v>
      </c>
      <c r="I120" s="193">
        <f>SUM(I107+I96+I85+I74+I62+I51+I28+I17)</f>
        <v>38241.409999999996</v>
      </c>
      <c r="J120" s="140">
        <f>SUM(G120:I120)</f>
        <v>299662.78999999998</v>
      </c>
      <c r="K120" s="204"/>
    </row>
    <row r="121" spans="2:11" ht="23.65" customHeight="1" x14ac:dyDescent="0.4">
      <c r="B121" s="97" t="s">
        <v>121</v>
      </c>
      <c r="C121" s="183">
        <v>9500</v>
      </c>
      <c r="D121" s="183">
        <f>+D18+D29+D52+D63+D75+D86+D97+D108</f>
        <v>13000</v>
      </c>
      <c r="E121" s="183">
        <f>E18+E29+E52+E63+E75+E86+E97+E108</f>
        <v>0</v>
      </c>
      <c r="F121" s="125">
        <f t="shared" ref="F121:F126" si="32">SUM(C121:E121)</f>
        <v>22500</v>
      </c>
      <c r="G121" s="129">
        <f>SUM(G108+G97+G86+G75+G63+G52+G29+G18)</f>
        <v>3003.75</v>
      </c>
      <c r="H121" s="131">
        <f t="shared" ref="H121:I121" si="33">SUM(H108+H97+H86+H75+H63+H52+H29+H18)</f>
        <v>8736.36</v>
      </c>
      <c r="I121" s="193">
        <f t="shared" si="33"/>
        <v>0</v>
      </c>
      <c r="J121" s="140">
        <f t="shared" ref="J121:J127" si="34">SUM(G121:I121)</f>
        <v>11740.11</v>
      </c>
      <c r="K121" s="204"/>
    </row>
    <row r="122" spans="2:11" ht="23.65" customHeight="1" x14ac:dyDescent="0.4">
      <c r="B122" s="97" t="s">
        <v>123</v>
      </c>
      <c r="C122" s="183">
        <v>9000</v>
      </c>
      <c r="D122" s="183">
        <f t="shared" ref="D122:D125" si="35">+D19+D30+D53+D64+D76+D87+D98+D109</f>
        <v>57000</v>
      </c>
      <c r="E122" s="183">
        <f t="shared" ref="E122:E126" si="36">E19+E30+E53+E64+E76+E87+E98+E109</f>
        <v>0</v>
      </c>
      <c r="F122" s="125">
        <f t="shared" si="32"/>
        <v>66000</v>
      </c>
      <c r="G122" s="129">
        <f t="shared" ref="G122:G126" si="37">SUM(G109+G98+G87+G76+G64+G53+G30+G19)</f>
        <v>5901.07</v>
      </c>
      <c r="H122" s="131">
        <f t="shared" ref="H122:I122" si="38">SUM(H109+H98+H87+H76+H64+H53+H30+H19)</f>
        <v>53069.64</v>
      </c>
      <c r="I122" s="193">
        <f t="shared" si="38"/>
        <v>0</v>
      </c>
      <c r="J122" s="140">
        <f t="shared" si="34"/>
        <v>58970.71</v>
      </c>
      <c r="K122" s="204"/>
    </row>
    <row r="123" spans="2:11" ht="23.65" customHeight="1" x14ac:dyDescent="0.4">
      <c r="B123" s="98" t="s">
        <v>124</v>
      </c>
      <c r="C123" s="183">
        <v>140588.20000000001</v>
      </c>
      <c r="D123" s="183">
        <f t="shared" si="35"/>
        <v>167400</v>
      </c>
      <c r="E123" s="183">
        <f t="shared" si="36"/>
        <v>117100</v>
      </c>
      <c r="F123" s="125">
        <f t="shared" si="32"/>
        <v>425088.2</v>
      </c>
      <c r="G123" s="129">
        <f t="shared" si="37"/>
        <v>20860.34</v>
      </c>
      <c r="H123" s="131">
        <f t="shared" ref="H123:I123" si="39">SUM(H110+H99+H88+H77+H65+H54+H31+H20)</f>
        <v>117678.20999999999</v>
      </c>
      <c r="I123" s="193">
        <f t="shared" si="39"/>
        <v>107003.04993450519</v>
      </c>
      <c r="J123" s="140">
        <f t="shared" si="34"/>
        <v>245541.59993450518</v>
      </c>
      <c r="K123" s="204"/>
    </row>
    <row r="124" spans="2:11" ht="23.65" customHeight="1" x14ac:dyDescent="0.4">
      <c r="B124" s="97" t="s">
        <v>125</v>
      </c>
      <c r="C124" s="183">
        <v>218700</v>
      </c>
      <c r="D124" s="183">
        <f t="shared" si="35"/>
        <v>125800</v>
      </c>
      <c r="E124" s="183">
        <f t="shared" si="36"/>
        <v>54300</v>
      </c>
      <c r="F124" s="125">
        <f t="shared" si="32"/>
        <v>398800</v>
      </c>
      <c r="G124" s="129">
        <f t="shared" si="37"/>
        <v>165944.79999999999</v>
      </c>
      <c r="H124" s="131">
        <f t="shared" ref="H124:I124" si="40">SUM(H111+H100+H89+H78+H66+H55+H32+H21)</f>
        <v>110688.09000000001</v>
      </c>
      <c r="I124" s="193">
        <f t="shared" si="40"/>
        <v>45117.38</v>
      </c>
      <c r="J124" s="140">
        <f t="shared" si="34"/>
        <v>321750.27</v>
      </c>
      <c r="K124" s="204"/>
    </row>
    <row r="125" spans="2:11" ht="23.65" customHeight="1" x14ac:dyDescent="0.4">
      <c r="B125" s="97" t="s">
        <v>126</v>
      </c>
      <c r="C125" s="183">
        <v>245000</v>
      </c>
      <c r="D125" s="183">
        <f t="shared" si="35"/>
        <v>39000</v>
      </c>
      <c r="E125" s="183">
        <f t="shared" si="36"/>
        <v>99200</v>
      </c>
      <c r="F125" s="125">
        <f t="shared" si="32"/>
        <v>383200</v>
      </c>
      <c r="G125" s="129">
        <f t="shared" si="37"/>
        <v>134696</v>
      </c>
      <c r="H125" s="131">
        <f t="shared" ref="H125:I125" si="41">SUM(H112+H101+H90+H79+H67+H56+H33+H22)</f>
        <v>18572.11</v>
      </c>
      <c r="I125" s="193">
        <f t="shared" si="41"/>
        <v>99200</v>
      </c>
      <c r="J125" s="140">
        <f t="shared" si="34"/>
        <v>252468.11</v>
      </c>
      <c r="K125" s="204"/>
    </row>
    <row r="126" spans="2:11" ht="23.65" customHeight="1" x14ac:dyDescent="0.4">
      <c r="B126" s="97" t="s">
        <v>127</v>
      </c>
      <c r="C126" s="183">
        <v>126739.56</v>
      </c>
      <c r="D126" s="183">
        <f>+D23+D34+D57+D68+D80+D91+D102+D113</f>
        <v>0</v>
      </c>
      <c r="E126" s="183">
        <f t="shared" si="36"/>
        <v>20400</v>
      </c>
      <c r="F126" s="125">
        <f t="shared" si="32"/>
        <v>147139.56</v>
      </c>
      <c r="G126" s="129">
        <f t="shared" si="37"/>
        <v>86244.479999999996</v>
      </c>
      <c r="H126" s="131">
        <f t="shared" ref="H126:I126" si="42">SUM(H113+H102+H91+H80+H68+H57+H34+H23)</f>
        <v>0</v>
      </c>
      <c r="I126" s="193">
        <f t="shared" si="42"/>
        <v>4145.1400000000003</v>
      </c>
      <c r="J126" s="140">
        <f t="shared" si="34"/>
        <v>90389.62</v>
      </c>
      <c r="K126" s="204"/>
    </row>
    <row r="127" spans="2:11" ht="23.65" customHeight="1" x14ac:dyDescent="0.4">
      <c r="B127" s="99" t="s">
        <v>101</v>
      </c>
      <c r="C127" s="125">
        <v>997412</v>
      </c>
      <c r="D127" s="125">
        <v>539747</v>
      </c>
      <c r="E127" s="125">
        <v>332000</v>
      </c>
      <c r="F127" s="125">
        <f>SUM(C127:E127)</f>
        <v>1869159</v>
      </c>
      <c r="G127" s="130">
        <f>SUM(G120:G126)</f>
        <v>576740.92999999993</v>
      </c>
      <c r="H127" s="132">
        <f>SUM(H120:H126)</f>
        <v>410075.3</v>
      </c>
      <c r="I127" s="137">
        <f>SUM(I120:I126)</f>
        <v>293706.97993450519</v>
      </c>
      <c r="J127" s="140">
        <f t="shared" si="34"/>
        <v>1280523.2099345052</v>
      </c>
      <c r="K127" s="204"/>
    </row>
    <row r="128" spans="2:11" ht="23.65" customHeight="1" x14ac:dyDescent="0.4">
      <c r="B128" s="99" t="s">
        <v>102</v>
      </c>
      <c r="C128" s="123">
        <v>69818.84</v>
      </c>
      <c r="D128" s="123">
        <v>37782.29</v>
      </c>
      <c r="E128" s="123">
        <v>23240</v>
      </c>
      <c r="F128" s="123">
        <f>F127*0.07</f>
        <v>130841.13000000002</v>
      </c>
      <c r="G128" s="129">
        <f>G127*0.07</f>
        <v>40371.865100000003</v>
      </c>
      <c r="H128" s="131">
        <v>28552.47</v>
      </c>
      <c r="I128" s="193">
        <f t="shared" ref="I128" si="43">I127*0.07</f>
        <v>20559.488595415365</v>
      </c>
      <c r="J128" s="140">
        <f>SUM(G128:I128)</f>
        <v>89483.823695415369</v>
      </c>
      <c r="K128" s="204"/>
    </row>
    <row r="129" spans="2:11" ht="34.15" customHeight="1" thickBot="1" x14ac:dyDescent="0.4">
      <c r="B129" s="141" t="s">
        <v>144</v>
      </c>
      <c r="C129" s="165">
        <f t="shared" ref="C129:I129" si="44">SUM(C127:C128)</f>
        <v>1067230.8400000001</v>
      </c>
      <c r="D129" s="165">
        <f t="shared" si="44"/>
        <v>577529.29</v>
      </c>
      <c r="E129" s="165">
        <f t="shared" si="44"/>
        <v>355240</v>
      </c>
      <c r="F129" s="165">
        <f t="shared" si="44"/>
        <v>2000000.1300000001</v>
      </c>
      <c r="G129" s="242">
        <f t="shared" si="44"/>
        <v>617112.79509999999</v>
      </c>
      <c r="H129" s="243">
        <f t="shared" si="44"/>
        <v>438627.77</v>
      </c>
      <c r="I129" s="151">
        <f t="shared" si="44"/>
        <v>314266.46852992056</v>
      </c>
      <c r="J129" s="244">
        <f>SUM(G129:I129)</f>
        <v>1370007.0336299206</v>
      </c>
      <c r="K129" s="204"/>
    </row>
    <row r="130" spans="2:11" x14ac:dyDescent="0.35">
      <c r="J130" s="194"/>
      <c r="K130" s="204"/>
    </row>
    <row r="131" spans="2:11" x14ac:dyDescent="0.35">
      <c r="F131" s="143"/>
      <c r="H131" s="176"/>
    </row>
    <row r="132" spans="2:11" x14ac:dyDescent="0.35">
      <c r="H132" s="143"/>
    </row>
    <row r="133" spans="2:11" x14ac:dyDescent="0.35">
      <c r="G133" s="143"/>
      <c r="H133" s="206"/>
      <c r="I133" s="143"/>
    </row>
    <row r="134" spans="2:11" x14ac:dyDescent="0.35">
      <c r="H134" s="206"/>
    </row>
    <row r="135" spans="2:11" x14ac:dyDescent="0.35">
      <c r="H135" s="206"/>
    </row>
    <row r="136" spans="2:11" x14ac:dyDescent="0.35">
      <c r="H136" s="143"/>
    </row>
    <row r="137" spans="2:11" x14ac:dyDescent="0.35">
      <c r="H137" s="185"/>
    </row>
    <row r="138" spans="2:11" x14ac:dyDescent="0.35">
      <c r="H138" s="206"/>
    </row>
  </sheetData>
  <mergeCells count="26">
    <mergeCell ref="C117:F117"/>
    <mergeCell ref="F118:F119"/>
    <mergeCell ref="G117:J117"/>
    <mergeCell ref="J118:J119"/>
    <mergeCell ref="B83:J83"/>
    <mergeCell ref="B94:J94"/>
    <mergeCell ref="B105:J105"/>
    <mergeCell ref="B37:J37"/>
    <mergeCell ref="B9:E9"/>
    <mergeCell ref="B60:J60"/>
    <mergeCell ref="B71:J71"/>
    <mergeCell ref="B72:J72"/>
    <mergeCell ref="C11:F11"/>
    <mergeCell ref="G11:J11"/>
    <mergeCell ref="F12:F13"/>
    <mergeCell ref="J12:J13"/>
    <mergeCell ref="A48:J48"/>
    <mergeCell ref="B49:J49"/>
    <mergeCell ref="A14:J14"/>
    <mergeCell ref="B15:J15"/>
    <mergeCell ref="B26:J26"/>
    <mergeCell ref="B1:E1"/>
    <mergeCell ref="B4:F4"/>
    <mergeCell ref="B5:F5"/>
    <mergeCell ref="B6:F6"/>
    <mergeCell ref="B7:F7"/>
  </mergeCells>
  <conditionalFormatting sqref="F46">
    <cfRule type="cellIs" dxfId="0" priority="7" operator="notEqual">
      <formula>$G$39</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B23 B34 B45 B68 B57 B80 B91 B102 B113 B126" xr:uid="{7494D570-8E3B-4637-9C73-880DB517ABB1}"/>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22 B33 B44 B67 B56 B79 B90 B101 B112 B125" xr:uid="{58E3F2F1-FCD0-419E-BD32-4E236C87E27B}"/>
    <dataValidation allowBlank="1" showInputMessage="1" showErrorMessage="1" prompt="Services contracted by an organization which follow the normal procurement processes." sqref="B20 B31 B42 B65 B54 B77 B88 B99 B110 B123" xr:uid="{C3AE3E04-73A3-4212-9E25-BF98CE3EE6B2}"/>
    <dataValidation allowBlank="1" showInputMessage="1" showErrorMessage="1" prompt="Includes staff and non-staff travel paid for by the organization directly related to a project." sqref="B21 B32 B43 B66 B55 B78 B89 B100 B111 B124" xr:uid="{C0D176A9-D7F5-462C-A562-F716B838C949}"/>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9 B30 B41 B64 B53 B76 B87 B98 B109 B122" xr:uid="{7002325D-66B7-4984-A96C-04CB743CA372}"/>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121 B29 B40 B63 B52 B75 B86 B97 B108 B18" xr:uid="{B2407623-EE55-4CBD-9835-A987C07B7F54}"/>
    <dataValidation allowBlank="1" showInputMessage="1" showErrorMessage="1" prompt="Includes all related staff and temporary staff costs including base salary, post adjustment and all staff entitlements." sqref="B17 B28 B39 B62 B51 B74 B85 B96 B107 B120" xr:uid="{43C522C8-6762-4BA1-8A5A-E31FD09F2D16}"/>
    <dataValidation allowBlank="1" showInputMessage="1" showErrorMessage="1" prompt="Output totals must match the original total from Table 1, and will show as red if not. " sqref="F24:G24" xr:uid="{844CF5A3-A396-4363-BF88-AA335946CFE7}"/>
  </dataValidations>
  <pageMargins left="0.7" right="0.7" top="0.75" bottom="0.75" header="0.3" footer="0.3"/>
  <ignoredErrors>
    <ignoredError sqref="F128:F12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E0E86-2648-4568-9A92-FE955739B291}">
  <dimension ref="A2:L19"/>
  <sheetViews>
    <sheetView zoomScale="46" zoomScaleNormal="46" workbookViewId="0">
      <selection activeCell="I16" sqref="I16"/>
    </sheetView>
  </sheetViews>
  <sheetFormatPr baseColWidth="10" defaultColWidth="8.7265625" defaultRowHeight="14.5" x14ac:dyDescent="0.35"/>
  <cols>
    <col min="1" max="1" width="37.453125" customWidth="1"/>
    <col min="2" max="2" width="20.26953125" customWidth="1"/>
    <col min="3" max="3" width="16" customWidth="1"/>
    <col min="4" max="4" width="20.453125" customWidth="1"/>
    <col min="5" max="5" width="19.453125" customWidth="1"/>
    <col min="6" max="6" width="19.1796875" customWidth="1"/>
    <col min="7" max="7" width="18.26953125" customWidth="1"/>
    <col min="8" max="8" width="20.26953125" customWidth="1"/>
    <col min="9" max="9" width="24.7265625" customWidth="1"/>
    <col min="10" max="10" width="9" bestFit="1" customWidth="1"/>
    <col min="11" max="11" width="11.26953125" bestFit="1" customWidth="1"/>
    <col min="12" max="12" width="12.54296875" bestFit="1" customWidth="1"/>
  </cols>
  <sheetData>
    <row r="2" spans="1:12" x14ac:dyDescent="0.35">
      <c r="A2" s="100"/>
      <c r="B2" s="100"/>
      <c r="C2" s="100"/>
      <c r="D2" s="100"/>
    </row>
    <row r="3" spans="1:12" x14ac:dyDescent="0.35">
      <c r="A3" s="100"/>
      <c r="B3" s="100"/>
      <c r="C3" s="100"/>
      <c r="D3" s="100"/>
    </row>
    <row r="4" spans="1:12" ht="15" thickBot="1" x14ac:dyDescent="0.4"/>
    <row r="5" spans="1:12" ht="15" customHeight="1" x14ac:dyDescent="0.35">
      <c r="A5" s="308" t="s">
        <v>145</v>
      </c>
      <c r="B5" s="308" t="s">
        <v>13</v>
      </c>
      <c r="C5" s="310"/>
      <c r="D5" s="308" t="s">
        <v>14</v>
      </c>
      <c r="E5" s="310"/>
      <c r="F5" s="308" t="s">
        <v>15</v>
      </c>
      <c r="G5" s="310"/>
      <c r="H5" s="308" t="s">
        <v>146</v>
      </c>
      <c r="I5" s="310"/>
    </row>
    <row r="6" spans="1:12" ht="30" x14ac:dyDescent="0.35">
      <c r="A6" s="309"/>
      <c r="B6" s="101" t="s">
        <v>147</v>
      </c>
      <c r="C6" s="245" t="s">
        <v>148</v>
      </c>
      <c r="D6" s="102" t="s">
        <v>147</v>
      </c>
      <c r="E6" s="245" t="s">
        <v>148</v>
      </c>
      <c r="F6" s="101" t="s">
        <v>147</v>
      </c>
      <c r="G6" s="245" t="s">
        <v>148</v>
      </c>
      <c r="H6" s="103" t="s">
        <v>147</v>
      </c>
      <c r="I6" s="245" t="s">
        <v>148</v>
      </c>
    </row>
    <row r="7" spans="1:12" ht="23.15" customHeight="1" x14ac:dyDescent="0.4">
      <c r="A7" s="104" t="s">
        <v>119</v>
      </c>
      <c r="B7" s="139">
        <f>'2)UNDG Budget categ par produit'!C120</f>
        <v>247884.24</v>
      </c>
      <c r="C7" s="184">
        <f>'2)UNDG Budget categ par produit'!G120</f>
        <v>160090.49</v>
      </c>
      <c r="D7" s="139">
        <f>'2)UNDG Budget categ par produit'!D120</f>
        <v>137547</v>
      </c>
      <c r="E7" s="246">
        <f>'2)UNDG Budget categ par produit'!H120</f>
        <v>101330.89</v>
      </c>
      <c r="F7" s="184">
        <f>'2)UNDG Budget categ par produit'!E120</f>
        <v>41000</v>
      </c>
      <c r="G7" s="184">
        <f>'2)UNDG Budget categ par produit'!I120</f>
        <v>38241.409999999996</v>
      </c>
      <c r="H7" s="184">
        <f>'2)UNDG Budget categ par produit'!F120</f>
        <v>426431.24</v>
      </c>
      <c r="I7" s="184">
        <f>C7+E7+G7</f>
        <v>299662.78999999998</v>
      </c>
      <c r="K7" s="176"/>
    </row>
    <row r="8" spans="1:12" ht="23.15" customHeight="1" x14ac:dyDescent="0.4">
      <c r="A8" s="104" t="s">
        <v>121</v>
      </c>
      <c r="B8" s="139">
        <f>'2)UNDG Budget categ par produit'!C121</f>
        <v>9500</v>
      </c>
      <c r="C8" s="184">
        <f>'2)UNDG Budget categ par produit'!G121</f>
        <v>3003.75</v>
      </c>
      <c r="D8" s="198">
        <f>'2)UNDG Budget categ par produit'!D121</f>
        <v>13000</v>
      </c>
      <c r="E8" s="246">
        <f>'2)UNDG Budget categ par produit'!H121</f>
        <v>8736.36</v>
      </c>
      <c r="F8" s="184">
        <f>'2)UNDG Budget categ par produit'!E121</f>
        <v>0</v>
      </c>
      <c r="G8" s="184">
        <f>'2)UNDG Budget categ par produit'!I121</f>
        <v>0</v>
      </c>
      <c r="H8" s="184">
        <f>'2)UNDG Budget categ par produit'!F121</f>
        <v>22500</v>
      </c>
      <c r="I8" s="184">
        <f t="shared" ref="I8:I14" si="0">C8+E8+G8</f>
        <v>11740.11</v>
      </c>
      <c r="K8" s="176"/>
    </row>
    <row r="9" spans="1:12" ht="37.15" customHeight="1" x14ac:dyDescent="0.4">
      <c r="A9" s="104" t="s">
        <v>123</v>
      </c>
      <c r="B9" s="139">
        <f>'2)UNDG Budget categ par produit'!C122</f>
        <v>9000</v>
      </c>
      <c r="C9" s="184">
        <f>'2)UNDG Budget categ par produit'!G122</f>
        <v>5901.07</v>
      </c>
      <c r="D9" s="198">
        <f>'2)UNDG Budget categ par produit'!D122</f>
        <v>57000</v>
      </c>
      <c r="E9" s="246">
        <f>'2)UNDG Budget categ par produit'!H122</f>
        <v>53069.64</v>
      </c>
      <c r="F9" s="184">
        <f>'2)UNDG Budget categ par produit'!E122</f>
        <v>0</v>
      </c>
      <c r="G9" s="184">
        <f>'2)UNDG Budget categ par produit'!I122</f>
        <v>0</v>
      </c>
      <c r="H9" s="184">
        <f>'2)UNDG Budget categ par produit'!F122</f>
        <v>66000</v>
      </c>
      <c r="I9" s="184">
        <f t="shared" si="0"/>
        <v>58970.71</v>
      </c>
      <c r="K9" s="176"/>
    </row>
    <row r="10" spans="1:12" ht="23.15" customHeight="1" x14ac:dyDescent="0.4">
      <c r="A10" s="104" t="s">
        <v>124</v>
      </c>
      <c r="B10" s="139">
        <f>'2)UNDG Budget categ par produit'!C123</f>
        <v>140588.20000000001</v>
      </c>
      <c r="C10" s="184">
        <f>'2)UNDG Budget categ par produit'!G123</f>
        <v>20860.34</v>
      </c>
      <c r="D10" s="198">
        <f>'2)UNDG Budget categ par produit'!D123</f>
        <v>167400</v>
      </c>
      <c r="E10" s="246">
        <f>'2)UNDG Budget categ par produit'!H123</f>
        <v>117678.20999999999</v>
      </c>
      <c r="F10" s="184">
        <f>'2)UNDG Budget categ par produit'!E123</f>
        <v>117100</v>
      </c>
      <c r="G10" s="184">
        <f>'2)UNDG Budget categ par produit'!I123</f>
        <v>107003.04993450519</v>
      </c>
      <c r="H10" s="184">
        <f>'2)UNDG Budget categ par produit'!F123</f>
        <v>425088.2</v>
      </c>
      <c r="I10" s="184">
        <f t="shared" si="0"/>
        <v>245541.59993450518</v>
      </c>
      <c r="K10" s="176"/>
    </row>
    <row r="11" spans="1:12" ht="23.15" customHeight="1" x14ac:dyDescent="0.4">
      <c r="A11" s="104" t="s">
        <v>125</v>
      </c>
      <c r="B11" s="139">
        <f>'2)UNDG Budget categ par produit'!C124</f>
        <v>218700</v>
      </c>
      <c r="C11" s="184">
        <f>'2)UNDG Budget categ par produit'!G124</f>
        <v>165944.79999999999</v>
      </c>
      <c r="D11" s="198">
        <f>'2)UNDG Budget categ par produit'!D124</f>
        <v>125800</v>
      </c>
      <c r="E11" s="246">
        <f>'2)UNDG Budget categ par produit'!H124</f>
        <v>110688.09000000001</v>
      </c>
      <c r="F11" s="184">
        <f>'2)UNDG Budget categ par produit'!E124</f>
        <v>54300</v>
      </c>
      <c r="G11" s="184">
        <f>'2)UNDG Budget categ par produit'!I124</f>
        <v>45117.38</v>
      </c>
      <c r="H11" s="184">
        <f>'2)UNDG Budget categ par produit'!F124</f>
        <v>398800</v>
      </c>
      <c r="I11" s="184">
        <f t="shared" si="0"/>
        <v>321750.27</v>
      </c>
      <c r="K11" s="176"/>
    </row>
    <row r="12" spans="1:12" ht="27" customHeight="1" x14ac:dyDescent="0.4">
      <c r="A12" s="104" t="s">
        <v>126</v>
      </c>
      <c r="B12" s="139">
        <f>'2)UNDG Budget categ par produit'!C125</f>
        <v>245000</v>
      </c>
      <c r="C12" s="184">
        <f>'2)UNDG Budget categ par produit'!G125</f>
        <v>134696</v>
      </c>
      <c r="D12" s="139">
        <f>'2)UNDG Budget categ par produit'!D125</f>
        <v>39000</v>
      </c>
      <c r="E12" s="246">
        <f>'2)UNDG Budget categ par produit'!H125</f>
        <v>18572.11</v>
      </c>
      <c r="F12" s="184">
        <f>'2)UNDG Budget categ par produit'!E125</f>
        <v>99200</v>
      </c>
      <c r="G12" s="184">
        <f>'2)UNDG Budget categ par produit'!I125</f>
        <v>99200</v>
      </c>
      <c r="H12" s="184">
        <f>'2)UNDG Budget categ par produit'!F125</f>
        <v>383200</v>
      </c>
      <c r="I12" s="184">
        <f t="shared" si="0"/>
        <v>252468.11</v>
      </c>
      <c r="K12" s="176"/>
    </row>
    <row r="13" spans="1:12" ht="32.25" customHeight="1" x14ac:dyDescent="0.4">
      <c r="A13" s="104" t="s">
        <v>127</v>
      </c>
      <c r="B13" s="139">
        <f>'2)UNDG Budget categ par produit'!C126</f>
        <v>126739.56</v>
      </c>
      <c r="C13" s="184">
        <f>'2)UNDG Budget categ par produit'!G126</f>
        <v>86244.479999999996</v>
      </c>
      <c r="D13" s="139">
        <f>'2)UNDG Budget categ par produit'!D126</f>
        <v>0</v>
      </c>
      <c r="E13" s="246">
        <f>'2)UNDG Budget categ par produit'!H126</f>
        <v>0</v>
      </c>
      <c r="F13" s="184">
        <f>'2)UNDG Budget categ par produit'!E126</f>
        <v>20400</v>
      </c>
      <c r="G13" s="184">
        <f>'2)UNDG Budget categ par produit'!I126</f>
        <v>4145.1400000000003</v>
      </c>
      <c r="H13" s="184">
        <f>'2)UNDG Budget categ par produit'!F126</f>
        <v>147139.56</v>
      </c>
      <c r="I13" s="184">
        <f t="shared" si="0"/>
        <v>90389.62</v>
      </c>
      <c r="K13" s="176"/>
    </row>
    <row r="14" spans="1:12" ht="18.649999999999999" customHeight="1" x14ac:dyDescent="0.4">
      <c r="A14" s="105" t="s">
        <v>149</v>
      </c>
      <c r="B14" s="196">
        <f>'2)UNDG Budget categ par produit'!C127</f>
        <v>997412</v>
      </c>
      <c r="C14" s="196">
        <f>'2)UNDG Budget categ par produit'!G127</f>
        <v>576740.92999999993</v>
      </c>
      <c r="D14" s="197">
        <f>'2)UNDG Budget categ par produit'!D127</f>
        <v>539747</v>
      </c>
      <c r="E14" s="197">
        <f>SUM(E7:E13)</f>
        <v>410075.3</v>
      </c>
      <c r="F14" s="197">
        <f>'2)UNDG Budget categ par produit'!E127</f>
        <v>332000</v>
      </c>
      <c r="G14" s="197">
        <f>'2)UNDG Budget categ par produit'!I127</f>
        <v>293706.97993450519</v>
      </c>
      <c r="H14" s="197">
        <f>SUM(B14+D14+F14)</f>
        <v>1869159</v>
      </c>
      <c r="I14" s="197">
        <f t="shared" si="0"/>
        <v>1280523.2099345052</v>
      </c>
    </row>
    <row r="15" spans="1:12" ht="16" x14ac:dyDescent="0.4">
      <c r="A15" s="104" t="s">
        <v>150</v>
      </c>
      <c r="B15" s="139">
        <f>'2)UNDG Budget categ par produit'!C128</f>
        <v>69818.84</v>
      </c>
      <c r="C15" s="184">
        <f>'2)UNDG Budget categ par produit'!G128</f>
        <v>40371.865100000003</v>
      </c>
      <c r="D15" s="139">
        <f>'2)UNDG Budget categ par produit'!D128</f>
        <v>37782.29</v>
      </c>
      <c r="E15" s="138">
        <f>'2)UNDG Budget categ par produit'!H128</f>
        <v>28552.47</v>
      </c>
      <c r="F15" s="184">
        <f>'2)UNDG Budget categ par produit'!E128</f>
        <v>23240</v>
      </c>
      <c r="G15" s="184">
        <f>'2)UNDG Budget categ par produit'!I128</f>
        <v>20559.488595415365</v>
      </c>
      <c r="H15" s="184">
        <f>H14*0.07</f>
        <v>130841.13000000002</v>
      </c>
      <c r="I15" s="184">
        <f>SUM(C15+E15+G15)</f>
        <v>89483.823695415369</v>
      </c>
      <c r="L15" s="176"/>
    </row>
    <row r="16" spans="1:12" ht="26.15" customHeight="1" x14ac:dyDescent="0.4">
      <c r="A16" s="106" t="s">
        <v>144</v>
      </c>
      <c r="B16" s="196">
        <f>'2)UNDG Budget categ par produit'!C129</f>
        <v>1067230.8400000001</v>
      </c>
      <c r="C16" s="196">
        <f>'2)UNDG Budget categ par produit'!G129</f>
        <v>617112.79509999999</v>
      </c>
      <c r="D16" s="195">
        <f>'2)UNDG Budget categ par produit'!D129</f>
        <v>577529.29</v>
      </c>
      <c r="E16" s="195">
        <f>+SUM(E14:E15)</f>
        <v>438627.77</v>
      </c>
      <c r="F16" s="197">
        <f>'2)UNDG Budget categ par produit'!E129</f>
        <v>355240</v>
      </c>
      <c r="G16" s="195">
        <f>'2)UNDG Budget categ par produit'!I129</f>
        <v>314266.46852992056</v>
      </c>
      <c r="H16" s="197">
        <f>SUM(H14:H15)</f>
        <v>2000000.1300000001</v>
      </c>
      <c r="I16" s="197">
        <f>SUM(I14:I15)</f>
        <v>1370007.0336299206</v>
      </c>
      <c r="J16" s="107"/>
      <c r="L16" s="176"/>
    </row>
    <row r="17" spans="1:10" x14ac:dyDescent="0.35">
      <c r="J17" s="107"/>
    </row>
    <row r="18" spans="1:10" ht="28.5" customHeight="1" x14ac:dyDescent="0.35">
      <c r="A18" s="307" t="s">
        <v>151</v>
      </c>
      <c r="B18" s="307"/>
      <c r="C18" s="307"/>
      <c r="D18" s="307"/>
      <c r="E18" s="307"/>
      <c r="F18" s="307"/>
      <c r="G18" s="307"/>
      <c r="H18" s="307"/>
      <c r="I18" s="307"/>
    </row>
    <row r="19" spans="1:10" x14ac:dyDescent="0.35">
      <c r="I19" s="176"/>
    </row>
  </sheetData>
  <mergeCells count="6">
    <mergeCell ref="A18:I18"/>
    <mergeCell ref="A5:A6"/>
    <mergeCell ref="B5:C5"/>
    <mergeCell ref="D5:E5"/>
    <mergeCell ref="F5:G5"/>
    <mergeCell ref="H5:I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Progress report</DocumentType>
    <UploadedBy xmlns="b1528a4b-5ccb-40f7-a09e-43427183cd95">henintsoa.ravoala@undp.org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MPTF_00006_01064</ProjectId>
    <FundCode xmlns="f9695bc1-6109-4dcd-a27a-f8a0370b00e2">MPTF_00006</FundCode>
    <Comments xmlns="f9695bc1-6109-4dcd-a27a-f8a0370b00e2">Financial progress report RAM 2 June 2026</Comments>
    <Active xmlns="f9695bc1-6109-4dcd-a27a-f8a0370b00e2">Yes</Active>
    <DocumentDate xmlns="b1528a4b-5ccb-40f7-a09e-43427183cd95">2026-06-15T07:00:00+00:00</DocumentDate>
    <Featured xmlns="b1528a4b-5ccb-40f7-a09e-43427183cd95">1</Featured>
    <FormTypeCode xmlns="b1528a4b-5ccb-40f7-a09e-43427183cd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F4CB5A-089C-47A6-871B-1CE80FAF41C5}">
  <ds:schemaRefs>
    <ds:schemaRef ds:uri="c29f26f8-736a-4692-8fe8-72783c3539ce"/>
    <ds:schemaRef ds:uri="http://www.w3.org/XML/1998/namespace"/>
    <ds:schemaRef ds:uri="http://schemas.microsoft.com/office/2006/metadata/properties"/>
    <ds:schemaRef ds:uri="http://purl.org/dc/elements/1.1/"/>
    <ds:schemaRef ds:uri="119f6826-1431-47ae-9366-0daff12dd02d"/>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purl.org/dc/terms/"/>
  </ds:schemaRefs>
</ds:datastoreItem>
</file>

<file path=customXml/itemProps2.xml><?xml version="1.0" encoding="utf-8"?>
<ds:datastoreItem xmlns:ds="http://schemas.openxmlformats.org/officeDocument/2006/customXml" ds:itemID="{0CEDD858-C760-494A-948C-B7910FCE1F4B}">
  <ds:schemaRefs>
    <ds:schemaRef ds:uri="http://schemas.microsoft.com/sharepoint/v3/contenttype/forms"/>
  </ds:schemaRefs>
</ds:datastoreItem>
</file>

<file path=customXml/itemProps3.xml><?xml version="1.0" encoding="utf-8"?>
<ds:datastoreItem xmlns:ds="http://schemas.openxmlformats.org/officeDocument/2006/customXml" ds:itemID="{85C2491F-7D89-4DD7-9A5B-965F7E0DABB9}"/>
</file>

<file path=docMetadata/LabelInfo.xml><?xml version="1.0" encoding="utf-8"?>
<clbl:labelList xmlns:clbl="http://schemas.microsoft.com/office/2020/mipLabelMetadata">
  <clbl:label id="{8b77875e-5908-45a0-9cb4-dec9ae074618}" enabled="1" method="Privileged" siteId="{0f9e35db-544f-4f60-bdcc-5ea416e6dc70}" removed="0"/>
  <clbl:label id="{f8e024d6-51f2-471b-ac2c-b1117d65062e}" enabled="1" method="Standard" siteId="{1d4fae52-39b3-4bfa-b0b3-022956b1119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RF par produits</vt:lpstr>
      <vt:lpstr>2)UNDG Budget categ par produit</vt:lpstr>
      <vt:lpstr>3) RF - Par catégories budgétai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PBF Financial report_RAM2_June2026.xlsx</dc:title>
  <dc:subject/>
  <dc:creator>Princy Joanna BELAHY</dc:creator>
  <cp:keywords/>
  <dc:description/>
  <cp:lastModifiedBy>Henintsoa Tahiana Ravoala</cp:lastModifiedBy>
  <cp:revision/>
  <dcterms:created xsi:type="dcterms:W3CDTF">2025-10-28T09:11:14Z</dcterms:created>
  <dcterms:modified xsi:type="dcterms:W3CDTF">2026-06-15T17:22:43Z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