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66925"/>
  <mc:AlternateContent xmlns:mc="http://schemas.openxmlformats.org/markup-compatibility/2006">
    <mc:Choice Requires="x15">
      <x15ac:absPath xmlns:x15ac="http://schemas.microsoft.com/office/spreadsheetml/2010/11/ac" url="C:\Users\toky.ononandrianina\Documents\PROJET ANDRIRY\Projet Andriry 2026\Rapport SEM 1 PBF 2026\"/>
    </mc:Choice>
  </mc:AlternateContent>
  <xr:revisionPtr revIDLastSave="25" documentId="13_ncr:1_{FF9AC795-90E7-427E-9EF5-C66AE030CBB3}" xr6:coauthVersionLast="47" xr6:coauthVersionMax="47" xr10:uidLastSave="{395DBB0E-09C5-4A5A-A4EE-D4D55DEE1A6B}"/>
  <bookViews>
    <workbookView xWindow="-110" yWindow="-110" windowWidth="19420" windowHeight="11500" firstSheet="1" xr2:uid="{00000000-000D-0000-FFFF-FFFF00000000}"/>
  </bookViews>
  <sheets>
    <sheet name="RF par produits" sheetId="3" r:id="rId1"/>
    <sheet name="2)UNDG Budget categ par produit" sheetId="4" r:id="rId2"/>
    <sheet name="3) RF - Par catégories budgétai"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7" i="4" l="1"/>
  <c r="Q115" i="4"/>
  <c r="C9" i="2"/>
  <c r="H9" i="2"/>
  <c r="V216" i="4"/>
  <c r="X209" i="4"/>
  <c r="W209" i="4"/>
  <c r="W210" i="4"/>
  <c r="W211" i="4"/>
  <c r="W212" i="4"/>
  <c r="W213" i="4"/>
  <c r="W214" i="4"/>
  <c r="W215" i="4"/>
  <c r="M115" i="4"/>
  <c r="S215" i="4"/>
  <c r="S210" i="4"/>
  <c r="S209" i="4"/>
  <c r="J69" i="3"/>
  <c r="Q19" i="4" l="1"/>
  <c r="S211" i="4" l="1"/>
  <c r="E9" i="2" s="1"/>
  <c r="S212" i="4"/>
  <c r="E10" i="2" s="1"/>
  <c r="S213" i="4"/>
  <c r="S214" i="4"/>
  <c r="E13" i="2"/>
  <c r="C15" i="2"/>
  <c r="I56" i="3"/>
  <c r="E11" i="2" l="1"/>
  <c r="E12" i="2"/>
  <c r="S216" i="4"/>
  <c r="E8" i="2"/>
  <c r="E7" i="2"/>
  <c r="J126" i="4"/>
  <c r="S217" i="4" l="1"/>
  <c r="S218" i="4" s="1"/>
  <c r="S81" i="4"/>
  <c r="E14" i="2"/>
  <c r="E15" i="2" s="1"/>
  <c r="F14" i="2"/>
  <c r="F8" i="3"/>
  <c r="I12" i="3"/>
  <c r="U198" i="4" l="1"/>
  <c r="U199" i="4"/>
  <c r="U200" i="4"/>
  <c r="U202" i="4"/>
  <c r="U203" i="4"/>
  <c r="U197" i="4"/>
  <c r="U122" i="4"/>
  <c r="U108" i="4"/>
  <c r="U63" i="4"/>
  <c r="U29" i="4"/>
  <c r="U18" i="4"/>
  <c r="L66" i="3"/>
  <c r="L67" i="3"/>
  <c r="L68" i="3"/>
  <c r="K56" i="3"/>
  <c r="J56" i="3"/>
  <c r="L55" i="3"/>
  <c r="L54" i="3"/>
  <c r="L49" i="3"/>
  <c r="L50" i="3"/>
  <c r="L48" i="3"/>
  <c r="L40" i="3"/>
  <c r="L41" i="3"/>
  <c r="L42" i="3"/>
  <c r="L43" i="3"/>
  <c r="L39" i="3"/>
  <c r="L33" i="3"/>
  <c r="L34" i="3"/>
  <c r="L35" i="3"/>
  <c r="L32" i="3"/>
  <c r="K27" i="3"/>
  <c r="L25" i="3"/>
  <c r="L26" i="3"/>
  <c r="L24" i="3"/>
  <c r="L15" i="3"/>
  <c r="L16" i="3"/>
  <c r="L17" i="3"/>
  <c r="L18" i="3"/>
  <c r="L19" i="3"/>
  <c r="L20" i="3"/>
  <c r="L21" i="3"/>
  <c r="L14" i="3"/>
  <c r="L9" i="3"/>
  <c r="L10" i="3"/>
  <c r="L11" i="3"/>
  <c r="L8" i="3"/>
  <c r="K69" i="3"/>
  <c r="J51" i="3"/>
  <c r="K51" i="3"/>
  <c r="I51" i="3"/>
  <c r="J45" i="3"/>
  <c r="K45" i="3"/>
  <c r="I45" i="3"/>
  <c r="J37" i="3"/>
  <c r="J76" i="3" s="1"/>
  <c r="J77" i="3" s="1"/>
  <c r="M12" i="3"/>
  <c r="J12" i="3"/>
  <c r="K12" i="3"/>
  <c r="L56" i="3" l="1"/>
  <c r="L22" i="3"/>
  <c r="L27" i="3"/>
  <c r="L12" i="3"/>
  <c r="L45" i="3"/>
  <c r="S204" i="4"/>
  <c r="V218" i="4" l="1"/>
  <c r="N47" i="4"/>
  <c r="N39" i="4" s="1"/>
  <c r="O47" i="4"/>
  <c r="P47" i="4"/>
  <c r="P39" i="4" s="1"/>
  <c r="M47" i="4"/>
  <c r="M39" i="4" s="1"/>
  <c r="K39" i="4"/>
  <c r="L39" i="4"/>
  <c r="O39" i="4"/>
  <c r="M37" i="3" l="1"/>
  <c r="M22" i="3"/>
  <c r="F55" i="3"/>
  <c r="D56" i="3"/>
  <c r="E56" i="3"/>
  <c r="C56" i="3"/>
  <c r="F40" i="3"/>
  <c r="F41" i="3"/>
  <c r="F42" i="3"/>
  <c r="F43" i="3"/>
  <c r="F39" i="3"/>
  <c r="F34" i="3"/>
  <c r="F35" i="3"/>
  <c r="D45" i="3"/>
  <c r="G45" i="3" l="1"/>
  <c r="I15" i="2"/>
  <c r="M210" i="4"/>
  <c r="D8" i="2" s="1"/>
  <c r="J209" i="4"/>
  <c r="B7" i="2" s="1"/>
  <c r="L215" i="4"/>
  <c r="K215" i="4"/>
  <c r="J215" i="4"/>
  <c r="B13" i="2" s="1"/>
  <c r="L214" i="4"/>
  <c r="K214" i="4"/>
  <c r="J214" i="4"/>
  <c r="B12" i="2" s="1"/>
  <c r="H12" i="2" s="1"/>
  <c r="L213" i="4"/>
  <c r="K213" i="4"/>
  <c r="J213" i="4"/>
  <c r="B11" i="2" s="1"/>
  <c r="H11" i="2" s="1"/>
  <c r="L212" i="4"/>
  <c r="K212" i="4"/>
  <c r="J212" i="4"/>
  <c r="B10" i="2" s="1"/>
  <c r="L211" i="4"/>
  <c r="K211" i="4"/>
  <c r="J211" i="4"/>
  <c r="L210" i="4"/>
  <c r="K210" i="4"/>
  <c r="J210" i="4"/>
  <c r="B8" i="2" s="1"/>
  <c r="L209" i="4"/>
  <c r="K209" i="4"/>
  <c r="P215" i="4"/>
  <c r="P214" i="4"/>
  <c r="P213" i="4"/>
  <c r="P212" i="4"/>
  <c r="P211" i="4"/>
  <c r="P210" i="4"/>
  <c r="P209" i="4"/>
  <c r="M215" i="4"/>
  <c r="D13" i="2" s="1"/>
  <c r="M214" i="4"/>
  <c r="D12" i="2" s="1"/>
  <c r="M213" i="4"/>
  <c r="D11" i="2" s="1"/>
  <c r="M212" i="4"/>
  <c r="D10" i="2" s="1"/>
  <c r="M211" i="4"/>
  <c r="D9" i="2" s="1"/>
  <c r="M209" i="4"/>
  <c r="D7" i="2" s="1"/>
  <c r="R209" i="4"/>
  <c r="T209" i="4"/>
  <c r="L36" i="3"/>
  <c r="M69" i="3"/>
  <c r="C37" i="3"/>
  <c r="F10" i="3"/>
  <c r="F9" i="3"/>
  <c r="F11" i="3"/>
  <c r="H13" i="2" l="1"/>
  <c r="H10" i="2"/>
  <c r="H8" i="2"/>
  <c r="D14" i="2"/>
  <c r="H7" i="2"/>
  <c r="J216" i="4"/>
  <c r="J218" i="4" s="1"/>
  <c r="M216" i="4"/>
  <c r="L216" i="4"/>
  <c r="B9" i="2"/>
  <c r="C7" i="2"/>
  <c r="P216" i="4"/>
  <c r="K216" i="4"/>
  <c r="G12" i="3"/>
  <c r="B14" i="2" l="1"/>
  <c r="H14" i="2" s="1"/>
  <c r="I7" i="2"/>
  <c r="J22" i="3"/>
  <c r="U217" i="4"/>
  <c r="F50" i="3" l="1"/>
  <c r="F49" i="3"/>
  <c r="F48" i="3"/>
  <c r="G51" i="3" l="1"/>
  <c r="E16" i="2" l="1"/>
  <c r="S25" i="4"/>
  <c r="R25" i="4"/>
  <c r="V21" i="4" s="1"/>
  <c r="R215" i="4"/>
  <c r="X215" i="4" s="1"/>
  <c r="C13" i="2" l="1"/>
  <c r="I13" i="2" s="1"/>
  <c r="D16" i="2"/>
  <c r="U131" i="4" l="1"/>
  <c r="U132" i="4"/>
  <c r="U133" i="4"/>
  <c r="U134" i="4"/>
  <c r="U135" i="4"/>
  <c r="U136" i="4"/>
  <c r="U130" i="4"/>
  <c r="U120" i="4"/>
  <c r="U121" i="4"/>
  <c r="U123" i="4"/>
  <c r="U124" i="4"/>
  <c r="U125" i="4"/>
  <c r="U119" i="4"/>
  <c r="U109" i="4"/>
  <c r="U110" i="4"/>
  <c r="U111" i="4"/>
  <c r="U112" i="4"/>
  <c r="U113" i="4"/>
  <c r="U114" i="4"/>
  <c r="U75" i="4"/>
  <c r="U76" i="4"/>
  <c r="U77" i="4"/>
  <c r="U78" i="4"/>
  <c r="U79" i="4"/>
  <c r="U80" i="4"/>
  <c r="U64" i="4"/>
  <c r="U65" i="4"/>
  <c r="U66" i="4"/>
  <c r="U67" i="4"/>
  <c r="U68" i="4"/>
  <c r="U69" i="4"/>
  <c r="U41" i="4"/>
  <c r="U42" i="4"/>
  <c r="U43" i="4"/>
  <c r="U44" i="4"/>
  <c r="U45" i="4"/>
  <c r="U46" i="4"/>
  <c r="U40" i="4"/>
  <c r="U30" i="4"/>
  <c r="U31" i="4"/>
  <c r="U32" i="4"/>
  <c r="U33" i="4"/>
  <c r="U34" i="4"/>
  <c r="U35" i="4"/>
  <c r="U19" i="4"/>
  <c r="U20" i="4"/>
  <c r="U21" i="4"/>
  <c r="U22" i="4"/>
  <c r="U23" i="4"/>
  <c r="U24" i="4"/>
  <c r="T210" i="4"/>
  <c r="U74" i="4"/>
  <c r="U81" i="4" l="1"/>
  <c r="U73" i="4" s="1"/>
  <c r="U70" i="4"/>
  <c r="U62" i="4" s="1"/>
  <c r="U115" i="4"/>
  <c r="U107" i="4" s="1"/>
  <c r="U126" i="4"/>
  <c r="U118" i="4" s="1"/>
  <c r="U212" i="4"/>
  <c r="U210" i="4"/>
  <c r="U214" i="4"/>
  <c r="U47" i="4"/>
  <c r="U39" i="4" s="1"/>
  <c r="U215" i="4"/>
  <c r="U211" i="4"/>
  <c r="U209" i="4"/>
  <c r="U25" i="4"/>
  <c r="U17" i="4" s="1"/>
  <c r="U36" i="4"/>
  <c r="U28" i="4" s="1"/>
  <c r="U137" i="4"/>
  <c r="U129" i="4" s="1"/>
  <c r="P126" i="4"/>
  <c r="T204" i="4"/>
  <c r="T196" i="4" s="1"/>
  <c r="S196" i="4"/>
  <c r="T137" i="4"/>
  <c r="T129" i="4" s="1"/>
  <c r="S137" i="4"/>
  <c r="S129" i="4" s="1"/>
  <c r="R137" i="4"/>
  <c r="R129" i="4" s="1"/>
  <c r="T126" i="4"/>
  <c r="T118" i="4" s="1"/>
  <c r="S126" i="4"/>
  <c r="S118" i="4" s="1"/>
  <c r="R126" i="4"/>
  <c r="T115" i="4"/>
  <c r="T107" i="4" s="1"/>
  <c r="S115" i="4"/>
  <c r="S107" i="4" s="1"/>
  <c r="R115" i="4"/>
  <c r="T70" i="4"/>
  <c r="T62" i="4" s="1"/>
  <c r="S70" i="4"/>
  <c r="S62" i="4" s="1"/>
  <c r="R70" i="4"/>
  <c r="R62" i="4" s="1"/>
  <c r="T47" i="4"/>
  <c r="T39" i="4" s="1"/>
  <c r="S47" i="4"/>
  <c r="S39" i="4" s="1"/>
  <c r="R47" i="4"/>
  <c r="R39" i="4" s="1"/>
  <c r="T36" i="4"/>
  <c r="T28" i="4" s="1"/>
  <c r="S36" i="4"/>
  <c r="R36" i="4"/>
  <c r="T25" i="4"/>
  <c r="T17" i="4" s="1"/>
  <c r="R17" i="4"/>
  <c r="T81" i="4"/>
  <c r="T73" i="4" s="1"/>
  <c r="S73" i="4"/>
  <c r="R81" i="4"/>
  <c r="V76" i="4" s="1"/>
  <c r="T211" i="4"/>
  <c r="T212" i="4"/>
  <c r="T213" i="4"/>
  <c r="T214" i="4"/>
  <c r="T215" i="4"/>
  <c r="D209" i="4"/>
  <c r="F209" i="4"/>
  <c r="G18" i="4"/>
  <c r="Q18" i="4"/>
  <c r="E19" i="4"/>
  <c r="E20" i="4"/>
  <c r="G20" i="4" s="1"/>
  <c r="E21" i="4"/>
  <c r="G21" i="4" s="1"/>
  <c r="Q21" i="4"/>
  <c r="G22" i="4"/>
  <c r="Q22" i="4"/>
  <c r="G23" i="4"/>
  <c r="Q23" i="4"/>
  <c r="G24" i="4"/>
  <c r="Q24" i="4"/>
  <c r="D25" i="4"/>
  <c r="F25" i="4"/>
  <c r="J25" i="4"/>
  <c r="J17" i="4" s="1"/>
  <c r="K25" i="4"/>
  <c r="K17" i="4" s="1"/>
  <c r="L25" i="4"/>
  <c r="L17" i="4" s="1"/>
  <c r="P25" i="4"/>
  <c r="G29" i="4"/>
  <c r="Q29" i="4"/>
  <c r="G30" i="4"/>
  <c r="Q30" i="4"/>
  <c r="G31" i="4"/>
  <c r="Q31" i="4"/>
  <c r="G32" i="4"/>
  <c r="Q32" i="4"/>
  <c r="G33" i="4"/>
  <c r="Q33" i="4"/>
  <c r="G34" i="4"/>
  <c r="Q34" i="4"/>
  <c r="G35" i="4"/>
  <c r="Q35" i="4"/>
  <c r="D36" i="4"/>
  <c r="E36" i="4"/>
  <c r="F36" i="4"/>
  <c r="J36" i="4"/>
  <c r="K36" i="4"/>
  <c r="K28" i="4" s="1"/>
  <c r="L36" i="4"/>
  <c r="L28" i="4" s="1"/>
  <c r="P36" i="4"/>
  <c r="G40" i="4"/>
  <c r="Q40" i="4"/>
  <c r="G41" i="4"/>
  <c r="Q41" i="4"/>
  <c r="G42" i="4"/>
  <c r="Q42" i="4"/>
  <c r="G43" i="4"/>
  <c r="Q43" i="4"/>
  <c r="G44" i="4"/>
  <c r="Q44" i="4"/>
  <c r="G45" i="4"/>
  <c r="Q45" i="4"/>
  <c r="G46" i="4"/>
  <c r="Q46" i="4"/>
  <c r="D47" i="4"/>
  <c r="E47" i="4"/>
  <c r="F47" i="4"/>
  <c r="J47" i="4"/>
  <c r="J39" i="4" s="1"/>
  <c r="Q39" i="4" s="1"/>
  <c r="G51" i="4"/>
  <c r="G52" i="4"/>
  <c r="G53" i="4"/>
  <c r="G54" i="4"/>
  <c r="G55" i="4"/>
  <c r="G56" i="4"/>
  <c r="G57" i="4"/>
  <c r="D58" i="4"/>
  <c r="E58" i="4"/>
  <c r="F58" i="4"/>
  <c r="G63" i="4"/>
  <c r="Q63" i="4"/>
  <c r="G64" i="4"/>
  <c r="Q64" i="4"/>
  <c r="G65" i="4"/>
  <c r="Q65" i="4"/>
  <c r="G66" i="4"/>
  <c r="Q66" i="4"/>
  <c r="G67" i="4"/>
  <c r="Q67" i="4"/>
  <c r="G68" i="4"/>
  <c r="Q68" i="4"/>
  <c r="G69" i="4"/>
  <c r="Q69" i="4"/>
  <c r="D70" i="4"/>
  <c r="E70" i="4"/>
  <c r="F70" i="4"/>
  <c r="H70" i="4"/>
  <c r="H62" i="4" s="1"/>
  <c r="I70" i="4"/>
  <c r="I62" i="4" s="1"/>
  <c r="M70" i="4"/>
  <c r="P70" i="4"/>
  <c r="G74" i="4"/>
  <c r="J81" i="4"/>
  <c r="J73" i="4" s="1"/>
  <c r="Q74" i="4"/>
  <c r="G75" i="4"/>
  <c r="Q75" i="4"/>
  <c r="G76" i="4"/>
  <c r="Q76" i="4"/>
  <c r="G77" i="4"/>
  <c r="Q77" i="4"/>
  <c r="G78" i="4"/>
  <c r="Q78" i="4"/>
  <c r="G79" i="4"/>
  <c r="Q79" i="4"/>
  <c r="G80" i="4"/>
  <c r="Q80" i="4"/>
  <c r="D81" i="4"/>
  <c r="D73" i="4" s="1"/>
  <c r="E81" i="4"/>
  <c r="F81" i="4"/>
  <c r="H81" i="4"/>
  <c r="I81" i="4"/>
  <c r="M81" i="4"/>
  <c r="N81" i="4"/>
  <c r="N73" i="4" s="1"/>
  <c r="O81" i="4"/>
  <c r="O73" i="4" s="1"/>
  <c r="P81" i="4"/>
  <c r="G85" i="4"/>
  <c r="G86" i="4"/>
  <c r="G87" i="4"/>
  <c r="G88" i="4"/>
  <c r="G89" i="4"/>
  <c r="G90" i="4"/>
  <c r="G91" i="4"/>
  <c r="D92" i="4"/>
  <c r="E92" i="4"/>
  <c r="F92" i="4"/>
  <c r="G96" i="4"/>
  <c r="G97" i="4"/>
  <c r="G98" i="4"/>
  <c r="G99" i="4"/>
  <c r="G100" i="4"/>
  <c r="G101" i="4"/>
  <c r="G102" i="4"/>
  <c r="D103" i="4"/>
  <c r="E103" i="4"/>
  <c r="F103" i="4"/>
  <c r="G108" i="4"/>
  <c r="Q108" i="4"/>
  <c r="G109" i="4"/>
  <c r="Q109" i="4"/>
  <c r="G110" i="4"/>
  <c r="Q110" i="4"/>
  <c r="G111" i="4"/>
  <c r="Q111" i="4"/>
  <c r="G112" i="4"/>
  <c r="Q112" i="4"/>
  <c r="G113" i="4"/>
  <c r="Q113" i="4"/>
  <c r="G114" i="4"/>
  <c r="Q114" i="4"/>
  <c r="D115" i="4"/>
  <c r="E115" i="4"/>
  <c r="F115" i="4"/>
  <c r="H115" i="4"/>
  <c r="H107" i="4" s="1"/>
  <c r="I115" i="4"/>
  <c r="I107" i="4" s="1"/>
  <c r="P115" i="4"/>
  <c r="G119" i="4"/>
  <c r="Q119" i="4"/>
  <c r="G120" i="4"/>
  <c r="Q120" i="4"/>
  <c r="G121" i="4"/>
  <c r="Q121" i="4"/>
  <c r="G122" i="4"/>
  <c r="Q122" i="4"/>
  <c r="G123" i="4"/>
  <c r="G124" i="4"/>
  <c r="Q124" i="4"/>
  <c r="G125" i="4"/>
  <c r="Q125" i="4"/>
  <c r="D126" i="4"/>
  <c r="D118" i="4" s="1"/>
  <c r="E126" i="4"/>
  <c r="F126" i="4"/>
  <c r="H126" i="4"/>
  <c r="H118" i="4" s="1"/>
  <c r="I126" i="4"/>
  <c r="I118" i="4" s="1"/>
  <c r="M126" i="4"/>
  <c r="G130" i="4"/>
  <c r="Q130" i="4"/>
  <c r="G131" i="4"/>
  <c r="Q131" i="4"/>
  <c r="G132" i="4"/>
  <c r="I132" i="4" s="1"/>
  <c r="G133" i="4"/>
  <c r="Q133" i="4"/>
  <c r="G134" i="4"/>
  <c r="Q134" i="4"/>
  <c r="G135" i="4"/>
  <c r="Q135" i="4"/>
  <c r="G136" i="4"/>
  <c r="Q136" i="4"/>
  <c r="D137" i="4"/>
  <c r="D129" i="4" s="1"/>
  <c r="E137" i="4"/>
  <c r="F137" i="4"/>
  <c r="H137" i="4"/>
  <c r="H129" i="4" s="1"/>
  <c r="M137" i="4"/>
  <c r="P137" i="4"/>
  <c r="G141" i="4"/>
  <c r="G142" i="4"/>
  <c r="G143" i="4"/>
  <c r="G144" i="4"/>
  <c r="G145" i="4"/>
  <c r="G146" i="4"/>
  <c r="G147" i="4"/>
  <c r="D148" i="4"/>
  <c r="E148" i="4"/>
  <c r="F148" i="4"/>
  <c r="G153" i="4"/>
  <c r="G154" i="4"/>
  <c r="G155" i="4"/>
  <c r="G156" i="4"/>
  <c r="G157" i="4"/>
  <c r="G158" i="4"/>
  <c r="G159" i="4"/>
  <c r="D160" i="4"/>
  <c r="E160" i="4"/>
  <c r="F160" i="4"/>
  <c r="G164" i="4"/>
  <c r="G165" i="4"/>
  <c r="G166" i="4"/>
  <c r="G167" i="4"/>
  <c r="G168" i="4"/>
  <c r="G169" i="4"/>
  <c r="G170" i="4"/>
  <c r="D171" i="4"/>
  <c r="E171" i="4"/>
  <c r="F171" i="4"/>
  <c r="G175" i="4"/>
  <c r="G176" i="4"/>
  <c r="G177" i="4"/>
  <c r="G178" i="4"/>
  <c r="G179" i="4"/>
  <c r="G180" i="4"/>
  <c r="G181" i="4"/>
  <c r="D182" i="4"/>
  <c r="E182" i="4"/>
  <c r="F182" i="4"/>
  <c r="G186" i="4"/>
  <c r="G187" i="4"/>
  <c r="G188" i="4"/>
  <c r="G189" i="4"/>
  <c r="G190" i="4"/>
  <c r="G191" i="4"/>
  <c r="G192" i="4"/>
  <c r="D193" i="4"/>
  <c r="E193" i="4"/>
  <c r="F193" i="4"/>
  <c r="G197" i="4"/>
  <c r="G198" i="4"/>
  <c r="G199" i="4"/>
  <c r="G200" i="4"/>
  <c r="Q200" i="4"/>
  <c r="G201" i="4"/>
  <c r="G202" i="4"/>
  <c r="Q202" i="4"/>
  <c r="G203" i="4"/>
  <c r="D204" i="4"/>
  <c r="E204" i="4"/>
  <c r="F204" i="4"/>
  <c r="H204" i="4"/>
  <c r="H196" i="4" s="1"/>
  <c r="I204" i="4"/>
  <c r="I196" i="4" s="1"/>
  <c r="K204" i="4"/>
  <c r="K196" i="4" s="1"/>
  <c r="L204" i="4"/>
  <c r="L196" i="4" s="1"/>
  <c r="N204" i="4"/>
  <c r="N196" i="4" s="1"/>
  <c r="O204" i="4"/>
  <c r="O196" i="4" s="1"/>
  <c r="E209" i="4"/>
  <c r="D210" i="4"/>
  <c r="F210" i="4"/>
  <c r="D211" i="4"/>
  <c r="E211" i="4"/>
  <c r="F211" i="4"/>
  <c r="D212" i="4"/>
  <c r="E212" i="4"/>
  <c r="F212" i="4"/>
  <c r="D213" i="4"/>
  <c r="E213" i="4"/>
  <c r="F213" i="4"/>
  <c r="D214" i="4"/>
  <c r="E214" i="4"/>
  <c r="F214" i="4"/>
  <c r="D215" i="4"/>
  <c r="E215" i="4"/>
  <c r="F215" i="4"/>
  <c r="H216" i="4"/>
  <c r="I216" i="4"/>
  <c r="N216" i="4"/>
  <c r="O216" i="4"/>
  <c r="F24" i="3"/>
  <c r="F25" i="3"/>
  <c r="F26" i="3"/>
  <c r="R118" i="4" l="1"/>
  <c r="V122" i="4"/>
  <c r="R107" i="4"/>
  <c r="V110" i="4"/>
  <c r="R28" i="4"/>
  <c r="V31" i="4"/>
  <c r="E25" i="4"/>
  <c r="G160" i="4"/>
  <c r="G182" i="4"/>
  <c r="G171" i="4"/>
  <c r="G148" i="4"/>
  <c r="D216" i="4"/>
  <c r="D217" i="4" s="1"/>
  <c r="G204" i="4"/>
  <c r="G126" i="4"/>
  <c r="G115" i="4"/>
  <c r="G81" i="4"/>
  <c r="E210" i="4"/>
  <c r="E216" i="4" s="1"/>
  <c r="G137" i="4"/>
  <c r="G58" i="4"/>
  <c r="G14" i="2"/>
  <c r="I137" i="4"/>
  <c r="I129" i="4" s="1"/>
  <c r="J70" i="4"/>
  <c r="J62" i="4" s="1"/>
  <c r="Q62" i="4" s="1"/>
  <c r="G215" i="4"/>
  <c r="Q201" i="4"/>
  <c r="G92" i="4"/>
  <c r="G36" i="4"/>
  <c r="Q20" i="4"/>
  <c r="G19" i="4"/>
  <c r="J204" i="4"/>
  <c r="J196" i="4" s="1"/>
  <c r="Q197" i="4"/>
  <c r="G25" i="4"/>
  <c r="Q213" i="4"/>
  <c r="G214" i="4"/>
  <c r="G212" i="4"/>
  <c r="Q214" i="4"/>
  <c r="G213" i="4"/>
  <c r="G211" i="4"/>
  <c r="P204" i="4"/>
  <c r="Q203" i="4"/>
  <c r="M204" i="4"/>
  <c r="M196" i="4" s="1"/>
  <c r="G193" i="4"/>
  <c r="G103" i="4"/>
  <c r="G70" i="4"/>
  <c r="G47" i="4"/>
  <c r="T216" i="4"/>
  <c r="G196" i="4"/>
  <c r="G107" i="4"/>
  <c r="G39" i="4"/>
  <c r="G140" i="4"/>
  <c r="G185" i="4"/>
  <c r="G163" i="4"/>
  <c r="G84" i="4"/>
  <c r="Q123" i="4"/>
  <c r="Q126" i="4" s="1"/>
  <c r="Q81" i="4"/>
  <c r="Q209" i="4"/>
  <c r="G209" i="4"/>
  <c r="G73" i="4"/>
  <c r="G62" i="4"/>
  <c r="G28" i="4"/>
  <c r="G174" i="4"/>
  <c r="G152" i="4"/>
  <c r="G118" i="4"/>
  <c r="G95" i="4"/>
  <c r="G17" i="4"/>
  <c r="G129" i="4"/>
  <c r="Q73" i="4"/>
  <c r="Q210" i="4"/>
  <c r="Q215" i="4"/>
  <c r="J137" i="4"/>
  <c r="J129" i="4" s="1"/>
  <c r="Q129" i="4" s="1"/>
  <c r="Q132" i="4"/>
  <c r="Q137" i="4" s="1"/>
  <c r="Q199" i="4"/>
  <c r="J118" i="4"/>
  <c r="Q118" i="4" s="1"/>
  <c r="J115" i="4"/>
  <c r="J107" i="4" s="1"/>
  <c r="Q107" i="4" s="1"/>
  <c r="F216" i="4"/>
  <c r="Q212" i="4"/>
  <c r="Q211" i="4"/>
  <c r="Q198" i="4"/>
  <c r="M36" i="4"/>
  <c r="M25" i="4"/>
  <c r="M17" i="4" s="1"/>
  <c r="Q25" i="4" l="1"/>
  <c r="Q17" i="4" s="1"/>
  <c r="D218" i="4"/>
  <c r="G210" i="4"/>
  <c r="E217" i="4"/>
  <c r="E218" i="4" s="1"/>
  <c r="Q70" i="4"/>
  <c r="Q204" i="4"/>
  <c r="Q196" i="4" s="1"/>
  <c r="Q216" i="4"/>
  <c r="Q47" i="4"/>
  <c r="F217" i="4"/>
  <c r="F218" i="4" s="1"/>
  <c r="G216" i="4"/>
  <c r="M28" i="4"/>
  <c r="Q28" i="4" s="1"/>
  <c r="Q36" i="4"/>
  <c r="M217" i="4"/>
  <c r="M218" i="4" s="1"/>
  <c r="M51" i="3"/>
  <c r="T218" i="4" l="1"/>
  <c r="G217" i="4"/>
  <c r="G218" i="4" s="1"/>
  <c r="P217" i="4"/>
  <c r="Q217" i="4" s="1"/>
  <c r="P218" i="4" l="1"/>
  <c r="Q218" i="4" s="1"/>
  <c r="C45" i="3"/>
  <c r="M62" i="3" l="1"/>
  <c r="M56" i="3"/>
  <c r="M45" i="3"/>
  <c r="M27" i="3"/>
  <c r="F65" i="3"/>
  <c r="E69" i="3"/>
  <c r="K62" i="3"/>
  <c r="J62" i="3"/>
  <c r="I62" i="3"/>
  <c r="K37" i="3"/>
  <c r="I37" i="3"/>
  <c r="J27" i="3"/>
  <c r="I27" i="3"/>
  <c r="K22" i="3"/>
  <c r="I22" i="3"/>
  <c r="C27" i="3"/>
  <c r="D27" i="3"/>
  <c r="E27" i="3"/>
  <c r="C85" i="3"/>
  <c r="D75" i="3"/>
  <c r="C75" i="3"/>
  <c r="D69" i="3"/>
  <c r="C69" i="3"/>
  <c r="F68" i="3"/>
  <c r="F67" i="3"/>
  <c r="F66" i="3"/>
  <c r="E62" i="3"/>
  <c r="D62" i="3"/>
  <c r="C62" i="3"/>
  <c r="F54" i="3"/>
  <c r="E51" i="3"/>
  <c r="D51" i="3"/>
  <c r="C51" i="3"/>
  <c r="E45" i="3"/>
  <c r="E37" i="3"/>
  <c r="D37" i="3"/>
  <c r="D76" i="3" s="1"/>
  <c r="F32" i="3"/>
  <c r="E22" i="3"/>
  <c r="D22" i="3"/>
  <c r="C22" i="3"/>
  <c r="F21" i="3"/>
  <c r="F20" i="3"/>
  <c r="F19" i="3"/>
  <c r="F18" i="3"/>
  <c r="F17" i="3"/>
  <c r="F16" i="3"/>
  <c r="F15" i="3"/>
  <c r="F14" i="3"/>
  <c r="E12" i="3"/>
  <c r="D12" i="3"/>
  <c r="C12" i="3"/>
  <c r="C76" i="3" l="1"/>
  <c r="C77" i="3" s="1"/>
  <c r="F56" i="3"/>
  <c r="G56" i="3"/>
  <c r="G69" i="3"/>
  <c r="G37" i="3"/>
  <c r="K76" i="3"/>
  <c r="K77" i="3" s="1"/>
  <c r="D77" i="3"/>
  <c r="G27" i="3"/>
  <c r="E76" i="3"/>
  <c r="G62" i="3"/>
  <c r="L37" i="3"/>
  <c r="L51" i="3"/>
  <c r="L62" i="3"/>
  <c r="F27" i="3"/>
  <c r="F37" i="3"/>
  <c r="F12" i="3"/>
  <c r="F51" i="3"/>
  <c r="F62" i="3"/>
  <c r="F69" i="3"/>
  <c r="F22" i="3"/>
  <c r="F45" i="3"/>
  <c r="G22" i="3"/>
  <c r="L77" i="3" l="1"/>
  <c r="C78" i="3"/>
  <c r="J78" i="3"/>
  <c r="U221" i="4" s="1"/>
  <c r="K78" i="3"/>
  <c r="C82" i="3"/>
  <c r="F76" i="3"/>
  <c r="F77" i="3" s="1"/>
  <c r="F78" i="3" s="1"/>
  <c r="D78" i="3"/>
  <c r="E77" i="3"/>
  <c r="C83" i="3" l="1"/>
  <c r="E78" i="3"/>
  <c r="C86" i="3"/>
  <c r="B15" i="2" l="1"/>
  <c r="H15" i="2" s="1"/>
  <c r="F16" i="2" l="1"/>
  <c r="B16" i="2" l="1"/>
  <c r="H16" i="2" s="1"/>
  <c r="G16" i="2"/>
  <c r="R211" i="4"/>
  <c r="X211" i="4" s="1"/>
  <c r="R210" i="4"/>
  <c r="X210" i="4" s="1"/>
  <c r="R214" i="4"/>
  <c r="X214" i="4" s="1"/>
  <c r="R73" i="4"/>
  <c r="R212" i="4"/>
  <c r="X212" i="4" s="1"/>
  <c r="C12" i="2" l="1"/>
  <c r="I12" i="2" s="1"/>
  <c r="I9" i="2"/>
  <c r="C8" i="2"/>
  <c r="C10" i="2"/>
  <c r="I10" i="2" s="1"/>
  <c r="R204" i="4"/>
  <c r="V199" i="4" s="1"/>
  <c r="U201" i="4"/>
  <c r="U204" i="4" s="1"/>
  <c r="U196" i="4" s="1"/>
  <c r="U213" i="4"/>
  <c r="U216" i="4" s="1"/>
  <c r="U218" i="4" s="1"/>
  <c r="R213" i="4"/>
  <c r="R216" i="4" l="1"/>
  <c r="R218" i="4" s="1"/>
  <c r="X213" i="4"/>
  <c r="I8" i="2"/>
  <c r="R196" i="4"/>
  <c r="C11" i="2"/>
  <c r="I11" i="2" s="1"/>
  <c r="C14" i="2" l="1"/>
  <c r="I14" i="2" s="1"/>
  <c r="C16" i="2" l="1"/>
  <c r="I16" i="2" s="1"/>
  <c r="L65" i="3" l="1"/>
  <c r="L69" i="3" s="1"/>
  <c r="I69" i="3"/>
  <c r="I76" i="3" s="1"/>
  <c r="I71" i="3" l="1"/>
  <c r="I78" i="3"/>
  <c r="L76" i="3"/>
  <c r="L78" i="3" l="1"/>
  <c r="G5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tc={B7ED3257-7832-4057-831A-48F1EDC180B6}</author>
    <author>tc={5985F528-9FD5-40D6-94FA-5AA2014EAE0A}</author>
  </authors>
  <commentList>
    <comment ref="I43"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Merci d’apporter les explications nécessaires par rapport à ce dépassement budgétaire, le ST PBF est-il informé</t>
      </text>
    </comment>
    <comment ref="I66" authorId="1"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Merci d’apporter des clarifications par rapport à ce dépassement budgétaire, est-ce-qu’une demande au préalable a été envoyé auprès du ST PBF (PNUD)</t>
      </text>
    </comment>
  </commentList>
</comments>
</file>

<file path=xl/sharedStrings.xml><?xml version="1.0" encoding="utf-8"?>
<sst xmlns="http://schemas.openxmlformats.org/spreadsheetml/2006/main" count="399" uniqueCount="181">
  <si>
    <t>Tableau 1 - RAPPORT FINANCIER du projet PBF par résultat, produit et activité</t>
  </si>
  <si>
    <t>Nombre de resultat/ produit</t>
  </si>
  <si>
    <t>Formulation du resultat/ produit/activite</t>
  </si>
  <si>
    <t>Organisation recipiendiaire 1 (budget en USD)                                         PNUD</t>
  </si>
  <si>
    <t>Organisation recipiendiaire 2 (budget en USD)                                OIM</t>
  </si>
  <si>
    <t>Organisation recipiendiaire 3 (budget en USD)</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</si>
  <si>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</si>
  <si>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</si>
  <si>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</si>
  <si>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Niveau de depense/ engagement actuel en USD (a remplir au moment des rapports de projet)                                      PNUD</t>
  </si>
  <si>
    <r>
      <t>Niveau de depense/ engagement actuel en USD (a remplir au moment des rapports de projet)</t>
    </r>
    <r>
      <rPr>
        <b/>
        <sz val="11"/>
        <rFont val="Calibri"/>
        <family val="2"/>
      </rPr>
      <t xml:space="preserve">                                         OIM</t>
    </r>
  </si>
  <si>
    <t xml:space="preserve">Niveau de depense/ engagement actuel en USD (a remplir au moment des rapports de projet) </t>
  </si>
  <si>
    <t xml:space="preserve">Niveau de depense TOTAL/ engagement actuel en USD (a remplir au moment des rapports de projet) </t>
  </si>
  <si>
    <t xml:space="preserve">Pourcentage des  dépenses pour chaque produit ou activite reserve pour action directe sur égalité des sexes et autonomisation des femmes (GEWE) (cas echeant) </t>
  </si>
  <si>
    <t>PNUD</t>
  </si>
  <si>
    <t>OIM</t>
  </si>
  <si>
    <t xml:space="preserve">RESULTAT 1: </t>
  </si>
  <si>
    <t>La cohésion sociale et le vivre ensemble sont renforcés à travers la participation active des communautés de l’Andriry au processus de paix et l’instauration d’une gouvernance locale inclusive au niveau des communes d’intervention</t>
  </si>
  <si>
    <t>Produit 1.1:</t>
  </si>
  <si>
    <t>Les catégories de population marginalisées incluant les femmes, les jeunes et les populations vivant dans les zones les plus reculées de l’Andriry s’impliquent dans le processus de dialogue visant identifier les conflits existants et d’engager des actions adéquates afin de rétablir la confiance entre les communautés</t>
  </si>
  <si>
    <t>Activite 1.1.1:</t>
  </si>
  <si>
    <t>Mener une campagne de sensibilisation inclusive ciblant les communautés de la montagne et de la plaine sur la thématique de l’inclusion, de la prévention des conflits et de la cohésion sociale.</t>
  </si>
  <si>
    <t>Activite 1.1.2:</t>
  </si>
  <si>
    <t>Organiser des dialogues intercommunautaires et intergénérationnels inclusifs impliquant les habitants des fokontany enclavés des communes intervention</t>
  </si>
  <si>
    <t>Activite 1.1.3:</t>
  </si>
  <si>
    <t xml:space="preserve">Mettre en place et redynamiser les mécanismes endogènes de prévention et de résolution de conflits en renforçant leur inclusivité </t>
  </si>
  <si>
    <t>Activite 1.1.4:</t>
  </si>
  <si>
    <t>Mettre en œuvre des activités communautaires de rapprochement entre les populations des fokontany de l’Andriry et celles des fokontany situés sur la plaine</t>
  </si>
  <si>
    <t>Produit total</t>
  </si>
  <si>
    <t>Produit 1.2:</t>
  </si>
  <si>
    <t>Les communautés des fokontany situés dans le massif de l’Andriry interagissent de façon positive et inclusive avec les autorités communales et participent au processus de prise de décision dans la gestion des affaires locales</t>
  </si>
  <si>
    <t>Activite 1.2.1</t>
  </si>
  <si>
    <t>Améliorer l’accès à l’information à travers le renforcement du système de communication ciblant les communautés de la montagne et des plaines</t>
  </si>
  <si>
    <t>Activite 1.2.2</t>
  </si>
  <si>
    <t>Accompagner le processus de structuration communautaire (mise en place de comité local inclusif) dans les fokontany de la montagne en capitalisant les acquis des réseaux jeunes et de femmes instaurés dans les projets précédents.</t>
  </si>
  <si>
    <t>Activite 1.2.3</t>
  </si>
  <si>
    <t>Accompagner l’implication des représentants des diverses communautés du massif de l’Andriry dans les Structures Locales de Concertation des communes</t>
  </si>
  <si>
    <t>Activite 1.2.4</t>
  </si>
  <si>
    <t>Appuyer le processus de mise à jour des plans de paix au niveau communal et la prise en compte dans le PDLII</t>
  </si>
  <si>
    <t>Activite 1.2.5</t>
  </si>
  <si>
    <t>Accompagner les communes d’intervention dans la mise en œuvre des initiatives définies dans le plan de paix en créant une synergie avec la contribution de l'Etat des autres partenaires.</t>
  </si>
  <si>
    <t>Activite 1.2.6</t>
  </si>
  <si>
    <t>Activite 1.2.7</t>
  </si>
  <si>
    <t>Activite 1.2.8</t>
  </si>
  <si>
    <t>Produit 1.3:</t>
  </si>
  <si>
    <t>Activite 1.3.1</t>
  </si>
  <si>
    <t>Activite 1.3.2</t>
  </si>
  <si>
    <t>Activite 1.3.3</t>
  </si>
  <si>
    <t xml:space="preserve">RESULTAT 2: </t>
  </si>
  <si>
    <t>Les communautés dans le massif l’Andriry ont un accès amélioré aux dividendes de la paix qui renforcent leur résilience aux facteurs de tensions et de conflits.</t>
  </si>
  <si>
    <t>Produit 2.1</t>
  </si>
  <si>
    <t>Les communautés des fokontany isolés de l’Andriry s'engagent dans la mise en oeuvre des initiatives développement économiques leur permettant de promouvoir des interactions pacifiques et mutuellement avantageuses avec les autres communautés des plaines environnantes</t>
  </si>
  <si>
    <t>Activite 2.1.1</t>
  </si>
  <si>
    <t>Créer des conditions favorables au relèvement dans les zones reculées en réhabilitant les infrastructures économiques prioritaires à l'échelle communale et en développant les AGR inclusives adaptées au contexte local</t>
  </si>
  <si>
    <t>Activite 2.1.2</t>
  </si>
  <si>
    <t>Redynamiser les marchés hebdomadaires dans les communes à travers l'amélioration des infrastructures et le mecanisme de gestion</t>
  </si>
  <si>
    <t>Activite 2.1.3</t>
  </si>
  <si>
    <t>Appuyer les efforts de plaidoyer et de mobilisation des ressources pour la construction de la route d’Ivahona-Begogo.</t>
  </si>
  <si>
    <t>Activite 2.1.4</t>
  </si>
  <si>
    <t>Accompagner la mobilisation communautaire pour la réalisation de la piste reliant la Commune d’Ivahona – Begogo et la mise en place du mécanisme communautaire de gestion et d’entretien</t>
  </si>
  <si>
    <t>Produit 2.2</t>
  </si>
  <si>
    <t>Les services sociaux et administratifs se déploient progressivement à l’intérieur du massif pour réduire la marginalisation des communautés dans les zones les plus reculées de l’Andriry</t>
  </si>
  <si>
    <t>Activite 2.2.1</t>
  </si>
  <si>
    <t>Soutenir les initiatives visant à établir le contact et la confiance avec les communautés de l’Andriry à travers la mise en œuvre des tournées conjointe de « police générale » et des activités civilo-militaires</t>
  </si>
  <si>
    <t>Activite' 2.2.2</t>
  </si>
  <si>
    <t>Faciliter le déploiement progressif des services sociaux et administratifs à travers des appuis en équipements/intrants et l’amélioration de la mobilité des agents des STD (éducation, santé, fonciers, état-civil…) avec un accent particulier sur les besoins spécifiques des femmes</t>
  </si>
  <si>
    <t>Activite 2.2.3</t>
  </si>
  <si>
    <t xml:space="preserve">Renforcer le maillage territorial de la zone à travers l’amélioration des marges de manœuvre (infrastructures et mobilité) et le rapprochement des FDS auprès de la population </t>
  </si>
  <si>
    <t>Activite 2.2.4</t>
  </si>
  <si>
    <t>Appuyer le recensement et la régularisation de détention des armes legers et de petit calibre au niveau des communes d'intervention</t>
  </si>
  <si>
    <t>Activite 2.2.5</t>
  </si>
  <si>
    <t>Appuyer le renforcement des dispositifs pour la gestion administrative et la traçabilité des bovins</t>
  </si>
  <si>
    <t xml:space="preserve">RESULTAT 3: </t>
  </si>
  <si>
    <t>Les acteurs du territoire et les intervenants  autour du massif de l’Andriry mettent en place un mécanisme de coordination pour promouvoir les synergies d’actions en faveur du développement et pour la paix durable dans cette zone</t>
  </si>
  <si>
    <t>Produit 3.1</t>
  </si>
  <si>
    <t>Des dispositifs de coordination sont opérationnalisés aux niveaux local et national pour optimiser les efforts de consolidation de la paix dans cette zone</t>
  </si>
  <si>
    <t>Activite 3.1.1</t>
  </si>
  <si>
    <t>Renforcer les mécanismes de coordination au niveau national pour une meilleure planification et affectation des ressources en faveur des zones reculées du sud</t>
  </si>
  <si>
    <t>Activite 3.1.2</t>
  </si>
  <si>
    <t>Opérationnaliser les dispositifs de coordination impliquant l’ensemble des acteurs et partenaires au niveau de chaque région et district d’intervention (Nexus Humanitaire, Développement/Résilience, Paix)</t>
  </si>
  <si>
    <t>Activite 3.1.3</t>
  </si>
  <si>
    <t>Appuyer la mise en place et l’opérationnalisation d’un plan de prévention et de sécurisation à l’échelle interrégionale (incluant une stratégie de lutte contre les trafics illicites et les crimes organisées);</t>
  </si>
  <si>
    <t>Produit 3.2:</t>
  </si>
  <si>
    <t>Un dispositif conjoint de suivi-évaluation est opérationnalisé pour assurer une meilleure visibilité des résultats et promouvoir la durabilité</t>
  </si>
  <si>
    <t>Activite 3.2.1</t>
  </si>
  <si>
    <t>Mettre en place un mécanisme de planification et de suivi-évaluation conjoint sous le leadership du représentant de l'Etat à l’échelle du district</t>
  </si>
  <si>
    <t>Activite 3.2.2</t>
  </si>
  <si>
    <t>Opérationnaliser le dispositif de suivi à base communautaire et de collecte de feed-back au niveau des fokontany d’intervention</t>
  </si>
  <si>
    <t>Produit 3.3</t>
  </si>
  <si>
    <t>Activite 3.3.1</t>
  </si>
  <si>
    <t>Activite 3.3.2</t>
  </si>
  <si>
    <t>Activite 3.3.3</t>
  </si>
  <si>
    <t>Cout de personnel du projet si pas inclus dans les activites ci-dessus</t>
  </si>
  <si>
    <t>Voir liste complète dans le document de projet</t>
  </si>
  <si>
    <t>Couts operationnels si pas inclus dans les activites ci-dessus</t>
  </si>
  <si>
    <t>Bureau commun de Betroka, carburant, fournitures de bureau, communication…</t>
  </si>
  <si>
    <t>Budget de suivi</t>
  </si>
  <si>
    <t xml:space="preserve">Enquête de perception, missions de suivi trimestrielles et visites du comité de pilotage, réunion du comité technique du projet, évaluation finale </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</si>
  <si>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</si>
  <si>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</si>
  <si>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</si>
  <si>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</si>
  <si>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</si>
  <si>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</si>
  <si>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</si>
  <si>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</si>
  <si>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 alloué à GEWE</t>
  </si>
  <si>
    <t>% alloué à GEWE</t>
  </si>
  <si>
    <t>$ alloué à S&amp;E</t>
  </si>
  <si>
    <t>% alloué à S&amp;E</t>
  </si>
  <si>
    <r>
      <t xml:space="preserve">Note: Le PBF n'accepte pas les projets avec moins de 5% pour le S&amp;E et moins 15% pour le GEWE. Ces chiffres apparaîtront </t>
    </r>
    <r>
      <rPr>
        <sz val="11"/>
        <color rgb="FFFF0000"/>
        <rFont val="Calibri"/>
        <family val="2"/>
      </rPr>
      <t>en</t>
    </r>
    <r>
      <rPr>
        <sz val="11"/>
        <color theme="1"/>
        <rFont val="Calibri"/>
        <family val="2"/>
        <scheme val="minor"/>
      </rPr>
      <t xml:space="preserve"> </t>
    </r>
    <r>
      <rPr>
        <sz val="11"/>
        <color rgb="FFFF0000"/>
        <rFont val="Calibri"/>
        <family val="2"/>
      </rPr>
      <t>rouge</t>
    </r>
    <r>
      <rPr>
        <sz val="11"/>
        <color theme="1"/>
        <rFont val="Calibri"/>
        <family val="2"/>
        <scheme val="minor"/>
      </rPr>
      <t xml:space="preserve"> si ce seuil minimum n'est pas atteint.</t>
    </r>
  </si>
  <si>
    <t>Annexe D - Revision budétaire du projet PBF</t>
  </si>
  <si>
    <t>Instructions:</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</si>
  <si>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</si>
  <si>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</si>
  <si>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t>BUDGET INITIAL</t>
  </si>
  <si>
    <t xml:space="preserve">BUDGET </t>
  </si>
  <si>
    <t xml:space="preserve">DEPENSES </t>
  </si>
  <si>
    <t xml:space="preserve">Organisation recipiendiaire 1
</t>
  </si>
  <si>
    <t xml:space="preserve">Organisation recipiendiaire 2
</t>
  </si>
  <si>
    <t xml:space="preserve">Organisation recipiendiaire 3
</t>
  </si>
  <si>
    <t xml:space="preserve">Total </t>
  </si>
  <si>
    <t xml:space="preserve">TOTAL DEPENSES  et ENGAGEMENTS </t>
  </si>
  <si>
    <t xml:space="preserve">PNUD </t>
  </si>
  <si>
    <t>UNFPA</t>
  </si>
  <si>
    <t>En plus</t>
  </si>
  <si>
    <t>En moins</t>
  </si>
  <si>
    <t>*</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</si>
  <si>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</si>
  <si>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</si>
  <si>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</si>
  <si>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</si>
  <si>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</si>
  <si>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</si>
  <si>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</si>
  <si>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</si>
  <si>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</si>
  <si>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</si>
  <si>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</si>
  <si>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</si>
  <si>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</si>
  <si>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</si>
  <si>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</si>
  <si>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</si>
  <si>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</si>
  <si>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</si>
  <si>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Produit 2.3</t>
  </si>
  <si>
    <t>Total pour produit 2.3 (du tableau 1)</t>
  </si>
  <si>
    <t>Produit 2.4</t>
  </si>
  <si>
    <t>Total pour produit 2.4 (du tableau 1)</t>
  </si>
  <si>
    <t>RESULTAT 3</t>
  </si>
  <si>
    <t>Total pour produit 3.1 (du tableau 1)</t>
  </si>
  <si>
    <t>Produit 3.2</t>
  </si>
  <si>
    <t>Total pour produit 3.2 (du tableau 1)</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</si>
  <si>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</si>
  <si>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</si>
  <si>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</si>
  <si>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</si>
  <si>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</si>
  <si>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</si>
  <si>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</si>
  <si>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</si>
  <si>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</si>
  <si>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</si>
  <si>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</si>
  <si>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</si>
  <si>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</si>
  <si>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</si>
  <si>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Organisation recipiendiaire 1:
PNUD</t>
  </si>
  <si>
    <t>Totaux revisés</t>
  </si>
  <si>
    <t>TOTAL DEPENSES  et ENGAGEMENTS</t>
  </si>
  <si>
    <t>72,178.79</t>
  </si>
  <si>
    <t>é</t>
  </si>
  <si>
    <t>TOTAL</t>
  </si>
  <si>
    <t>Tableau 1 - Budget de projet GOUDMADA par categorie de cout de l'ONU</t>
  </si>
  <si>
    <t>CATEGORIES</t>
  </si>
  <si>
    <t xml:space="preserve"> TOTAL PROJET</t>
  </si>
  <si>
    <t>Budget</t>
  </si>
  <si>
    <t>Dépense</t>
  </si>
  <si>
    <t>Sous-total</t>
  </si>
  <si>
    <t xml:space="preserve">8. Coûts indirects*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</si>
</sst>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quot;€&quot;_-;\-* #,##0.00\ &quot;€&quot;_-;_-* &quot;-&quot;??\ &quot;€&quot;_-;_-@_-"/>
    <numFmt numFmtId="165" formatCode="_-* #,##0.00\ _A_r_-;\-* #,##0.00\ _A_r_-;_-* &quot;-&quot;??\ _A_r_-;_-@_-"/>
    <numFmt numFmtId="166" formatCode="_(&quot;$&quot;* #,##0.00_);_(&quot;$&quot;* \(#,##0.00\);_(&quot;$&quot;* &quot;-&quot;??_);_(@_)"/>
    <numFmt numFmtId="167" formatCode="_-* #,##0.00\ _€_-;\-* #,##0.00\ _€_-;_-* &quot;-&quot;??\ _€_-;_-@_-"/>
    <numFmt numFmtId="168" formatCode="#,##0.00_ ;\-#,##0.00\ "/>
  </numFmts>
  <fonts count="3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sz val="11"/>
      <name val="Calibri"/>
      <family val="2"/>
    </font>
    <font>
      <b/>
      <sz val="11"/>
      <name val="Calibri"/>
      <family val="2"/>
    </font>
    <font>
      <b/>
      <sz val="11"/>
      <color rgb="FF000000"/>
      <name val="Calibri"/>
      <family val="2"/>
    </font>
    <font>
      <sz val="11"/>
      <color rgb="FF000000"/>
      <name val="Calibri"/>
      <family val="2"/>
    </font>
    <font>
      <b/>
      <sz val="12"/>
      <color rgb="FF000000"/>
      <name val="Calibri"/>
      <family val="2"/>
    </font>
    <font>
      <sz val="12"/>
      <color rgb="FF000000"/>
      <name val="Calibri"/>
      <family val="2"/>
    </font>
    <font>
      <sz val="11"/>
      <color theme="1"/>
      <name val="Calibri"/>
      <family val="2"/>
    </font>
    <font>
      <sz val="11"/>
      <color rgb="FFFF0000"/>
      <name val="Calibri"/>
      <family val="2"/>
    </font>
    <font>
      <b/>
      <i/>
      <sz val="12"/>
      <color theme="1"/>
      <name val="Calibri"/>
      <family val="2"/>
      <scheme val="minor"/>
    </font>
    <font>
      <b/>
      <sz val="12"/>
      <color theme="1"/>
      <name val="Calibri"/>
      <family val="2"/>
    </font>
    <font>
      <sz val="12"/>
      <color rgb="FFFF0000"/>
      <name val="Calibri"/>
      <family val="2"/>
      <scheme val="minor"/>
    </font>
    <font>
      <sz val="12"/>
      <color theme="1"/>
      <name val="Calibri"/>
      <family val="2"/>
    </font>
    <font>
      <b/>
      <sz val="12"/>
      <color rgb="FFFF0000"/>
      <name val="Calibri"/>
      <family val="2"/>
      <scheme val="minor"/>
    </font>
    <font>
      <b/>
      <sz val="12"/>
      <name val="Calibri"/>
      <family val="2"/>
      <scheme val="minor"/>
    </font>
    <font>
      <b/>
      <sz val="16"/>
      <color theme="1"/>
      <name val="Calibri"/>
      <family val="2"/>
      <scheme val="minor"/>
    </font>
    <font>
      <b/>
      <sz val="16"/>
      <color rgb="FFFF0000"/>
      <name val="Calibri"/>
      <family val="2"/>
      <scheme val="minor"/>
    </font>
    <font>
      <b/>
      <sz val="28"/>
      <color theme="1"/>
      <name val="Calibri"/>
      <family val="2"/>
      <scheme val="minor"/>
    </font>
    <font>
      <b/>
      <sz val="36"/>
      <color theme="1"/>
      <name val="Calibri"/>
      <family val="2"/>
      <scheme val="minor"/>
    </font>
    <font>
      <b/>
      <sz val="36"/>
      <color rgb="FF00B0F0"/>
      <name val="Calibri"/>
      <family val="2"/>
      <scheme val="minor"/>
    </font>
    <font>
      <sz val="11"/>
      <color theme="0"/>
      <name val="Calibri"/>
      <family val="2"/>
      <scheme val="minor"/>
    </font>
    <font>
      <sz val="11"/>
      <name val="Calibri"/>
      <family val="2"/>
      <scheme val="minor"/>
    </font>
    <font>
      <sz val="12"/>
      <color rgb="FFFF0000"/>
      <name val="Calibri"/>
      <family val="2"/>
    </font>
    <font>
      <sz val="12"/>
      <name val="Calibri"/>
      <family val="2"/>
    </font>
    <font>
      <sz val="12"/>
      <name val="Calibri"/>
      <family val="2"/>
      <scheme val="minor"/>
    </font>
    <font>
      <sz val="12"/>
      <color rgb="FF000000"/>
      <name val="Calibri"/>
      <family val="2"/>
      <scheme val="minor"/>
    </font>
  </fonts>
  <fills count="3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rgb="FF00B0F0"/>
        <bgColor indexed="64"/>
      </patternFill>
    </fill>
    <fill>
      <patternFill patternType="solid">
        <fgColor rgb="FFE7E6E6"/>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D0CECE"/>
        <bgColor rgb="FF000000"/>
      </patternFill>
    </fill>
    <fill>
      <patternFill patternType="solid">
        <fgColor rgb="FFFFD966"/>
        <bgColor rgb="FF000000"/>
      </patternFill>
    </fill>
    <fill>
      <patternFill patternType="solid">
        <fgColor rgb="FF92D050"/>
        <bgColor indexed="64"/>
      </patternFill>
    </fill>
    <fill>
      <patternFill patternType="solid">
        <fgColor rgb="FFFFC000"/>
        <bgColor indexed="64"/>
      </patternFill>
    </fill>
    <fill>
      <patternFill patternType="solid">
        <fgColor rgb="FFFF00FF"/>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rgb="FF000000"/>
      </patternFill>
    </fill>
    <fill>
      <patternFill patternType="solid">
        <fgColor rgb="FFFF0000"/>
        <bgColor indexed="64"/>
      </patternFill>
    </fill>
    <fill>
      <patternFill patternType="solid">
        <fgColor theme="7" tint="-0.249977111117893"/>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ck">
        <color indexed="64"/>
      </right>
      <top/>
      <bottom style="medium">
        <color indexed="64"/>
      </bottom>
      <diagonal/>
    </border>
    <border>
      <left/>
      <right/>
      <top/>
      <bottom style="medium">
        <color indexed="64"/>
      </bottom>
      <diagonal/>
    </border>
    <border>
      <left/>
      <right style="thick">
        <color indexed="64"/>
      </right>
      <top/>
      <bottom/>
      <diagonal/>
    </border>
    <border>
      <left/>
      <right style="thick">
        <color indexed="64"/>
      </right>
      <top style="medium">
        <color indexed="64"/>
      </top>
      <bottom/>
      <diagonal/>
    </border>
  </borders>
  <cellStyleXfs count="6">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416">
    <xf numFmtId="0" fontId="0" fillId="0" borderId="0" xfId="0"/>
    <xf numFmtId="0" fontId="3"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3" fillId="3" borderId="4" xfId="0" applyFont="1" applyFill="1" applyBorder="1" applyAlignment="1" applyProtection="1">
      <alignment horizontal="center" vertical="center" wrapText="1"/>
      <protection locked="0"/>
    </xf>
    <xf numFmtId="0" fontId="2" fillId="0" borderId="0" xfId="0" applyFont="1"/>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3" borderId="0" xfId="0" applyFill="1" applyAlignment="1">
      <alignment vertical="center" wrapText="1"/>
    </xf>
    <xf numFmtId="0" fontId="3" fillId="0" borderId="4" xfId="0" applyFont="1" applyBorder="1" applyAlignment="1" applyProtection="1">
      <alignment horizontal="center" vertical="center" wrapText="1"/>
      <protection locked="0"/>
    </xf>
    <xf numFmtId="9" fontId="0" fillId="0" borderId="0" xfId="3" applyFont="1"/>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43" fontId="6" fillId="6" borderId="24" xfId="1" applyFont="1" applyFill="1" applyBorder="1" applyAlignment="1">
      <alignment vertical="center" wrapText="1"/>
    </xf>
    <xf numFmtId="0" fontId="3" fillId="5" borderId="24" xfId="0" applyFont="1" applyFill="1" applyBorder="1" applyAlignment="1">
      <alignment horizontal="center" vertical="center" wrapText="1"/>
    </xf>
    <xf numFmtId="0" fontId="8" fillId="6" borderId="24" xfId="0" applyFont="1" applyFill="1" applyBorder="1" applyAlignment="1">
      <alignment vertical="center" wrapText="1"/>
    </xf>
    <xf numFmtId="0" fontId="9" fillId="0" borderId="25" xfId="0" applyFont="1" applyBorder="1" applyAlignment="1">
      <alignment vertical="center" wrapText="1"/>
    </xf>
    <xf numFmtId="0" fontId="5" fillId="4" borderId="16" xfId="0" applyFont="1" applyFill="1" applyBorder="1" applyAlignment="1">
      <alignment horizontal="center" vertical="center" wrapText="1"/>
    </xf>
    <xf numFmtId="0" fontId="0" fillId="6" borderId="4" xfId="0" applyFill="1" applyBorder="1" applyAlignment="1">
      <alignment vertical="center" wrapText="1"/>
    </xf>
    <xf numFmtId="0" fontId="0" fillId="0" borderId="17" xfId="0" applyBorder="1" applyAlignment="1">
      <alignment vertical="center" wrapText="1"/>
    </xf>
    <xf numFmtId="0" fontId="2" fillId="8" borderId="17" xfId="0" applyFont="1" applyFill="1" applyBorder="1" applyAlignment="1">
      <alignment horizontal="center" vertical="center" wrapText="1"/>
    </xf>
    <xf numFmtId="0" fontId="0" fillId="0" borderId="27" xfId="0" applyBorder="1" applyAlignment="1">
      <alignment vertical="center" wrapText="1"/>
    </xf>
    <xf numFmtId="0" fontId="2" fillId="9" borderId="27" xfId="0" applyFont="1" applyFill="1" applyBorder="1" applyAlignment="1">
      <alignment vertical="center" wrapText="1"/>
    </xf>
    <xf numFmtId="0" fontId="2" fillId="9" borderId="28" xfId="0" applyFont="1" applyFill="1" applyBorder="1" applyAlignment="1">
      <alignment vertical="center" wrapText="1"/>
    </xf>
    <xf numFmtId="0" fontId="2" fillId="8" borderId="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0" fillId="11" borderId="4" xfId="0" applyFont="1" applyFill="1" applyBorder="1" applyAlignment="1">
      <alignment vertical="center" wrapText="1"/>
    </xf>
    <xf numFmtId="0" fontId="11" fillId="11" borderId="4" xfId="0" applyFont="1" applyFill="1" applyBorder="1" applyAlignment="1">
      <alignment vertical="center" wrapText="1"/>
    </xf>
    <xf numFmtId="0" fontId="11" fillId="0" borderId="4" xfId="0" applyFont="1" applyBorder="1" applyAlignment="1" applyProtection="1">
      <alignment horizontal="left" vertical="top" wrapText="1"/>
      <protection locked="0"/>
    </xf>
    <xf numFmtId="166" fontId="11" fillId="0" borderId="4" xfId="2" applyFont="1" applyFill="1" applyBorder="1" applyAlignment="1" applyProtection="1">
      <alignment horizontal="center" vertical="center" wrapText="1"/>
      <protection locked="0"/>
    </xf>
    <xf numFmtId="166" fontId="11" fillId="13" borderId="4" xfId="2" applyFont="1" applyFill="1" applyBorder="1" applyAlignment="1" applyProtection="1">
      <alignment horizontal="center" vertical="center" wrapText="1"/>
    </xf>
    <xf numFmtId="9" fontId="11" fillId="0" borderId="4" xfId="3" applyFont="1" applyFill="1" applyBorder="1" applyAlignment="1" applyProtection="1">
      <alignment horizontal="center" vertical="center" wrapText="1"/>
      <protection locked="0"/>
    </xf>
    <xf numFmtId="49" fontId="11" fillId="0" borderId="4" xfId="2" applyNumberFormat="1" applyFont="1" applyFill="1" applyBorder="1" applyAlignment="1" applyProtection="1">
      <alignment horizontal="left" vertical="top" wrapText="1"/>
      <protection locked="0"/>
    </xf>
    <xf numFmtId="49" fontId="11" fillId="0" borderId="4" xfId="2" applyNumberFormat="1" applyFont="1" applyFill="1" applyBorder="1" applyAlignment="1" applyProtection="1">
      <alignment horizontal="left" wrapText="1"/>
      <protection locked="0"/>
    </xf>
    <xf numFmtId="0" fontId="11" fillId="12" borderId="4" xfId="0" applyFont="1" applyFill="1" applyBorder="1" applyAlignment="1" applyProtection="1">
      <alignment horizontal="left" vertical="top" wrapText="1"/>
      <protection locked="0"/>
    </xf>
    <xf numFmtId="166" fontId="11" fillId="12" borderId="4" xfId="2" applyFont="1" applyFill="1" applyBorder="1" applyAlignment="1" applyProtection="1">
      <alignment horizontal="center" vertical="center" wrapText="1"/>
      <protection locked="0"/>
    </xf>
    <xf numFmtId="9" fontId="11" fillId="12" borderId="4" xfId="3" applyFont="1" applyFill="1" applyBorder="1" applyAlignment="1" applyProtection="1">
      <alignment horizontal="center" vertical="center" wrapText="1"/>
      <protection locked="0"/>
    </xf>
    <xf numFmtId="49" fontId="11" fillId="12" borderId="4" xfId="2" applyNumberFormat="1" applyFont="1" applyFill="1" applyBorder="1" applyAlignment="1" applyProtection="1">
      <alignment horizontal="left" wrapText="1"/>
      <protection locked="0"/>
    </xf>
    <xf numFmtId="0" fontId="12" fillId="0" borderId="0" xfId="0" applyFont="1" applyAlignment="1">
      <alignment wrapText="1"/>
    </xf>
    <xf numFmtId="0" fontId="10" fillId="13" borderId="4" xfId="0" applyFont="1" applyFill="1" applyBorder="1" applyAlignment="1">
      <alignment vertical="center" wrapText="1"/>
    </xf>
    <xf numFmtId="166" fontId="10" fillId="13" borderId="4" xfId="2" applyFont="1" applyFill="1" applyBorder="1" applyAlignment="1" applyProtection="1">
      <alignment horizontal="center" vertical="center" wrapText="1"/>
    </xf>
    <xf numFmtId="166" fontId="10" fillId="13" borderId="5" xfId="2" applyFont="1" applyFill="1" applyBorder="1" applyAlignment="1" applyProtection="1">
      <alignment horizontal="center" vertical="center" wrapText="1"/>
    </xf>
    <xf numFmtId="0" fontId="11" fillId="12" borderId="0" xfId="0" applyFont="1" applyFill="1" applyAlignment="1" applyProtection="1">
      <alignment vertical="center" wrapText="1"/>
      <protection locked="0"/>
    </xf>
    <xf numFmtId="0" fontId="10" fillId="12" borderId="0" xfId="0" applyFont="1" applyFill="1" applyAlignment="1">
      <alignment vertical="center" wrapText="1"/>
    </xf>
    <xf numFmtId="166" fontId="11" fillId="12" borderId="0" xfId="2" applyFont="1" applyFill="1" applyBorder="1" applyAlignment="1" applyProtection="1">
      <alignment vertical="center" wrapText="1"/>
      <protection locked="0"/>
    </xf>
    <xf numFmtId="0" fontId="10" fillId="14" borderId="4" xfId="0" applyFont="1" applyFill="1" applyBorder="1" applyAlignment="1">
      <alignment vertical="center" wrapText="1"/>
    </xf>
    <xf numFmtId="0" fontId="11" fillId="12" borderId="4" xfId="0" applyFont="1" applyFill="1" applyBorder="1" applyAlignment="1" applyProtection="1">
      <alignment vertical="center" wrapText="1"/>
      <protection locked="0"/>
    </xf>
    <xf numFmtId="166" fontId="11" fillId="0" borderId="4" xfId="2" applyFont="1" applyFill="1" applyBorder="1" applyAlignment="1" applyProtection="1">
      <alignment vertical="center" wrapText="1"/>
      <protection locked="0"/>
    </xf>
    <xf numFmtId="166" fontId="11" fillId="13" borderId="4" xfId="2" applyFont="1" applyFill="1" applyBorder="1" applyAlignment="1" applyProtection="1">
      <alignment vertical="center" wrapText="1"/>
    </xf>
    <xf numFmtId="9" fontId="11" fillId="0" borderId="4" xfId="3" applyFont="1" applyFill="1" applyBorder="1" applyAlignment="1" applyProtection="1">
      <alignment vertical="center" wrapText="1"/>
      <protection locked="0"/>
    </xf>
    <xf numFmtId="49" fontId="11" fillId="0" borderId="4" xfId="0" applyNumberFormat="1" applyFont="1" applyBorder="1" applyAlignment="1" applyProtection="1">
      <alignment horizontal="left" wrapText="1"/>
      <protection locked="0"/>
    </xf>
    <xf numFmtId="0" fontId="11" fillId="12" borderId="7" xfId="0" applyFont="1" applyFill="1" applyBorder="1" applyAlignment="1" applyProtection="1">
      <alignment vertical="center" wrapText="1"/>
      <protection locked="0"/>
    </xf>
    <xf numFmtId="0" fontId="10" fillId="13" borderId="8" xfId="0" applyFont="1" applyFill="1" applyBorder="1" applyAlignment="1">
      <alignment vertical="center" wrapText="1"/>
    </xf>
    <xf numFmtId="0" fontId="10" fillId="15" borderId="4" xfId="0" applyFont="1" applyFill="1" applyBorder="1" applyAlignment="1" applyProtection="1">
      <alignment vertical="center" wrapText="1"/>
      <protection locked="0"/>
    </xf>
    <xf numFmtId="166" fontId="10" fillId="15" borderId="4" xfId="2" applyFont="1" applyFill="1" applyBorder="1" applyAlignment="1" applyProtection="1">
      <alignment vertical="center" wrapText="1"/>
    </xf>
    <xf numFmtId="0" fontId="10" fillId="12" borderId="0" xfId="0" applyFont="1" applyFill="1" applyAlignment="1" applyProtection="1">
      <alignment vertical="center" wrapText="1"/>
      <protection locked="0"/>
    </xf>
    <xf numFmtId="0" fontId="10" fillId="13" borderId="4" xfId="2" applyNumberFormat="1" applyFont="1" applyFill="1" applyBorder="1" applyAlignment="1" applyProtection="1">
      <alignment horizontal="center" vertical="center" wrapText="1"/>
    </xf>
    <xf numFmtId="0" fontId="11" fillId="12" borderId="0" xfId="0" applyFont="1" applyFill="1" applyAlignment="1">
      <alignment vertical="center" wrapText="1"/>
    </xf>
    <xf numFmtId="0" fontId="11" fillId="13" borderId="16" xfId="0" applyFont="1" applyFill="1" applyBorder="1" applyAlignment="1">
      <alignment vertical="center" wrapText="1"/>
    </xf>
    <xf numFmtId="166" fontId="11" fillId="13" borderId="4" xfId="0" applyNumberFormat="1" applyFont="1" applyFill="1" applyBorder="1" applyAlignment="1">
      <alignment vertical="center" wrapText="1"/>
    </xf>
    <xf numFmtId="166" fontId="11" fillId="13" borderId="17" xfId="0" applyNumberFormat="1" applyFont="1" applyFill="1" applyBorder="1" applyAlignment="1">
      <alignment vertical="center"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0" fillId="13" borderId="18" xfId="0" applyFont="1" applyFill="1" applyBorder="1" applyAlignment="1">
      <alignment vertical="center" wrapText="1"/>
    </xf>
    <xf numFmtId="166" fontId="10" fillId="13" borderId="19" xfId="2" applyFont="1" applyFill="1" applyBorder="1" applyAlignment="1" applyProtection="1">
      <alignment vertical="center" wrapText="1"/>
    </xf>
    <xf numFmtId="166" fontId="10" fillId="13" borderId="20" xfId="2" applyFont="1" applyFill="1" applyBorder="1" applyAlignment="1" applyProtection="1">
      <alignment vertical="center" wrapText="1"/>
    </xf>
    <xf numFmtId="0" fontId="10" fillId="0" borderId="0" xfId="0" applyFont="1" applyAlignment="1" applyProtection="1">
      <alignment vertical="center" wrapText="1"/>
      <protection locked="0"/>
    </xf>
    <xf numFmtId="166" fontId="10" fillId="12" borderId="0" xfId="0" applyNumberFormat="1" applyFont="1" applyFill="1" applyAlignment="1">
      <alignment vertical="center" wrapText="1"/>
    </xf>
    <xf numFmtId="0" fontId="10" fillId="0" borderId="0" xfId="0" applyFont="1" applyAlignment="1">
      <alignment vertical="center" wrapText="1"/>
    </xf>
    <xf numFmtId="166" fontId="10" fillId="0" borderId="0" xfId="0" applyNumberFormat="1" applyFont="1" applyAlignment="1">
      <alignment vertical="center" wrapText="1"/>
    </xf>
    <xf numFmtId="0" fontId="8" fillId="13" borderId="23" xfId="0" applyFont="1" applyFill="1" applyBorder="1" applyAlignment="1">
      <alignment horizontal="left" vertical="center" wrapText="1"/>
    </xf>
    <xf numFmtId="166" fontId="10" fillId="13" borderId="25" xfId="0" applyNumberFormat="1" applyFont="1" applyFill="1" applyBorder="1" applyAlignment="1">
      <alignment vertical="center" wrapText="1"/>
    </xf>
    <xf numFmtId="0" fontId="8" fillId="13" borderId="16" xfId="0" applyFont="1" applyFill="1" applyBorder="1" applyAlignment="1">
      <alignment horizontal="left" vertical="center" wrapText="1"/>
    </xf>
    <xf numFmtId="9" fontId="10" fillId="13" borderId="17" xfId="3" applyFont="1" applyFill="1" applyBorder="1" applyAlignment="1" applyProtection="1">
      <alignment wrapText="1"/>
    </xf>
    <xf numFmtId="9" fontId="10" fillId="12" borderId="0" xfId="3" applyFont="1" applyFill="1" applyBorder="1" applyAlignment="1">
      <alignment wrapText="1"/>
    </xf>
    <xf numFmtId="0" fontId="8" fillId="12" borderId="0" xfId="0" applyFont="1" applyFill="1" applyAlignment="1">
      <alignment horizontal="center" vertical="center" wrapText="1"/>
    </xf>
    <xf numFmtId="166" fontId="10" fillId="13" borderId="17" xfId="3" applyNumberFormat="1" applyFont="1" applyFill="1" applyBorder="1" applyAlignment="1" applyProtection="1">
      <alignment wrapText="1"/>
    </xf>
    <xf numFmtId="166" fontId="10" fillId="12" borderId="0" xfId="3" applyNumberFormat="1" applyFont="1" applyFill="1" applyBorder="1" applyAlignment="1">
      <alignment wrapText="1"/>
    </xf>
    <xf numFmtId="0" fontId="12" fillId="12" borderId="0" xfId="0" applyFont="1" applyFill="1" applyAlignment="1">
      <alignment horizontal="center" vertical="center" wrapText="1"/>
    </xf>
    <xf numFmtId="166" fontId="10" fillId="13" borderId="13" xfId="2" applyFont="1" applyFill="1" applyBorder="1" applyAlignment="1" applyProtection="1">
      <alignment horizontal="center" vertical="center" wrapText="1"/>
    </xf>
    <xf numFmtId="166" fontId="10" fillId="13" borderId="15" xfId="2" applyFont="1" applyFill="1" applyBorder="1" applyAlignment="1" applyProtection="1">
      <alignment horizontal="center" vertical="center" wrapText="1"/>
    </xf>
    <xf numFmtId="0" fontId="0" fillId="0" borderId="4" xfId="0" applyBorder="1"/>
    <xf numFmtId="0" fontId="11" fillId="0" borderId="8" xfId="0" applyFont="1" applyBorder="1" applyAlignment="1" applyProtection="1">
      <alignment horizontal="left" vertical="top" wrapText="1"/>
      <protection locked="0"/>
    </xf>
    <xf numFmtId="166" fontId="11" fillId="0" borderId="8" xfId="2" applyFont="1" applyFill="1" applyBorder="1" applyAlignment="1" applyProtection="1">
      <alignment horizontal="center" vertical="center" wrapText="1"/>
      <protection locked="0"/>
    </xf>
    <xf numFmtId="166" fontId="11" fillId="13" borderId="8" xfId="2" applyFont="1" applyFill="1" applyBorder="1" applyAlignment="1" applyProtection="1">
      <alignment horizontal="center" vertical="center" wrapText="1"/>
    </xf>
    <xf numFmtId="9" fontId="11" fillId="0" borderId="8" xfId="3" applyFont="1" applyFill="1" applyBorder="1" applyAlignment="1" applyProtection="1">
      <alignment horizontal="center" vertical="center" wrapText="1"/>
      <protection locked="0"/>
    </xf>
    <xf numFmtId="49" fontId="11" fillId="0" borderId="8" xfId="2" applyNumberFormat="1" applyFont="1" applyFill="1" applyBorder="1" applyAlignment="1" applyProtection="1">
      <alignment horizontal="left" vertical="top" wrapText="1"/>
      <protection locked="0"/>
    </xf>
    <xf numFmtId="49" fontId="11" fillId="0" borderId="8" xfId="2" applyNumberFormat="1" applyFont="1" applyFill="1" applyBorder="1" applyAlignment="1" applyProtection="1">
      <alignment horizontal="left" wrapText="1"/>
      <protection locked="0"/>
    </xf>
    <xf numFmtId="43" fontId="10" fillId="13" borderId="4" xfId="2" applyNumberFormat="1" applyFont="1" applyFill="1" applyBorder="1" applyAlignment="1" applyProtection="1">
      <alignment horizontal="center" vertical="center" wrapText="1"/>
    </xf>
    <xf numFmtId="0" fontId="10" fillId="13" borderId="21" xfId="0" applyFont="1" applyFill="1" applyBorder="1" applyAlignment="1">
      <alignment vertical="center" wrapText="1"/>
    </xf>
    <xf numFmtId="166" fontId="10" fillId="13" borderId="26" xfId="2" applyFont="1" applyFill="1" applyBorder="1" applyAlignment="1" applyProtection="1">
      <alignment horizontal="center" vertical="center" wrapText="1"/>
    </xf>
    <xf numFmtId="166" fontId="10" fillId="13" borderId="6" xfId="2" applyFont="1" applyFill="1" applyBorder="1" applyAlignment="1" applyProtection="1">
      <alignment horizontal="center" vertical="center" wrapText="1"/>
    </xf>
    <xf numFmtId="166" fontId="11" fillId="13" borderId="7" xfId="2" applyFont="1" applyFill="1" applyBorder="1" applyAlignment="1" applyProtection="1">
      <alignment horizontal="center" vertical="center" wrapText="1"/>
    </xf>
    <xf numFmtId="0" fontId="10" fillId="13" borderId="22" xfId="0" applyFont="1" applyFill="1" applyBorder="1" applyAlignment="1">
      <alignment vertical="center" wrapText="1"/>
    </xf>
    <xf numFmtId="166" fontId="11" fillId="13" borderId="26" xfId="2" applyFont="1" applyFill="1" applyBorder="1" applyAlignment="1" applyProtection="1">
      <alignment horizontal="center" vertical="center" wrapText="1"/>
    </xf>
    <xf numFmtId="167" fontId="0" fillId="0" borderId="0" xfId="0" applyNumberFormat="1"/>
    <xf numFmtId="166" fontId="3" fillId="18" borderId="32" xfId="0" applyNumberFormat="1" applyFont="1" applyFill="1" applyBorder="1" applyAlignment="1">
      <alignment wrapText="1"/>
    </xf>
    <xf numFmtId="166" fontId="3" fillId="18" borderId="33" xfId="0" applyNumberFormat="1" applyFont="1" applyFill="1" applyBorder="1" applyAlignment="1">
      <alignment wrapText="1"/>
    </xf>
    <xf numFmtId="166" fontId="3" fillId="18" borderId="34" xfId="0" applyNumberFormat="1" applyFont="1" applyFill="1" applyBorder="1" applyAlignment="1">
      <alignment wrapText="1"/>
    </xf>
    <xf numFmtId="166" fontId="3" fillId="19" borderId="32" xfId="0" applyNumberFormat="1" applyFont="1" applyFill="1" applyBorder="1" applyAlignment="1">
      <alignment wrapText="1"/>
    </xf>
    <xf numFmtId="166" fontId="3" fillId="19" borderId="33" xfId="0" applyNumberFormat="1" applyFont="1" applyFill="1" applyBorder="1" applyAlignment="1">
      <alignment wrapText="1"/>
    </xf>
    <xf numFmtId="166" fontId="3" fillId="19" borderId="34" xfId="0" applyNumberFormat="1" applyFont="1" applyFill="1" applyBorder="1" applyAlignment="1">
      <alignment wrapText="1"/>
    </xf>
    <xf numFmtId="166" fontId="3" fillId="10" borderId="35" xfId="0" applyNumberFormat="1" applyFont="1" applyFill="1" applyBorder="1" applyAlignment="1">
      <alignment wrapText="1"/>
    </xf>
    <xf numFmtId="166" fontId="3" fillId="4" borderId="36" xfId="0" applyNumberFormat="1" applyFont="1" applyFill="1" applyBorder="1" applyAlignment="1">
      <alignment wrapText="1"/>
    </xf>
    <xf numFmtId="166" fontId="3" fillId="4" borderId="37" xfId="0" applyNumberFormat="1" applyFont="1" applyFill="1" applyBorder="1" applyAlignment="1">
      <alignment wrapText="1"/>
    </xf>
    <xf numFmtId="166" fontId="3" fillId="4" borderId="33" xfId="0" applyNumberFormat="1" applyFont="1" applyFill="1" applyBorder="1" applyAlignment="1">
      <alignment wrapText="1"/>
    </xf>
    <xf numFmtId="0" fontId="3" fillId="4" borderId="34" xfId="0" applyFont="1" applyFill="1" applyBorder="1" applyAlignment="1">
      <alignment wrapText="1"/>
    </xf>
    <xf numFmtId="0" fontId="5" fillId="0" borderId="0" xfId="0" applyFont="1" applyAlignment="1">
      <alignment wrapText="1"/>
    </xf>
    <xf numFmtId="166" fontId="5" fillId="20" borderId="20" xfId="0" applyNumberFormat="1" applyFont="1" applyFill="1" applyBorder="1" applyAlignment="1">
      <alignment wrapText="1"/>
    </xf>
    <xf numFmtId="166" fontId="5" fillId="20" borderId="19" xfId="0" applyNumberFormat="1" applyFont="1" applyFill="1" applyBorder="1" applyAlignment="1">
      <alignment wrapText="1"/>
    </xf>
    <xf numFmtId="166" fontId="5" fillId="20" borderId="18" xfId="0" applyNumberFormat="1" applyFont="1" applyFill="1" applyBorder="1" applyAlignment="1">
      <alignment wrapText="1"/>
    </xf>
    <xf numFmtId="166" fontId="5" fillId="21" borderId="20" xfId="0" applyNumberFormat="1" applyFont="1" applyFill="1" applyBorder="1" applyAlignment="1">
      <alignment wrapText="1"/>
    </xf>
    <xf numFmtId="166" fontId="5" fillId="21" borderId="19" xfId="0" applyNumberFormat="1" applyFont="1" applyFill="1" applyBorder="1" applyAlignment="1">
      <alignment wrapText="1"/>
    </xf>
    <xf numFmtId="166" fontId="5" fillId="21" borderId="18" xfId="0" applyNumberFormat="1" applyFont="1" applyFill="1" applyBorder="1" applyAlignment="1">
      <alignment wrapText="1"/>
    </xf>
    <xf numFmtId="166" fontId="5" fillId="22" borderId="39" xfId="0" applyNumberFormat="1" applyFont="1" applyFill="1" applyBorder="1" applyAlignment="1">
      <alignment wrapText="1"/>
    </xf>
    <xf numFmtId="166" fontId="5" fillId="22" borderId="30" xfId="0" applyNumberFormat="1" applyFont="1" applyFill="1" applyBorder="1" applyAlignment="1">
      <alignment wrapText="1"/>
    </xf>
    <xf numFmtId="166" fontId="5" fillId="22" borderId="28" xfId="0" applyNumberFormat="1" applyFont="1" applyFill="1" applyBorder="1" applyAlignment="1">
      <alignment wrapText="1"/>
    </xf>
    <xf numFmtId="166" fontId="5" fillId="4" borderId="30" xfId="0" applyNumberFormat="1" applyFont="1" applyFill="1" applyBorder="1" applyAlignment="1">
      <alignment wrapText="1"/>
    </xf>
    <xf numFmtId="166" fontId="5" fillId="4" borderId="19" xfId="0" applyNumberFormat="1" applyFont="1" applyFill="1" applyBorder="1" applyAlignment="1">
      <alignment wrapText="1"/>
    </xf>
    <xf numFmtId="0" fontId="5" fillId="4" borderId="16" xfId="0" applyFont="1" applyFill="1" applyBorder="1" applyAlignment="1">
      <alignment vertical="center" wrapText="1"/>
    </xf>
    <xf numFmtId="166" fontId="14" fillId="20" borderId="17" xfId="5" applyNumberFormat="1" applyFont="1" applyFill="1" applyBorder="1" applyAlignment="1">
      <alignment wrapText="1"/>
    </xf>
    <xf numFmtId="166" fontId="14" fillId="20" borderId="4" xfId="5" applyNumberFormat="1" applyFont="1" applyFill="1" applyBorder="1" applyAlignment="1">
      <alignment wrapText="1"/>
    </xf>
    <xf numFmtId="166" fontId="14" fillId="20" borderId="16" xfId="5" applyNumberFormat="1" applyFont="1" applyFill="1" applyBorder="1" applyAlignment="1">
      <alignment wrapText="1"/>
    </xf>
    <xf numFmtId="166" fontId="14" fillId="21" borderId="17" xfId="5" applyNumberFormat="1" applyFont="1" applyFill="1" applyBorder="1" applyAlignment="1">
      <alignment wrapText="1"/>
    </xf>
    <xf numFmtId="166" fontId="14" fillId="21" borderId="4" xfId="5" applyNumberFormat="1" applyFont="1" applyFill="1" applyBorder="1" applyAlignment="1">
      <alignment wrapText="1"/>
    </xf>
    <xf numFmtId="166" fontId="14" fillId="21" borderId="16" xfId="5" applyNumberFormat="1" applyFont="1" applyFill="1" applyBorder="1" applyAlignment="1">
      <alignment wrapText="1"/>
    </xf>
    <xf numFmtId="166" fontId="14" fillId="22" borderId="15" xfId="0" applyNumberFormat="1" applyFont="1" applyFill="1" applyBorder="1" applyAlignment="1">
      <alignment wrapText="1"/>
    </xf>
    <xf numFmtId="166" fontId="14" fillId="22" borderId="21" xfId="0" applyNumberFormat="1" applyFont="1" applyFill="1" applyBorder="1" applyAlignment="1">
      <alignment wrapText="1"/>
    </xf>
    <xf numFmtId="166" fontId="14" fillId="22" borderId="27" xfId="0" applyNumberFormat="1" applyFont="1" applyFill="1" applyBorder="1" applyAlignment="1">
      <alignment wrapText="1"/>
    </xf>
    <xf numFmtId="166" fontId="5" fillId="4" borderId="21" xfId="0" applyNumberFormat="1" applyFont="1" applyFill="1" applyBorder="1" applyAlignment="1">
      <alignment wrapText="1"/>
    </xf>
    <xf numFmtId="166" fontId="5" fillId="4" borderId="4" xfId="5" applyNumberFormat="1" applyFont="1" applyFill="1" applyBorder="1" applyAlignment="1">
      <alignment wrapText="1"/>
    </xf>
    <xf numFmtId="166" fontId="5" fillId="20" borderId="15" xfId="0" applyNumberFormat="1" applyFont="1" applyFill="1" applyBorder="1" applyAlignment="1">
      <alignment wrapText="1"/>
    </xf>
    <xf numFmtId="166" fontId="5" fillId="20" borderId="4" xfId="0" applyNumberFormat="1" applyFont="1" applyFill="1" applyBorder="1" applyAlignment="1">
      <alignment wrapText="1"/>
    </xf>
    <xf numFmtId="166" fontId="5" fillId="20" borderId="16" xfId="0" applyNumberFormat="1" applyFont="1" applyFill="1" applyBorder="1" applyAlignment="1">
      <alignment wrapText="1"/>
    </xf>
    <xf numFmtId="166" fontId="5" fillId="21" borderId="15" xfId="0" applyNumberFormat="1" applyFont="1" applyFill="1" applyBorder="1" applyAlignment="1">
      <alignment wrapText="1"/>
    </xf>
    <xf numFmtId="166" fontId="5" fillId="21" borderId="4" xfId="0" applyNumberFormat="1" applyFont="1" applyFill="1" applyBorder="1" applyAlignment="1">
      <alignment wrapText="1"/>
    </xf>
    <xf numFmtId="166" fontId="5" fillId="21" borderId="16" xfId="0" applyNumberFormat="1" applyFont="1" applyFill="1" applyBorder="1" applyAlignment="1">
      <alignment wrapText="1"/>
    </xf>
    <xf numFmtId="166" fontId="5" fillId="22" borderId="15" xfId="0" applyNumberFormat="1" applyFont="1" applyFill="1" applyBorder="1" applyAlignment="1">
      <alignment wrapText="1"/>
    </xf>
    <xf numFmtId="166" fontId="5" fillId="22" borderId="21" xfId="0" applyNumberFormat="1" applyFont="1" applyFill="1" applyBorder="1" applyAlignment="1">
      <alignment wrapText="1"/>
    </xf>
    <xf numFmtId="166" fontId="5" fillId="22" borderId="27" xfId="0" applyNumberFormat="1" applyFont="1" applyFill="1" applyBorder="1" applyAlignment="1">
      <alignment wrapText="1"/>
    </xf>
    <xf numFmtId="166" fontId="3" fillId="4" borderId="21" xfId="0" applyNumberFormat="1" applyFont="1" applyFill="1" applyBorder="1" applyAlignment="1">
      <alignment wrapText="1"/>
    </xf>
    <xf numFmtId="166" fontId="5" fillId="4" borderId="4" xfId="0" applyNumberFormat="1" applyFont="1" applyFill="1" applyBorder="1" applyAlignment="1">
      <alignment wrapText="1"/>
    </xf>
    <xf numFmtId="0" fontId="15" fillId="4" borderId="40" xfId="0" applyFont="1" applyFill="1" applyBorder="1" applyAlignment="1">
      <alignment vertical="center" wrapText="1"/>
    </xf>
    <xf numFmtId="166" fontId="5" fillId="20" borderId="8" xfId="0" applyNumberFormat="1" applyFont="1" applyFill="1" applyBorder="1" applyAlignment="1">
      <alignment wrapText="1"/>
    </xf>
    <xf numFmtId="166" fontId="5" fillId="20" borderId="14" xfId="0" applyNumberFormat="1" applyFont="1" applyFill="1" applyBorder="1" applyAlignment="1">
      <alignment wrapText="1"/>
    </xf>
    <xf numFmtId="166" fontId="5" fillId="21" borderId="8" xfId="0" applyNumberFormat="1" applyFont="1" applyFill="1" applyBorder="1" applyAlignment="1">
      <alignment wrapText="1"/>
    </xf>
    <xf numFmtId="166" fontId="5" fillId="21" borderId="14" xfId="0" applyNumberFormat="1" applyFont="1" applyFill="1" applyBorder="1" applyAlignment="1">
      <alignment wrapText="1"/>
    </xf>
    <xf numFmtId="166" fontId="5" fillId="22" borderId="41" xfId="0" applyNumberFormat="1" applyFont="1" applyFill="1" applyBorder="1" applyAlignment="1">
      <alignment wrapText="1"/>
    </xf>
    <xf numFmtId="166" fontId="5" fillId="22" borderId="42" xfId="0" applyNumberFormat="1" applyFont="1" applyFill="1" applyBorder="1" applyAlignment="1">
      <alignment wrapText="1"/>
    </xf>
    <xf numFmtId="166" fontId="5" fillId="4" borderId="8" xfId="0" applyNumberFormat="1" applyFont="1" applyFill="1" applyBorder="1" applyAlignment="1">
      <alignment wrapText="1"/>
    </xf>
    <xf numFmtId="0" fontId="15" fillId="4" borderId="40" xfId="0" applyFont="1" applyFill="1" applyBorder="1" applyAlignment="1" applyProtection="1">
      <alignment vertical="center" wrapText="1"/>
      <protection locked="0"/>
    </xf>
    <xf numFmtId="166" fontId="3" fillId="4" borderId="41" xfId="0" applyNumberFormat="1" applyFont="1" applyFill="1" applyBorder="1" applyAlignment="1">
      <alignment wrapText="1"/>
    </xf>
    <xf numFmtId="0" fontId="15" fillId="4" borderId="38" xfId="0" applyFont="1" applyFill="1" applyBorder="1" applyAlignment="1">
      <alignment vertical="center" wrapText="1"/>
    </xf>
    <xf numFmtId="166" fontId="3" fillId="18" borderId="17" xfId="0" applyNumberFormat="1" applyFont="1" applyFill="1" applyBorder="1" applyAlignment="1">
      <alignment horizontal="center" wrapText="1"/>
    </xf>
    <xf numFmtId="166" fontId="3" fillId="18" borderId="4" xfId="0" applyNumberFormat="1" applyFont="1" applyFill="1" applyBorder="1" applyAlignment="1">
      <alignment horizontal="center" wrapText="1"/>
    </xf>
    <xf numFmtId="166" fontId="3" fillId="18" borderId="16" xfId="0" applyNumberFormat="1" applyFont="1" applyFill="1" applyBorder="1" applyAlignment="1">
      <alignment horizontal="center" wrapText="1"/>
    </xf>
    <xf numFmtId="166" fontId="3" fillId="19" borderId="17" xfId="0" applyNumberFormat="1" applyFont="1" applyFill="1" applyBorder="1" applyAlignment="1">
      <alignment horizontal="center" wrapText="1"/>
    </xf>
    <xf numFmtId="166" fontId="3" fillId="19" borderId="4" xfId="0" applyNumberFormat="1" applyFont="1" applyFill="1" applyBorder="1" applyAlignment="1">
      <alignment horizontal="center" wrapText="1"/>
    </xf>
    <xf numFmtId="166" fontId="3" fillId="19" borderId="16" xfId="0" applyNumberFormat="1" applyFont="1" applyFill="1" applyBorder="1" applyAlignment="1">
      <alignment horizontal="center" wrapText="1"/>
    </xf>
    <xf numFmtId="166" fontId="3" fillId="10" borderId="17" xfId="0" applyNumberFormat="1" applyFont="1" applyFill="1" applyBorder="1" applyAlignment="1">
      <alignment horizontal="center" wrapText="1"/>
    </xf>
    <xf numFmtId="0" fontId="3" fillId="10" borderId="4" xfId="0" applyFont="1" applyFill="1" applyBorder="1" applyAlignment="1">
      <alignment horizontal="center" vertical="center" wrapText="1"/>
    </xf>
    <xf numFmtId="0" fontId="3" fillId="10" borderId="16" xfId="0" applyFont="1" applyFill="1" applyBorder="1" applyAlignment="1">
      <alignment horizontal="center" vertical="center" wrapText="1"/>
    </xf>
    <xf numFmtId="166" fontId="3" fillId="4" borderId="4" xfId="0" applyNumberFormat="1" applyFont="1" applyFill="1" applyBorder="1" applyAlignment="1">
      <alignment horizontal="center" wrapText="1"/>
    </xf>
    <xf numFmtId="0" fontId="3" fillId="4" borderId="14" xfId="0" applyFont="1" applyFill="1" applyBorder="1" applyAlignment="1">
      <alignment horizontal="center" wrapText="1"/>
    </xf>
    <xf numFmtId="164" fontId="3" fillId="4" borderId="4" xfId="5" applyFont="1" applyFill="1" applyBorder="1" applyAlignment="1">
      <alignment horizontal="center" vertical="center" wrapText="1"/>
    </xf>
    <xf numFmtId="0" fontId="3" fillId="4" borderId="47" xfId="0" applyFont="1" applyFill="1" applyBorder="1" applyAlignment="1">
      <alignment horizontal="center" wrapText="1"/>
    </xf>
    <xf numFmtId="0" fontId="3" fillId="23" borderId="2" xfId="0" applyFont="1" applyFill="1" applyBorder="1" applyAlignment="1">
      <alignment horizontal="center" wrapText="1"/>
    </xf>
    <xf numFmtId="0" fontId="3" fillId="4" borderId="1" xfId="0" applyFont="1" applyFill="1" applyBorder="1" applyAlignment="1">
      <alignment wrapText="1"/>
    </xf>
    <xf numFmtId="0" fontId="5" fillId="3" borderId="0" xfId="0" applyFont="1" applyFill="1" applyAlignment="1">
      <alignment wrapText="1"/>
    </xf>
    <xf numFmtId="166" fontId="3" fillId="17" borderId="8" xfId="0" applyNumberFormat="1" applyFont="1" applyFill="1" applyBorder="1" applyAlignment="1">
      <alignment wrapText="1"/>
    </xf>
    <xf numFmtId="166" fontId="3" fillId="18" borderId="4" xfId="5" applyNumberFormat="1" applyFont="1" applyFill="1" applyBorder="1" applyAlignment="1">
      <alignment wrapText="1"/>
    </xf>
    <xf numFmtId="166" fontId="3" fillId="19" borderId="4" xfId="5" applyNumberFormat="1" applyFont="1" applyFill="1" applyBorder="1" applyAlignment="1">
      <alignment wrapText="1"/>
    </xf>
    <xf numFmtId="166" fontId="3" fillId="10" borderId="4" xfId="5" applyNumberFormat="1" applyFont="1" applyFill="1" applyBorder="1" applyAlignment="1">
      <alignment wrapText="1"/>
    </xf>
    <xf numFmtId="166" fontId="3" fillId="4" borderId="4" xfId="0" applyNumberFormat="1" applyFont="1" applyFill="1" applyBorder="1" applyAlignment="1">
      <alignment wrapText="1"/>
    </xf>
    <xf numFmtId="166" fontId="3" fillId="24" borderId="4" xfId="5" applyNumberFormat="1" applyFont="1" applyFill="1" applyBorder="1" applyAlignment="1">
      <alignment wrapText="1"/>
    </xf>
    <xf numFmtId="164" fontId="3" fillId="24" borderId="4" xfId="5" applyFont="1" applyFill="1" applyBorder="1" applyAlignment="1">
      <alignment wrapText="1"/>
    </xf>
    <xf numFmtId="166" fontId="16" fillId="20" borderId="8" xfId="0" applyNumberFormat="1" applyFont="1" applyFill="1" applyBorder="1" applyAlignment="1">
      <alignment wrapText="1"/>
    </xf>
    <xf numFmtId="166" fontId="16" fillId="21" borderId="8" xfId="0" applyNumberFormat="1" applyFont="1" applyFill="1" applyBorder="1" applyAlignment="1">
      <alignment wrapText="1"/>
    </xf>
    <xf numFmtId="166" fontId="5" fillId="21" borderId="4" xfId="0" applyNumberFormat="1" applyFont="1" applyFill="1" applyBorder="1" applyAlignment="1" applyProtection="1">
      <alignment wrapText="1"/>
      <protection locked="0"/>
    </xf>
    <xf numFmtId="166" fontId="5" fillId="22" borderId="4" xfId="0" applyNumberFormat="1" applyFont="1" applyFill="1" applyBorder="1" applyAlignment="1" applyProtection="1">
      <alignment wrapText="1"/>
      <protection locked="0"/>
    </xf>
    <xf numFmtId="166" fontId="3" fillId="22" borderId="4" xfId="0" applyNumberFormat="1" applyFont="1" applyFill="1" applyBorder="1" applyAlignment="1">
      <alignment wrapText="1"/>
    </xf>
    <xf numFmtId="166" fontId="5" fillId="0" borderId="4" xfId="0" applyNumberFormat="1" applyFont="1" applyBorder="1" applyAlignment="1" applyProtection="1">
      <alignment wrapText="1"/>
      <protection locked="0"/>
    </xf>
    <xf numFmtId="0" fontId="17" fillId="4" borderId="4" xfId="0" applyFont="1" applyFill="1" applyBorder="1" applyAlignment="1">
      <alignment vertical="center" wrapText="1"/>
    </xf>
    <xf numFmtId="166" fontId="5" fillId="21" borderId="8" xfId="0" applyNumberFormat="1" applyFont="1" applyFill="1" applyBorder="1" applyAlignment="1" applyProtection="1">
      <alignment wrapText="1"/>
      <protection locked="0"/>
    </xf>
    <xf numFmtId="0" fontId="17" fillId="4" borderId="4" xfId="0" applyFont="1" applyFill="1" applyBorder="1" applyAlignment="1" applyProtection="1">
      <alignment vertical="center" wrapText="1"/>
      <protection locked="0"/>
    </xf>
    <xf numFmtId="166" fontId="5" fillId="3" borderId="4" xfId="5" applyNumberFormat="1" applyFont="1" applyFill="1" applyBorder="1" applyAlignment="1" applyProtection="1">
      <alignment horizontal="center" vertical="center" wrapText="1"/>
      <protection locked="0"/>
    </xf>
    <xf numFmtId="166" fontId="3" fillId="22" borderId="8" xfId="0" applyNumberFormat="1" applyFont="1" applyFill="1" applyBorder="1" applyAlignment="1">
      <alignment wrapText="1"/>
    </xf>
    <xf numFmtId="166" fontId="3" fillId="4" borderId="8" xfId="0" applyNumberFormat="1" applyFont="1" applyFill="1" applyBorder="1" applyAlignment="1">
      <alignment wrapText="1"/>
    </xf>
    <xf numFmtId="0" fontId="17" fillId="4" borderId="8" xfId="0" applyFont="1" applyFill="1" applyBorder="1" applyAlignment="1">
      <alignment vertical="center" wrapText="1"/>
    </xf>
    <xf numFmtId="166" fontId="3" fillId="18" borderId="19" xfId="0" applyNumberFormat="1" applyFont="1" applyFill="1" applyBorder="1" applyAlignment="1">
      <alignment horizontal="center" wrapText="1"/>
    </xf>
    <xf numFmtId="166" fontId="3" fillId="19" borderId="19" xfId="0" applyNumberFormat="1" applyFont="1" applyFill="1" applyBorder="1" applyAlignment="1">
      <alignment horizontal="center" wrapText="1"/>
    </xf>
    <xf numFmtId="166" fontId="3" fillId="10" borderId="19" xfId="0" applyNumberFormat="1" applyFont="1" applyFill="1" applyBorder="1" applyAlignment="1">
      <alignment horizontal="center" wrapText="1"/>
    </xf>
    <xf numFmtId="166" fontId="3" fillId="4" borderId="19" xfId="0" applyNumberFormat="1" applyFont="1" applyFill="1" applyBorder="1" applyAlignment="1">
      <alignment wrapText="1"/>
    </xf>
    <xf numFmtId="166" fontId="3" fillId="4" borderId="19" xfId="0" applyNumberFormat="1" applyFont="1" applyFill="1" applyBorder="1" applyAlignment="1">
      <alignment horizontal="center" wrapText="1"/>
    </xf>
    <xf numFmtId="0" fontId="3" fillId="4" borderId="19" xfId="0" applyFont="1" applyFill="1" applyBorder="1" applyAlignment="1">
      <alignment horizontal="left" wrapText="1"/>
    </xf>
    <xf numFmtId="0" fontId="3" fillId="0" borderId="0" xfId="0" applyFont="1" applyAlignment="1">
      <alignment horizontal="left" wrapText="1"/>
    </xf>
    <xf numFmtId="166" fontId="3" fillId="0" borderId="0" xfId="0" applyNumberFormat="1" applyFont="1" applyAlignment="1">
      <alignment wrapText="1"/>
    </xf>
    <xf numFmtId="166" fontId="5" fillId="3" borderId="8" xfId="5" applyNumberFormat="1" applyFont="1" applyFill="1" applyBorder="1" applyAlignment="1" applyProtection="1">
      <alignment horizontal="center" vertical="center" wrapText="1"/>
      <protection locked="0"/>
    </xf>
    <xf numFmtId="166" fontId="5" fillId="0" borderId="8" xfId="0" applyNumberFormat="1" applyFont="1" applyBorder="1" applyAlignment="1" applyProtection="1">
      <alignment wrapText="1"/>
      <protection locked="0"/>
    </xf>
    <xf numFmtId="166" fontId="3" fillId="3" borderId="7" xfId="0" applyNumberFormat="1" applyFont="1" applyFill="1" applyBorder="1" applyAlignment="1">
      <alignment wrapText="1"/>
    </xf>
    <xf numFmtId="166" fontId="3" fillId="3" borderId="6" xfId="5" applyNumberFormat="1" applyFont="1" applyFill="1" applyBorder="1" applyAlignment="1">
      <alignment wrapText="1"/>
    </xf>
    <xf numFmtId="164" fontId="3" fillId="3" borderId="21" xfId="5" applyFont="1" applyFill="1" applyBorder="1" applyAlignment="1">
      <alignment wrapText="1"/>
    </xf>
    <xf numFmtId="166" fontId="3" fillId="3" borderId="0" xfId="0" applyNumberFormat="1" applyFont="1" applyFill="1" applyAlignment="1">
      <alignment wrapText="1"/>
    </xf>
    <xf numFmtId="166" fontId="18" fillId="19" borderId="4" xfId="5" applyNumberFormat="1" applyFont="1" applyFill="1" applyBorder="1" applyAlignment="1">
      <alignment wrapText="1"/>
    </xf>
    <xf numFmtId="166" fontId="18" fillId="10" borderId="4" xfId="5" applyNumberFormat="1" applyFont="1" applyFill="1" applyBorder="1" applyAlignment="1">
      <alignment wrapText="1"/>
    </xf>
    <xf numFmtId="166" fontId="5" fillId="20" borderId="4" xfId="0" applyNumberFormat="1" applyFont="1" applyFill="1" applyBorder="1" applyAlignment="1" applyProtection="1">
      <alignment wrapText="1"/>
      <protection locked="0"/>
    </xf>
    <xf numFmtId="166" fontId="16" fillId="21" borderId="4" xfId="0" applyNumberFormat="1" applyFont="1" applyFill="1" applyBorder="1" applyAlignment="1" applyProtection="1">
      <alignment wrapText="1"/>
      <protection locked="0"/>
    </xf>
    <xf numFmtId="166" fontId="16" fillId="22" borderId="8" xfId="0" applyNumberFormat="1" applyFont="1" applyFill="1" applyBorder="1" applyAlignment="1" applyProtection="1">
      <alignment wrapText="1"/>
      <protection locked="0"/>
    </xf>
    <xf numFmtId="166" fontId="5" fillId="22" borderId="4" xfId="0" applyNumberFormat="1" applyFont="1" applyFill="1" applyBorder="1" applyAlignment="1">
      <alignment wrapText="1"/>
    </xf>
    <xf numFmtId="166" fontId="5" fillId="20" borderId="4" xfId="5" applyNumberFormat="1" applyFont="1" applyFill="1" applyBorder="1" applyAlignment="1" applyProtection="1">
      <alignment horizontal="center" vertical="center" wrapText="1"/>
      <protection locked="0"/>
    </xf>
    <xf numFmtId="166" fontId="5" fillId="21" borderId="4" xfId="5" applyNumberFormat="1" applyFont="1" applyFill="1" applyBorder="1" applyAlignment="1" applyProtection="1">
      <alignment horizontal="center" vertical="center" wrapText="1"/>
      <protection locked="0"/>
    </xf>
    <xf numFmtId="166" fontId="5" fillId="20" borderId="8" xfId="5" applyNumberFormat="1" applyFont="1" applyFill="1" applyBorder="1" applyAlignment="1" applyProtection="1">
      <alignment horizontal="center" vertical="center" wrapText="1"/>
      <protection locked="0"/>
    </xf>
    <xf numFmtId="166" fontId="5" fillId="21" borderId="8" xfId="5" applyNumberFormat="1" applyFont="1" applyFill="1" applyBorder="1" applyAlignment="1" applyProtection="1">
      <alignment horizontal="center" vertical="center" wrapText="1"/>
      <protection locked="0"/>
    </xf>
    <xf numFmtId="166" fontId="16" fillId="21" borderId="8" xfId="0" applyNumberFormat="1" applyFont="1" applyFill="1" applyBorder="1" applyAlignment="1" applyProtection="1">
      <alignment wrapText="1"/>
      <protection locked="0"/>
    </xf>
    <xf numFmtId="166" fontId="5" fillId="22" borderId="8" xfId="0" applyNumberFormat="1" applyFont="1" applyFill="1" applyBorder="1" applyAlignment="1" applyProtection="1">
      <alignment wrapText="1"/>
      <protection locked="0"/>
    </xf>
    <xf numFmtId="166" fontId="5" fillId="22" borderId="8" xfId="0" applyNumberFormat="1" applyFont="1" applyFill="1" applyBorder="1" applyAlignment="1">
      <alignment wrapText="1"/>
    </xf>
    <xf numFmtId="166" fontId="19" fillId="4" borderId="4" xfId="0" applyNumberFormat="1" applyFont="1" applyFill="1" applyBorder="1" applyAlignment="1">
      <alignment wrapText="1"/>
    </xf>
    <xf numFmtId="0" fontId="5" fillId="0" borderId="7" xfId="0" applyFont="1" applyBorder="1" applyAlignment="1">
      <alignment wrapText="1"/>
    </xf>
    <xf numFmtId="0" fontId="5" fillId="3" borderId="6" xfId="0" applyFont="1" applyFill="1" applyBorder="1" applyAlignment="1">
      <alignment wrapText="1"/>
    </xf>
    <xf numFmtId="0" fontId="5" fillId="0" borderId="21" xfId="0" applyFont="1" applyBorder="1" applyAlignment="1">
      <alignment wrapText="1"/>
    </xf>
    <xf numFmtId="166" fontId="3" fillId="4" borderId="5" xfId="0" applyNumberFormat="1" applyFont="1" applyFill="1" applyBorder="1" applyAlignment="1">
      <alignment wrapText="1"/>
    </xf>
    <xf numFmtId="166" fontId="3" fillId="24" borderId="5" xfId="5" applyNumberFormat="1" applyFont="1" applyFill="1" applyBorder="1" applyAlignment="1">
      <alignment wrapText="1"/>
    </xf>
    <xf numFmtId="164" fontId="3" fillId="24" borderId="5" xfId="5" applyFont="1" applyFill="1" applyBorder="1" applyAlignment="1">
      <alignment wrapText="1"/>
    </xf>
    <xf numFmtId="166" fontId="16" fillId="20" borderId="8" xfId="0" applyNumberFormat="1" applyFont="1" applyFill="1" applyBorder="1" applyAlignment="1" applyProtection="1">
      <alignment wrapText="1"/>
      <protection locked="0"/>
    </xf>
    <xf numFmtId="166" fontId="16" fillId="20" borderId="4" xfId="0" applyNumberFormat="1" applyFont="1" applyFill="1" applyBorder="1" applyAlignment="1" applyProtection="1">
      <alignment wrapText="1"/>
      <protection locked="0"/>
    </xf>
    <xf numFmtId="166" fontId="16" fillId="21" borderId="8" xfId="5" applyNumberFormat="1" applyFont="1" applyFill="1" applyBorder="1" applyAlignment="1" applyProtection="1">
      <alignment horizontal="center" vertical="center" wrapText="1"/>
      <protection locked="0"/>
    </xf>
    <xf numFmtId="166" fontId="16" fillId="20" borderId="4" xfId="5" applyNumberFormat="1" applyFont="1" applyFill="1" applyBorder="1" applyAlignment="1" applyProtection="1">
      <alignment horizontal="center" vertical="center" wrapText="1"/>
      <protection locked="0"/>
    </xf>
    <xf numFmtId="166" fontId="16" fillId="20" borderId="8" xfId="5" applyNumberFormat="1" applyFont="1" applyFill="1" applyBorder="1" applyAlignment="1" applyProtection="1">
      <alignment horizontal="center" vertical="center" wrapText="1"/>
      <protection locked="0"/>
    </xf>
    <xf numFmtId="166" fontId="3" fillId="3" borderId="6" xfId="0" applyNumberFormat="1" applyFont="1" applyFill="1" applyBorder="1" applyAlignment="1">
      <alignment wrapText="1"/>
    </xf>
    <xf numFmtId="166" fontId="19" fillId="25" borderId="4" xfId="5" applyNumberFormat="1" applyFont="1" applyFill="1" applyBorder="1" applyAlignment="1">
      <alignment wrapText="1"/>
    </xf>
    <xf numFmtId="166" fontId="3" fillId="17" borderId="33" xfId="0" applyNumberFormat="1" applyFont="1" applyFill="1" applyBorder="1" applyAlignment="1">
      <alignment wrapText="1"/>
    </xf>
    <xf numFmtId="166" fontId="3" fillId="18" borderId="33" xfId="0" applyNumberFormat="1" applyFont="1" applyFill="1" applyBorder="1" applyAlignment="1">
      <alignment horizontal="center" wrapText="1"/>
    </xf>
    <xf numFmtId="166" fontId="3" fillId="19" borderId="33" xfId="0" applyNumberFormat="1" applyFont="1" applyFill="1" applyBorder="1" applyAlignment="1">
      <alignment horizontal="center" wrapText="1"/>
    </xf>
    <xf numFmtId="166" fontId="3" fillId="10" borderId="33" xfId="0" applyNumberFormat="1" applyFont="1" applyFill="1" applyBorder="1" applyAlignment="1">
      <alignment horizontal="center" wrapText="1"/>
    </xf>
    <xf numFmtId="166" fontId="3" fillId="4" borderId="33" xfId="0" applyNumberFormat="1" applyFont="1" applyFill="1" applyBorder="1" applyAlignment="1">
      <alignment horizontal="center" wrapText="1"/>
    </xf>
    <xf numFmtId="0" fontId="3" fillId="4" borderId="33" xfId="0" applyFont="1" applyFill="1" applyBorder="1" applyAlignment="1">
      <alignment horizontal="left" wrapText="1"/>
    </xf>
    <xf numFmtId="0" fontId="5" fillId="0" borderId="4" xfId="0" applyFont="1" applyBorder="1" applyAlignment="1">
      <alignment wrapText="1"/>
    </xf>
    <xf numFmtId="0" fontId="3" fillId="18" borderId="4" xfId="5" applyNumberFormat="1" applyFont="1" applyFill="1" applyBorder="1" applyAlignment="1">
      <alignment horizontal="center" vertical="center" wrapText="1"/>
    </xf>
    <xf numFmtId="0" fontId="3" fillId="19" borderId="4" xfId="5" applyNumberFormat="1" applyFont="1" applyFill="1" applyBorder="1" applyAlignment="1">
      <alignment horizontal="center" vertical="center" wrapText="1"/>
    </xf>
    <xf numFmtId="0" fontId="3" fillId="10" borderId="4" xfId="5" applyNumberFormat="1" applyFont="1" applyFill="1" applyBorder="1" applyAlignment="1">
      <alignment horizontal="center" vertical="center" wrapText="1"/>
    </xf>
    <xf numFmtId="0" fontId="3" fillId="23" borderId="4" xfId="5" applyNumberFormat="1" applyFont="1" applyFill="1" applyBorder="1" applyAlignment="1">
      <alignment horizontal="center" vertical="center" wrapText="1"/>
    </xf>
    <xf numFmtId="0" fontId="3" fillId="3" borderId="0" xfId="0" applyFont="1" applyFill="1" applyAlignment="1">
      <alignment horizontal="left" wrapText="1"/>
    </xf>
    <xf numFmtId="164" fontId="3" fillId="23" borderId="4" xfId="5" applyFont="1" applyFill="1" applyBorder="1" applyAlignment="1">
      <alignment horizontal="center" vertical="center" wrapText="1"/>
    </xf>
    <xf numFmtId="0" fontId="0" fillId="3" borderId="0" xfId="0" applyFill="1"/>
    <xf numFmtId="167" fontId="0" fillId="3" borderId="0" xfId="0" applyNumberFormat="1" applyFill="1"/>
    <xf numFmtId="0" fontId="4" fillId="3" borderId="0" xfId="0" applyFont="1" applyFill="1" applyAlignment="1">
      <alignment horizontal="left" wrapText="1"/>
    </xf>
    <xf numFmtId="0" fontId="20" fillId="0" borderId="0" xfId="0" applyFont="1" applyAlignment="1">
      <alignment horizontal="left" vertical="center" wrapText="1"/>
    </xf>
    <xf numFmtId="0" fontId="22" fillId="0" borderId="0" xfId="0" applyFont="1" applyAlignment="1">
      <alignment horizontal="left" wrapText="1"/>
    </xf>
    <xf numFmtId="0" fontId="0" fillId="0" borderId="0" xfId="0" applyAlignment="1">
      <alignment wrapText="1"/>
    </xf>
    <xf numFmtId="0" fontId="3" fillId="0" borderId="0" xfId="0" applyFont="1" applyAlignment="1">
      <alignment wrapText="1"/>
    </xf>
    <xf numFmtId="0" fontId="23" fillId="0" borderId="0" xfId="0" applyFont="1" applyAlignment="1">
      <alignment wrapText="1"/>
    </xf>
    <xf numFmtId="0" fontId="0" fillId="3" borderId="0" xfId="0" applyFill="1" applyAlignment="1">
      <alignment wrapText="1"/>
    </xf>
    <xf numFmtId="0" fontId="5" fillId="0" borderId="4" xfId="0" applyFont="1" applyBorder="1" applyAlignment="1">
      <alignment horizontal="left" wrapText="1"/>
    </xf>
    <xf numFmtId="0" fontId="3" fillId="4" borderId="21" xfId="0" applyFont="1" applyFill="1" applyBorder="1" applyAlignment="1">
      <alignment wrapText="1"/>
    </xf>
    <xf numFmtId="0" fontId="3" fillId="4" borderId="6" xfId="0" applyFont="1" applyFill="1" applyBorder="1" applyAlignment="1">
      <alignment wrapText="1"/>
    </xf>
    <xf numFmtId="0" fontId="3" fillId="4" borderId="7" xfId="0" applyFont="1" applyFill="1" applyBorder="1" applyAlignment="1">
      <alignment wrapText="1"/>
    </xf>
    <xf numFmtId="164" fontId="3" fillId="3" borderId="26" xfId="5" applyFont="1" applyFill="1" applyBorder="1" applyAlignment="1">
      <alignment wrapText="1"/>
    </xf>
    <xf numFmtId="166" fontId="3" fillId="3" borderId="26" xfId="5" applyNumberFormat="1" applyFont="1" applyFill="1" applyBorder="1" applyAlignment="1">
      <alignment wrapText="1"/>
    </xf>
    <xf numFmtId="166" fontId="3" fillId="3" borderId="50" xfId="0" applyNumberFormat="1" applyFont="1" applyFill="1" applyBorder="1" applyAlignment="1">
      <alignment wrapText="1"/>
    </xf>
    <xf numFmtId="164" fontId="3" fillId="3" borderId="22" xfId="5" applyFont="1" applyFill="1" applyBorder="1" applyAlignment="1">
      <alignment wrapText="1"/>
    </xf>
    <xf numFmtId="166" fontId="3" fillId="17" borderId="36" xfId="0" applyNumberFormat="1" applyFont="1" applyFill="1" applyBorder="1" applyAlignment="1">
      <alignment wrapText="1"/>
    </xf>
    <xf numFmtId="166" fontId="3" fillId="17" borderId="41" xfId="0" applyNumberFormat="1" applyFont="1" applyFill="1" applyBorder="1" applyAlignment="1">
      <alignment wrapText="1"/>
    </xf>
    <xf numFmtId="166" fontId="3" fillId="17" borderId="30" xfId="0" applyNumberFormat="1" applyFont="1" applyFill="1" applyBorder="1" applyAlignment="1">
      <alignment wrapText="1"/>
    </xf>
    <xf numFmtId="0" fontId="0" fillId="0" borderId="4" xfId="0" applyBorder="1" applyAlignment="1">
      <alignment wrapText="1"/>
    </xf>
    <xf numFmtId="166" fontId="3" fillId="17" borderId="42" xfId="0" applyNumberFormat="1" applyFont="1" applyFill="1" applyBorder="1" applyAlignment="1">
      <alignment wrapText="1"/>
    </xf>
    <xf numFmtId="166" fontId="14" fillId="17" borderId="42" xfId="0" applyNumberFormat="1" applyFont="1" applyFill="1" applyBorder="1" applyAlignment="1">
      <alignment wrapText="1"/>
    </xf>
    <xf numFmtId="166" fontId="3" fillId="17" borderId="37" xfId="0" applyNumberFormat="1" applyFont="1" applyFill="1" applyBorder="1" applyAlignment="1">
      <alignment wrapText="1"/>
    </xf>
    <xf numFmtId="166" fontId="3" fillId="27" borderId="8" xfId="0" applyNumberFormat="1" applyFont="1" applyFill="1" applyBorder="1" applyAlignment="1">
      <alignment wrapText="1"/>
    </xf>
    <xf numFmtId="166" fontId="11" fillId="3" borderId="4" xfId="2" applyFont="1" applyFill="1" applyBorder="1" applyAlignment="1" applyProtection="1">
      <alignment vertical="center" wrapText="1"/>
      <protection locked="0"/>
    </xf>
    <xf numFmtId="166" fontId="11" fillId="3" borderId="8" xfId="2" applyFont="1" applyFill="1" applyBorder="1" applyAlignment="1" applyProtection="1">
      <alignment horizontal="center" vertical="center" wrapText="1"/>
      <protection locked="0"/>
    </xf>
    <xf numFmtId="166" fontId="11" fillId="3" borderId="4" xfId="2" applyFont="1" applyFill="1" applyBorder="1" applyAlignment="1" applyProtection="1">
      <alignment horizontal="center" vertical="center" wrapText="1"/>
      <protection locked="0"/>
    </xf>
    <xf numFmtId="0" fontId="25" fillId="0" borderId="0" xfId="0" applyFont="1"/>
    <xf numFmtId="4" fontId="0" fillId="0" borderId="16" xfId="4" applyNumberFormat="1" applyFont="1" applyFill="1" applyBorder="1" applyAlignment="1">
      <alignment horizontal="right" vertical="center"/>
    </xf>
    <xf numFmtId="4" fontId="0" fillId="0" borderId="17" xfId="4" applyNumberFormat="1" applyFont="1" applyBorder="1" applyAlignment="1">
      <alignment horizontal="right" vertical="center"/>
    </xf>
    <xf numFmtId="4" fontId="0" fillId="0" borderId="7" xfId="4" applyNumberFormat="1" applyFont="1" applyBorder="1" applyAlignment="1">
      <alignment horizontal="center" vertical="center" wrapText="1"/>
    </xf>
    <xf numFmtId="4" fontId="0" fillId="0" borderId="21" xfId="4" applyNumberFormat="1" applyFont="1" applyBorder="1" applyAlignment="1">
      <alignment horizontal="center" vertical="center" wrapText="1"/>
    </xf>
    <xf numFmtId="4" fontId="0" fillId="0" borderId="16" xfId="4" applyNumberFormat="1" applyFont="1" applyBorder="1" applyAlignment="1">
      <alignment horizontal="right" vertical="center"/>
    </xf>
    <xf numFmtId="4" fontId="0" fillId="0" borderId="7" xfId="4" applyNumberFormat="1" applyFont="1" applyBorder="1" applyAlignment="1">
      <alignment horizontal="right" vertical="center"/>
    </xf>
    <xf numFmtId="4" fontId="2" fillId="9" borderId="16" xfId="4" applyNumberFormat="1" applyFont="1" applyFill="1" applyBorder="1" applyAlignment="1">
      <alignment horizontal="center" vertical="center" wrapText="1"/>
    </xf>
    <xf numFmtId="4" fontId="2" fillId="9" borderId="17" xfId="4" applyNumberFormat="1" applyFont="1" applyFill="1" applyBorder="1" applyAlignment="1">
      <alignment horizontal="center" vertical="center" wrapText="1"/>
    </xf>
    <xf numFmtId="4" fontId="2" fillId="9" borderId="7" xfId="4" applyNumberFormat="1" applyFont="1" applyFill="1" applyBorder="1" applyAlignment="1">
      <alignment horizontal="center" vertical="center" wrapText="1"/>
    </xf>
    <xf numFmtId="4" fontId="2" fillId="10" borderId="7" xfId="4" applyNumberFormat="1" applyFont="1" applyFill="1" applyBorder="1" applyAlignment="1">
      <alignment horizontal="right" vertical="center"/>
    </xf>
    <xf numFmtId="4" fontId="2" fillId="10" borderId="17" xfId="4" applyNumberFormat="1" applyFont="1" applyFill="1" applyBorder="1" applyAlignment="1">
      <alignment horizontal="right" vertical="center"/>
    </xf>
    <xf numFmtId="4" fontId="0" fillId="0" borderId="16" xfId="4" applyNumberFormat="1" applyFont="1" applyBorder="1" applyAlignment="1">
      <alignment horizontal="center" vertical="center" wrapText="1"/>
    </xf>
    <xf numFmtId="4" fontId="0" fillId="0" borderId="17" xfId="4" applyNumberFormat="1" applyFont="1" applyBorder="1" applyAlignment="1">
      <alignment horizontal="center" vertical="center" wrapText="1"/>
    </xf>
    <xf numFmtId="4" fontId="2" fillId="9" borderId="18" xfId="4" applyNumberFormat="1" applyFont="1" applyFill="1" applyBorder="1" applyAlignment="1">
      <alignment horizontal="center" vertical="center" wrapText="1"/>
    </xf>
    <xf numFmtId="4" fontId="2" fillId="4" borderId="19" xfId="4" applyNumberFormat="1" applyFont="1" applyFill="1" applyBorder="1" applyAlignment="1">
      <alignment horizontal="center" vertical="center" wrapText="1"/>
    </xf>
    <xf numFmtId="4" fontId="2" fillId="9" borderId="29" xfId="4" applyNumberFormat="1" applyFont="1" applyFill="1" applyBorder="1" applyAlignment="1">
      <alignment horizontal="center" vertical="center" wrapText="1"/>
    </xf>
    <xf numFmtId="4" fontId="2" fillId="9" borderId="20" xfId="4" applyNumberFormat="1" applyFont="1" applyFill="1" applyBorder="1" applyAlignment="1">
      <alignment horizontal="center" vertical="center" wrapText="1"/>
    </xf>
    <xf numFmtId="4" fontId="2" fillId="10" borderId="29" xfId="4" applyNumberFormat="1" applyFont="1" applyFill="1" applyBorder="1" applyAlignment="1">
      <alignment horizontal="right" vertical="center"/>
    </xf>
    <xf numFmtId="4" fontId="2" fillId="10" borderId="20" xfId="4" applyNumberFormat="1" applyFont="1" applyFill="1" applyBorder="1" applyAlignment="1">
      <alignment horizontal="right" vertical="center"/>
    </xf>
    <xf numFmtId="0" fontId="11" fillId="11" borderId="0" xfId="0" applyFont="1" applyFill="1" applyAlignment="1">
      <alignment vertical="center" wrapText="1"/>
    </xf>
    <xf numFmtId="166" fontId="11" fillId="0" borderId="5" xfId="2" applyFont="1" applyFill="1" applyBorder="1" applyAlignment="1" applyProtection="1">
      <alignment horizontal="center" vertical="center" wrapText="1"/>
      <protection locked="0"/>
    </xf>
    <xf numFmtId="0" fontId="25" fillId="3" borderId="0" xfId="0" applyFont="1" applyFill="1"/>
    <xf numFmtId="165" fontId="25" fillId="0" borderId="0" xfId="0" applyNumberFormat="1" applyFont="1"/>
    <xf numFmtId="166" fontId="25" fillId="0" borderId="0" xfId="0" applyNumberFormat="1" applyFont="1"/>
    <xf numFmtId="165" fontId="0" fillId="0" borderId="0" xfId="0" applyNumberFormat="1"/>
    <xf numFmtId="166" fontId="27" fillId="13" borderId="4" xfId="2" applyFont="1" applyFill="1" applyBorder="1" applyAlignment="1" applyProtection="1">
      <alignment horizontal="center" vertical="center" wrapText="1"/>
    </xf>
    <xf numFmtId="166" fontId="27" fillId="0" borderId="4" xfId="2" applyFont="1" applyFill="1" applyBorder="1" applyAlignment="1" applyProtection="1">
      <alignment horizontal="center" vertical="center" wrapText="1"/>
      <protection locked="0"/>
    </xf>
    <xf numFmtId="166" fontId="27" fillId="0" borderId="5" xfId="2" applyFont="1" applyFill="1" applyBorder="1" applyAlignment="1" applyProtection="1">
      <alignment horizontal="center" vertical="center" wrapText="1"/>
      <protection locked="0"/>
    </xf>
    <xf numFmtId="43" fontId="0" fillId="0" borderId="0" xfId="0" applyNumberFormat="1"/>
    <xf numFmtId="0" fontId="10" fillId="28" borderId="4" xfId="0" applyFont="1" applyFill="1" applyBorder="1" applyAlignment="1">
      <alignment vertical="center" wrapText="1"/>
    </xf>
    <xf numFmtId="165" fontId="26" fillId="0" borderId="0" xfId="0" applyNumberFormat="1" applyFont="1" applyAlignment="1">
      <alignment wrapText="1"/>
    </xf>
    <xf numFmtId="166" fontId="28" fillId="0" borderId="4" xfId="2" applyFont="1" applyFill="1" applyBorder="1" applyAlignment="1" applyProtection="1">
      <alignment horizontal="center" vertical="center" wrapText="1"/>
      <protection locked="0"/>
    </xf>
    <xf numFmtId="166" fontId="28" fillId="0" borderId="4" xfId="2" applyFont="1" applyFill="1" applyBorder="1" applyAlignment="1" applyProtection="1">
      <alignment vertical="center" wrapText="1"/>
      <protection locked="0"/>
    </xf>
    <xf numFmtId="166" fontId="29" fillId="21" borderId="8" xfId="0" applyNumberFormat="1" applyFont="1" applyFill="1" applyBorder="1" applyAlignment="1">
      <alignment wrapText="1"/>
    </xf>
    <xf numFmtId="166" fontId="29" fillId="22" borderId="41" xfId="0" applyNumberFormat="1" applyFont="1" applyFill="1" applyBorder="1" applyAlignment="1">
      <alignment wrapText="1"/>
    </xf>
    <xf numFmtId="4" fontId="0" fillId="0" borderId="39" xfId="4" applyNumberFormat="1" applyFont="1" applyFill="1" applyBorder="1" applyAlignment="1">
      <alignment horizontal="right" vertical="center"/>
    </xf>
    <xf numFmtId="166" fontId="10" fillId="12" borderId="0" xfId="0" applyNumberFormat="1" applyFont="1" applyFill="1" applyAlignment="1" applyProtection="1">
      <alignment vertical="center" wrapText="1"/>
      <protection locked="0"/>
    </xf>
    <xf numFmtId="166" fontId="11" fillId="29" borderId="8" xfId="2" applyFont="1" applyFill="1" applyBorder="1" applyAlignment="1" applyProtection="1">
      <alignment horizontal="center" vertical="center" wrapText="1"/>
      <protection locked="0"/>
    </xf>
    <xf numFmtId="166" fontId="11" fillId="17" borderId="4" xfId="2" applyFont="1" applyFill="1" applyBorder="1" applyAlignment="1" applyProtection="1">
      <alignment vertical="center" wrapText="1"/>
      <protection locked="0"/>
    </xf>
    <xf numFmtId="166" fontId="11" fillId="30" borderId="4" xfId="2" applyFont="1" applyFill="1" applyBorder="1" applyAlignment="1" applyProtection="1">
      <alignment vertical="center" wrapText="1"/>
      <protection locked="0"/>
    </xf>
    <xf numFmtId="165" fontId="26" fillId="0" borderId="0" xfId="0" applyNumberFormat="1" applyFont="1"/>
    <xf numFmtId="0" fontId="26" fillId="0" borderId="0" xfId="0" applyFont="1"/>
    <xf numFmtId="0" fontId="26" fillId="3" borderId="0" xfId="0" applyFont="1" applyFill="1"/>
    <xf numFmtId="165" fontId="26" fillId="3" borderId="0" xfId="0" applyNumberFormat="1" applyFont="1" applyFill="1"/>
    <xf numFmtId="168" fontId="26" fillId="0" borderId="0" xfId="0" applyNumberFormat="1" applyFont="1"/>
    <xf numFmtId="166" fontId="5" fillId="29" borderId="8" xfId="0" applyNumberFormat="1" applyFont="1" applyFill="1" applyBorder="1" applyAlignment="1">
      <alignment wrapText="1"/>
    </xf>
    <xf numFmtId="166" fontId="5" fillId="29" borderId="41" xfId="0" applyNumberFormat="1" applyFont="1" applyFill="1" applyBorder="1" applyAlignment="1">
      <alignment wrapText="1"/>
    </xf>
    <xf numFmtId="166" fontId="30" fillId="29" borderId="8" xfId="0" applyNumberFormat="1" applyFont="1" applyFill="1" applyBorder="1" applyAlignment="1">
      <alignment wrapText="1"/>
    </xf>
    <xf numFmtId="166" fontId="3" fillId="26" borderId="5" xfId="0" applyNumberFormat="1" applyFont="1" applyFill="1" applyBorder="1" applyAlignment="1">
      <alignment horizontal="center" vertical="center" wrapText="1"/>
    </xf>
    <xf numFmtId="166" fontId="3" fillId="26" borderId="8" xfId="0" applyNumberFormat="1" applyFont="1" applyFill="1" applyBorder="1" applyAlignment="1">
      <alignment horizontal="center" vertical="center" wrapText="1"/>
    </xf>
    <xf numFmtId="0" fontId="3" fillId="4" borderId="21" xfId="0" applyFont="1" applyFill="1" applyBorder="1" applyAlignment="1">
      <alignment horizontal="left" wrapText="1"/>
    </xf>
    <xf numFmtId="0" fontId="3" fillId="4" borderId="6" xfId="0" applyFont="1" applyFill="1" applyBorder="1" applyAlignment="1">
      <alignment horizontal="left" wrapText="1"/>
    </xf>
    <xf numFmtId="0" fontId="3" fillId="4" borderId="7" xfId="0" applyFont="1" applyFill="1" applyBorder="1" applyAlignment="1">
      <alignment horizontal="left" wrapText="1"/>
    </xf>
    <xf numFmtId="0" fontId="3" fillId="4" borderId="4" xfId="0" applyFont="1" applyFill="1" applyBorder="1" applyAlignment="1">
      <alignment horizontal="left" wrapText="1"/>
    </xf>
    <xf numFmtId="0" fontId="3" fillId="4" borderId="41" xfId="0" applyFont="1" applyFill="1" applyBorder="1" applyAlignment="1">
      <alignment horizontal="left" wrapText="1"/>
    </xf>
    <xf numFmtId="0" fontId="3" fillId="4" borderId="49" xfId="0" applyFont="1" applyFill="1" applyBorder="1" applyAlignment="1">
      <alignment horizontal="left" wrapText="1"/>
    </xf>
    <xf numFmtId="0" fontId="3" fillId="4" borderId="48" xfId="0" applyFont="1" applyFill="1" applyBorder="1" applyAlignment="1">
      <alignment horizontal="left" wrapText="1"/>
    </xf>
    <xf numFmtId="0" fontId="3" fillId="17" borderId="1" xfId="0" applyFont="1" applyFill="1" applyBorder="1" applyAlignment="1">
      <alignment horizontal="center" wrapText="1"/>
    </xf>
    <xf numFmtId="0" fontId="3" fillId="17" borderId="2" xfId="0" applyFont="1" applyFill="1" applyBorder="1" applyAlignment="1">
      <alignment horizontal="center" wrapText="1"/>
    </xf>
    <xf numFmtId="0" fontId="3" fillId="17" borderId="3" xfId="0" applyFont="1" applyFill="1" applyBorder="1" applyAlignment="1">
      <alignment horizontal="center" wrapText="1"/>
    </xf>
    <xf numFmtId="0" fontId="0" fillId="26" borderId="4" xfId="0" applyFill="1" applyBorder="1" applyAlignment="1">
      <alignment horizontal="center" wrapText="1"/>
    </xf>
    <xf numFmtId="0" fontId="3" fillId="4" borderId="46" xfId="0" applyFont="1" applyFill="1" applyBorder="1" applyAlignment="1">
      <alignment horizontal="center" vertical="center" wrapText="1"/>
    </xf>
    <xf numFmtId="0" fontId="3" fillId="4" borderId="41" xfId="0" applyFont="1" applyFill="1" applyBorder="1" applyAlignment="1">
      <alignment horizontal="center" vertical="center" wrapText="1"/>
    </xf>
    <xf numFmtId="164" fontId="3" fillId="10" borderId="9" xfId="5" applyFont="1" applyFill="1" applyBorder="1" applyAlignment="1">
      <alignment horizontal="center" vertical="center" wrapText="1"/>
    </xf>
    <xf numFmtId="164" fontId="3" fillId="10" borderId="10" xfId="5" applyFont="1" applyFill="1" applyBorder="1" applyAlignment="1">
      <alignment horizontal="center" vertical="center" wrapText="1"/>
    </xf>
    <xf numFmtId="164" fontId="3" fillId="10" borderId="11" xfId="5" applyFont="1" applyFill="1" applyBorder="1" applyAlignment="1">
      <alignment horizontal="center" vertical="center" wrapText="1"/>
    </xf>
    <xf numFmtId="164" fontId="3" fillId="19" borderId="9" xfId="5" applyFont="1" applyFill="1" applyBorder="1" applyAlignment="1">
      <alignment horizontal="center" vertical="center" wrapText="1"/>
    </xf>
    <xf numFmtId="164" fontId="3" fillId="19" borderId="10" xfId="5" applyFont="1" applyFill="1" applyBorder="1" applyAlignment="1">
      <alignment horizontal="center" vertical="center" wrapText="1"/>
    </xf>
    <xf numFmtId="164" fontId="3" fillId="19" borderId="11" xfId="5" applyFont="1" applyFill="1" applyBorder="1" applyAlignment="1">
      <alignment horizontal="center" vertical="center" wrapText="1"/>
    </xf>
    <xf numFmtId="164" fontId="3" fillId="18" borderId="9" xfId="5" applyFont="1" applyFill="1" applyBorder="1" applyAlignment="1">
      <alignment horizontal="center" vertical="center" wrapText="1"/>
    </xf>
    <xf numFmtId="164" fontId="3" fillId="18" borderId="10" xfId="5" applyFont="1" applyFill="1" applyBorder="1" applyAlignment="1">
      <alignment horizontal="center" vertical="center" wrapText="1"/>
    </xf>
    <xf numFmtId="164" fontId="3" fillId="18" borderId="11" xfId="5" applyFont="1" applyFill="1" applyBorder="1" applyAlignment="1">
      <alignment horizontal="center" vertical="center" wrapText="1"/>
    </xf>
    <xf numFmtId="0" fontId="3" fillId="17" borderId="21" xfId="0" applyFont="1" applyFill="1" applyBorder="1" applyAlignment="1">
      <alignment horizontal="center" wrapText="1"/>
    </xf>
    <xf numFmtId="0" fontId="3" fillId="17" borderId="6" xfId="0" applyFont="1" applyFill="1" applyBorder="1" applyAlignment="1">
      <alignment horizontal="center" wrapText="1"/>
    </xf>
    <xf numFmtId="0" fontId="3" fillId="17" borderId="7" xfId="0" applyFont="1" applyFill="1" applyBorder="1" applyAlignment="1">
      <alignment horizontal="center" wrapText="1"/>
    </xf>
    <xf numFmtId="0" fontId="3" fillId="23" borderId="5" xfId="0" applyFont="1" applyFill="1" applyBorder="1" applyAlignment="1">
      <alignment horizontal="center" vertical="center" wrapText="1"/>
    </xf>
    <xf numFmtId="0" fontId="3" fillId="23" borderId="8" xfId="0" applyFont="1" applyFill="1" applyBorder="1" applyAlignment="1">
      <alignment horizontal="center" vertical="center" wrapText="1"/>
    </xf>
    <xf numFmtId="164" fontId="3" fillId="10" borderId="22" xfId="5" applyFont="1" applyFill="1" applyBorder="1" applyAlignment="1">
      <alignment horizontal="center" vertical="center" wrapText="1"/>
    </xf>
    <xf numFmtId="164" fontId="3" fillId="10" borderId="26" xfId="5" applyFont="1" applyFill="1" applyBorder="1" applyAlignment="1">
      <alignment horizontal="center" vertical="center" wrapText="1"/>
    </xf>
    <xf numFmtId="164" fontId="3" fillId="10" borderId="50" xfId="5" applyFont="1" applyFill="1" applyBorder="1" applyAlignment="1">
      <alignment horizontal="center" vertical="center" wrapText="1"/>
    </xf>
    <xf numFmtId="164" fontId="3" fillId="19" borderId="21" xfId="5" applyFont="1" applyFill="1" applyBorder="1" applyAlignment="1">
      <alignment horizontal="center" vertical="center" wrapText="1"/>
    </xf>
    <xf numFmtId="164" fontId="3" fillId="19" borderId="6" xfId="5" applyFont="1" applyFill="1" applyBorder="1" applyAlignment="1">
      <alignment horizontal="center" vertical="center" wrapText="1"/>
    </xf>
    <xf numFmtId="164" fontId="3" fillId="19" borderId="7" xfId="5" applyFont="1" applyFill="1" applyBorder="1" applyAlignment="1">
      <alignment horizontal="center" vertical="center" wrapText="1"/>
    </xf>
    <xf numFmtId="164" fontId="3" fillId="18" borderId="21" xfId="5" applyFont="1" applyFill="1" applyBorder="1" applyAlignment="1">
      <alignment horizontal="center" vertical="center" wrapText="1"/>
    </xf>
    <xf numFmtId="164" fontId="3" fillId="18" borderId="6" xfId="5" applyFont="1" applyFill="1" applyBorder="1" applyAlignment="1">
      <alignment horizontal="center" vertical="center" wrapText="1"/>
    </xf>
    <xf numFmtId="164" fontId="3" fillId="18" borderId="7" xfId="5" applyFont="1" applyFill="1" applyBorder="1" applyAlignment="1">
      <alignment horizontal="center" vertical="center" wrapText="1"/>
    </xf>
    <xf numFmtId="0" fontId="3" fillId="17" borderId="5" xfId="0" applyFont="1" applyFill="1" applyBorder="1" applyAlignment="1">
      <alignment horizontal="center" vertical="center" wrapText="1"/>
    </xf>
    <xf numFmtId="0" fontId="3" fillId="17" borderId="8" xfId="0" applyFont="1" applyFill="1" applyBorder="1" applyAlignment="1">
      <alignment horizontal="center" vertical="center" wrapText="1"/>
    </xf>
    <xf numFmtId="0" fontId="3" fillId="26" borderId="4" xfId="0" applyFont="1" applyFill="1" applyBorder="1" applyAlignment="1">
      <alignment horizontal="center" wrapText="1"/>
    </xf>
    <xf numFmtId="0" fontId="24" fillId="0" borderId="0" xfId="0" applyFont="1" applyAlignment="1">
      <alignment horizontal="left" vertical="top" wrapText="1"/>
    </xf>
    <xf numFmtId="0" fontId="22" fillId="2" borderId="45" xfId="0" applyFont="1" applyFill="1" applyBorder="1" applyAlignment="1">
      <alignment horizontal="left" wrapText="1"/>
    </xf>
    <xf numFmtId="0" fontId="22" fillId="2" borderId="44" xfId="0" applyFont="1" applyFill="1" applyBorder="1" applyAlignment="1">
      <alignment horizontal="left" wrapText="1"/>
    </xf>
    <xf numFmtId="0" fontId="22" fillId="2" borderId="54" xfId="0" applyFont="1" applyFill="1" applyBorder="1" applyAlignment="1">
      <alignment horizontal="left" wrapText="1"/>
    </xf>
    <xf numFmtId="0" fontId="20" fillId="2" borderId="47"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53"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3" fillId="23" borderId="21" xfId="0" applyFont="1" applyFill="1" applyBorder="1" applyAlignment="1">
      <alignment horizontal="center" wrapText="1"/>
    </xf>
    <xf numFmtId="0" fontId="3" fillId="23" borderId="6" xfId="0" applyFont="1" applyFill="1" applyBorder="1" applyAlignment="1">
      <alignment horizontal="center" wrapText="1"/>
    </xf>
    <xf numFmtId="0" fontId="3" fillId="23" borderId="7" xfId="0" applyFont="1" applyFill="1" applyBorder="1" applyAlignment="1">
      <alignment horizontal="center" wrapText="1"/>
    </xf>
    <xf numFmtId="0" fontId="3" fillId="29" borderId="4" xfId="0" applyFont="1" applyFill="1" applyBorder="1" applyAlignment="1">
      <alignment horizontal="left" wrapText="1"/>
    </xf>
    <xf numFmtId="0" fontId="3" fillId="17" borderId="43" xfId="0" applyFont="1" applyFill="1" applyBorder="1" applyAlignment="1">
      <alignment horizontal="center" vertical="center" wrapText="1"/>
    </xf>
    <xf numFmtId="0" fontId="3" fillId="17" borderId="38" xfId="0" applyFont="1" applyFill="1" applyBorder="1" applyAlignment="1">
      <alignment horizontal="center" vertical="center" wrapText="1"/>
    </xf>
    <xf numFmtId="0" fontId="3" fillId="23" borderId="1" xfId="0" applyFont="1" applyFill="1" applyBorder="1" applyAlignment="1">
      <alignment horizontal="center" wrapText="1"/>
    </xf>
    <xf numFmtId="0" fontId="3" fillId="23" borderId="2" xfId="0" applyFont="1" applyFill="1" applyBorder="1" applyAlignment="1">
      <alignment horizontal="center" wrapText="1"/>
    </xf>
    <xf numFmtId="0" fontId="3" fillId="23" borderId="3" xfId="0" applyFont="1" applyFill="1" applyBorder="1" applyAlignment="1">
      <alignment horizontal="center" wrapText="1"/>
    </xf>
    <xf numFmtId="0" fontId="10" fillId="0" borderId="0" xfId="0" applyFont="1" applyAlignment="1">
      <alignment horizontal="center" vertical="center" wrapText="1"/>
    </xf>
    <xf numFmtId="0" fontId="8" fillId="13" borderId="27"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12" borderId="21" xfId="0" applyFont="1" applyFill="1" applyBorder="1" applyAlignment="1" applyProtection="1">
      <alignment horizontal="left" vertical="top" wrapText="1"/>
      <protection locked="0"/>
    </xf>
    <xf numFmtId="0" fontId="10" fillId="12" borderId="6" xfId="0" applyFont="1" applyFill="1" applyBorder="1" applyAlignment="1" applyProtection="1">
      <alignment horizontal="left" vertical="top" wrapText="1"/>
      <protection locked="0"/>
    </xf>
    <xf numFmtId="0" fontId="10" fillId="12" borderId="7"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14" xfId="0" applyFont="1" applyFill="1" applyBorder="1" applyAlignment="1">
      <alignment horizontal="center" vertical="center" wrapText="1"/>
    </xf>
    <xf numFmtId="166" fontId="10" fillId="13" borderId="13" xfId="2" applyFont="1" applyFill="1" applyBorder="1" applyAlignment="1" applyProtection="1">
      <alignment horizontal="center" vertical="center" wrapText="1"/>
    </xf>
    <xf numFmtId="166" fontId="10" fillId="13" borderId="15" xfId="2" applyFont="1" applyFill="1" applyBorder="1" applyAlignment="1" applyProtection="1">
      <alignment horizontal="center" vertical="center" wrapText="1"/>
    </xf>
    <xf numFmtId="0" fontId="10" fillId="12" borderId="4" xfId="0" applyFont="1" applyFill="1" applyBorder="1" applyAlignment="1" applyProtection="1">
      <alignment horizontal="left" vertical="top" wrapText="1"/>
      <protection locked="0"/>
    </xf>
    <xf numFmtId="0" fontId="11" fillId="12" borderId="22" xfId="0" applyFont="1" applyFill="1" applyBorder="1" applyAlignment="1" applyProtection="1">
      <alignment horizontal="left" vertical="top" wrapText="1"/>
      <protection locked="0"/>
    </xf>
    <xf numFmtId="0" fontId="11" fillId="12" borderId="26" xfId="0" applyFont="1" applyFill="1" applyBorder="1" applyAlignment="1" applyProtection="1">
      <alignment horizontal="left" vertical="top" wrapText="1"/>
      <protection locked="0"/>
    </xf>
    <xf numFmtId="49" fontId="10" fillId="12" borderId="4" xfId="0" applyNumberFormat="1" applyFont="1" applyFill="1" applyBorder="1" applyAlignment="1" applyProtection="1">
      <alignment horizontal="left" vertical="top" wrapText="1"/>
      <protection locked="0"/>
    </xf>
    <xf numFmtId="49" fontId="11" fillId="12" borderId="4" xfId="0" applyNumberFormat="1" applyFont="1" applyFill="1" applyBorder="1" applyAlignment="1" applyProtection="1">
      <alignment horizontal="left" vertical="top" wrapText="1"/>
      <protection locked="0"/>
    </xf>
    <xf numFmtId="0" fontId="10" fillId="15" borderId="4"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27" xfId="0" applyFont="1" applyFill="1" applyBorder="1" applyAlignment="1">
      <alignment horizontal="center" vertical="center" wrapText="1"/>
    </xf>
  </cellXfs>
  <cellStyles count="6">
    <cellStyle name="Comma" xfId="1" builtinId="3"/>
    <cellStyle name="Currency" xfId="2" builtinId="4"/>
    <cellStyle name="Currency 2" xfId="5" xr:uid="{00000000-0005-0000-0000-000000000000}"/>
    <cellStyle name="Milliers 2" xfId="4" xr:uid="{00000000-0005-0000-0000-000002000000}"/>
    <cellStyle name="Normal" xfId="0" builtinId="0"/>
    <cellStyle name="Percent" xfId="3"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ason Hanitriniony" id="{57469DF7-8D2E-41E2-A54A-8A1B6D80B9DF}" userId="S::rason.hanitriniony@undp.org::041a069a-261b-4120-8e6a-fe7753c2674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3" dT="2025-06-10T05:20:34.49" personId="{57469DF7-8D2E-41E2-A54A-8A1B6D80B9DF}" id="{B7ED3257-7832-4057-831A-48F1EDC180B6}">
    <text>Merci d’apporter les explications nécessaires par rapport à ce dépassement budgétaire, le ST PBF est-il informé</text>
  </threadedComment>
  <threadedComment ref="I66" dT="2025-06-10T05:15:19.02" personId="{57469DF7-8D2E-41E2-A54A-8A1B6D80B9DF}" id="{5985F528-9FD5-40D6-94FA-5AA2014EAE0A}">
    <text>Merci d’apporter des clarifications par rapport à ce dépassement budgétaire, est-ce-qu’une demande au préalable a été envoyé auprès du ST PBF (PNUD)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7"/>
  <sheetViews>
    <sheetView tabSelected="1" zoomScale="55" zoomScaleNormal="55" workbookViewId="0">
      <pane xSplit="2" ySplit="4" topLeftCell="C48" activePane="bottomRight" state="frozen"/>
      <selection pane="bottomRight" activeCell="B50" sqref="B50"/>
      <selection pane="bottomLeft" activeCell="A5" sqref="A5"/>
      <selection pane="topRight" activeCell="C1" sqref="C1"/>
    </sheetView>
  </sheetViews>
  <sheetFormatPr defaultColWidth="11.42578125" defaultRowHeight="14.45"/>
  <cols>
    <col min="1" max="1" width="30.7109375" customWidth="1"/>
    <col min="2" max="2" width="90.7109375" customWidth="1"/>
    <col min="3" max="3" width="23.28515625" bestFit="1" customWidth="1"/>
    <col min="4" max="4" width="19.5703125" customWidth="1"/>
    <col min="5" max="5" width="17.42578125" customWidth="1"/>
    <col min="6" max="6" width="23.140625" customWidth="1"/>
    <col min="7" max="7" width="22.5703125" hidden="1" customWidth="1"/>
    <col min="8" max="8" width="22.85546875" hidden="1" customWidth="1"/>
    <col min="9" max="9" width="18.85546875" bestFit="1" customWidth="1"/>
    <col min="10" max="10" width="18.5703125" bestFit="1" customWidth="1"/>
    <col min="11" max="11" width="17.7109375" customWidth="1"/>
    <col min="12" max="12" width="26.5703125" customWidth="1"/>
    <col min="13" max="13" width="17.7109375" customWidth="1"/>
    <col min="14" max="14" width="22.5703125" customWidth="1"/>
  </cols>
  <sheetData>
    <row r="1" spans="1:14" ht="26.45" thickBot="1">
      <c r="A1" s="393" t="s">
        <v>0</v>
      </c>
      <c r="B1" s="394"/>
      <c r="C1" s="394"/>
      <c r="D1" s="394"/>
      <c r="E1" s="394"/>
      <c r="F1" s="394"/>
      <c r="G1" s="395"/>
      <c r="H1" s="6"/>
      <c r="I1" s="6"/>
      <c r="J1" s="6"/>
      <c r="K1" s="6"/>
      <c r="L1" s="6"/>
      <c r="M1" s="6"/>
      <c r="N1" s="6"/>
    </row>
    <row r="2" spans="1:14">
      <c r="A2" s="6"/>
      <c r="B2" s="7"/>
      <c r="C2" s="6"/>
      <c r="D2" s="6"/>
      <c r="E2" s="6"/>
      <c r="F2" s="6"/>
      <c r="G2" s="6"/>
      <c r="H2" s="6"/>
      <c r="I2" s="6"/>
      <c r="J2" s="6"/>
      <c r="K2" s="6"/>
      <c r="L2" s="6"/>
      <c r="M2" s="6"/>
      <c r="N2" s="6"/>
    </row>
    <row r="3" spans="1:14" ht="15" thickBot="1">
      <c r="A3" s="6"/>
      <c r="B3" s="7"/>
      <c r="C3" s="8"/>
      <c r="D3" s="8"/>
      <c r="E3" s="8"/>
      <c r="F3" s="8"/>
      <c r="G3" s="6"/>
      <c r="H3" s="9"/>
      <c r="I3" s="9"/>
      <c r="J3" s="6"/>
      <c r="K3" s="6"/>
      <c r="L3" s="6"/>
      <c r="M3" s="6"/>
      <c r="N3" s="6"/>
    </row>
    <row r="4" spans="1:14" ht="202.5" customHeight="1">
      <c r="A4" s="12" t="s">
        <v>1</v>
      </c>
      <c r="B4" s="13" t="s">
        <v>2</v>
      </c>
      <c r="C4" s="14" t="s">
        <v>3</v>
      </c>
      <c r="D4" s="14" t="s">
        <v>4</v>
      </c>
      <c r="E4" s="14" t="s">
        <v>5</v>
      </c>
      <c r="F4" s="14" t="s">
        <v>6</v>
      </c>
      <c r="G4" s="14" t="s">
        <v>7</v>
      </c>
      <c r="H4" s="15" t="s">
        <v>8</v>
      </c>
      <c r="I4" s="16" t="s">
        <v>9</v>
      </c>
      <c r="J4" s="16" t="s">
        <v>10</v>
      </c>
      <c r="K4" s="16" t="s">
        <v>11</v>
      </c>
      <c r="L4" s="18" t="s">
        <v>12</v>
      </c>
      <c r="M4" s="17" t="s">
        <v>13</v>
      </c>
      <c r="N4" s="19" t="s">
        <v>8</v>
      </c>
    </row>
    <row r="5" spans="1:14" ht="15.6">
      <c r="A5" s="20"/>
      <c r="B5" s="3"/>
      <c r="C5" s="4" t="s">
        <v>14</v>
      </c>
      <c r="D5" s="10" t="s">
        <v>15</v>
      </c>
      <c r="E5" s="4"/>
      <c r="F5" s="1"/>
      <c r="G5" s="2"/>
      <c r="H5" s="2"/>
      <c r="I5" s="4" t="s">
        <v>14</v>
      </c>
      <c r="J5" s="10" t="s">
        <v>15</v>
      </c>
      <c r="K5" s="4"/>
      <c r="L5" s="21"/>
      <c r="M5" s="4"/>
      <c r="N5" s="22"/>
    </row>
    <row r="6" spans="1:14" ht="15.75" customHeight="1">
      <c r="A6" s="306" t="s">
        <v>16</v>
      </c>
      <c r="B6" s="410" t="s">
        <v>17</v>
      </c>
      <c r="C6" s="410"/>
      <c r="D6" s="410"/>
      <c r="E6" s="410"/>
      <c r="F6" s="410"/>
      <c r="G6" s="410"/>
      <c r="H6" s="410"/>
      <c r="I6" s="410"/>
      <c r="J6" s="410"/>
      <c r="K6" s="410"/>
      <c r="L6" s="410"/>
      <c r="M6" s="410"/>
      <c r="N6" s="410"/>
    </row>
    <row r="7" spans="1:14" ht="15.75" customHeight="1">
      <c r="A7" s="31" t="s">
        <v>18</v>
      </c>
      <c r="B7" s="411" t="s">
        <v>19</v>
      </c>
      <c r="C7" s="411"/>
      <c r="D7" s="411"/>
      <c r="E7" s="411"/>
      <c r="F7" s="411"/>
      <c r="G7" s="411"/>
      <c r="H7" s="411"/>
      <c r="I7" s="411"/>
      <c r="J7" s="411"/>
      <c r="K7" s="411"/>
      <c r="L7" s="411"/>
      <c r="M7" s="411"/>
      <c r="N7" s="411"/>
    </row>
    <row r="8" spans="1:14" ht="30.95">
      <c r="A8" s="32" t="s">
        <v>20</v>
      </c>
      <c r="B8" s="33" t="s">
        <v>21</v>
      </c>
      <c r="C8" s="34">
        <v>46588</v>
      </c>
      <c r="D8" s="34"/>
      <c r="E8" s="34"/>
      <c r="F8" s="35">
        <f>SUM(C8:E8)</f>
        <v>46588</v>
      </c>
      <c r="G8" s="36">
        <v>0.3</v>
      </c>
      <c r="H8" s="37"/>
      <c r="I8" s="34">
        <v>46000</v>
      </c>
      <c r="J8" s="34"/>
      <c r="K8" s="34"/>
      <c r="L8" s="35">
        <f>I8+J8+K8</f>
        <v>46000</v>
      </c>
      <c r="M8" s="36">
        <v>0.3</v>
      </c>
      <c r="N8" s="86"/>
    </row>
    <row r="9" spans="1:14" ht="30.95">
      <c r="A9" s="32" t="s">
        <v>22</v>
      </c>
      <c r="B9" s="33" t="s">
        <v>23</v>
      </c>
      <c r="C9" s="34">
        <v>27422</v>
      </c>
      <c r="D9" s="34"/>
      <c r="E9" s="34"/>
      <c r="F9" s="35">
        <f t="shared" ref="F9:F11" si="0">SUM(C9:E9)</f>
        <v>27422</v>
      </c>
      <c r="G9" s="36">
        <v>0.3</v>
      </c>
      <c r="H9" s="37"/>
      <c r="I9" s="34">
        <v>15000</v>
      </c>
      <c r="J9" s="34"/>
      <c r="K9" s="34"/>
      <c r="L9" s="35">
        <f>I9+J9+K9</f>
        <v>15000</v>
      </c>
      <c r="M9" s="36">
        <v>0.3</v>
      </c>
      <c r="N9" s="86"/>
    </row>
    <row r="10" spans="1:14" ht="30.95">
      <c r="A10" s="32" t="s">
        <v>24</v>
      </c>
      <c r="B10" s="33" t="s">
        <v>25</v>
      </c>
      <c r="C10" s="34">
        <v>29584</v>
      </c>
      <c r="D10" s="34"/>
      <c r="E10" s="34"/>
      <c r="F10" s="35">
        <f>SUM(C10:E10)</f>
        <v>29584</v>
      </c>
      <c r="G10" s="36">
        <v>0.25</v>
      </c>
      <c r="H10" s="37"/>
      <c r="I10" s="34">
        <v>12000</v>
      </c>
      <c r="J10" s="34"/>
      <c r="K10" s="34"/>
      <c r="L10" s="35">
        <f t="shared" ref="L10:L11" si="1">I10+J10+K10</f>
        <v>12000</v>
      </c>
      <c r="M10" s="36">
        <v>0.25</v>
      </c>
      <c r="N10" s="86"/>
    </row>
    <row r="11" spans="1:14" ht="30.95">
      <c r="A11" s="32" t="s">
        <v>26</v>
      </c>
      <c r="B11" s="33" t="s">
        <v>27</v>
      </c>
      <c r="C11" s="34">
        <v>80639</v>
      </c>
      <c r="D11" s="34"/>
      <c r="E11" s="34"/>
      <c r="F11" s="35">
        <f t="shared" si="0"/>
        <v>80639</v>
      </c>
      <c r="G11" s="36">
        <v>0.3</v>
      </c>
      <c r="H11" s="38"/>
      <c r="I11" s="34">
        <v>67245</v>
      </c>
      <c r="J11" s="34"/>
      <c r="K11" s="34"/>
      <c r="L11" s="35">
        <f t="shared" si="1"/>
        <v>67245</v>
      </c>
      <c r="M11" s="36">
        <v>0.3</v>
      </c>
      <c r="N11" s="86"/>
    </row>
    <row r="12" spans="1:14" ht="15.6">
      <c r="A12" s="43"/>
      <c r="B12" s="44" t="s">
        <v>28</v>
      </c>
      <c r="C12" s="45">
        <f>SUM(C8:C11)</f>
        <v>184233</v>
      </c>
      <c r="D12" s="45">
        <f>SUM(D8:D11)</f>
        <v>0</v>
      </c>
      <c r="E12" s="45">
        <f>SUM(E8:E11)</f>
        <v>0</v>
      </c>
      <c r="F12" s="45">
        <f>SUM(F8:F11)</f>
        <v>184233</v>
      </c>
      <c r="G12" s="45">
        <f>(G8*F8)+(G9*F9)+(G11*F11)+(F10*G10)</f>
        <v>53790.7</v>
      </c>
      <c r="H12" s="45"/>
      <c r="I12" s="45">
        <f>SUM(I8:I11)</f>
        <v>140245</v>
      </c>
      <c r="J12" s="45">
        <f>SUM(J8:J11)</f>
        <v>0</v>
      </c>
      <c r="K12" s="45">
        <f t="shared" ref="K12" si="2">SUM(K8:K11)</f>
        <v>0</v>
      </c>
      <c r="L12" s="45">
        <f>SUM(L8:L11)</f>
        <v>140245</v>
      </c>
      <c r="M12" s="45">
        <f>SUM(M8:M11)</f>
        <v>1.1499999999999999</v>
      </c>
      <c r="N12" s="45"/>
    </row>
    <row r="13" spans="1:14" ht="15.75" customHeight="1">
      <c r="A13" s="31" t="s">
        <v>29</v>
      </c>
      <c r="B13" s="399" t="s">
        <v>30</v>
      </c>
      <c r="C13" s="399"/>
      <c r="D13" s="399"/>
      <c r="E13" s="399"/>
      <c r="F13" s="399"/>
      <c r="G13" s="399"/>
      <c r="H13" s="399"/>
      <c r="I13" s="399"/>
      <c r="J13" s="399"/>
      <c r="K13" s="399"/>
      <c r="L13" s="399"/>
      <c r="M13" s="399"/>
      <c r="N13" s="399"/>
    </row>
    <row r="14" spans="1:14" ht="30.95">
      <c r="A14" s="32" t="s">
        <v>31</v>
      </c>
      <c r="B14" s="87" t="s">
        <v>32</v>
      </c>
      <c r="C14" s="88">
        <v>41284</v>
      </c>
      <c r="D14" s="88"/>
      <c r="E14" s="88"/>
      <c r="F14" s="89">
        <f>SUM(C14:E14)</f>
        <v>41284</v>
      </c>
      <c r="G14" s="90">
        <v>0.4</v>
      </c>
      <c r="H14" s="91"/>
      <c r="I14" s="88">
        <v>24000</v>
      </c>
      <c r="J14" s="274"/>
      <c r="K14" s="88"/>
      <c r="L14" s="35">
        <f>I14+J14+K14</f>
        <v>24000</v>
      </c>
      <c r="M14" s="90">
        <v>0.4</v>
      </c>
      <c r="N14" s="86"/>
    </row>
    <row r="15" spans="1:14" ht="46.5">
      <c r="A15" s="32" t="s">
        <v>33</v>
      </c>
      <c r="B15" s="33" t="s">
        <v>34</v>
      </c>
      <c r="C15" s="34">
        <v>19448</v>
      </c>
      <c r="D15" s="34"/>
      <c r="E15" s="34"/>
      <c r="F15" s="35">
        <f t="shared" ref="F15:F21" si="3">SUM(C15:E15)</f>
        <v>19448</v>
      </c>
      <c r="G15" s="36">
        <v>0.3</v>
      </c>
      <c r="H15" s="37"/>
      <c r="I15" s="34"/>
      <c r="J15" s="275"/>
      <c r="K15" s="34"/>
      <c r="L15" s="35">
        <f t="shared" ref="L15:L21" si="4">I15+J15+K15</f>
        <v>0</v>
      </c>
      <c r="M15" s="36">
        <v>0.3</v>
      </c>
      <c r="N15" s="86"/>
    </row>
    <row r="16" spans="1:14" ht="30.95">
      <c r="A16" s="32" t="s">
        <v>35</v>
      </c>
      <c r="B16" s="33" t="s">
        <v>36</v>
      </c>
      <c r="C16" s="34">
        <v>23470</v>
      </c>
      <c r="D16" s="34"/>
      <c r="E16" s="34"/>
      <c r="F16" s="35">
        <f t="shared" si="3"/>
        <v>23470</v>
      </c>
      <c r="G16" s="36">
        <v>0.3</v>
      </c>
      <c r="H16" s="37"/>
      <c r="I16" s="34">
        <v>16157</v>
      </c>
      <c r="J16" s="275"/>
      <c r="K16" s="34"/>
      <c r="L16" s="35">
        <f t="shared" si="4"/>
        <v>16157</v>
      </c>
      <c r="M16" s="36">
        <v>0.3</v>
      </c>
      <c r="N16" s="86"/>
    </row>
    <row r="17" spans="1:14" ht="30.95">
      <c r="A17" s="32" t="s">
        <v>37</v>
      </c>
      <c r="B17" s="33" t="s">
        <v>38</v>
      </c>
      <c r="C17" s="34">
        <v>83220</v>
      </c>
      <c r="D17" s="34"/>
      <c r="E17" s="34"/>
      <c r="F17" s="35">
        <f t="shared" si="3"/>
        <v>83220</v>
      </c>
      <c r="G17" s="36">
        <v>0.35</v>
      </c>
      <c r="H17" s="38"/>
      <c r="I17" s="34">
        <v>40910</v>
      </c>
      <c r="J17" s="275"/>
      <c r="K17" s="34"/>
      <c r="L17" s="35">
        <f t="shared" si="4"/>
        <v>40910</v>
      </c>
      <c r="M17" s="36">
        <v>0.35</v>
      </c>
      <c r="N17" s="86"/>
    </row>
    <row r="18" spans="1:14" ht="30.95">
      <c r="A18" s="32" t="s">
        <v>39</v>
      </c>
      <c r="B18" s="33" t="s">
        <v>40</v>
      </c>
      <c r="C18" s="34">
        <v>23106</v>
      </c>
      <c r="D18" s="34"/>
      <c r="E18" s="34"/>
      <c r="F18" s="35">
        <f t="shared" si="3"/>
        <v>23106</v>
      </c>
      <c r="G18" s="36">
        <v>0.35</v>
      </c>
      <c r="H18" s="38"/>
      <c r="I18" s="34">
        <v>20000</v>
      </c>
      <c r="J18" s="34"/>
      <c r="K18" s="34"/>
      <c r="L18" s="35">
        <f t="shared" si="4"/>
        <v>20000</v>
      </c>
      <c r="M18" s="36">
        <v>0.35</v>
      </c>
      <c r="N18" s="86"/>
    </row>
    <row r="19" spans="1:14" ht="15.6">
      <c r="A19" s="32" t="s">
        <v>41</v>
      </c>
      <c r="B19" s="33"/>
      <c r="C19" s="34"/>
      <c r="D19" s="34"/>
      <c r="E19" s="34"/>
      <c r="F19" s="35">
        <f t="shared" si="3"/>
        <v>0</v>
      </c>
      <c r="G19" s="36"/>
      <c r="H19" s="38"/>
      <c r="I19" s="34"/>
      <c r="J19" s="34"/>
      <c r="K19" s="34"/>
      <c r="L19" s="35">
        <f t="shared" si="4"/>
        <v>0</v>
      </c>
      <c r="M19" s="34"/>
      <c r="N19" s="86"/>
    </row>
    <row r="20" spans="1:14" ht="15.6">
      <c r="A20" s="32" t="s">
        <v>42</v>
      </c>
      <c r="B20" s="39"/>
      <c r="C20" s="40"/>
      <c r="D20" s="40"/>
      <c r="E20" s="40"/>
      <c r="F20" s="35">
        <f t="shared" si="3"/>
        <v>0</v>
      </c>
      <c r="G20" s="36"/>
      <c r="H20" s="42"/>
      <c r="I20" s="40"/>
      <c r="J20" s="40"/>
      <c r="K20" s="40"/>
      <c r="L20" s="35">
        <f t="shared" si="4"/>
        <v>0</v>
      </c>
      <c r="M20" s="40"/>
      <c r="N20" s="86"/>
    </row>
    <row r="21" spans="1:14" ht="15.6">
      <c r="A21" s="32" t="s">
        <v>43</v>
      </c>
      <c r="B21" s="39"/>
      <c r="C21" s="40"/>
      <c r="D21" s="40"/>
      <c r="E21" s="40"/>
      <c r="F21" s="35">
        <f t="shared" si="3"/>
        <v>0</v>
      </c>
      <c r="G21" s="41"/>
      <c r="H21" s="42"/>
      <c r="I21" s="40"/>
      <c r="J21" s="40"/>
      <c r="K21" s="40"/>
      <c r="L21" s="35">
        <f t="shared" si="4"/>
        <v>0</v>
      </c>
      <c r="M21" s="40"/>
      <c r="N21" s="86"/>
    </row>
    <row r="22" spans="1:14" ht="15.6">
      <c r="A22" s="43"/>
      <c r="B22" s="44" t="s">
        <v>28</v>
      </c>
      <c r="C22" s="46">
        <f>SUM(C14:C21)</f>
        <v>190528</v>
      </c>
      <c r="D22" s="46">
        <f>SUM(D14:D21)</f>
        <v>0</v>
      </c>
      <c r="E22" s="46">
        <f>SUM(E14:E21)</f>
        <v>0</v>
      </c>
      <c r="F22" s="46">
        <f>SUM(F14:F21)</f>
        <v>190528</v>
      </c>
      <c r="G22" s="45">
        <f>(G14*F14)+(G15*F15)+(G16*F16)+(G17*F17)+(G18*F18)+(G19*F19)+(G20*F20)+(G21*F21)</f>
        <v>66603.100000000006</v>
      </c>
      <c r="H22" s="45"/>
      <c r="I22" s="45">
        <f>SUM(I14:I21)</f>
        <v>101067</v>
      </c>
      <c r="J22" s="45">
        <f>SUM(J14:J21)</f>
        <v>0</v>
      </c>
      <c r="K22" s="45">
        <f>SUM(K14:K21)</f>
        <v>0</v>
      </c>
      <c r="L22" s="45">
        <f>SUM(L14:L21)</f>
        <v>101067</v>
      </c>
      <c r="M22" s="45">
        <f>SUM(M14:M21)</f>
        <v>1.7000000000000002</v>
      </c>
      <c r="N22" s="35"/>
    </row>
    <row r="23" spans="1:14" ht="15.75" customHeight="1">
      <c r="A23" s="31" t="s">
        <v>44</v>
      </c>
      <c r="B23" s="399"/>
      <c r="C23" s="399"/>
      <c r="D23" s="399"/>
      <c r="E23" s="399"/>
      <c r="F23" s="399"/>
      <c r="G23" s="399"/>
      <c r="H23" s="399"/>
      <c r="I23" s="399"/>
      <c r="J23" s="399"/>
      <c r="K23" s="399"/>
      <c r="L23" s="399"/>
      <c r="M23" s="399"/>
      <c r="N23" s="399"/>
    </row>
    <row r="24" spans="1:14" ht="15.6">
      <c r="A24" s="32" t="s">
        <v>45</v>
      </c>
      <c r="B24" s="33"/>
      <c r="C24" s="34"/>
      <c r="D24" s="34"/>
      <c r="E24" s="34"/>
      <c r="F24" s="35">
        <f>SUM(C24:E24)</f>
        <v>0</v>
      </c>
      <c r="G24" s="36"/>
      <c r="H24" s="38"/>
      <c r="I24" s="34"/>
      <c r="J24" s="34"/>
      <c r="K24" s="34"/>
      <c r="L24" s="35">
        <f>I24+J24+K24</f>
        <v>0</v>
      </c>
      <c r="M24" s="36"/>
      <c r="N24" s="86"/>
    </row>
    <row r="25" spans="1:14" ht="15.6">
      <c r="A25" s="32" t="s">
        <v>46</v>
      </c>
      <c r="B25" s="33"/>
      <c r="C25" s="34"/>
      <c r="D25" s="34"/>
      <c r="E25" s="34"/>
      <c r="F25" s="35">
        <f t="shared" ref="F25:F26" si="5">SUM(C25:E25)</f>
        <v>0</v>
      </c>
      <c r="G25" s="36"/>
      <c r="H25" s="38"/>
      <c r="I25" s="34"/>
      <c r="J25" s="34"/>
      <c r="K25" s="34"/>
      <c r="L25" s="35">
        <f t="shared" ref="L25:L26" si="6">I25+J25+K25</f>
        <v>0</v>
      </c>
      <c r="M25" s="36"/>
      <c r="N25" s="86"/>
    </row>
    <row r="26" spans="1:14" ht="15.6">
      <c r="A26" s="32" t="s">
        <v>47</v>
      </c>
      <c r="B26" s="33"/>
      <c r="C26" s="34"/>
      <c r="D26" s="34"/>
      <c r="E26" s="34"/>
      <c r="F26" s="35">
        <f t="shared" si="5"/>
        <v>0</v>
      </c>
      <c r="G26" s="36"/>
      <c r="H26" s="38"/>
      <c r="I26" s="34"/>
      <c r="J26" s="34"/>
      <c r="K26" s="34"/>
      <c r="L26" s="35">
        <f t="shared" si="6"/>
        <v>0</v>
      </c>
      <c r="M26" s="36"/>
      <c r="N26" s="86"/>
    </row>
    <row r="27" spans="1:14" ht="15.6">
      <c r="A27" s="43"/>
      <c r="B27" s="44" t="s">
        <v>28</v>
      </c>
      <c r="C27" s="46">
        <f>SUM(C24:C26)</f>
        <v>0</v>
      </c>
      <c r="D27" s="46">
        <f>SUM(D24:D26)</f>
        <v>0</v>
      </c>
      <c r="E27" s="46">
        <f>SUM(E24:E26)</f>
        <v>0</v>
      </c>
      <c r="F27" s="46">
        <f>SUM(F24:F26)</f>
        <v>0</v>
      </c>
      <c r="G27" s="45">
        <f>(G24*F24)+(G25*F25)+(G26*F26)</f>
        <v>0</v>
      </c>
      <c r="H27" s="45"/>
      <c r="I27" s="45">
        <f>SUM(I24:I26)</f>
        <v>0</v>
      </c>
      <c r="J27" s="45">
        <f>SUM(J24:J26)</f>
        <v>0</v>
      </c>
      <c r="K27" s="45">
        <f>SUM(K24:K26)</f>
        <v>0</v>
      </c>
      <c r="L27" s="45">
        <f>SUM(L24:L26)</f>
        <v>0</v>
      </c>
      <c r="M27" s="45">
        <f>SUM(M24:M26)</f>
        <v>0</v>
      </c>
      <c r="N27" s="35"/>
    </row>
    <row r="28" spans="1:14" ht="15.6">
      <c r="A28" s="43"/>
      <c r="B28" s="94"/>
      <c r="C28" s="95"/>
      <c r="D28" s="95"/>
      <c r="E28" s="95"/>
      <c r="F28" s="95"/>
      <c r="G28" s="96"/>
      <c r="H28" s="96"/>
      <c r="I28" s="96"/>
      <c r="J28" s="96"/>
      <c r="K28" s="96"/>
      <c r="L28" s="96"/>
      <c r="M28" s="96"/>
      <c r="N28" s="97"/>
    </row>
    <row r="29" spans="1:14" ht="15.6">
      <c r="A29" s="43"/>
      <c r="B29" s="94"/>
      <c r="C29" s="95"/>
      <c r="D29" s="95"/>
      <c r="E29" s="95"/>
      <c r="F29" s="95"/>
      <c r="G29" s="96"/>
      <c r="H29" s="96"/>
      <c r="I29" s="96"/>
      <c r="J29" s="96"/>
      <c r="K29" s="96"/>
      <c r="L29" s="96"/>
      <c r="M29" s="96"/>
      <c r="N29" s="97"/>
    </row>
    <row r="30" spans="1:14" ht="15.75" customHeight="1">
      <c r="A30" s="306" t="s">
        <v>48</v>
      </c>
      <c r="B30" s="396" t="s">
        <v>49</v>
      </c>
      <c r="C30" s="397"/>
      <c r="D30" s="397"/>
      <c r="E30" s="397"/>
      <c r="F30" s="397"/>
      <c r="G30" s="397"/>
      <c r="H30" s="397"/>
      <c r="I30" s="397"/>
      <c r="J30" s="397"/>
      <c r="K30" s="397"/>
      <c r="L30" s="397"/>
      <c r="M30" s="397"/>
      <c r="N30" s="398"/>
    </row>
    <row r="31" spans="1:14" ht="15.75" customHeight="1">
      <c r="A31" s="31" t="s">
        <v>50</v>
      </c>
      <c r="B31" s="399" t="s">
        <v>51</v>
      </c>
      <c r="C31" s="399"/>
      <c r="D31" s="399"/>
      <c r="E31" s="399"/>
      <c r="F31" s="399"/>
      <c r="G31" s="399"/>
      <c r="H31" s="399"/>
      <c r="I31" s="399"/>
      <c r="J31" s="399"/>
      <c r="K31" s="399"/>
      <c r="L31" s="399"/>
      <c r="M31" s="399"/>
      <c r="N31" s="399"/>
    </row>
    <row r="32" spans="1:14" ht="46.5">
      <c r="A32" s="32" t="s">
        <v>52</v>
      </c>
      <c r="B32" s="87" t="s">
        <v>53</v>
      </c>
      <c r="C32" s="88">
        <v>500000</v>
      </c>
      <c r="D32" s="88">
        <v>150000</v>
      </c>
      <c r="E32" s="88"/>
      <c r="F32" s="89">
        <f>SUM(C32:E32)</f>
        <v>650000</v>
      </c>
      <c r="G32" s="90">
        <v>0.35</v>
      </c>
      <c r="H32" s="91"/>
      <c r="I32" s="88">
        <v>87926</v>
      </c>
      <c r="J32" s="88">
        <v>102619.99</v>
      </c>
      <c r="K32" s="88"/>
      <c r="L32" s="35">
        <f>+I32+J32+K32</f>
        <v>190545.99</v>
      </c>
      <c r="M32" s="90">
        <v>0.35</v>
      </c>
      <c r="N32" s="86"/>
    </row>
    <row r="33" spans="1:14" ht="30.95">
      <c r="A33" s="32" t="s">
        <v>54</v>
      </c>
      <c r="B33" s="33" t="s">
        <v>55</v>
      </c>
      <c r="C33" s="34"/>
      <c r="D33" s="303">
        <v>100000</v>
      </c>
      <c r="E33" s="34"/>
      <c r="F33" s="302">
        <v>100000</v>
      </c>
      <c r="G33" s="36">
        <v>0.4</v>
      </c>
      <c r="H33" s="37"/>
      <c r="I33" s="88"/>
      <c r="J33" s="34">
        <v>11108.84</v>
      </c>
      <c r="K33" s="34"/>
      <c r="L33" s="35">
        <f t="shared" ref="L33:L35" si="7">+I33+J33+K33</f>
        <v>11108.84</v>
      </c>
      <c r="M33" s="36">
        <v>0.4</v>
      </c>
      <c r="N33" s="86"/>
    </row>
    <row r="34" spans="1:14" ht="32.25">
      <c r="A34" s="32" t="s">
        <v>56</v>
      </c>
      <c r="B34" s="33" t="s">
        <v>57</v>
      </c>
      <c r="C34" s="34">
        <v>10000</v>
      </c>
      <c r="D34" s="34">
        <v>10000</v>
      </c>
      <c r="E34" s="34"/>
      <c r="F34" s="35">
        <f t="shared" ref="F34:F35" si="8">SUM(C34:E34)</f>
        <v>20000</v>
      </c>
      <c r="G34" s="36"/>
      <c r="H34" s="37"/>
      <c r="I34" s="88"/>
      <c r="J34" s="34">
        <v>8535.1200000000008</v>
      </c>
      <c r="K34" s="34"/>
      <c r="L34" s="35">
        <f t="shared" si="7"/>
        <v>8535.1200000000008</v>
      </c>
      <c r="M34" s="36"/>
      <c r="N34" s="86"/>
    </row>
    <row r="35" spans="1:14" ht="30.95">
      <c r="A35" s="32" t="s">
        <v>58</v>
      </c>
      <c r="B35" s="33" t="s">
        <v>59</v>
      </c>
      <c r="C35" s="34">
        <v>28461</v>
      </c>
      <c r="D35" s="34">
        <v>50000</v>
      </c>
      <c r="E35" s="34"/>
      <c r="F35" s="35">
        <f t="shared" si="8"/>
        <v>78461</v>
      </c>
      <c r="G35" s="36">
        <v>0.4</v>
      </c>
      <c r="H35" s="37"/>
      <c r="I35" s="88">
        <v>7761.51</v>
      </c>
      <c r="J35" s="34">
        <v>44.36</v>
      </c>
      <c r="K35" s="34"/>
      <c r="L35" s="35">
        <f t="shared" si="7"/>
        <v>7805.87</v>
      </c>
      <c r="M35" s="36">
        <v>0.4</v>
      </c>
      <c r="N35" s="86"/>
    </row>
    <row r="36" spans="1:14" ht="15.6">
      <c r="A36" s="32"/>
      <c r="B36" s="33"/>
      <c r="C36" s="34"/>
      <c r="D36" s="34"/>
      <c r="E36" s="34"/>
      <c r="F36" s="35"/>
      <c r="G36" s="36"/>
      <c r="H36" s="38"/>
      <c r="I36" s="34"/>
      <c r="J36" s="34"/>
      <c r="K36" s="34"/>
      <c r="L36" s="35">
        <f t="shared" ref="L36" si="9">SUM(I36:K36)</f>
        <v>0</v>
      </c>
      <c r="M36" s="34"/>
      <c r="N36" s="86"/>
    </row>
    <row r="37" spans="1:14" ht="15.6">
      <c r="A37" s="43"/>
      <c r="B37" s="44" t="s">
        <v>28</v>
      </c>
      <c r="C37" s="45">
        <f>SUM(C32:C36)</f>
        <v>538461</v>
      </c>
      <c r="D37" s="45">
        <f>SUM(D32:D36)</f>
        <v>310000</v>
      </c>
      <c r="E37" s="45">
        <f>SUM(E32:E36)</f>
        <v>0</v>
      </c>
      <c r="F37" s="46">
        <f>SUM(F32:F36)</f>
        <v>848461</v>
      </c>
      <c r="G37" s="45">
        <f>(G32*F32)+(G33*F33)+(G36*F36)</f>
        <v>267500</v>
      </c>
      <c r="H37" s="45"/>
      <c r="I37" s="45">
        <f>SUM(I32:I36)</f>
        <v>95687.51</v>
      </c>
      <c r="J37" s="45">
        <f>SUM(J32:J36)</f>
        <v>122308.31</v>
      </c>
      <c r="K37" s="45">
        <f>SUM(K32:K36)</f>
        <v>0</v>
      </c>
      <c r="L37" s="45">
        <f>SUM(L32:L36)</f>
        <v>217995.81999999998</v>
      </c>
      <c r="M37" s="45">
        <f>SUM(M32:M36)</f>
        <v>1.1499999999999999</v>
      </c>
      <c r="N37" s="35"/>
    </row>
    <row r="38" spans="1:14" ht="15.6">
      <c r="A38" s="31" t="s">
        <v>60</v>
      </c>
      <c r="B38" s="399" t="s">
        <v>61</v>
      </c>
      <c r="C38" s="399"/>
      <c r="D38" s="399"/>
      <c r="E38" s="399"/>
      <c r="F38" s="399"/>
      <c r="G38" s="399"/>
      <c r="H38" s="399"/>
    </row>
    <row r="39" spans="1:14" ht="46.5">
      <c r="A39" s="32" t="s">
        <v>62</v>
      </c>
      <c r="B39" s="33" t="s">
        <v>63</v>
      </c>
      <c r="C39" s="34">
        <v>100000</v>
      </c>
      <c r="D39" s="34">
        <v>25000</v>
      </c>
      <c r="E39" s="34">
        <v>0</v>
      </c>
      <c r="F39" s="35">
        <f>SUM(C39:E39)</f>
        <v>125000</v>
      </c>
      <c r="G39" s="36">
        <v>0.35</v>
      </c>
      <c r="H39" s="37"/>
      <c r="I39" s="34">
        <v>78781.23</v>
      </c>
      <c r="J39" s="34">
        <v>44972.9</v>
      </c>
      <c r="K39" s="34"/>
      <c r="L39" s="35">
        <f>+I39+J39+K39</f>
        <v>123754.13</v>
      </c>
      <c r="M39" s="36">
        <v>0.35</v>
      </c>
      <c r="N39" s="86"/>
    </row>
    <row r="40" spans="1:14" ht="46.5">
      <c r="A40" s="32" t="s">
        <v>64</v>
      </c>
      <c r="B40" s="33" t="s">
        <v>65</v>
      </c>
      <c r="C40" s="34">
        <v>345615</v>
      </c>
      <c r="D40" s="34"/>
      <c r="E40" s="34"/>
      <c r="F40" s="35">
        <f t="shared" ref="F40:F43" si="10">SUM(C40:E40)</f>
        <v>345615</v>
      </c>
      <c r="G40" s="36">
        <v>0.4</v>
      </c>
      <c r="H40" s="37"/>
      <c r="I40" s="34">
        <v>179933</v>
      </c>
      <c r="J40" s="34"/>
      <c r="K40" s="34"/>
      <c r="L40" s="35">
        <f t="shared" ref="L40:L43" si="11">+I40+J40+K40</f>
        <v>179933</v>
      </c>
      <c r="M40" s="36">
        <v>0.4</v>
      </c>
      <c r="N40" s="86"/>
    </row>
    <row r="41" spans="1:14" ht="36.75" customHeight="1">
      <c r="A41" s="32" t="s">
        <v>66</v>
      </c>
      <c r="B41" s="33" t="s">
        <v>67</v>
      </c>
      <c r="C41" s="34"/>
      <c r="D41" s="34">
        <v>393454</v>
      </c>
      <c r="E41" s="34">
        <v>0</v>
      </c>
      <c r="F41" s="35">
        <f t="shared" si="10"/>
        <v>393454</v>
      </c>
      <c r="G41" s="36">
        <v>0.3</v>
      </c>
      <c r="H41" s="38"/>
      <c r="I41" s="34"/>
      <c r="J41" s="34">
        <v>45770.81</v>
      </c>
      <c r="K41" s="34"/>
      <c r="L41" s="35">
        <f t="shared" si="11"/>
        <v>45770.81</v>
      </c>
      <c r="M41" s="36">
        <v>0.3</v>
      </c>
      <c r="N41" s="86"/>
    </row>
    <row r="42" spans="1:14" ht="36.75" customHeight="1">
      <c r="A42" s="32" t="s">
        <v>68</v>
      </c>
      <c r="B42" s="33" t="s">
        <v>69</v>
      </c>
      <c r="C42" s="34">
        <v>35000</v>
      </c>
      <c r="D42" s="34">
        <v>25000</v>
      </c>
      <c r="E42" s="34"/>
      <c r="F42" s="35">
        <f t="shared" si="10"/>
        <v>60000</v>
      </c>
      <c r="G42" s="36">
        <v>0.1</v>
      </c>
      <c r="H42" s="38"/>
      <c r="I42" s="308">
        <v>10093</v>
      </c>
      <c r="J42" s="34">
        <v>268.77999999999997</v>
      </c>
      <c r="K42" s="34"/>
      <c r="L42" s="35">
        <f t="shared" si="11"/>
        <v>10361.780000000001</v>
      </c>
      <c r="M42" s="36">
        <v>0.1</v>
      </c>
      <c r="N42" s="86"/>
    </row>
    <row r="43" spans="1:14" ht="36.75" customHeight="1">
      <c r="A43" s="32" t="s">
        <v>70</v>
      </c>
      <c r="B43" s="33" t="s">
        <v>71</v>
      </c>
      <c r="C43" s="34">
        <v>50000</v>
      </c>
      <c r="D43" s="34">
        <v>22500</v>
      </c>
      <c r="E43" s="34"/>
      <c r="F43" s="35">
        <f t="shared" si="10"/>
        <v>72500</v>
      </c>
      <c r="G43" s="36">
        <v>0.1</v>
      </c>
      <c r="H43" s="38"/>
      <c r="I43" s="308">
        <v>35599.08</v>
      </c>
      <c r="J43" s="34">
        <v>2347.17</v>
      </c>
      <c r="K43" s="34"/>
      <c r="L43" s="35">
        <f t="shared" si="11"/>
        <v>37946.25</v>
      </c>
      <c r="M43" s="36">
        <v>0.1</v>
      </c>
      <c r="N43" s="86"/>
    </row>
    <row r="44" spans="1:14" ht="15.6">
      <c r="A44" s="32"/>
      <c r="B44" s="39"/>
      <c r="C44" s="40"/>
      <c r="D44" s="40"/>
      <c r="E44" s="40"/>
      <c r="F44" s="35"/>
      <c r="G44" s="41"/>
      <c r="H44" s="42"/>
      <c r="I44" s="40"/>
      <c r="J44" s="40"/>
      <c r="K44" s="40"/>
      <c r="L44" s="35"/>
      <c r="M44" s="40"/>
      <c r="N44" s="86"/>
    </row>
    <row r="45" spans="1:14" ht="22.5" customHeight="1">
      <c r="A45" s="43"/>
      <c r="B45" s="44" t="s">
        <v>28</v>
      </c>
      <c r="C45" s="46">
        <f>SUM(C39:C44)</f>
        <v>530615</v>
      </c>
      <c r="D45" s="46">
        <f>SUM(D39:D44)</f>
        <v>465954</v>
      </c>
      <c r="E45" s="46">
        <f>SUM(E39:E44)</f>
        <v>0</v>
      </c>
      <c r="F45" s="46">
        <f>SUM(F39:F44)</f>
        <v>996569</v>
      </c>
      <c r="G45" s="45">
        <f>(G39*F39)+(G40*F40)+(G41*F41)+(G44*F44)+(F42*G42)+(F43*G43)</f>
        <v>313282.2</v>
      </c>
      <c r="H45" s="45"/>
      <c r="I45" s="45">
        <f>SUM(I39:I44)</f>
        <v>304406.31</v>
      </c>
      <c r="J45" s="45">
        <f t="shared" ref="J45:K45" si="12">SUM(J39:J44)</f>
        <v>93359.659999999989</v>
      </c>
      <c r="K45" s="45">
        <f t="shared" si="12"/>
        <v>0</v>
      </c>
      <c r="L45" s="45">
        <f>SUM(L39:L44)</f>
        <v>397765.97000000003</v>
      </c>
      <c r="M45" s="45">
        <f>SUM(M39:M44)</f>
        <v>1.2500000000000002</v>
      </c>
      <c r="N45" s="35"/>
    </row>
    <row r="46" spans="1:14" ht="15.75" customHeight="1">
      <c r="A46" s="44" t="s">
        <v>72</v>
      </c>
      <c r="B46" s="407" t="s">
        <v>73</v>
      </c>
      <c r="C46" s="407"/>
      <c r="D46" s="407"/>
      <c r="E46" s="407"/>
      <c r="F46" s="407"/>
      <c r="G46" s="407"/>
      <c r="H46" s="407"/>
      <c r="I46" s="407"/>
      <c r="J46" s="407"/>
      <c r="K46" s="407"/>
      <c r="L46" s="407"/>
      <c r="M46" s="407"/>
      <c r="N46" s="407"/>
    </row>
    <row r="47" spans="1:14" ht="15.75" customHeight="1">
      <c r="A47" s="31" t="s">
        <v>74</v>
      </c>
      <c r="B47" s="399" t="s">
        <v>75</v>
      </c>
      <c r="C47" s="399"/>
      <c r="D47" s="399"/>
      <c r="E47" s="399"/>
      <c r="F47" s="399"/>
      <c r="G47" s="399"/>
      <c r="H47" s="399"/>
      <c r="I47" s="399"/>
      <c r="J47" s="399"/>
      <c r="K47" s="399"/>
      <c r="L47" s="399"/>
      <c r="M47" s="399"/>
      <c r="N47" s="399"/>
    </row>
    <row r="48" spans="1:14" ht="30.95">
      <c r="A48" s="32" t="s">
        <v>76</v>
      </c>
      <c r="B48" s="87" t="s">
        <v>77</v>
      </c>
      <c r="C48" s="88">
        <v>15000</v>
      </c>
      <c r="D48" s="88">
        <v>15000</v>
      </c>
      <c r="E48" s="88"/>
      <c r="F48" s="89">
        <f>SUM(C48:E48)</f>
        <v>30000</v>
      </c>
      <c r="G48" s="90">
        <v>0.2</v>
      </c>
      <c r="H48" s="91"/>
      <c r="I48" s="88">
        <v>5212.3</v>
      </c>
      <c r="J48" s="314"/>
      <c r="K48" s="88"/>
      <c r="L48" s="35">
        <f>+I48+J48+K48</f>
        <v>5212.3</v>
      </c>
      <c r="M48" s="90">
        <v>0.2</v>
      </c>
      <c r="N48" s="86"/>
    </row>
    <row r="49" spans="1:14" ht="46.5">
      <c r="A49" s="32" t="s">
        <v>78</v>
      </c>
      <c r="B49" s="33" t="s">
        <v>79</v>
      </c>
      <c r="C49" s="34">
        <v>25000</v>
      </c>
      <c r="D49" s="34">
        <v>24000</v>
      </c>
      <c r="E49" s="34"/>
      <c r="F49" s="35">
        <f t="shared" ref="F49:F50" si="13">SUM(C49:E49)</f>
        <v>49000</v>
      </c>
      <c r="G49" s="36">
        <v>0.4</v>
      </c>
      <c r="H49" s="37"/>
      <c r="I49" s="34">
        <v>9200.1200000000008</v>
      </c>
      <c r="J49" s="34">
        <v>22588.19</v>
      </c>
      <c r="K49" s="34"/>
      <c r="L49" s="35">
        <f t="shared" ref="L49:L50" si="14">+I49+J49+K49</f>
        <v>31788.309999999998</v>
      </c>
      <c r="M49" s="36">
        <v>0.4</v>
      </c>
      <c r="N49" s="86"/>
    </row>
    <row r="50" spans="1:14" ht="48.75">
      <c r="A50" s="32" t="s">
        <v>80</v>
      </c>
      <c r="B50" s="33" t="s">
        <v>81</v>
      </c>
      <c r="C50" s="34">
        <v>25000</v>
      </c>
      <c r="D50" s="303">
        <v>12400</v>
      </c>
      <c r="E50" s="34"/>
      <c r="F50" s="35">
        <f t="shared" si="13"/>
        <v>37400</v>
      </c>
      <c r="G50" s="36">
        <v>0.2</v>
      </c>
      <c r="H50" s="38"/>
      <c r="I50" s="34">
        <v>14903</v>
      </c>
      <c r="J50" s="34">
        <v>916.13</v>
      </c>
      <c r="K50" s="34"/>
      <c r="L50" s="35">
        <f t="shared" si="14"/>
        <v>15819.13</v>
      </c>
      <c r="M50" s="36">
        <v>0.2</v>
      </c>
      <c r="N50" s="86"/>
    </row>
    <row r="51" spans="1:14" ht="15.6">
      <c r="A51" s="43"/>
      <c r="B51" s="44" t="s">
        <v>28</v>
      </c>
      <c r="C51" s="45">
        <f>SUM(C48:C50)</f>
        <v>65000</v>
      </c>
      <c r="D51" s="45">
        <f>SUM(D48:D50)</f>
        <v>51400</v>
      </c>
      <c r="E51" s="45">
        <f>SUM(E48:E50)</f>
        <v>0</v>
      </c>
      <c r="F51" s="46">
        <f>SUM(F48:F50)</f>
        <v>116400</v>
      </c>
      <c r="G51" s="45">
        <f>(G48*F48)+(G49*F49)+(G50*F50)</f>
        <v>33080</v>
      </c>
      <c r="H51" s="45"/>
      <c r="I51" s="45">
        <f>SUM(I48:I50)</f>
        <v>29315.420000000002</v>
      </c>
      <c r="J51" s="45">
        <f t="shared" ref="J51:K51" si="15">SUM(J48:J50)</f>
        <v>23504.32</v>
      </c>
      <c r="K51" s="45">
        <f t="shared" si="15"/>
        <v>0</v>
      </c>
      <c r="L51" s="45">
        <f>SUM(L48:L50)</f>
        <v>52819.74</v>
      </c>
      <c r="M51" s="45">
        <f>SUM(M48:M50)</f>
        <v>0.8</v>
      </c>
      <c r="N51" s="35"/>
    </row>
    <row r="52" spans="1:14" ht="15.6">
      <c r="A52" s="43"/>
      <c r="B52" s="98"/>
      <c r="C52" s="95"/>
      <c r="D52" s="95"/>
      <c r="E52" s="95"/>
      <c r="F52" s="95"/>
      <c r="G52" s="95"/>
      <c r="H52" s="95"/>
      <c r="I52" s="95"/>
      <c r="J52" s="95"/>
      <c r="K52" s="95"/>
      <c r="L52" s="95"/>
      <c r="M52" s="95"/>
      <c r="N52" s="99"/>
    </row>
    <row r="53" spans="1:14" ht="15.75" customHeight="1">
      <c r="A53" s="31" t="s">
        <v>82</v>
      </c>
      <c r="B53" s="408" t="s">
        <v>83</v>
      </c>
      <c r="C53" s="409"/>
      <c r="D53" s="409"/>
      <c r="E53" s="409"/>
      <c r="F53" s="409"/>
      <c r="G53" s="409"/>
      <c r="H53" s="409"/>
      <c r="I53" s="409"/>
      <c r="J53" s="409"/>
      <c r="K53" s="409"/>
      <c r="L53" s="409"/>
      <c r="M53" s="409"/>
      <c r="N53" s="409"/>
    </row>
    <row r="54" spans="1:14" ht="30.95">
      <c r="A54" s="32" t="s">
        <v>84</v>
      </c>
      <c r="B54" s="33" t="s">
        <v>85</v>
      </c>
      <c r="C54" s="34">
        <v>25000</v>
      </c>
      <c r="D54" s="34"/>
      <c r="E54" s="34"/>
      <c r="F54" s="35">
        <f>SUM(C54:E54)</f>
        <v>25000</v>
      </c>
      <c r="G54" s="36">
        <v>0.2</v>
      </c>
      <c r="H54" s="38"/>
      <c r="I54" s="34">
        <v>10652</v>
      </c>
      <c r="J54" s="34"/>
      <c r="K54" s="34"/>
      <c r="L54" s="35">
        <f>+I54+J54+K54</f>
        <v>10652</v>
      </c>
      <c r="M54" s="36">
        <v>0.2</v>
      </c>
      <c r="N54" s="86"/>
    </row>
    <row r="55" spans="1:14" ht="30.95">
      <c r="A55" s="296" t="s">
        <v>86</v>
      </c>
      <c r="B55" s="33" t="s">
        <v>87</v>
      </c>
      <c r="C55" s="297">
        <v>22842</v>
      </c>
      <c r="D55" s="304">
        <v>12541.28</v>
      </c>
      <c r="E55" s="297"/>
      <c r="F55" s="35">
        <f>SUM(C55:E55)</f>
        <v>35383.279999999999</v>
      </c>
      <c r="G55" s="36">
        <v>0.3</v>
      </c>
      <c r="H55" s="38"/>
      <c r="I55" s="34">
        <v>5064.29</v>
      </c>
      <c r="J55" s="34">
        <v>1347.52</v>
      </c>
      <c r="K55" s="34"/>
      <c r="L55" s="35">
        <f>+I55+J55+K55</f>
        <v>6411.8099999999995</v>
      </c>
      <c r="M55" s="36">
        <v>0.3</v>
      </c>
      <c r="N55" s="86"/>
    </row>
    <row r="56" spans="1:14" ht="15.6">
      <c r="A56" s="43"/>
      <c r="B56" s="44" t="s">
        <v>28</v>
      </c>
      <c r="C56" s="46">
        <f>SUM(C54:C55)</f>
        <v>47842</v>
      </c>
      <c r="D56" s="46">
        <f t="shared" ref="D56:E56" si="16">SUM(D54:D55)</f>
        <v>12541.28</v>
      </c>
      <c r="E56" s="46">
        <f t="shared" si="16"/>
        <v>0</v>
      </c>
      <c r="F56" s="46">
        <f>SUM(F54:F55)</f>
        <v>60383.28</v>
      </c>
      <c r="G56" s="45">
        <f>(G54*F54)+(F55*G55)</f>
        <v>15614.983999999999</v>
      </c>
      <c r="H56" s="45"/>
      <c r="I56" s="45">
        <f t="shared" ref="I56:J56" si="17">SUM(I54:I55)</f>
        <v>15716.29</v>
      </c>
      <c r="J56" s="45">
        <f t="shared" si="17"/>
        <v>1347.52</v>
      </c>
      <c r="K56" s="45">
        <f>SUM(K54:K55)</f>
        <v>0</v>
      </c>
      <c r="L56" s="45">
        <f>SUM(L54:L55)</f>
        <v>17063.809999999998</v>
      </c>
      <c r="M56" s="45">
        <f>SUM(M54:M54)</f>
        <v>0.2</v>
      </c>
      <c r="N56" s="35"/>
    </row>
    <row r="57" spans="1:14" ht="15.6">
      <c r="A57" s="43"/>
      <c r="B57" s="44"/>
      <c r="C57" s="46"/>
      <c r="D57" s="46"/>
      <c r="E57" s="46"/>
      <c r="F57" s="46"/>
      <c r="G57" s="45"/>
      <c r="H57" s="45"/>
      <c r="I57" s="45"/>
      <c r="J57" s="45"/>
      <c r="K57" s="45"/>
      <c r="L57" s="45"/>
      <c r="M57" s="45"/>
      <c r="N57" s="35"/>
    </row>
    <row r="58" spans="1:14" ht="15.75" customHeight="1">
      <c r="A58" s="50" t="s">
        <v>88</v>
      </c>
      <c r="B58" s="399"/>
      <c r="C58" s="399"/>
      <c r="D58" s="399"/>
      <c r="E58" s="399"/>
      <c r="F58" s="399"/>
      <c r="G58" s="399"/>
      <c r="H58" s="399"/>
      <c r="I58" s="399"/>
      <c r="J58" s="399"/>
      <c r="K58" s="399"/>
      <c r="L58" s="399"/>
      <c r="M58" s="399"/>
      <c r="N58" s="399"/>
    </row>
    <row r="59" spans="1:14" ht="15.6">
      <c r="A59" s="32" t="s">
        <v>89</v>
      </c>
      <c r="B59" s="87"/>
      <c r="C59" s="88"/>
      <c r="D59" s="88"/>
      <c r="E59" s="88"/>
      <c r="F59" s="89"/>
      <c r="G59" s="90"/>
      <c r="H59" s="92"/>
      <c r="I59" s="34"/>
      <c r="J59" s="88"/>
      <c r="K59" s="88"/>
      <c r="L59" s="35"/>
      <c r="M59" s="88"/>
      <c r="N59" s="86"/>
    </row>
    <row r="60" spans="1:14" ht="15.6">
      <c r="A60" s="32" t="s">
        <v>90</v>
      </c>
      <c r="B60" s="33"/>
      <c r="C60" s="34"/>
      <c r="D60" s="34"/>
      <c r="E60" s="34"/>
      <c r="F60" s="35"/>
      <c r="G60" s="36"/>
      <c r="H60" s="37"/>
      <c r="I60" s="34"/>
      <c r="J60" s="34"/>
      <c r="K60" s="34"/>
      <c r="L60" s="35"/>
      <c r="M60" s="36"/>
      <c r="N60" s="86"/>
    </row>
    <row r="61" spans="1:14" ht="15.6">
      <c r="A61" s="32" t="s">
        <v>91</v>
      </c>
      <c r="B61" s="33"/>
      <c r="C61" s="34"/>
      <c r="D61" s="34"/>
      <c r="E61" s="34"/>
      <c r="F61" s="35"/>
      <c r="G61" s="36"/>
      <c r="H61" s="38"/>
      <c r="I61" s="34"/>
      <c r="J61" s="34"/>
      <c r="K61" s="34"/>
      <c r="L61" s="35"/>
      <c r="M61" s="34"/>
      <c r="N61" s="86"/>
    </row>
    <row r="62" spans="1:14" ht="15.6">
      <c r="A62" s="43"/>
      <c r="B62" s="44" t="s">
        <v>28</v>
      </c>
      <c r="C62" s="45">
        <f>SUM(C59:C61)</f>
        <v>0</v>
      </c>
      <c r="D62" s="45">
        <f>SUM(D59:D61)</f>
        <v>0</v>
      </c>
      <c r="E62" s="45">
        <f>SUM(E59:E61)</f>
        <v>0</v>
      </c>
      <c r="F62" s="45">
        <f>SUM(F59:F61)</f>
        <v>0</v>
      </c>
      <c r="G62" s="45">
        <f>(G59*F59)+(G60*F60)+(G61*F61)</f>
        <v>0</v>
      </c>
      <c r="H62" s="45"/>
      <c r="I62" s="45">
        <f>SUM(I59:I61)</f>
        <v>0</v>
      </c>
      <c r="J62" s="45">
        <f>SUM(J59:J61)</f>
        <v>0</v>
      </c>
      <c r="K62" s="45">
        <f>SUM(K59:K61)</f>
        <v>0</v>
      </c>
      <c r="L62" s="45">
        <f>SUM(L59:L61)</f>
        <v>0</v>
      </c>
      <c r="M62" s="45">
        <f>SUM(M59:M61)</f>
        <v>0</v>
      </c>
      <c r="N62" s="35"/>
    </row>
    <row r="63" spans="1:14" ht="15.6">
      <c r="A63" s="48"/>
      <c r="B63" s="47"/>
      <c r="C63" s="49"/>
      <c r="D63" s="49"/>
      <c r="E63" s="49"/>
      <c r="F63" s="49"/>
      <c r="G63" s="49"/>
      <c r="H63" s="47"/>
    </row>
    <row r="64" spans="1:14" ht="15.6">
      <c r="A64" s="48"/>
      <c r="B64" s="47"/>
      <c r="C64" s="49"/>
      <c r="D64" s="49"/>
      <c r="E64" s="49"/>
      <c r="F64" s="49"/>
      <c r="G64" s="49"/>
      <c r="H64" s="47"/>
    </row>
    <row r="65" spans="1:13" ht="46.5">
      <c r="A65" s="44" t="s">
        <v>92</v>
      </c>
      <c r="B65" s="51" t="s">
        <v>93</v>
      </c>
      <c r="C65" s="52">
        <v>270592</v>
      </c>
      <c r="D65" s="315">
        <v>290536.2</v>
      </c>
      <c r="E65" s="52"/>
      <c r="F65" s="53">
        <f>SUM(C65:E65)</f>
        <v>561128.19999999995</v>
      </c>
      <c r="G65" s="54">
        <v>0.2</v>
      </c>
      <c r="H65" s="55"/>
      <c r="I65" s="52">
        <v>132606.54999999999</v>
      </c>
      <c r="J65" s="309">
        <v>269240.3</v>
      </c>
      <c r="K65" s="52"/>
      <c r="L65" s="53">
        <f>+I65+J65</f>
        <v>401846.85</v>
      </c>
      <c r="M65" s="54">
        <v>0.2</v>
      </c>
    </row>
    <row r="66" spans="1:13" ht="46.5">
      <c r="A66" s="44" t="s">
        <v>94</v>
      </c>
      <c r="B66" s="51" t="s">
        <v>95</v>
      </c>
      <c r="C66" s="52">
        <v>242386</v>
      </c>
      <c r="D66" s="316">
        <v>127980</v>
      </c>
      <c r="E66" s="52"/>
      <c r="F66" s="53">
        <f>SUM(C66:E66)</f>
        <v>370366</v>
      </c>
      <c r="G66" s="54">
        <v>0.25</v>
      </c>
      <c r="H66" s="55"/>
      <c r="I66" s="309">
        <v>131421.60999999999</v>
      </c>
      <c r="J66" s="273">
        <v>134551.97</v>
      </c>
      <c r="K66" s="52"/>
      <c r="L66" s="53">
        <f t="shared" ref="L66:L68" si="18">+I66+J66</f>
        <v>265973.57999999996</v>
      </c>
      <c r="M66" s="86">
        <v>0.25</v>
      </c>
    </row>
    <row r="67" spans="1:13" ht="30.95">
      <c r="A67" s="44" t="s">
        <v>96</v>
      </c>
      <c r="B67" s="56" t="s">
        <v>97</v>
      </c>
      <c r="C67" s="52">
        <v>46603</v>
      </c>
      <c r="D67" s="52">
        <v>50000</v>
      </c>
      <c r="E67" s="52"/>
      <c r="F67" s="53">
        <f>SUM(C67:E67)</f>
        <v>96603</v>
      </c>
      <c r="G67" s="54">
        <v>0.3</v>
      </c>
      <c r="H67" s="55"/>
      <c r="I67" s="52">
        <v>21327.39</v>
      </c>
      <c r="J67" s="52">
        <v>26966.67</v>
      </c>
      <c r="K67" s="52"/>
      <c r="L67" s="53">
        <f t="shared" si="18"/>
        <v>48294.06</v>
      </c>
      <c r="M67" s="86">
        <v>0.3</v>
      </c>
    </row>
    <row r="68" spans="1:13" ht="30.95">
      <c r="A68" s="57" t="s">
        <v>98</v>
      </c>
      <c r="B68" s="51"/>
      <c r="C68" s="52">
        <v>80000</v>
      </c>
      <c r="D68" s="52"/>
      <c r="E68" s="52"/>
      <c r="F68" s="53">
        <f>SUM(C68:E68)</f>
        <v>80000</v>
      </c>
      <c r="G68" s="54">
        <v>0.3</v>
      </c>
      <c r="H68" s="55"/>
      <c r="I68" s="52">
        <v>50134.45</v>
      </c>
      <c r="J68" s="52"/>
      <c r="K68" s="52"/>
      <c r="L68" s="53">
        <f t="shared" si="18"/>
        <v>50134.45</v>
      </c>
      <c r="M68" s="86">
        <v>0.3</v>
      </c>
    </row>
    <row r="69" spans="1:13" ht="15.6">
      <c r="A69" s="48"/>
      <c r="B69" s="58" t="s">
        <v>99</v>
      </c>
      <c r="C69" s="59">
        <f>SUM(C65:C68)</f>
        <v>639581</v>
      </c>
      <c r="D69" s="59">
        <f>SUM(D65:D68)</f>
        <v>468516.2</v>
      </c>
      <c r="E69" s="59">
        <f>SUM(E65:E68)</f>
        <v>0</v>
      </c>
      <c r="F69" s="59">
        <f>SUM(F65:F68)</f>
        <v>1108097.2</v>
      </c>
      <c r="G69" s="45">
        <f>(G65*F65)+(G66*F66)+(G67*F67)+(G68*F68)</f>
        <v>257798.04</v>
      </c>
      <c r="H69" s="45"/>
      <c r="I69" s="59">
        <f>SUM(I65:I68)</f>
        <v>335490</v>
      </c>
      <c r="J69" s="59">
        <f>SUM(J65:J68)</f>
        <v>430758.94</v>
      </c>
      <c r="K69" s="59">
        <f t="shared" ref="K69" si="19">SUM(K65:K68)</f>
        <v>0</v>
      </c>
      <c r="L69" s="59">
        <f>SUM(L65:L68)</f>
        <v>766248.94</v>
      </c>
      <c r="M69" s="59">
        <f>SUM(M65:M68)</f>
        <v>1.05</v>
      </c>
    </row>
    <row r="70" spans="1:13" ht="15.6">
      <c r="A70" s="48"/>
      <c r="B70" s="47"/>
      <c r="C70" s="49"/>
      <c r="D70" s="49"/>
      <c r="E70" s="49"/>
      <c r="F70" s="49"/>
      <c r="G70" s="49"/>
      <c r="H70" s="47"/>
      <c r="I70" s="299">
        <v>416383.44</v>
      </c>
    </row>
    <row r="71" spans="1:13" ht="15.6">
      <c r="A71" s="48"/>
      <c r="B71" s="47"/>
      <c r="C71" s="49"/>
      <c r="D71" s="49"/>
      <c r="E71" s="49"/>
      <c r="F71" s="49"/>
      <c r="G71" s="49"/>
      <c r="H71" s="47"/>
      <c r="I71" s="299">
        <f>+I70-I69</f>
        <v>80893.440000000002</v>
      </c>
    </row>
    <row r="72" spans="1:13" ht="15.95" thickBot="1">
      <c r="A72" s="48"/>
      <c r="B72" s="47"/>
      <c r="C72" s="49"/>
      <c r="D72" s="49"/>
      <c r="E72" s="49"/>
      <c r="F72" s="49"/>
      <c r="G72" s="49"/>
      <c r="H72" s="47"/>
    </row>
    <row r="73" spans="1:13" ht="15.6">
      <c r="A73" s="48"/>
      <c r="B73" s="400" t="s">
        <v>100</v>
      </c>
      <c r="C73" s="401"/>
      <c r="D73" s="401"/>
      <c r="E73" s="401"/>
      <c r="F73" s="402"/>
      <c r="G73" s="60"/>
      <c r="H73" s="60"/>
      <c r="I73" s="412" t="s">
        <v>100</v>
      </c>
      <c r="J73" s="412"/>
      <c r="K73" s="412"/>
      <c r="L73" s="412"/>
    </row>
    <row r="74" spans="1:13" ht="30.95">
      <c r="A74" s="48"/>
      <c r="B74" s="403"/>
      <c r="C74" s="45" t="s">
        <v>101</v>
      </c>
      <c r="D74" s="45" t="s">
        <v>102</v>
      </c>
      <c r="E74" s="45" t="s">
        <v>103</v>
      </c>
      <c r="F74" s="405" t="s">
        <v>6</v>
      </c>
      <c r="G74" s="47"/>
      <c r="H74" s="60"/>
      <c r="I74" s="45" t="s">
        <v>101</v>
      </c>
      <c r="J74" s="45" t="s">
        <v>102</v>
      </c>
      <c r="K74" s="45" t="s">
        <v>103</v>
      </c>
      <c r="L74" s="84" t="s">
        <v>6</v>
      </c>
    </row>
    <row r="75" spans="1:13" ht="15.6">
      <c r="A75" s="48"/>
      <c r="B75" s="404"/>
      <c r="C75" s="61" t="str">
        <f>C5</f>
        <v>PNUD</v>
      </c>
      <c r="D75" s="61" t="str">
        <f>D5</f>
        <v>OIM</v>
      </c>
      <c r="E75" s="61"/>
      <c r="F75" s="406"/>
      <c r="G75" s="47"/>
      <c r="H75" s="60"/>
      <c r="I75" s="61" t="s">
        <v>14</v>
      </c>
      <c r="J75" s="61" t="s">
        <v>15</v>
      </c>
      <c r="K75" s="93"/>
      <c r="L75" s="85"/>
    </row>
    <row r="76" spans="1:13" ht="15.6">
      <c r="A76" s="62"/>
      <c r="B76" s="63" t="s">
        <v>104</v>
      </c>
      <c r="C76" s="64">
        <f>SUM(C12,C22,C27,,C37,C45,,C51,C56,C62,,C65,C66,C67,C68)</f>
        <v>2196260</v>
      </c>
      <c r="D76" s="64">
        <f>SUM(D12,D22,D27,,D37,D45,,D51,D56,D62,,D65,D66,D67,D68)</f>
        <v>1308411.48</v>
      </c>
      <c r="E76" s="64">
        <f>SUM(E12,E22,E27,,E37,E45,E51,E56,E62,E65,E66,E67,E68)</f>
        <v>0</v>
      </c>
      <c r="F76" s="65">
        <f>SUM(C76:E76)</f>
        <v>3504671.48</v>
      </c>
      <c r="G76" s="47"/>
      <c r="H76" s="62"/>
      <c r="I76" s="64">
        <f>I69+I56+I51+I45+I37+I27+I22+I12</f>
        <v>1021927.53</v>
      </c>
      <c r="J76" s="64">
        <f>SUM(J12,J22,J27,,J37,J45,,J51,J56,J62,,J65,J66,J67,J68)</f>
        <v>671278.75</v>
      </c>
      <c r="K76" s="64">
        <f>SUM(K12,K22,K27,,K37,K45,,K51,K56,K62,,K65,K66,K67,K68)</f>
        <v>0</v>
      </c>
      <c r="L76" s="65">
        <f>SUM(I76:K76)</f>
        <v>1693206.28</v>
      </c>
    </row>
    <row r="77" spans="1:13" ht="15.6">
      <c r="A77" s="66"/>
      <c r="B77" s="63" t="s">
        <v>105</v>
      </c>
      <c r="C77" s="64">
        <f>C76*0.07</f>
        <v>153738.20000000001</v>
      </c>
      <c r="D77" s="64">
        <f>D76*0.07</f>
        <v>91588.803600000014</v>
      </c>
      <c r="E77" s="64">
        <f>E76*0.07</f>
        <v>0</v>
      </c>
      <c r="F77" s="65">
        <f>F76*0.07</f>
        <v>245327.00360000003</v>
      </c>
      <c r="G77" s="66"/>
      <c r="H77" s="67"/>
      <c r="I77" s="64">
        <v>59918.219200000007</v>
      </c>
      <c r="J77" s="64">
        <f>J76*0.07</f>
        <v>46989.512500000004</v>
      </c>
      <c r="K77" s="64">
        <f>K76*0.07</f>
        <v>0</v>
      </c>
      <c r="L77" s="65">
        <f>SUM(I77:K77)</f>
        <v>106907.7317</v>
      </c>
    </row>
    <row r="78" spans="1:13" ht="15.95" thickBot="1">
      <c r="A78" s="66"/>
      <c r="B78" s="68" t="s">
        <v>6</v>
      </c>
      <c r="C78" s="69">
        <f>SUM(C76:C77)</f>
        <v>2349998.2000000002</v>
      </c>
      <c r="D78" s="69">
        <f>SUM(D76:D77)</f>
        <v>1400000.2836</v>
      </c>
      <c r="E78" s="69">
        <f>SUM(E76:E77)</f>
        <v>0</v>
      </c>
      <c r="F78" s="70">
        <f>SUM(F76:F77)</f>
        <v>3749998.4835999999</v>
      </c>
      <c r="G78" s="66"/>
      <c r="H78" s="67"/>
      <c r="I78" s="69">
        <f>SUM(I76:I77)</f>
        <v>1081845.7492</v>
      </c>
      <c r="J78" s="69">
        <f>SUM(J76:J77)</f>
        <v>718268.26249999995</v>
      </c>
      <c r="K78" s="69">
        <f>SUM(K76:K77)</f>
        <v>0</v>
      </c>
      <c r="L78" s="65">
        <f>SUM(I78:K78)</f>
        <v>1800114.0116999999</v>
      </c>
    </row>
    <row r="79" spans="1:13" ht="15.6">
      <c r="A79" s="66"/>
      <c r="B79" s="43"/>
      <c r="C79" s="43"/>
      <c r="D79" s="43"/>
      <c r="E79" s="43"/>
      <c r="F79" s="43"/>
      <c r="G79" s="43"/>
      <c r="H79" s="71"/>
    </row>
    <row r="80" spans="1:13" ht="15.6">
      <c r="A80" s="47"/>
      <c r="B80" s="48"/>
      <c r="C80" s="72"/>
      <c r="D80" s="72"/>
      <c r="E80" s="72"/>
      <c r="F80" s="72"/>
      <c r="G80" s="72"/>
      <c r="H80" s="313"/>
    </row>
    <row r="81" spans="1:10" ht="15.6">
      <c r="A81" s="388"/>
      <c r="B81" s="73"/>
      <c r="C81" s="74"/>
      <c r="D81" s="74"/>
      <c r="E81" s="74"/>
      <c r="F81" s="74"/>
      <c r="G81" s="74"/>
      <c r="H81" s="43"/>
      <c r="I81" s="301"/>
      <c r="J81" s="299" t="e">
        <v>#REF!</v>
      </c>
    </row>
    <row r="82" spans="1:10" ht="15.6" hidden="1">
      <c r="A82" s="388"/>
      <c r="B82" s="75" t="s">
        <v>106</v>
      </c>
      <c r="C82" s="76" t="e">
        <f>SUM(G12,G22,G27,#REF!,G37,G45,#REF!,#REF!,G51,G56,G62,#REF!,#REF!,#REF!,#REF!,#REF!,G69)*1.07</f>
        <v>#REF!</v>
      </c>
      <c r="D82" s="72"/>
      <c r="E82" s="72"/>
      <c r="F82" s="72"/>
      <c r="G82" s="74"/>
      <c r="H82" s="43"/>
    </row>
    <row r="83" spans="1:10" ht="15.6" hidden="1">
      <c r="A83" s="388"/>
      <c r="B83" s="77" t="s">
        <v>107</v>
      </c>
      <c r="C83" s="78" t="e">
        <f>C82/F78</f>
        <v>#REF!</v>
      </c>
      <c r="D83" s="79"/>
      <c r="E83" s="79"/>
      <c r="F83" s="79"/>
      <c r="G83" s="43"/>
      <c r="H83" s="43"/>
    </row>
    <row r="84" spans="1:10" hidden="1">
      <c r="A84" s="388"/>
      <c r="B84" s="389"/>
      <c r="C84" s="390"/>
      <c r="D84" s="80"/>
      <c r="E84" s="80"/>
      <c r="F84" s="80"/>
      <c r="G84" s="43"/>
      <c r="H84" s="43"/>
    </row>
    <row r="85" spans="1:10" ht="15.6" hidden="1">
      <c r="A85" s="388"/>
      <c r="B85" s="77" t="s">
        <v>108</v>
      </c>
      <c r="C85" s="81">
        <f>SUM(C67:E68)</f>
        <v>176603</v>
      </c>
      <c r="D85" s="82"/>
      <c r="E85" s="82"/>
      <c r="F85" s="82"/>
      <c r="G85" s="43"/>
      <c r="H85" s="43"/>
    </row>
    <row r="86" spans="1:10" ht="15.6" hidden="1">
      <c r="A86" s="388"/>
      <c r="B86" s="77" t="s">
        <v>109</v>
      </c>
      <c r="C86" s="78">
        <f>C85/F78</f>
        <v>4.7094152376952712E-2</v>
      </c>
      <c r="D86" s="82"/>
      <c r="E86" s="82"/>
      <c r="F86" s="82"/>
      <c r="G86" s="43"/>
      <c r="H86" s="43"/>
    </row>
    <row r="87" spans="1:10" ht="15" hidden="1" thickBot="1">
      <c r="A87" s="388"/>
      <c r="B87" s="391" t="s">
        <v>110</v>
      </c>
      <c r="C87" s="392"/>
      <c r="D87" s="83"/>
      <c r="E87" s="83"/>
      <c r="F87" s="83"/>
      <c r="G87" s="43"/>
      <c r="H87" s="43"/>
    </row>
    <row r="88" spans="1:10" hidden="1">
      <c r="A88" s="388"/>
      <c r="B88" s="43"/>
      <c r="C88" s="43"/>
      <c r="D88" s="43"/>
      <c r="E88" s="43"/>
      <c r="F88" s="43"/>
      <c r="G88" s="43"/>
      <c r="H88" s="43"/>
    </row>
    <row r="89" spans="1:10" hidden="1">
      <c r="A89" s="388"/>
      <c r="B89" s="43"/>
      <c r="C89" s="43"/>
      <c r="D89" s="43"/>
      <c r="E89" s="43"/>
      <c r="F89" s="43"/>
      <c r="G89" s="43"/>
      <c r="H89" s="43"/>
    </row>
    <row r="90" spans="1:10" hidden="1">
      <c r="A90" s="388"/>
      <c r="B90" s="43"/>
      <c r="C90" s="43"/>
      <c r="D90" s="43"/>
      <c r="E90" s="43"/>
      <c r="F90" s="43"/>
      <c r="G90" s="43"/>
      <c r="H90" s="43"/>
    </row>
    <row r="91" spans="1:10">
      <c r="A91" s="388"/>
      <c r="B91" s="43"/>
      <c r="C91" s="43"/>
      <c r="D91" s="43"/>
      <c r="E91" s="43"/>
      <c r="F91" s="43"/>
      <c r="G91" s="43"/>
      <c r="H91" s="43"/>
    </row>
    <row r="92" spans="1:10">
      <c r="A92" s="388"/>
      <c r="B92" s="43"/>
      <c r="C92" s="43"/>
      <c r="D92" s="43"/>
      <c r="E92" s="43"/>
      <c r="F92" s="43"/>
      <c r="G92" s="43"/>
      <c r="H92" s="43"/>
      <c r="I92" s="301"/>
      <c r="J92" s="305"/>
    </row>
    <row r="97" spans="10:10">
      <c r="J97" s="305"/>
    </row>
  </sheetData>
  <mergeCells count="19">
    <mergeCell ref="B13:N13"/>
    <mergeCell ref="B23:N23"/>
    <mergeCell ref="I73:L73"/>
    <mergeCell ref="A81:A92"/>
    <mergeCell ref="B84:C84"/>
    <mergeCell ref="B87:C87"/>
    <mergeCell ref="A1:G1"/>
    <mergeCell ref="B30:N30"/>
    <mergeCell ref="B31:N31"/>
    <mergeCell ref="B73:F73"/>
    <mergeCell ref="B74:B75"/>
    <mergeCell ref="F74:F75"/>
    <mergeCell ref="B46:N46"/>
    <mergeCell ref="B47:N47"/>
    <mergeCell ref="B53:N53"/>
    <mergeCell ref="B58:N58"/>
    <mergeCell ref="B38:H38"/>
    <mergeCell ref="B6:N6"/>
    <mergeCell ref="B7:N7"/>
  </mergeCells>
  <conditionalFormatting sqref="C83">
    <cfRule type="cellIs" dxfId="19" priority="3" operator="lessThan">
      <formula>0.15</formula>
    </cfRule>
  </conditionalFormatting>
  <conditionalFormatting sqref="C86">
    <cfRule type="cellIs" dxfId="18" priority="2" operator="lessThan">
      <formula>0.05</formula>
    </cfRule>
  </conditionalFormatting>
  <dataValidations count="7">
    <dataValidation allowBlank="1" showInputMessage="1" showErrorMessage="1" prompt="Insert name of recipient agency here _x000a_" sqref="C5:F5 I5:K5 M5" xr:uid="{00000000-0002-0000-0000-000000000000}"/>
    <dataValidation allowBlank="1" showErrorMessage="1" prompt="% Towards Gender Equality and Women's Empowerment Must be Higher than 15%_x000a_" sqref="C85:F85" xr:uid="{00000000-0002-0000-0000-000001000000}"/>
    <dataValidation allowBlank="1" showInputMessage="1" showErrorMessage="1" prompt="Insert *text* description of Activity here" sqref="B8 B14 B24 B32 B39 B48 B54:B55 B59" xr:uid="{00000000-0002-0000-0000-000002000000}"/>
    <dataValidation allowBlank="1" showInputMessage="1" showErrorMessage="1" prompt="Insert *text* description of Output here" sqref="B7 B13 B23 B31 B38 B47 B53 B58" xr:uid="{00000000-0002-0000-0000-000003000000}"/>
    <dataValidation allowBlank="1" showInputMessage="1" showErrorMessage="1" prompt="Insert *text* description of Outcome here" sqref="B46 B6 B30" xr:uid="{00000000-0002-0000-0000-000004000000}"/>
    <dataValidation allowBlank="1" showInputMessage="1" showErrorMessage="1" prompt="M&amp;E Budget Cannot be Less than 5%_x000a_" sqref="C86:F86" xr:uid="{00000000-0002-0000-0000-000005000000}"/>
    <dataValidation allowBlank="1" showInputMessage="1" showErrorMessage="1" prompt="% Towards Gender Equality and Women's Empowerment Must be Higher than 15%_x000a_" sqref="C83:F83" xr:uid="{00000000-0002-0000-0000-000006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28"/>
  <sheetViews>
    <sheetView topLeftCell="A11" zoomScale="70" zoomScaleNormal="70" workbookViewId="0">
      <pane xSplit="12" ySplit="7" topLeftCell="M18" activePane="bottomRight" state="frozen"/>
      <selection pane="bottomRight" activeCell="Q209" sqref="Q209"/>
      <selection pane="bottomLeft" activeCell="A18" sqref="A18"/>
      <selection pane="topRight" activeCell="M11" sqref="M11"/>
    </sheetView>
  </sheetViews>
  <sheetFormatPr defaultColWidth="8.85546875" defaultRowHeight="14.45"/>
  <cols>
    <col min="1" max="2" width="2.28515625" customWidth="1"/>
    <col min="3" max="3" width="74.7109375" customWidth="1"/>
    <col min="4" max="4" width="23.140625" hidden="1" customWidth="1"/>
    <col min="5" max="5" width="25.42578125" hidden="1" customWidth="1"/>
    <col min="6" max="6" width="22.42578125" hidden="1" customWidth="1"/>
    <col min="7" max="7" width="23.7109375" hidden="1" customWidth="1"/>
    <col min="8" max="9" width="21.140625" hidden="1" customWidth="1"/>
    <col min="10" max="10" width="22.5703125" customWidth="1"/>
    <col min="11" max="12" width="21.140625" hidden="1" customWidth="1"/>
    <col min="13" max="13" width="24.7109375" customWidth="1"/>
    <col min="14" max="15" width="21.140625" hidden="1" customWidth="1"/>
    <col min="16" max="16" width="21.140625" customWidth="1"/>
    <col min="17" max="17" width="25.42578125" customWidth="1"/>
    <col min="18" max="20" width="30.28515625" style="253" customWidth="1"/>
    <col min="21" max="21" width="30.28515625" customWidth="1"/>
    <col min="22" max="22" width="18" style="318" customWidth="1"/>
    <col min="23" max="23" width="30.5703125" style="276" customWidth="1"/>
    <col min="24" max="24" width="17.5703125" style="276" customWidth="1"/>
  </cols>
  <sheetData>
    <row r="1" spans="1:24" ht="15.6">
      <c r="A1" s="112"/>
      <c r="B1" s="112"/>
      <c r="C1" s="112"/>
      <c r="D1" s="173"/>
      <c r="E1" s="173"/>
      <c r="F1" s="173"/>
      <c r="G1" s="112"/>
      <c r="H1" s="112"/>
      <c r="I1" s="112"/>
    </row>
    <row r="2" spans="1:24" ht="45.95">
      <c r="A2" s="112"/>
      <c r="B2" s="112"/>
      <c r="C2" s="366" t="s">
        <v>111</v>
      </c>
      <c r="D2" s="366"/>
      <c r="E2" s="366"/>
      <c r="F2" s="366"/>
      <c r="G2" s="255"/>
      <c r="H2" s="255"/>
      <c r="I2" s="255"/>
    </row>
    <row r="3" spans="1:24" ht="15.6">
      <c r="A3" s="112"/>
      <c r="B3" s="112"/>
      <c r="C3" s="254"/>
      <c r="D3" s="253"/>
      <c r="E3" s="253"/>
      <c r="F3" s="253"/>
      <c r="G3" s="253"/>
      <c r="H3" s="253"/>
      <c r="I3" s="253"/>
    </row>
    <row r="4" spans="1:24" ht="15.95" thickBot="1">
      <c r="A4" s="112"/>
      <c r="B4" s="112"/>
      <c r="C4" s="254"/>
      <c r="D4" s="253"/>
      <c r="E4" s="253"/>
      <c r="F4" s="253"/>
      <c r="G4" s="253"/>
      <c r="H4" s="253"/>
      <c r="I4" s="253"/>
    </row>
    <row r="5" spans="1:24" ht="39" customHeight="1">
      <c r="A5" s="112"/>
      <c r="B5" s="112"/>
      <c r="C5" s="367" t="s">
        <v>112</v>
      </c>
      <c r="D5" s="368"/>
      <c r="E5" s="368"/>
      <c r="F5" s="368"/>
      <c r="G5" s="369"/>
      <c r="H5" s="252"/>
      <c r="I5" s="252"/>
    </row>
    <row r="6" spans="1:24" ht="39" customHeight="1">
      <c r="A6" s="112"/>
      <c r="B6" s="112"/>
      <c r="C6" s="370" t="s">
        <v>113</v>
      </c>
      <c r="D6" s="371"/>
      <c r="E6" s="371"/>
      <c r="F6" s="371"/>
      <c r="G6" s="372"/>
      <c r="H6" s="251"/>
      <c r="I6" s="251"/>
    </row>
    <row r="7" spans="1:24" ht="39" customHeight="1">
      <c r="A7" s="112"/>
      <c r="B7" s="112"/>
      <c r="C7" s="370"/>
      <c r="D7" s="371"/>
      <c r="E7" s="371"/>
      <c r="F7" s="371"/>
      <c r="G7" s="372"/>
      <c r="H7" s="251"/>
      <c r="I7" s="251"/>
    </row>
    <row r="8" spans="1:24" ht="39" customHeight="1" thickBot="1">
      <c r="A8" s="112"/>
      <c r="B8" s="112"/>
      <c r="C8" s="373"/>
      <c r="D8" s="374"/>
      <c r="E8" s="374"/>
      <c r="F8" s="374"/>
      <c r="G8" s="375"/>
      <c r="H8" s="251"/>
      <c r="I8" s="251"/>
      <c r="K8" s="100"/>
    </row>
    <row r="9" spans="1:24" ht="15.95" thickBot="1">
      <c r="A9" s="112"/>
      <c r="B9" s="112"/>
      <c r="C9" s="246"/>
      <c r="D9" s="246"/>
      <c r="E9" s="246"/>
      <c r="F9" s="246"/>
      <c r="G9" s="112"/>
      <c r="H9" s="112"/>
      <c r="I9" s="112"/>
    </row>
    <row r="10" spans="1:24" ht="26.45" thickBot="1">
      <c r="A10" s="112"/>
      <c r="B10" s="112"/>
      <c r="C10" s="376" t="s">
        <v>114</v>
      </c>
      <c r="D10" s="377"/>
      <c r="E10" s="377"/>
      <c r="F10" s="378"/>
      <c r="G10" s="112"/>
      <c r="H10" s="112"/>
      <c r="I10" s="112"/>
    </row>
    <row r="11" spans="1:24" s="248" customFormat="1" ht="26.1">
      <c r="A11" s="173"/>
      <c r="B11" s="173"/>
      <c r="C11" s="250"/>
      <c r="D11" s="250"/>
      <c r="E11" s="250"/>
      <c r="F11" s="250"/>
      <c r="G11" s="173"/>
      <c r="H11" s="173"/>
      <c r="I11" s="173"/>
      <c r="R11" s="256"/>
      <c r="S11" s="256"/>
      <c r="T11" s="256"/>
      <c r="U11" s="249"/>
      <c r="V11" s="319"/>
      <c r="W11" s="298"/>
      <c r="X11" s="298"/>
    </row>
    <row r="12" spans="1:24" ht="15.6">
      <c r="A12" s="112"/>
      <c r="B12" s="112"/>
      <c r="C12" s="246"/>
      <c r="D12" s="379" t="s">
        <v>115</v>
      </c>
      <c r="E12" s="380"/>
      <c r="F12" s="380"/>
      <c r="G12" s="381"/>
      <c r="H12" s="349" t="s">
        <v>116</v>
      </c>
      <c r="I12" s="350"/>
      <c r="J12" s="350"/>
      <c r="K12" s="350"/>
      <c r="L12" s="350"/>
      <c r="M12" s="350"/>
      <c r="N12" s="350"/>
      <c r="O12" s="350"/>
      <c r="P12" s="350"/>
      <c r="Q12" s="351"/>
      <c r="R12" s="365" t="s">
        <v>117</v>
      </c>
      <c r="S12" s="365"/>
      <c r="T12" s="365"/>
      <c r="U12" s="365"/>
    </row>
    <row r="13" spans="1:24" ht="38.25" customHeight="1">
      <c r="A13" s="112"/>
      <c r="B13" s="112"/>
      <c r="C13" s="246"/>
      <c r="D13" s="247" t="s">
        <v>101</v>
      </c>
      <c r="E13" s="247" t="s">
        <v>102</v>
      </c>
      <c r="F13" s="247" t="s">
        <v>103</v>
      </c>
      <c r="G13" s="352" t="s">
        <v>6</v>
      </c>
      <c r="H13" s="354" t="s">
        <v>118</v>
      </c>
      <c r="I13" s="355"/>
      <c r="J13" s="356"/>
      <c r="K13" s="357" t="s">
        <v>119</v>
      </c>
      <c r="L13" s="358"/>
      <c r="M13" s="359"/>
      <c r="N13" s="360" t="s">
        <v>120</v>
      </c>
      <c r="O13" s="361"/>
      <c r="P13" s="362"/>
      <c r="Q13" s="363" t="s">
        <v>121</v>
      </c>
      <c r="R13" s="165" t="s">
        <v>101</v>
      </c>
      <c r="S13" s="243" t="s">
        <v>102</v>
      </c>
      <c r="T13" s="242" t="s">
        <v>103</v>
      </c>
      <c r="U13" s="325" t="s">
        <v>122</v>
      </c>
    </row>
    <row r="14" spans="1:24" ht="15.6">
      <c r="A14" s="112"/>
      <c r="B14" s="112"/>
      <c r="C14" s="246"/>
      <c r="D14" s="245" t="s">
        <v>123</v>
      </c>
      <c r="E14" s="245" t="s">
        <v>15</v>
      </c>
      <c r="F14" s="245" t="s">
        <v>124</v>
      </c>
      <c r="G14" s="353"/>
      <c r="H14" s="165" t="s">
        <v>125</v>
      </c>
      <c r="I14" s="165" t="s">
        <v>126</v>
      </c>
      <c r="J14" s="244" t="s">
        <v>14</v>
      </c>
      <c r="K14" s="243" t="s">
        <v>125</v>
      </c>
      <c r="L14" s="243" t="s">
        <v>126</v>
      </c>
      <c r="M14" s="243" t="s">
        <v>15</v>
      </c>
      <c r="N14" s="242" t="s">
        <v>125</v>
      </c>
      <c r="O14" s="242" t="s">
        <v>126</v>
      </c>
      <c r="P14" s="242"/>
      <c r="Q14" s="364"/>
      <c r="R14" s="165" t="s">
        <v>14</v>
      </c>
      <c r="S14" s="243" t="s">
        <v>15</v>
      </c>
      <c r="T14" s="242"/>
      <c r="U14" s="326"/>
    </row>
    <row r="15" spans="1:24" ht="20.25" customHeight="1">
      <c r="A15" s="112"/>
      <c r="B15" s="330" t="s">
        <v>127</v>
      </c>
      <c r="C15" s="330"/>
      <c r="D15" s="330"/>
      <c r="E15" s="330"/>
      <c r="F15" s="330"/>
      <c r="G15" s="330"/>
      <c r="H15" s="330"/>
      <c r="I15" s="330"/>
      <c r="J15" s="330"/>
      <c r="K15" s="330"/>
      <c r="L15" s="330"/>
      <c r="M15" s="330"/>
      <c r="N15" s="330"/>
      <c r="O15" s="330"/>
      <c r="P15" s="330"/>
      <c r="Q15" s="330"/>
      <c r="R15" s="330"/>
      <c r="S15" s="330"/>
      <c r="T15" s="330"/>
      <c r="U15" s="330"/>
    </row>
    <row r="16" spans="1:24" ht="20.25" customHeight="1">
      <c r="A16" s="112"/>
      <c r="B16" s="257"/>
      <c r="C16" s="330" t="s">
        <v>128</v>
      </c>
      <c r="D16" s="330"/>
      <c r="E16" s="330"/>
      <c r="F16" s="330"/>
      <c r="G16" s="330"/>
      <c r="H16" s="330"/>
      <c r="I16" s="330"/>
      <c r="J16" s="330"/>
      <c r="K16" s="330"/>
      <c r="L16" s="330"/>
      <c r="M16" s="330"/>
      <c r="N16" s="330"/>
      <c r="O16" s="330"/>
      <c r="P16" s="330"/>
      <c r="Q16" s="330"/>
      <c r="R16" s="330"/>
      <c r="S16" s="330"/>
      <c r="T16" s="330"/>
      <c r="U16" s="330"/>
    </row>
    <row r="17" spans="1:22" ht="20.25" customHeight="1" thickBot="1">
      <c r="A17" s="112"/>
      <c r="B17" s="112"/>
      <c r="C17" s="240" t="s">
        <v>129</v>
      </c>
      <c r="D17" s="239">
        <v>0</v>
      </c>
      <c r="E17" s="239">
        <v>720000</v>
      </c>
      <c r="F17" s="239">
        <v>0</v>
      </c>
      <c r="G17" s="110">
        <f t="shared" ref="G17:G25" si="0">SUM(D17:F17)</f>
        <v>720000</v>
      </c>
      <c r="H17" s="110"/>
      <c r="I17" s="110"/>
      <c r="J17" s="238">
        <f>+J25</f>
        <v>184233</v>
      </c>
      <c r="K17" s="237">
        <f>+K25</f>
        <v>488100</v>
      </c>
      <c r="L17" s="237">
        <f>+L25</f>
        <v>488100</v>
      </c>
      <c r="M17" s="237">
        <f>M25</f>
        <v>0</v>
      </c>
      <c r="N17" s="236"/>
      <c r="O17" s="236"/>
      <c r="P17" s="236">
        <v>0</v>
      </c>
      <c r="Q17" s="265">
        <f>Q25</f>
        <v>184233</v>
      </c>
      <c r="R17" s="238">
        <f>+R25</f>
        <v>140245</v>
      </c>
      <c r="S17" s="237"/>
      <c r="T17" s="236">
        <f>+T25</f>
        <v>0</v>
      </c>
      <c r="U17" s="272">
        <f>+U25</f>
        <v>140245</v>
      </c>
      <c r="V17" s="318">
        <v>89704.6</v>
      </c>
    </row>
    <row r="18" spans="1:22" ht="20.25" customHeight="1">
      <c r="A18" s="112"/>
      <c r="B18" s="112"/>
      <c r="C18" s="193" t="s">
        <v>130</v>
      </c>
      <c r="D18" s="203"/>
      <c r="E18" s="202">
        <v>0</v>
      </c>
      <c r="F18" s="202"/>
      <c r="G18" s="192">
        <f t="shared" si="0"/>
        <v>0</v>
      </c>
      <c r="H18" s="191"/>
      <c r="I18" s="191"/>
      <c r="J18" s="219"/>
      <c r="K18" s="188"/>
      <c r="L18" s="188"/>
      <c r="M18" s="230"/>
      <c r="N18" s="232"/>
      <c r="O18" s="232"/>
      <c r="P18" s="216"/>
      <c r="Q18" s="266">
        <f t="shared" ref="Q18:Q24" si="1">J18+M18+P18</f>
        <v>0</v>
      </c>
      <c r="R18" s="152"/>
      <c r="S18" s="150"/>
      <c r="T18" s="149"/>
      <c r="U18" s="272">
        <f>+R18+S18+T18</f>
        <v>0</v>
      </c>
    </row>
    <row r="19" spans="1:22" ht="20.25" customHeight="1">
      <c r="A19" s="112"/>
      <c r="B19" s="112"/>
      <c r="C19" s="187" t="s">
        <v>131</v>
      </c>
      <c r="D19" s="186"/>
      <c r="E19" s="190">
        <f>12800+12000</f>
        <v>24800</v>
      </c>
      <c r="F19" s="190"/>
      <c r="G19" s="178">
        <f t="shared" si="0"/>
        <v>24800</v>
      </c>
      <c r="H19" s="185"/>
      <c r="I19" s="185"/>
      <c r="J19" s="184">
        <v>9271</v>
      </c>
      <c r="K19" s="183"/>
      <c r="L19" s="183">
        <v>24800</v>
      </c>
      <c r="M19" s="230"/>
      <c r="N19" s="231"/>
      <c r="O19" s="231"/>
      <c r="P19" s="214"/>
      <c r="Q19" s="266">
        <f>J19+M19+P19</f>
        <v>9271</v>
      </c>
      <c r="R19" s="152">
        <v>5631</v>
      </c>
      <c r="S19" s="150"/>
      <c r="T19" s="149"/>
      <c r="U19" s="272">
        <f t="shared" ref="U19:U24" si="2">+R19+S19+T19</f>
        <v>5631</v>
      </c>
    </row>
    <row r="20" spans="1:22" ht="20.25" customHeight="1">
      <c r="A20" s="112"/>
      <c r="B20" s="112"/>
      <c r="C20" s="187" t="s">
        <v>132</v>
      </c>
      <c r="D20" s="186"/>
      <c r="E20" s="186">
        <f>498800+96000</f>
        <v>594800</v>
      </c>
      <c r="F20" s="186"/>
      <c r="G20" s="178">
        <f t="shared" si="0"/>
        <v>594800</v>
      </c>
      <c r="H20" s="185"/>
      <c r="I20" s="185"/>
      <c r="J20" s="184">
        <v>32113</v>
      </c>
      <c r="K20" s="183"/>
      <c r="L20" s="183">
        <v>463300</v>
      </c>
      <c r="M20" s="230"/>
      <c r="N20" s="229"/>
      <c r="O20" s="229"/>
      <c r="P20" s="210"/>
      <c r="Q20" s="266">
        <f t="shared" si="1"/>
        <v>32113</v>
      </c>
      <c r="R20" s="152">
        <v>25785.58</v>
      </c>
      <c r="S20" s="150"/>
      <c r="T20" s="149"/>
      <c r="U20" s="272">
        <f t="shared" si="2"/>
        <v>25785.58</v>
      </c>
    </row>
    <row r="21" spans="1:22" ht="20.25" customHeight="1">
      <c r="A21" s="112"/>
      <c r="B21" s="112"/>
      <c r="C21" s="189" t="s">
        <v>133</v>
      </c>
      <c r="D21" s="186"/>
      <c r="E21" s="186">
        <f>38400+12000</f>
        <v>50400</v>
      </c>
      <c r="F21" s="186"/>
      <c r="G21" s="178">
        <f t="shared" si="0"/>
        <v>50400</v>
      </c>
      <c r="H21" s="185"/>
      <c r="I21" s="185"/>
      <c r="J21" s="184">
        <v>101728</v>
      </c>
      <c r="K21" s="183">
        <v>479600</v>
      </c>
      <c r="L21" s="183"/>
      <c r="M21" s="230"/>
      <c r="N21" s="229"/>
      <c r="O21" s="229"/>
      <c r="P21" s="210"/>
      <c r="Q21" s="266">
        <f t="shared" si="1"/>
        <v>101728</v>
      </c>
      <c r="R21" s="152">
        <v>89909.4</v>
      </c>
      <c r="S21" s="150"/>
      <c r="T21" s="149"/>
      <c r="U21" s="272">
        <f t="shared" si="2"/>
        <v>89909.4</v>
      </c>
      <c r="V21" s="317">
        <f>V17-R25</f>
        <v>-50540.399999999994</v>
      </c>
    </row>
    <row r="22" spans="1:22" ht="20.25" customHeight="1">
      <c r="A22" s="112"/>
      <c r="B22" s="112"/>
      <c r="C22" s="187" t="s">
        <v>134</v>
      </c>
      <c r="D22" s="186"/>
      <c r="E22" s="186">
        <v>0</v>
      </c>
      <c r="F22" s="186"/>
      <c r="G22" s="178">
        <f t="shared" si="0"/>
        <v>0</v>
      </c>
      <c r="H22" s="185"/>
      <c r="I22" s="185"/>
      <c r="J22" s="184">
        <v>31010</v>
      </c>
      <c r="K22" s="183">
        <v>7000</v>
      </c>
      <c r="L22" s="183"/>
      <c r="M22" s="230"/>
      <c r="N22" s="229"/>
      <c r="O22" s="229"/>
      <c r="P22" s="210"/>
      <c r="Q22" s="266">
        <f t="shared" si="1"/>
        <v>31010</v>
      </c>
      <c r="R22" s="152">
        <v>8900</v>
      </c>
      <c r="S22" s="150"/>
      <c r="T22" s="149"/>
      <c r="U22" s="272">
        <f t="shared" si="2"/>
        <v>8900</v>
      </c>
    </row>
    <row r="23" spans="1:22" ht="20.25" customHeight="1">
      <c r="A23" s="112"/>
      <c r="B23" s="112"/>
      <c r="C23" s="187" t="s">
        <v>135</v>
      </c>
      <c r="D23" s="186"/>
      <c r="E23" s="186"/>
      <c r="F23" s="186"/>
      <c r="G23" s="178">
        <f t="shared" si="0"/>
        <v>0</v>
      </c>
      <c r="H23" s="185"/>
      <c r="I23" s="185"/>
      <c r="J23" s="184"/>
      <c r="K23" s="183"/>
      <c r="L23" s="183"/>
      <c r="M23" s="230"/>
      <c r="N23" s="229"/>
      <c r="O23" s="229"/>
      <c r="P23" s="210"/>
      <c r="Q23" s="266">
        <f t="shared" si="1"/>
        <v>0</v>
      </c>
      <c r="R23" s="152"/>
      <c r="S23" s="150"/>
      <c r="T23" s="149"/>
      <c r="U23" s="272">
        <f t="shared" si="2"/>
        <v>0</v>
      </c>
    </row>
    <row r="24" spans="1:22" ht="20.25" customHeight="1">
      <c r="A24" s="112"/>
      <c r="B24" s="112"/>
      <c r="C24" s="187" t="s">
        <v>136</v>
      </c>
      <c r="D24" s="186"/>
      <c r="E24" s="186">
        <v>50000</v>
      </c>
      <c r="F24" s="186"/>
      <c r="G24" s="178">
        <f t="shared" si="0"/>
        <v>50000</v>
      </c>
      <c r="H24" s="185"/>
      <c r="I24" s="185"/>
      <c r="J24" s="184">
        <v>10111</v>
      </c>
      <c r="K24" s="183">
        <v>1500</v>
      </c>
      <c r="L24" s="183"/>
      <c r="M24" s="230"/>
      <c r="N24" s="229"/>
      <c r="O24" s="229"/>
      <c r="P24" s="210"/>
      <c r="Q24" s="266">
        <f t="shared" si="1"/>
        <v>10111</v>
      </c>
      <c r="R24" s="152">
        <v>10019.02</v>
      </c>
      <c r="S24" s="150"/>
      <c r="T24" s="149"/>
      <c r="U24" s="272">
        <f t="shared" si="2"/>
        <v>10019.02</v>
      </c>
    </row>
    <row r="25" spans="1:22" ht="20.25" customHeight="1">
      <c r="A25" s="112"/>
      <c r="B25" s="112"/>
      <c r="C25" s="180" t="s">
        <v>121</v>
      </c>
      <c r="D25" s="179">
        <f>SUM(D18:D24)</f>
        <v>0</v>
      </c>
      <c r="E25" s="179">
        <f>SUM(E18:E24)</f>
        <v>720000</v>
      </c>
      <c r="F25" s="179">
        <f>SUM(F18:F24)</f>
        <v>0</v>
      </c>
      <c r="G25" s="145">
        <f t="shared" si="0"/>
        <v>720000</v>
      </c>
      <c r="H25" s="145"/>
      <c r="I25" s="145"/>
      <c r="J25" s="177">
        <f>SUM(J18:J24)</f>
        <v>184233</v>
      </c>
      <c r="K25" s="234">
        <f>SUM(K18:K24)</f>
        <v>488100</v>
      </c>
      <c r="L25" s="234">
        <f>SUM(L18:L24)</f>
        <v>488100</v>
      </c>
      <c r="M25" s="176">
        <f>SUM(M18:M24)</f>
        <v>0</v>
      </c>
      <c r="N25" s="175"/>
      <c r="O25" s="175"/>
      <c r="P25" s="175">
        <f>SUM(P18:P24)</f>
        <v>0</v>
      </c>
      <c r="Q25" s="266">
        <f>SUM(Q18:Q24)</f>
        <v>184233</v>
      </c>
      <c r="R25" s="177">
        <f>SUM(R18:R24)</f>
        <v>140245</v>
      </c>
      <c r="S25" s="176">
        <f>SUM(S18:S24)</f>
        <v>0</v>
      </c>
      <c r="T25" s="175">
        <f t="shared" ref="T25" si="3">SUM(T18:T24)</f>
        <v>0</v>
      </c>
      <c r="U25" s="272">
        <f>SUM(U18:U24)</f>
        <v>140245</v>
      </c>
    </row>
    <row r="26" spans="1:22" ht="20.25" customHeight="1">
      <c r="A26" s="173"/>
      <c r="B26" s="173"/>
      <c r="C26" s="206"/>
      <c r="D26" s="205"/>
      <c r="E26" s="205"/>
      <c r="F26" s="205"/>
      <c r="G26" s="233"/>
      <c r="H26" s="207"/>
      <c r="I26" s="207"/>
      <c r="P26" s="100"/>
      <c r="R26" s="268"/>
      <c r="S26" s="268"/>
      <c r="T26" s="268"/>
      <c r="U26" s="86"/>
    </row>
    <row r="27" spans="1:22" ht="20.25" customHeight="1">
      <c r="A27" s="112"/>
      <c r="B27" s="112"/>
      <c r="C27" s="327" t="s">
        <v>137</v>
      </c>
      <c r="D27" s="328"/>
      <c r="E27" s="328"/>
      <c r="F27" s="328"/>
      <c r="G27" s="328"/>
      <c r="H27" s="328"/>
      <c r="I27" s="328"/>
      <c r="J27" s="328"/>
      <c r="K27" s="328"/>
      <c r="L27" s="328"/>
      <c r="M27" s="328"/>
      <c r="N27" s="328"/>
      <c r="O27" s="328"/>
      <c r="P27" s="328"/>
      <c r="Q27" s="328"/>
      <c r="R27" s="328"/>
      <c r="S27" s="328"/>
      <c r="T27" s="328"/>
      <c r="U27" s="329"/>
    </row>
    <row r="28" spans="1:22" ht="20.25" customHeight="1" thickBot="1">
      <c r="A28" s="112"/>
      <c r="B28" s="112"/>
      <c r="C28" s="199" t="s">
        <v>138</v>
      </c>
      <c r="D28" s="198">
        <v>0</v>
      </c>
      <c r="E28" s="198">
        <v>170000</v>
      </c>
      <c r="F28" s="198">
        <v>0</v>
      </c>
      <c r="G28" s="197">
        <f t="shared" ref="G28:G36" si="4">SUM(D28:F28)</f>
        <v>170000</v>
      </c>
      <c r="H28" s="197"/>
      <c r="I28" s="197"/>
      <c r="J28" s="196">
        <v>0</v>
      </c>
      <c r="K28" s="195">
        <f>K36</f>
        <v>0</v>
      </c>
      <c r="L28" s="195">
        <f>L36</f>
        <v>373457.20999999996</v>
      </c>
      <c r="M28" s="195">
        <f>M36</f>
        <v>0</v>
      </c>
      <c r="N28" s="194"/>
      <c r="O28" s="194"/>
      <c r="P28" s="194">
        <v>0</v>
      </c>
      <c r="Q28" s="267">
        <f>SUM(J28:P28)</f>
        <v>373457.20999999996</v>
      </c>
      <c r="R28" s="152">
        <f>+R36</f>
        <v>101067</v>
      </c>
      <c r="S28" s="150">
        <v>0</v>
      </c>
      <c r="T28" s="149">
        <f t="shared" ref="T28" si="5">+T36</f>
        <v>0</v>
      </c>
      <c r="U28" s="272">
        <f>+U36</f>
        <v>101067</v>
      </c>
      <c r="V28" s="318">
        <v>70157.850000000006</v>
      </c>
    </row>
    <row r="29" spans="1:22" ht="20.25" customHeight="1">
      <c r="A29" s="112"/>
      <c r="B29" s="112"/>
      <c r="C29" s="193" t="s">
        <v>130</v>
      </c>
      <c r="D29" s="203"/>
      <c r="E29" s="202"/>
      <c r="F29" s="202"/>
      <c r="G29" s="192">
        <f t="shared" si="4"/>
        <v>0</v>
      </c>
      <c r="H29" s="191"/>
      <c r="I29" s="191"/>
      <c r="J29" s="219"/>
      <c r="K29" s="188"/>
      <c r="L29" s="188">
        <v>150000</v>
      </c>
      <c r="M29" s="230"/>
      <c r="N29" s="232"/>
      <c r="O29" s="232"/>
      <c r="P29" s="216"/>
      <c r="Q29" s="266">
        <f t="shared" ref="Q29:Q36" si="6">+J29+M29+P29</f>
        <v>0</v>
      </c>
      <c r="R29" s="152"/>
      <c r="S29" s="150"/>
      <c r="T29" s="149"/>
      <c r="U29" s="272">
        <f>+R29+S29+T29</f>
        <v>0</v>
      </c>
    </row>
    <row r="30" spans="1:22" ht="20.25" customHeight="1">
      <c r="A30" s="112"/>
      <c r="B30" s="112"/>
      <c r="C30" s="187" t="s">
        <v>131</v>
      </c>
      <c r="D30" s="186"/>
      <c r="E30" s="190">
        <v>5000</v>
      </c>
      <c r="F30" s="190"/>
      <c r="G30" s="178">
        <f t="shared" si="4"/>
        <v>5000</v>
      </c>
      <c r="H30" s="185"/>
      <c r="I30" s="185"/>
      <c r="J30" s="184">
        <v>4636</v>
      </c>
      <c r="K30" s="183"/>
      <c r="L30" s="183">
        <v>163457.21</v>
      </c>
      <c r="M30" s="230"/>
      <c r="N30" s="231"/>
      <c r="O30" s="231"/>
      <c r="P30" s="214"/>
      <c r="Q30" s="266">
        <f t="shared" si="6"/>
        <v>4636</v>
      </c>
      <c r="R30" s="152">
        <v>858.47</v>
      </c>
      <c r="S30" s="150"/>
      <c r="T30" s="149"/>
      <c r="U30" s="272">
        <f t="shared" ref="U30:U35" si="7">+R30+S30+T30</f>
        <v>858.47</v>
      </c>
    </row>
    <row r="31" spans="1:22" ht="20.25" customHeight="1">
      <c r="A31" s="112"/>
      <c r="B31" s="112"/>
      <c r="C31" s="187" t="s">
        <v>132</v>
      </c>
      <c r="D31" s="186"/>
      <c r="E31" s="186"/>
      <c r="F31" s="186"/>
      <c r="G31" s="178">
        <f t="shared" si="4"/>
        <v>0</v>
      </c>
      <c r="H31" s="185"/>
      <c r="I31" s="185"/>
      <c r="J31" s="184">
        <v>5192</v>
      </c>
      <c r="K31" s="183"/>
      <c r="L31" s="183">
        <v>10000</v>
      </c>
      <c r="M31" s="230"/>
      <c r="N31" s="229"/>
      <c r="O31" s="229"/>
      <c r="P31" s="210"/>
      <c r="Q31" s="266">
        <f t="shared" si="6"/>
        <v>5192</v>
      </c>
      <c r="R31" s="152">
        <v>5061.92</v>
      </c>
      <c r="S31" s="150"/>
      <c r="T31" s="149"/>
      <c r="U31" s="272">
        <f t="shared" si="7"/>
        <v>5061.92</v>
      </c>
      <c r="V31" s="317">
        <f>+V28-R36</f>
        <v>-30909.149999999994</v>
      </c>
    </row>
    <row r="32" spans="1:22" ht="20.25" customHeight="1">
      <c r="A32" s="112"/>
      <c r="B32" s="112"/>
      <c r="C32" s="189" t="s">
        <v>133</v>
      </c>
      <c r="D32" s="186"/>
      <c r="E32" s="186">
        <v>154000</v>
      </c>
      <c r="F32" s="186"/>
      <c r="G32" s="178">
        <f t="shared" si="4"/>
        <v>154000</v>
      </c>
      <c r="H32" s="185"/>
      <c r="I32" s="185"/>
      <c r="J32" s="184">
        <v>140486</v>
      </c>
      <c r="K32" s="183"/>
      <c r="L32" s="183">
        <v>50000</v>
      </c>
      <c r="M32" s="230"/>
      <c r="N32" s="229"/>
      <c r="O32" s="229"/>
      <c r="P32" s="210"/>
      <c r="Q32" s="266">
        <f t="shared" si="6"/>
        <v>140486</v>
      </c>
      <c r="R32" s="152">
        <v>85061.02</v>
      </c>
      <c r="S32" s="150"/>
      <c r="T32" s="149"/>
      <c r="U32" s="272">
        <f t="shared" si="7"/>
        <v>85061.02</v>
      </c>
    </row>
    <row r="33" spans="1:21" ht="20.25" customHeight="1">
      <c r="A33" s="112"/>
      <c r="B33" s="112"/>
      <c r="C33" s="187" t="s">
        <v>134</v>
      </c>
      <c r="D33" s="186"/>
      <c r="E33" s="186"/>
      <c r="F33" s="186"/>
      <c r="G33" s="178">
        <f t="shared" si="4"/>
        <v>0</v>
      </c>
      <c r="H33" s="185"/>
      <c r="I33" s="185"/>
      <c r="J33" s="184">
        <v>22252</v>
      </c>
      <c r="K33" s="183"/>
      <c r="L33" s="183"/>
      <c r="M33" s="230"/>
      <c r="N33" s="229"/>
      <c r="O33" s="229"/>
      <c r="P33" s="210"/>
      <c r="Q33" s="266">
        <f t="shared" si="6"/>
        <v>22252</v>
      </c>
      <c r="R33" s="152">
        <v>3512.47</v>
      </c>
      <c r="S33" s="150"/>
      <c r="T33" s="149"/>
      <c r="U33" s="272">
        <f t="shared" si="7"/>
        <v>3512.47</v>
      </c>
    </row>
    <row r="34" spans="1:21" ht="20.25" customHeight="1">
      <c r="A34" s="112"/>
      <c r="B34" s="112"/>
      <c r="C34" s="187" t="s">
        <v>135</v>
      </c>
      <c r="D34" s="186"/>
      <c r="E34" s="186">
        <v>10000</v>
      </c>
      <c r="F34" s="186"/>
      <c r="G34" s="178">
        <f t="shared" si="4"/>
        <v>10000</v>
      </c>
      <c r="H34" s="185"/>
      <c r="I34" s="185"/>
      <c r="J34" s="184"/>
      <c r="K34" s="183"/>
      <c r="L34" s="183"/>
      <c r="M34" s="230"/>
      <c r="N34" s="229"/>
      <c r="O34" s="229"/>
      <c r="P34" s="210"/>
      <c r="Q34" s="266">
        <f t="shared" si="6"/>
        <v>0</v>
      </c>
      <c r="R34" s="152"/>
      <c r="S34" s="150"/>
      <c r="T34" s="149"/>
      <c r="U34" s="272">
        <f t="shared" si="7"/>
        <v>0</v>
      </c>
    </row>
    <row r="35" spans="1:21" ht="20.25" customHeight="1">
      <c r="A35" s="112"/>
      <c r="B35" s="112"/>
      <c r="C35" s="187" t="s">
        <v>136</v>
      </c>
      <c r="D35" s="186"/>
      <c r="E35" s="186">
        <v>1000</v>
      </c>
      <c r="F35" s="186"/>
      <c r="G35" s="178">
        <f t="shared" si="4"/>
        <v>1000</v>
      </c>
      <c r="H35" s="185"/>
      <c r="I35" s="185"/>
      <c r="J35" s="184">
        <v>17962</v>
      </c>
      <c r="K35" s="183"/>
      <c r="L35" s="183"/>
      <c r="M35" s="230"/>
      <c r="N35" s="229"/>
      <c r="O35" s="229"/>
      <c r="P35" s="210"/>
      <c r="Q35" s="266">
        <f t="shared" si="6"/>
        <v>17962</v>
      </c>
      <c r="R35" s="152">
        <v>6573.12</v>
      </c>
      <c r="S35" s="150">
        <v>0</v>
      </c>
      <c r="T35" s="149"/>
      <c r="U35" s="272">
        <f t="shared" si="7"/>
        <v>6573.12</v>
      </c>
    </row>
    <row r="36" spans="1:21" ht="20.25" customHeight="1">
      <c r="A36" s="112"/>
      <c r="B36" s="112"/>
      <c r="C36" s="180" t="s">
        <v>121</v>
      </c>
      <c r="D36" s="179">
        <f>SUM(D29:D35)</f>
        <v>0</v>
      </c>
      <c r="E36" s="179">
        <f>SUM(E29:E35)</f>
        <v>170000</v>
      </c>
      <c r="F36" s="179">
        <f>SUM(F29:F35)</f>
        <v>0</v>
      </c>
      <c r="G36" s="178">
        <f t="shared" si="4"/>
        <v>170000</v>
      </c>
      <c r="H36" s="178"/>
      <c r="I36" s="178"/>
      <c r="J36" s="177">
        <f>SUM(J29:J35)</f>
        <v>190528</v>
      </c>
      <c r="K36" s="176">
        <f>SUM(K29:K35)</f>
        <v>0</v>
      </c>
      <c r="L36" s="176">
        <f>SUM(L29:L35)</f>
        <v>373457.20999999996</v>
      </c>
      <c r="M36" s="176">
        <f>SUM(M29:M35)</f>
        <v>0</v>
      </c>
      <c r="N36" s="175"/>
      <c r="O36" s="175"/>
      <c r="P36" s="175">
        <f>SUM(P29:P35)</f>
        <v>0</v>
      </c>
      <c r="Q36" s="266">
        <f t="shared" si="6"/>
        <v>190528</v>
      </c>
      <c r="R36" s="152">
        <f>SUM(R29:R35)</f>
        <v>101067</v>
      </c>
      <c r="S36" s="150">
        <f t="shared" ref="S36" si="8">SUM(S29:S35)</f>
        <v>0</v>
      </c>
      <c r="T36" s="149">
        <f t="shared" ref="T36" si="9">SUM(T29:T35)</f>
        <v>0</v>
      </c>
      <c r="U36" s="272">
        <f>SUM(U29:U35)</f>
        <v>101067</v>
      </c>
    </row>
    <row r="37" spans="1:21" ht="20.25" customHeight="1">
      <c r="A37" s="173"/>
      <c r="B37" s="173"/>
      <c r="C37" s="206"/>
      <c r="D37" s="205"/>
      <c r="E37" s="205"/>
      <c r="F37" s="205"/>
      <c r="G37" s="204"/>
      <c r="H37" s="207"/>
      <c r="I37" s="207"/>
      <c r="R37" s="268"/>
      <c r="S37" s="268"/>
      <c r="T37" s="268"/>
      <c r="U37" s="86"/>
    </row>
    <row r="38" spans="1:21" ht="20.25" hidden="1" customHeight="1">
      <c r="A38" s="112"/>
      <c r="B38" s="112"/>
      <c r="C38" s="327" t="s">
        <v>139</v>
      </c>
      <c r="D38" s="328"/>
      <c r="E38" s="328"/>
      <c r="F38" s="328"/>
      <c r="G38" s="328"/>
      <c r="H38" s="328"/>
      <c r="I38" s="328"/>
      <c r="J38" s="328"/>
      <c r="K38" s="328"/>
      <c r="L38" s="328"/>
      <c r="M38" s="328"/>
      <c r="N38" s="328"/>
      <c r="O38" s="328"/>
      <c r="P38" s="328"/>
      <c r="Q38" s="328"/>
      <c r="R38" s="328"/>
      <c r="S38" s="328"/>
      <c r="T38" s="328"/>
      <c r="U38" s="329"/>
    </row>
    <row r="39" spans="1:21" ht="20.25" hidden="1" customHeight="1" thickBot="1">
      <c r="A39" s="112"/>
      <c r="B39" s="112"/>
      <c r="C39" s="199" t="s">
        <v>140</v>
      </c>
      <c r="D39" s="198">
        <v>0</v>
      </c>
      <c r="E39" s="198">
        <v>0</v>
      </c>
      <c r="F39" s="198">
        <v>50000</v>
      </c>
      <c r="G39" s="197">
        <f t="shared" ref="G39:G47" si="10">SUM(D39:F39)</f>
        <v>50000</v>
      </c>
      <c r="H39" s="197"/>
      <c r="I39" s="197"/>
      <c r="J39" s="177">
        <f t="shared" ref="J39:O39" si="11">+J47</f>
        <v>0</v>
      </c>
      <c r="K39" s="194">
        <f t="shared" si="11"/>
        <v>0</v>
      </c>
      <c r="L39" s="194">
        <f t="shared" si="11"/>
        <v>0</v>
      </c>
      <c r="M39" s="176">
        <f t="shared" si="11"/>
        <v>0</v>
      </c>
      <c r="N39" s="194">
        <f t="shared" si="11"/>
        <v>56031.09</v>
      </c>
      <c r="O39" s="194">
        <f t="shared" si="11"/>
        <v>18000</v>
      </c>
      <c r="P39" s="194">
        <f>+P47</f>
        <v>0</v>
      </c>
      <c r="Q39" s="267">
        <f>+J39+M39+P39</f>
        <v>0</v>
      </c>
      <c r="R39" s="152">
        <f>+R47</f>
        <v>0</v>
      </c>
      <c r="S39" s="150">
        <f t="shared" ref="S39:U39" si="12">+S47</f>
        <v>0</v>
      </c>
      <c r="T39" s="149">
        <f t="shared" si="12"/>
        <v>0</v>
      </c>
      <c r="U39" s="272">
        <f t="shared" si="12"/>
        <v>0</v>
      </c>
    </row>
    <row r="40" spans="1:21" ht="20.25" hidden="1" customHeight="1">
      <c r="A40" s="112"/>
      <c r="B40" s="112"/>
      <c r="C40" s="193" t="s">
        <v>130</v>
      </c>
      <c r="D40" s="203"/>
      <c r="E40" s="202"/>
      <c r="F40" s="190">
        <v>1000</v>
      </c>
      <c r="G40" s="192">
        <f t="shared" si="10"/>
        <v>1000</v>
      </c>
      <c r="H40" s="191"/>
      <c r="I40" s="191"/>
      <c r="J40" s="219"/>
      <c r="K40" s="188"/>
      <c r="L40" s="188"/>
      <c r="M40" s="217"/>
      <c r="N40" s="216"/>
      <c r="O40" s="216"/>
      <c r="P40" s="228"/>
      <c r="Q40" s="266">
        <f t="shared" ref="Q40:Q47" si="13">+J40+M40+P40</f>
        <v>0</v>
      </c>
      <c r="R40" s="152"/>
      <c r="S40" s="150"/>
      <c r="T40" s="149"/>
      <c r="U40" s="272">
        <f>+R40+S40+T40</f>
        <v>0</v>
      </c>
    </row>
    <row r="41" spans="1:21" ht="20.25" hidden="1" customHeight="1">
      <c r="A41" s="173"/>
      <c r="B41" s="173"/>
      <c r="C41" s="187" t="s">
        <v>131</v>
      </c>
      <c r="D41" s="186"/>
      <c r="E41" s="190"/>
      <c r="F41" s="186">
        <v>3000</v>
      </c>
      <c r="G41" s="178">
        <f t="shared" si="10"/>
        <v>3000</v>
      </c>
      <c r="H41" s="185"/>
      <c r="I41" s="185"/>
      <c r="J41" s="184"/>
      <c r="K41" s="183"/>
      <c r="L41" s="183"/>
      <c r="M41" s="215"/>
      <c r="N41" s="214">
        <v>35031.089999999997</v>
      </c>
      <c r="O41" s="214"/>
      <c r="P41" s="228"/>
      <c r="Q41" s="266">
        <f t="shared" si="13"/>
        <v>0</v>
      </c>
      <c r="R41" s="152"/>
      <c r="S41" s="150"/>
      <c r="T41" s="149"/>
      <c r="U41" s="272">
        <f t="shared" ref="U41:U46" si="14">+R41+S41+T41</f>
        <v>0</v>
      </c>
    </row>
    <row r="42" spans="1:21" ht="20.25" hidden="1" customHeight="1">
      <c r="A42" s="173"/>
      <c r="B42" s="173"/>
      <c r="C42" s="187" t="s">
        <v>132</v>
      </c>
      <c r="D42" s="186"/>
      <c r="E42" s="186"/>
      <c r="F42" s="186">
        <v>20000</v>
      </c>
      <c r="G42" s="178">
        <f t="shared" si="10"/>
        <v>20000</v>
      </c>
      <c r="H42" s="185"/>
      <c r="I42" s="185"/>
      <c r="J42" s="184"/>
      <c r="K42" s="183"/>
      <c r="L42" s="183"/>
      <c r="M42" s="183"/>
      <c r="N42" s="210">
        <v>10000</v>
      </c>
      <c r="O42" s="210"/>
      <c r="P42" s="228"/>
      <c r="Q42" s="266">
        <f t="shared" si="13"/>
        <v>0</v>
      </c>
      <c r="R42" s="152"/>
      <c r="S42" s="150"/>
      <c r="T42" s="149"/>
      <c r="U42" s="272">
        <f t="shared" si="14"/>
        <v>0</v>
      </c>
    </row>
    <row r="43" spans="1:21" ht="20.25" hidden="1" customHeight="1">
      <c r="A43" s="173"/>
      <c r="B43" s="173"/>
      <c r="C43" s="189" t="s">
        <v>133</v>
      </c>
      <c r="D43" s="186">
        <v>0</v>
      </c>
      <c r="E43" s="186"/>
      <c r="F43" s="186">
        <v>10000</v>
      </c>
      <c r="G43" s="178">
        <f t="shared" si="10"/>
        <v>10000</v>
      </c>
      <c r="H43" s="185"/>
      <c r="I43" s="185"/>
      <c r="J43" s="184">
        <v>0</v>
      </c>
      <c r="K43" s="183"/>
      <c r="L43" s="183"/>
      <c r="M43" s="183"/>
      <c r="N43" s="210"/>
      <c r="O43" s="210">
        <v>10000</v>
      </c>
      <c r="P43" s="228"/>
      <c r="Q43" s="266">
        <f t="shared" si="13"/>
        <v>0</v>
      </c>
      <c r="R43" s="152"/>
      <c r="S43" s="150"/>
      <c r="T43" s="149"/>
      <c r="U43" s="272">
        <f t="shared" si="14"/>
        <v>0</v>
      </c>
    </row>
    <row r="44" spans="1:21" ht="20.25" hidden="1" customHeight="1">
      <c r="A44" s="112"/>
      <c r="B44" s="112"/>
      <c r="C44" s="187" t="s">
        <v>134</v>
      </c>
      <c r="D44" s="186">
        <v>0</v>
      </c>
      <c r="E44" s="186"/>
      <c r="F44" s="186">
        <v>16000</v>
      </c>
      <c r="G44" s="178">
        <f t="shared" si="10"/>
        <v>16000</v>
      </c>
      <c r="H44" s="185"/>
      <c r="I44" s="185"/>
      <c r="J44" s="184">
        <v>0</v>
      </c>
      <c r="K44" s="183"/>
      <c r="L44" s="183"/>
      <c r="M44" s="183"/>
      <c r="N44" s="210"/>
      <c r="O44" s="210">
        <v>8000</v>
      </c>
      <c r="P44" s="228"/>
      <c r="Q44" s="266">
        <f t="shared" si="13"/>
        <v>0</v>
      </c>
      <c r="R44" s="152"/>
      <c r="S44" s="150"/>
      <c r="T44" s="149"/>
      <c r="U44" s="272">
        <f t="shared" si="14"/>
        <v>0</v>
      </c>
    </row>
    <row r="45" spans="1:21" ht="20.25" hidden="1" customHeight="1">
      <c r="A45" s="112"/>
      <c r="B45" s="112"/>
      <c r="C45" s="187" t="s">
        <v>135</v>
      </c>
      <c r="D45" s="186"/>
      <c r="E45" s="186"/>
      <c r="F45" s="186"/>
      <c r="G45" s="178">
        <f t="shared" si="10"/>
        <v>0</v>
      </c>
      <c r="H45" s="185"/>
      <c r="I45" s="185"/>
      <c r="J45" s="184"/>
      <c r="K45" s="183"/>
      <c r="L45" s="183"/>
      <c r="M45" s="183"/>
      <c r="N45" s="210"/>
      <c r="O45" s="210"/>
      <c r="P45" s="228"/>
      <c r="Q45" s="266">
        <f t="shared" si="13"/>
        <v>0</v>
      </c>
      <c r="R45" s="152"/>
      <c r="S45" s="150"/>
      <c r="T45" s="149"/>
      <c r="U45" s="272">
        <f t="shared" si="14"/>
        <v>0</v>
      </c>
    </row>
    <row r="46" spans="1:21" ht="20.25" hidden="1" customHeight="1">
      <c r="A46" s="112"/>
      <c r="B46" s="112"/>
      <c r="C46" s="187" t="s">
        <v>136</v>
      </c>
      <c r="D46" s="186"/>
      <c r="E46" s="186"/>
      <c r="F46" s="186"/>
      <c r="G46" s="178">
        <f t="shared" si="10"/>
        <v>0</v>
      </c>
      <c r="H46" s="185"/>
      <c r="I46" s="185"/>
      <c r="J46" s="184"/>
      <c r="K46" s="183"/>
      <c r="L46" s="183"/>
      <c r="M46" s="183"/>
      <c r="N46" s="210">
        <v>11000</v>
      </c>
      <c r="O46" s="210"/>
      <c r="P46" s="228"/>
      <c r="Q46" s="266">
        <f t="shared" si="13"/>
        <v>0</v>
      </c>
      <c r="R46" s="152"/>
      <c r="S46" s="150"/>
      <c r="T46" s="149"/>
      <c r="U46" s="272">
        <f t="shared" si="14"/>
        <v>0</v>
      </c>
    </row>
    <row r="47" spans="1:21" ht="20.25" hidden="1" customHeight="1" thickBot="1">
      <c r="A47" s="112"/>
      <c r="B47" s="112"/>
      <c r="C47" s="227" t="s">
        <v>121</v>
      </c>
      <c r="D47" s="226">
        <f>SUM(D40:D46)</f>
        <v>0</v>
      </c>
      <c r="E47" s="226">
        <f>SUM(E40:E46)</f>
        <v>0</v>
      </c>
      <c r="F47" s="226">
        <f>SUM(F40:F46)</f>
        <v>50000</v>
      </c>
      <c r="G47" s="225">
        <f t="shared" si="10"/>
        <v>50000</v>
      </c>
      <c r="H47" s="178"/>
      <c r="I47" s="178"/>
      <c r="J47" s="177">
        <f>SUM(J40:J46)</f>
        <v>0</v>
      </c>
      <c r="K47" s="176"/>
      <c r="L47" s="176"/>
      <c r="M47" s="176">
        <f>SUM(M40:M46)</f>
        <v>0</v>
      </c>
      <c r="N47" s="176">
        <f t="shared" ref="N47:P47" si="15">SUM(N40:N46)</f>
        <v>56031.09</v>
      </c>
      <c r="O47" s="176">
        <f t="shared" si="15"/>
        <v>18000</v>
      </c>
      <c r="P47" s="194">
        <f t="shared" si="15"/>
        <v>0</v>
      </c>
      <c r="Q47" s="266">
        <f t="shared" si="13"/>
        <v>0</v>
      </c>
      <c r="R47" s="152">
        <f>SUM(R40:R46)</f>
        <v>0</v>
      </c>
      <c r="S47" s="150">
        <f t="shared" ref="S47" si="16">SUM(S40:S46)</f>
        <v>0</v>
      </c>
      <c r="T47" s="149">
        <f t="shared" ref="T47" si="17">SUM(T40:T46)</f>
        <v>0</v>
      </c>
      <c r="U47" s="272">
        <f>SUM(U40:U46)</f>
        <v>0</v>
      </c>
    </row>
    <row r="48" spans="1:21" ht="20.25" hidden="1" customHeight="1">
      <c r="A48" s="112"/>
      <c r="B48" s="112"/>
      <c r="C48" s="224"/>
      <c r="D48" s="223"/>
      <c r="E48" s="223"/>
      <c r="F48" s="223"/>
      <c r="G48" s="222"/>
      <c r="H48" s="112"/>
      <c r="I48" s="112"/>
    </row>
    <row r="49" spans="1:21" ht="20.25" hidden="1" customHeight="1">
      <c r="A49" s="173"/>
      <c r="B49" s="173"/>
      <c r="C49" s="331" t="s">
        <v>141</v>
      </c>
      <c r="D49" s="332"/>
      <c r="E49" s="332"/>
      <c r="F49" s="332"/>
      <c r="G49" s="333"/>
      <c r="H49" s="200"/>
      <c r="I49" s="200"/>
    </row>
    <row r="50" spans="1:21" ht="20.25" hidden="1" customHeight="1" thickBot="1">
      <c r="A50" s="112"/>
      <c r="B50" s="112"/>
      <c r="C50" s="199" t="s">
        <v>142</v>
      </c>
      <c r="D50" s="198" t="b">
        <v>1</v>
      </c>
      <c r="E50" s="198">
        <v>0</v>
      </c>
      <c r="F50" s="198">
        <v>0</v>
      </c>
      <c r="G50" s="197">
        <f t="shared" ref="G50:G58" si="18">SUM(D50:F50)</f>
        <v>0</v>
      </c>
      <c r="H50" s="201"/>
      <c r="I50" s="201"/>
    </row>
    <row r="51" spans="1:21" ht="20.25" hidden="1" customHeight="1">
      <c r="A51" s="112"/>
      <c r="B51" s="112"/>
      <c r="C51" s="193" t="s">
        <v>130</v>
      </c>
      <c r="D51" s="203"/>
      <c r="E51" s="202"/>
      <c r="F51" s="202"/>
      <c r="G51" s="192">
        <f t="shared" si="18"/>
        <v>0</v>
      </c>
      <c r="H51" s="201"/>
      <c r="I51" s="201"/>
    </row>
    <row r="52" spans="1:21" ht="20.25" hidden="1" customHeight="1">
      <c r="A52" s="112"/>
      <c r="B52" s="112"/>
      <c r="C52" s="187" t="s">
        <v>131</v>
      </c>
      <c r="D52" s="186"/>
      <c r="E52" s="190"/>
      <c r="F52" s="190"/>
      <c r="G52" s="178">
        <f t="shared" si="18"/>
        <v>0</v>
      </c>
      <c r="H52" s="201"/>
      <c r="I52" s="201"/>
    </row>
    <row r="53" spans="1:21" ht="20.25" hidden="1" customHeight="1">
      <c r="A53" s="112"/>
      <c r="B53" s="112"/>
      <c r="C53" s="187" t="s">
        <v>132</v>
      </c>
      <c r="D53" s="186"/>
      <c r="E53" s="186"/>
      <c r="F53" s="186"/>
      <c r="G53" s="178">
        <f t="shared" si="18"/>
        <v>0</v>
      </c>
      <c r="H53" s="201"/>
      <c r="I53" s="201"/>
    </row>
    <row r="54" spans="1:21" ht="20.25" hidden="1" customHeight="1">
      <c r="A54" s="173"/>
      <c r="B54" s="173"/>
      <c r="C54" s="189" t="s">
        <v>133</v>
      </c>
      <c r="D54" s="186"/>
      <c r="E54" s="186"/>
      <c r="F54" s="186"/>
      <c r="G54" s="178">
        <f t="shared" si="18"/>
        <v>0</v>
      </c>
      <c r="H54" s="201"/>
      <c r="I54" s="201"/>
    </row>
    <row r="55" spans="1:21" ht="20.25" hidden="1" customHeight="1">
      <c r="A55" s="112"/>
      <c r="B55" s="112"/>
      <c r="C55" s="187" t="s">
        <v>134</v>
      </c>
      <c r="D55" s="186"/>
      <c r="E55" s="186"/>
      <c r="F55" s="186"/>
      <c r="G55" s="178">
        <f t="shared" si="18"/>
        <v>0</v>
      </c>
      <c r="H55" s="201"/>
      <c r="I55" s="201"/>
    </row>
    <row r="56" spans="1:21" ht="20.25" hidden="1" customHeight="1">
      <c r="A56" s="112"/>
      <c r="B56" s="112"/>
      <c r="C56" s="187" t="s">
        <v>135</v>
      </c>
      <c r="D56" s="186"/>
      <c r="E56" s="186"/>
      <c r="F56" s="186"/>
      <c r="G56" s="178">
        <f t="shared" si="18"/>
        <v>0</v>
      </c>
      <c r="H56" s="201"/>
      <c r="I56" s="201"/>
    </row>
    <row r="57" spans="1:21" ht="20.25" hidden="1" customHeight="1">
      <c r="A57" s="112"/>
      <c r="B57" s="112"/>
      <c r="C57" s="187" t="s">
        <v>136</v>
      </c>
      <c r="D57" s="186"/>
      <c r="E57" s="186"/>
      <c r="F57" s="186"/>
      <c r="G57" s="178">
        <f t="shared" si="18"/>
        <v>0</v>
      </c>
      <c r="H57" s="201"/>
      <c r="I57" s="201"/>
    </row>
    <row r="58" spans="1:21" ht="20.25" hidden="1" customHeight="1">
      <c r="A58" s="112"/>
      <c r="B58" s="112"/>
      <c r="C58" s="180" t="s">
        <v>121</v>
      </c>
      <c r="D58" s="179">
        <f>SUM(D51:D57)</f>
        <v>0</v>
      </c>
      <c r="E58" s="179">
        <f>SUM(E51:E57)</f>
        <v>0</v>
      </c>
      <c r="F58" s="179">
        <f>SUM(F51:F57)</f>
        <v>0</v>
      </c>
      <c r="G58" s="178">
        <f t="shared" si="18"/>
        <v>0</v>
      </c>
      <c r="H58" s="201"/>
      <c r="I58" s="201"/>
    </row>
    <row r="59" spans="1:21" ht="20.25" customHeight="1">
      <c r="A59" s="173"/>
      <c r="B59" s="173"/>
      <c r="C59" s="261"/>
      <c r="D59" s="262"/>
      <c r="E59" s="262"/>
      <c r="F59" s="262"/>
      <c r="G59" s="263"/>
      <c r="H59" s="201"/>
      <c r="I59" s="201"/>
    </row>
    <row r="60" spans="1:21" ht="20.25" customHeight="1">
      <c r="A60" s="112"/>
      <c r="B60" s="330" t="s">
        <v>143</v>
      </c>
      <c r="C60" s="330"/>
      <c r="D60" s="330"/>
      <c r="E60" s="330"/>
      <c r="F60" s="330"/>
      <c r="G60" s="330"/>
      <c r="H60" s="330"/>
      <c r="I60" s="330"/>
      <c r="J60" s="330"/>
      <c r="K60" s="330"/>
      <c r="L60" s="330"/>
      <c r="M60" s="330"/>
      <c r="N60" s="330"/>
      <c r="O60" s="330"/>
      <c r="P60" s="330"/>
      <c r="Q60" s="330"/>
      <c r="R60" s="330"/>
      <c r="S60" s="330"/>
      <c r="T60" s="330"/>
      <c r="U60" s="330"/>
    </row>
    <row r="61" spans="1:21" ht="20.25" customHeight="1">
      <c r="A61" s="112"/>
      <c r="B61" s="241"/>
      <c r="C61" s="382" t="s">
        <v>50</v>
      </c>
      <c r="D61" s="382"/>
      <c r="E61" s="382"/>
      <c r="F61" s="382"/>
      <c r="G61" s="382"/>
      <c r="H61" s="382"/>
      <c r="I61" s="382"/>
      <c r="J61" s="382"/>
      <c r="K61" s="382"/>
      <c r="L61" s="382"/>
      <c r="M61" s="382"/>
      <c r="N61" s="382"/>
      <c r="O61" s="382"/>
      <c r="P61" s="382"/>
      <c r="Q61" s="382"/>
      <c r="R61" s="382"/>
      <c r="S61" s="382"/>
      <c r="T61" s="382"/>
      <c r="U61" s="382"/>
    </row>
    <row r="62" spans="1:21" ht="20.25" customHeight="1" thickBot="1">
      <c r="A62" s="112"/>
      <c r="B62" s="112"/>
      <c r="C62" s="240" t="s">
        <v>144</v>
      </c>
      <c r="D62" s="239">
        <v>50000</v>
      </c>
      <c r="E62" s="239">
        <v>0</v>
      </c>
      <c r="F62" s="239">
        <v>0</v>
      </c>
      <c r="G62" s="110">
        <f t="shared" ref="G62:G70" si="19">SUM(D62:F62)</f>
        <v>50000</v>
      </c>
      <c r="H62" s="110">
        <f>+H70</f>
        <v>40000</v>
      </c>
      <c r="I62" s="110">
        <f>+I70</f>
        <v>40000</v>
      </c>
      <c r="J62" s="238">
        <f>+J70</f>
        <v>538461</v>
      </c>
      <c r="K62" s="237"/>
      <c r="L62" s="237"/>
      <c r="M62" s="237">
        <v>0</v>
      </c>
      <c r="N62" s="236"/>
      <c r="O62" s="236"/>
      <c r="P62" s="236">
        <v>0</v>
      </c>
      <c r="Q62" s="235">
        <f>SUM(J62:P62)</f>
        <v>538461</v>
      </c>
      <c r="R62" s="238">
        <f>+R70</f>
        <v>95687.51</v>
      </c>
      <c r="S62" s="237">
        <f t="shared" ref="S62:U62" si="20">+S70</f>
        <v>122308.31</v>
      </c>
      <c r="T62" s="236">
        <f t="shared" si="20"/>
        <v>0</v>
      </c>
      <c r="U62" s="272">
        <f t="shared" si="20"/>
        <v>217995.82</v>
      </c>
    </row>
    <row r="63" spans="1:21" ht="20.25" customHeight="1">
      <c r="A63" s="112"/>
      <c r="B63" s="112"/>
      <c r="C63" s="193" t="s">
        <v>130</v>
      </c>
      <c r="D63" s="203"/>
      <c r="E63" s="202"/>
      <c r="F63" s="202"/>
      <c r="G63" s="192">
        <f t="shared" si="19"/>
        <v>0</v>
      </c>
      <c r="H63" s="220"/>
      <c r="I63" s="220"/>
      <c r="J63" s="219"/>
      <c r="K63" s="188"/>
      <c r="L63" s="188"/>
      <c r="M63" s="217"/>
      <c r="N63" s="216"/>
      <c r="O63" s="216"/>
      <c r="P63" s="216"/>
      <c r="Q63" s="174">
        <f t="shared" ref="Q63:Q70" si="21">+J63+M63+P63</f>
        <v>0</v>
      </c>
      <c r="R63" s="152"/>
      <c r="S63" s="150"/>
      <c r="T63" s="149"/>
      <c r="U63" s="272">
        <f>+R63+S63+T63</f>
        <v>0</v>
      </c>
    </row>
    <row r="64" spans="1:21" ht="20.25" customHeight="1">
      <c r="A64" s="112"/>
      <c r="B64" s="112"/>
      <c r="C64" s="187" t="s">
        <v>131</v>
      </c>
      <c r="D64" s="186">
        <v>10000</v>
      </c>
      <c r="E64" s="190"/>
      <c r="F64" s="190"/>
      <c r="G64" s="178">
        <f t="shared" si="19"/>
        <v>10000</v>
      </c>
      <c r="H64" s="213"/>
      <c r="I64" s="213">
        <v>10000</v>
      </c>
      <c r="J64" s="219"/>
      <c r="K64" s="183">
        <v>37000</v>
      </c>
      <c r="L64" s="183"/>
      <c r="M64" s="215">
        <v>37000</v>
      </c>
      <c r="N64" s="214"/>
      <c r="O64" s="214"/>
      <c r="P64" s="214"/>
      <c r="Q64" s="174">
        <f t="shared" si="21"/>
        <v>37000</v>
      </c>
      <c r="R64" s="152"/>
      <c r="S64" s="322">
        <v>40014.25</v>
      </c>
      <c r="T64" s="149"/>
      <c r="U64" s="272">
        <f t="shared" ref="U64:U69" si="22">+R64+S64+T64</f>
        <v>40014.25</v>
      </c>
    </row>
    <row r="65" spans="1:23" ht="20.25" customHeight="1">
      <c r="A65" s="112"/>
      <c r="B65" s="112"/>
      <c r="C65" s="187" t="s">
        <v>132</v>
      </c>
      <c r="D65" s="186"/>
      <c r="E65" s="186"/>
      <c r="F65" s="186"/>
      <c r="G65" s="178">
        <f t="shared" si="19"/>
        <v>0</v>
      </c>
      <c r="H65" s="213"/>
      <c r="I65" s="213"/>
      <c r="J65" s="219">
        <v>927</v>
      </c>
      <c r="K65" s="183">
        <v>75000</v>
      </c>
      <c r="L65" s="183">
        <v>927</v>
      </c>
      <c r="M65" s="183">
        <v>75000</v>
      </c>
      <c r="N65" s="210"/>
      <c r="O65" s="210"/>
      <c r="P65" s="210"/>
      <c r="Q65" s="174">
        <f t="shared" si="21"/>
        <v>75927</v>
      </c>
      <c r="R65" s="152"/>
      <c r="S65" s="150"/>
      <c r="T65" s="149"/>
      <c r="U65" s="272">
        <f t="shared" si="22"/>
        <v>0</v>
      </c>
    </row>
    <row r="66" spans="1:23" ht="20.25" customHeight="1">
      <c r="A66" s="112"/>
      <c r="B66" s="112"/>
      <c r="C66" s="189" t="s">
        <v>133</v>
      </c>
      <c r="D66" s="186"/>
      <c r="E66" s="186"/>
      <c r="F66" s="186"/>
      <c r="G66" s="178">
        <f t="shared" si="19"/>
        <v>0</v>
      </c>
      <c r="H66" s="213"/>
      <c r="I66" s="213"/>
      <c r="J66" s="219">
        <v>22115</v>
      </c>
      <c r="K66" s="183">
        <v>75000</v>
      </c>
      <c r="L66" s="183">
        <v>22115</v>
      </c>
      <c r="M66" s="183">
        <v>75000</v>
      </c>
      <c r="N66" s="210"/>
      <c r="O66" s="210"/>
      <c r="P66" s="210"/>
      <c r="Q66" s="174">
        <f t="shared" si="21"/>
        <v>97115</v>
      </c>
      <c r="R66" s="152"/>
      <c r="S66" s="150">
        <v>7914.54</v>
      </c>
      <c r="T66" s="149"/>
      <c r="U66" s="272">
        <f t="shared" si="22"/>
        <v>7914.54</v>
      </c>
    </row>
    <row r="67" spans="1:23" ht="20.25" customHeight="1">
      <c r="A67" s="112"/>
      <c r="B67" s="112"/>
      <c r="C67" s="187" t="s">
        <v>134</v>
      </c>
      <c r="D67" s="186">
        <v>25000</v>
      </c>
      <c r="E67" s="186"/>
      <c r="F67" s="186"/>
      <c r="G67" s="178">
        <f t="shared" si="19"/>
        <v>25000</v>
      </c>
      <c r="H67" s="213"/>
      <c r="I67" s="213">
        <v>15000</v>
      </c>
      <c r="J67" s="219">
        <v>9669</v>
      </c>
      <c r="K67" s="183">
        <v>18000</v>
      </c>
      <c r="L67" s="183">
        <v>9669</v>
      </c>
      <c r="M67" s="183">
        <v>18000</v>
      </c>
      <c r="N67" s="210"/>
      <c r="O67" s="210"/>
      <c r="P67" s="210"/>
      <c r="Q67" s="174">
        <f t="shared" si="21"/>
        <v>27669</v>
      </c>
      <c r="R67" s="152">
        <v>4000</v>
      </c>
      <c r="S67" s="322">
        <v>19016.919999999998</v>
      </c>
      <c r="T67" s="149"/>
      <c r="U67" s="272">
        <f t="shared" si="22"/>
        <v>23016.92</v>
      </c>
    </row>
    <row r="68" spans="1:23" ht="20.25" customHeight="1">
      <c r="A68" s="173"/>
      <c r="B68" s="112"/>
      <c r="C68" s="187" t="s">
        <v>135</v>
      </c>
      <c r="D68" s="186"/>
      <c r="E68" s="186"/>
      <c r="F68" s="186"/>
      <c r="G68" s="178">
        <f t="shared" si="19"/>
        <v>0</v>
      </c>
      <c r="H68" s="213">
        <v>40000</v>
      </c>
      <c r="I68" s="213"/>
      <c r="J68" s="219">
        <v>500000</v>
      </c>
      <c r="K68" s="183">
        <v>128457.21</v>
      </c>
      <c r="L68" s="183">
        <v>500000</v>
      </c>
      <c r="M68" s="183">
        <v>128457.21</v>
      </c>
      <c r="N68" s="210"/>
      <c r="O68" s="210"/>
      <c r="P68" s="210"/>
      <c r="Q68" s="174">
        <f t="shared" si="21"/>
        <v>628457.21</v>
      </c>
      <c r="R68" s="152">
        <v>87926</v>
      </c>
      <c r="S68" s="150">
        <v>52099.89</v>
      </c>
      <c r="T68" s="149"/>
      <c r="U68" s="272">
        <f t="shared" si="22"/>
        <v>140025.89000000001</v>
      </c>
    </row>
    <row r="69" spans="1:23" ht="20.25" customHeight="1">
      <c r="A69" s="173"/>
      <c r="B69" s="112"/>
      <c r="C69" s="187" t="s">
        <v>136</v>
      </c>
      <c r="D69" s="186">
        <v>15000</v>
      </c>
      <c r="E69" s="186"/>
      <c r="F69" s="186"/>
      <c r="G69" s="178">
        <f t="shared" si="19"/>
        <v>15000</v>
      </c>
      <c r="H69" s="213"/>
      <c r="I69" s="213">
        <v>15000</v>
      </c>
      <c r="J69" s="219">
        <v>5750</v>
      </c>
      <c r="K69" s="183">
        <v>40000</v>
      </c>
      <c r="L69" s="183">
        <v>5750</v>
      </c>
      <c r="M69" s="183">
        <v>40000</v>
      </c>
      <c r="N69" s="210"/>
      <c r="O69" s="210"/>
      <c r="P69" s="210"/>
      <c r="Q69" s="174">
        <f t="shared" si="21"/>
        <v>45750</v>
      </c>
      <c r="R69" s="152">
        <v>3761.51</v>
      </c>
      <c r="S69" s="150">
        <v>3262.71</v>
      </c>
      <c r="T69" s="149"/>
      <c r="U69" s="272">
        <f t="shared" si="22"/>
        <v>7024.22</v>
      </c>
    </row>
    <row r="70" spans="1:23" ht="20.25" customHeight="1">
      <c r="A70" s="112"/>
      <c r="B70" s="112"/>
      <c r="C70" s="180" t="s">
        <v>121</v>
      </c>
      <c r="D70" s="179">
        <f>SUM(D63:D69)</f>
        <v>50000</v>
      </c>
      <c r="E70" s="179">
        <f>SUM(E63:E69)</f>
        <v>0</v>
      </c>
      <c r="F70" s="179">
        <f>SUM(F63:F69)</f>
        <v>0</v>
      </c>
      <c r="G70" s="178">
        <f t="shared" si="19"/>
        <v>50000</v>
      </c>
      <c r="H70" s="221">
        <f>SUM(H63:H69)</f>
        <v>40000</v>
      </c>
      <c r="I70" s="221">
        <f>SUM(I63:I69)</f>
        <v>40000</v>
      </c>
      <c r="J70" s="177">
        <f>SUM(J63:J69)</f>
        <v>538461</v>
      </c>
      <c r="K70" s="176"/>
      <c r="L70" s="176"/>
      <c r="M70" s="176">
        <f>SUM(M63:M69)</f>
        <v>373457.21</v>
      </c>
      <c r="N70" s="175"/>
      <c r="O70" s="175"/>
      <c r="P70" s="175">
        <f>SUM(P63:P69)</f>
        <v>0</v>
      </c>
      <c r="Q70" s="174">
        <f t="shared" si="21"/>
        <v>911918.21</v>
      </c>
      <c r="R70" s="177">
        <f>SUM(R63:R69)</f>
        <v>95687.51</v>
      </c>
      <c r="S70" s="176">
        <f t="shared" ref="S70" si="23">SUM(S63:S69)</f>
        <v>122308.31</v>
      </c>
      <c r="T70" s="175">
        <f t="shared" ref="T70" si="24">SUM(T63:T69)</f>
        <v>0</v>
      </c>
      <c r="U70" s="272">
        <f>SUM(U63:U69)</f>
        <v>217995.82</v>
      </c>
    </row>
    <row r="71" spans="1:23" ht="20.25" customHeight="1">
      <c r="A71" s="173"/>
      <c r="B71" s="173"/>
      <c r="C71" s="264"/>
      <c r="D71" s="262"/>
      <c r="E71" s="262"/>
      <c r="F71" s="262"/>
      <c r="G71" s="263"/>
      <c r="H71" s="207"/>
      <c r="I71" s="207"/>
    </row>
    <row r="72" spans="1:23" ht="20.25" customHeight="1">
      <c r="A72" s="112"/>
      <c r="B72" s="173"/>
      <c r="C72" s="330" t="s">
        <v>60</v>
      </c>
      <c r="D72" s="330"/>
      <c r="E72" s="330"/>
      <c r="F72" s="330"/>
      <c r="G72" s="330"/>
      <c r="H72" s="330"/>
      <c r="I72" s="330"/>
      <c r="J72" s="330"/>
      <c r="K72" s="330"/>
      <c r="L72" s="330"/>
      <c r="M72" s="330"/>
      <c r="N72" s="330"/>
      <c r="O72" s="330"/>
      <c r="P72" s="330"/>
      <c r="Q72" s="330"/>
      <c r="R72" s="330"/>
      <c r="S72" s="330"/>
      <c r="T72" s="330"/>
      <c r="U72" s="330"/>
    </row>
    <row r="73" spans="1:23" ht="20.25" customHeight="1" thickBot="1">
      <c r="A73" s="112"/>
      <c r="B73" s="112"/>
      <c r="C73" s="240" t="s">
        <v>145</v>
      </c>
      <c r="D73" s="239">
        <f>+D81</f>
        <v>800000</v>
      </c>
      <c r="E73" s="239">
        <v>0</v>
      </c>
      <c r="F73" s="239">
        <v>200000</v>
      </c>
      <c r="G73" s="110">
        <f t="shared" ref="G73:G81" si="25">SUM(D73:F73)</f>
        <v>1000000</v>
      </c>
      <c r="H73" s="110"/>
      <c r="I73" s="110"/>
      <c r="J73" s="238">
        <f>+J81</f>
        <v>530615</v>
      </c>
      <c r="K73" s="237"/>
      <c r="L73" s="237"/>
      <c r="M73" s="237">
        <v>0</v>
      </c>
      <c r="N73" s="236">
        <f>N81</f>
        <v>0</v>
      </c>
      <c r="O73" s="236">
        <f>O81</f>
        <v>0</v>
      </c>
      <c r="P73" s="236">
        <v>200000</v>
      </c>
      <c r="Q73" s="235">
        <f>SUM(J73:P73)</f>
        <v>730615</v>
      </c>
      <c r="R73" s="238">
        <f>+R81</f>
        <v>372556.31</v>
      </c>
      <c r="S73" s="237">
        <f t="shared" ref="S73:U73" si="26">+S81</f>
        <v>93359.66</v>
      </c>
      <c r="T73" s="236">
        <f t="shared" si="26"/>
        <v>0</v>
      </c>
      <c r="U73" s="272">
        <f t="shared" si="26"/>
        <v>465915.97</v>
      </c>
      <c r="V73" s="318">
        <v>114493.31000000001</v>
      </c>
    </row>
    <row r="74" spans="1:23" ht="20.25" customHeight="1">
      <c r="A74" s="112"/>
      <c r="B74" s="112"/>
      <c r="C74" s="193" t="s">
        <v>130</v>
      </c>
      <c r="D74" s="203"/>
      <c r="E74" s="202"/>
      <c r="F74" s="202"/>
      <c r="G74" s="192">
        <f t="shared" si="25"/>
        <v>0</v>
      </c>
      <c r="H74" s="220"/>
      <c r="I74" s="220"/>
      <c r="J74" s="212"/>
      <c r="K74" s="218"/>
      <c r="L74" s="218"/>
      <c r="M74" s="217"/>
      <c r="N74" s="216"/>
      <c r="O74" s="216"/>
      <c r="P74" s="216"/>
      <c r="Q74" s="174">
        <f t="shared" ref="Q74:Q81" si="27">+J74+M74+P74</f>
        <v>0</v>
      </c>
      <c r="R74" s="152"/>
      <c r="S74" s="150"/>
      <c r="T74" s="149"/>
      <c r="U74" s="272">
        <f>+R74+S74+T74</f>
        <v>0</v>
      </c>
    </row>
    <row r="75" spans="1:23" ht="20.25" customHeight="1">
      <c r="A75" s="112"/>
      <c r="B75" s="112"/>
      <c r="C75" s="187" t="s">
        <v>131</v>
      </c>
      <c r="D75" s="186"/>
      <c r="E75" s="190"/>
      <c r="F75" s="190"/>
      <c r="G75" s="178">
        <f t="shared" si="25"/>
        <v>0</v>
      </c>
      <c r="H75" s="213"/>
      <c r="I75" s="213"/>
      <c r="J75" s="212">
        <v>10000</v>
      </c>
      <c r="K75" s="211">
        <v>10000</v>
      </c>
      <c r="L75" s="211">
        <v>10000</v>
      </c>
      <c r="M75" s="215">
        <v>10000</v>
      </c>
      <c r="N75" s="214"/>
      <c r="O75" s="214"/>
      <c r="P75" s="216"/>
      <c r="Q75" s="174">
        <f t="shared" si="27"/>
        <v>20000</v>
      </c>
      <c r="R75" s="152"/>
      <c r="S75" s="150">
        <v>4920.09</v>
      </c>
      <c r="T75" s="149"/>
      <c r="U75" s="272">
        <f t="shared" ref="U75:U80" si="28">+R75+S75+T75</f>
        <v>4920.09</v>
      </c>
    </row>
    <row r="76" spans="1:23" ht="20.25" customHeight="1">
      <c r="A76" s="112"/>
      <c r="B76" s="112"/>
      <c r="C76" s="187" t="s">
        <v>132</v>
      </c>
      <c r="D76" s="186">
        <v>250000</v>
      </c>
      <c r="E76" s="186"/>
      <c r="F76" s="186">
        <v>80000</v>
      </c>
      <c r="G76" s="178">
        <f t="shared" si="25"/>
        <v>330000</v>
      </c>
      <c r="H76" s="213"/>
      <c r="I76" s="213">
        <v>250000</v>
      </c>
      <c r="J76" s="212">
        <v>210000</v>
      </c>
      <c r="K76" s="211">
        <v>75000</v>
      </c>
      <c r="L76" s="211">
        <v>210000</v>
      </c>
      <c r="M76" s="183">
        <v>75000</v>
      </c>
      <c r="N76" s="210"/>
      <c r="O76" s="210"/>
      <c r="P76" s="216"/>
      <c r="Q76" s="174">
        <f t="shared" si="27"/>
        <v>285000</v>
      </c>
      <c r="R76" s="152">
        <v>127150</v>
      </c>
      <c r="S76" s="150"/>
      <c r="T76" s="149"/>
      <c r="U76" s="272">
        <f t="shared" si="28"/>
        <v>127150</v>
      </c>
      <c r="V76" s="317">
        <f>+V73-R81</f>
        <v>-258063</v>
      </c>
    </row>
    <row r="77" spans="1:23" ht="20.25" customHeight="1">
      <c r="A77" s="112">
        <v>29113</v>
      </c>
      <c r="B77" s="112"/>
      <c r="C77" s="189" t="s">
        <v>133</v>
      </c>
      <c r="D77" s="186">
        <v>500000</v>
      </c>
      <c r="E77" s="186"/>
      <c r="F77" s="186">
        <v>100000</v>
      </c>
      <c r="G77" s="178">
        <f t="shared" si="25"/>
        <v>600000</v>
      </c>
      <c r="H77" s="213"/>
      <c r="I77" s="213">
        <v>190000</v>
      </c>
      <c r="J77" s="212">
        <v>130615</v>
      </c>
      <c r="K77" s="211">
        <v>285954</v>
      </c>
      <c r="L77" s="211">
        <v>130615</v>
      </c>
      <c r="M77" s="183">
        <v>285954</v>
      </c>
      <c r="N77" s="210"/>
      <c r="O77" s="210"/>
      <c r="P77" s="216"/>
      <c r="Q77" s="174">
        <f t="shared" si="27"/>
        <v>416569</v>
      </c>
      <c r="R77" s="152">
        <v>39389.31</v>
      </c>
      <c r="S77" s="150">
        <v>24185.42</v>
      </c>
      <c r="T77" s="149"/>
      <c r="U77" s="272">
        <f t="shared" si="28"/>
        <v>63574.729999999996</v>
      </c>
      <c r="W77" s="299"/>
    </row>
    <row r="78" spans="1:23" ht="20.25" customHeight="1">
      <c r="A78" s="112"/>
      <c r="B78" s="112"/>
      <c r="C78" s="187" t="s">
        <v>134</v>
      </c>
      <c r="D78" s="186"/>
      <c r="E78" s="186"/>
      <c r="F78" s="186">
        <v>20000</v>
      </c>
      <c r="G78" s="178">
        <f t="shared" si="25"/>
        <v>20000</v>
      </c>
      <c r="H78" s="213">
        <v>7400</v>
      </c>
      <c r="I78" s="213"/>
      <c r="J78" s="212">
        <v>60000</v>
      </c>
      <c r="K78" s="211">
        <v>20000</v>
      </c>
      <c r="L78" s="211">
        <v>60000</v>
      </c>
      <c r="M78" s="183">
        <v>20000</v>
      </c>
      <c r="N78" s="210"/>
      <c r="O78" s="210"/>
      <c r="P78" s="216"/>
      <c r="Q78" s="174">
        <f t="shared" si="27"/>
        <v>80000</v>
      </c>
      <c r="R78" s="323">
        <v>87794</v>
      </c>
      <c r="S78" s="322">
        <v>38484.019999999997</v>
      </c>
      <c r="T78" s="149"/>
      <c r="U78" s="272">
        <f t="shared" si="28"/>
        <v>126278.01999999999</v>
      </c>
    </row>
    <row r="79" spans="1:23" ht="20.25" customHeight="1">
      <c r="A79" s="112"/>
      <c r="B79" s="112"/>
      <c r="C79" s="187" t="s">
        <v>135</v>
      </c>
      <c r="D79" s="186">
        <v>50000</v>
      </c>
      <c r="E79" s="186"/>
      <c r="F79" s="186"/>
      <c r="G79" s="178">
        <f t="shared" si="25"/>
        <v>50000</v>
      </c>
      <c r="H79" s="213">
        <v>492600</v>
      </c>
      <c r="I79" s="213"/>
      <c r="J79" s="212">
        <v>45000</v>
      </c>
      <c r="K79" s="211"/>
      <c r="L79" s="211">
        <v>45000</v>
      </c>
      <c r="M79" s="183"/>
      <c r="N79" s="210"/>
      <c r="O79" s="210"/>
      <c r="P79" s="216"/>
      <c r="Q79" s="174">
        <f t="shared" si="27"/>
        <v>45000</v>
      </c>
      <c r="R79" s="152"/>
      <c r="S79" s="150">
        <v>2615.9499999999998</v>
      </c>
      <c r="T79" s="149"/>
      <c r="U79" s="272">
        <f t="shared" si="28"/>
        <v>2615.9499999999998</v>
      </c>
    </row>
    <row r="80" spans="1:23" ht="20.25" customHeight="1">
      <c r="A80" s="112"/>
      <c r="B80" s="112"/>
      <c r="C80" s="187" t="s">
        <v>136</v>
      </c>
      <c r="D80" s="186"/>
      <c r="E80" s="186"/>
      <c r="F80" s="186"/>
      <c r="G80" s="178">
        <f t="shared" si="25"/>
        <v>0</v>
      </c>
      <c r="H80" s="213">
        <v>15000</v>
      </c>
      <c r="I80" s="213"/>
      <c r="J80" s="212">
        <v>75000</v>
      </c>
      <c r="K80" s="211">
        <v>75000</v>
      </c>
      <c r="L80" s="211">
        <v>75000</v>
      </c>
      <c r="M80" s="183">
        <v>75000</v>
      </c>
      <c r="N80" s="210"/>
      <c r="O80" s="210"/>
      <c r="P80" s="216"/>
      <c r="Q80" s="174">
        <f t="shared" si="27"/>
        <v>150000</v>
      </c>
      <c r="R80" s="323">
        <v>118223</v>
      </c>
      <c r="S80" s="150">
        <v>23154.18</v>
      </c>
      <c r="T80" s="149"/>
      <c r="U80" s="272">
        <f t="shared" si="28"/>
        <v>141377.18</v>
      </c>
    </row>
    <row r="81" spans="1:21" ht="20.25" customHeight="1" thickBot="1">
      <c r="A81" s="112"/>
      <c r="B81" s="112"/>
      <c r="C81" s="180" t="s">
        <v>121</v>
      </c>
      <c r="D81" s="179">
        <f>SUM(D74:D80)</f>
        <v>800000</v>
      </c>
      <c r="E81" s="179">
        <f>SUM(E74:E80)</f>
        <v>0</v>
      </c>
      <c r="F81" s="179">
        <f>SUM(F74:F80)</f>
        <v>200000</v>
      </c>
      <c r="G81" s="178">
        <f t="shared" si="25"/>
        <v>1000000</v>
      </c>
      <c r="H81" s="178">
        <f>SUM(H74:H80)</f>
        <v>515000</v>
      </c>
      <c r="I81" s="178">
        <f>SUM(I74:I80)</f>
        <v>440000</v>
      </c>
      <c r="J81" s="209">
        <f>SUM(J74:J80)</f>
        <v>530615</v>
      </c>
      <c r="K81" s="208"/>
      <c r="L81" s="208"/>
      <c r="M81" s="176">
        <f>SUM(M74:M80)</f>
        <v>465954</v>
      </c>
      <c r="N81" s="175">
        <f>SUM(N74:N80)</f>
        <v>0</v>
      </c>
      <c r="O81" s="175">
        <f>SUM(O74:O80)</f>
        <v>0</v>
      </c>
      <c r="P81" s="175">
        <f>SUM(P74:P80)</f>
        <v>0</v>
      </c>
      <c r="Q81" s="174">
        <f t="shared" si="27"/>
        <v>996569</v>
      </c>
      <c r="R81" s="238">
        <f>SUM(R74:R80)</f>
        <v>372556.31</v>
      </c>
      <c r="S81" s="237">
        <f t="shared" ref="S81:T81" si="29">SUM(S74:S80)</f>
        <v>93359.66</v>
      </c>
      <c r="T81" s="236">
        <f t="shared" si="29"/>
        <v>0</v>
      </c>
      <c r="U81" s="272">
        <f>SUM(U74:U80)</f>
        <v>465915.97</v>
      </c>
    </row>
    <row r="82" spans="1:21" ht="20.25" customHeight="1">
      <c r="A82" s="173"/>
      <c r="B82" s="173"/>
      <c r="C82" s="264"/>
      <c r="D82" s="262"/>
      <c r="E82" s="262"/>
      <c r="F82" s="262"/>
      <c r="G82" s="263"/>
      <c r="H82" s="207"/>
      <c r="I82" s="207"/>
    </row>
    <row r="83" spans="1:21" ht="20.25" hidden="1" customHeight="1">
      <c r="A83" s="112"/>
      <c r="B83" s="112"/>
      <c r="C83" s="330" t="s">
        <v>146</v>
      </c>
      <c r="D83" s="330"/>
      <c r="E83" s="330"/>
      <c r="F83" s="330"/>
      <c r="G83" s="330"/>
      <c r="H83" s="330"/>
      <c r="I83" s="330"/>
      <c r="J83" s="330"/>
      <c r="K83" s="330"/>
      <c r="L83" s="330"/>
      <c r="M83" s="330"/>
      <c r="N83" s="330"/>
      <c r="O83" s="330"/>
      <c r="P83" s="330"/>
      <c r="Q83" s="330"/>
      <c r="R83" s="330"/>
      <c r="S83" s="330"/>
      <c r="T83" s="330"/>
      <c r="U83" s="330"/>
    </row>
    <row r="84" spans="1:21" ht="20.25" hidden="1" customHeight="1" thickBot="1">
      <c r="A84" s="112"/>
      <c r="B84" s="173"/>
      <c r="C84" s="240" t="s">
        <v>147</v>
      </c>
      <c r="D84" s="239">
        <v>0</v>
      </c>
      <c r="E84" s="239">
        <v>0</v>
      </c>
      <c r="F84" s="239">
        <v>0</v>
      </c>
      <c r="G84" s="110">
        <f t="shared" ref="G84:G92" si="30">SUM(D84:F84)</f>
        <v>0</v>
      </c>
      <c r="H84" s="201"/>
      <c r="I84" s="201"/>
    </row>
    <row r="85" spans="1:21" ht="20.25" hidden="1" customHeight="1">
      <c r="A85" s="112"/>
      <c r="B85" s="112"/>
      <c r="C85" s="193" t="s">
        <v>130</v>
      </c>
      <c r="D85" s="203"/>
      <c r="E85" s="202"/>
      <c r="F85" s="202"/>
      <c r="G85" s="192">
        <f t="shared" si="30"/>
        <v>0</v>
      </c>
      <c r="H85" s="201"/>
      <c r="I85" s="201"/>
    </row>
    <row r="86" spans="1:21" ht="20.25" hidden="1" customHeight="1">
      <c r="A86" s="112"/>
      <c r="B86" s="112"/>
      <c r="C86" s="187" t="s">
        <v>131</v>
      </c>
      <c r="D86" s="186"/>
      <c r="E86" s="190"/>
      <c r="F86" s="190"/>
      <c r="G86" s="178">
        <f t="shared" si="30"/>
        <v>0</v>
      </c>
      <c r="H86" s="201"/>
      <c r="I86" s="201"/>
    </row>
    <row r="87" spans="1:21" ht="20.25" hidden="1" customHeight="1">
      <c r="A87" s="173"/>
      <c r="B87" s="112"/>
      <c r="C87" s="187" t="s">
        <v>132</v>
      </c>
      <c r="D87" s="186"/>
      <c r="E87" s="186"/>
      <c r="F87" s="186"/>
      <c r="G87" s="178">
        <f t="shared" si="30"/>
        <v>0</v>
      </c>
      <c r="H87" s="201"/>
      <c r="I87" s="201"/>
    </row>
    <row r="88" spans="1:21" ht="20.25" hidden="1" customHeight="1">
      <c r="A88" s="112"/>
      <c r="B88" s="173"/>
      <c r="C88" s="189" t="s">
        <v>133</v>
      </c>
      <c r="D88" s="186"/>
      <c r="E88" s="186"/>
      <c r="F88" s="186"/>
      <c r="G88" s="178">
        <f t="shared" si="30"/>
        <v>0</v>
      </c>
      <c r="H88" s="201"/>
      <c r="I88" s="201"/>
    </row>
    <row r="89" spans="1:21" ht="20.25" hidden="1" customHeight="1">
      <c r="A89" s="112"/>
      <c r="B89" s="173"/>
      <c r="C89" s="187" t="s">
        <v>134</v>
      </c>
      <c r="D89" s="186"/>
      <c r="E89" s="186"/>
      <c r="F89" s="186"/>
      <c r="G89" s="178">
        <f t="shared" si="30"/>
        <v>0</v>
      </c>
      <c r="H89" s="201"/>
      <c r="I89" s="201"/>
    </row>
    <row r="90" spans="1:21" ht="20.25" hidden="1" customHeight="1">
      <c r="A90" s="112"/>
      <c r="B90" s="173"/>
      <c r="C90" s="187" t="s">
        <v>135</v>
      </c>
      <c r="D90" s="186"/>
      <c r="E90" s="186"/>
      <c r="F90" s="186"/>
      <c r="G90" s="178">
        <f t="shared" si="30"/>
        <v>0</v>
      </c>
      <c r="H90" s="201"/>
      <c r="I90" s="201"/>
    </row>
    <row r="91" spans="1:21" ht="20.25" hidden="1" customHeight="1">
      <c r="A91" s="112"/>
      <c r="B91" s="112"/>
      <c r="C91" s="187" t="s">
        <v>136</v>
      </c>
      <c r="D91" s="186"/>
      <c r="E91" s="186"/>
      <c r="F91" s="186"/>
      <c r="G91" s="178">
        <f t="shared" si="30"/>
        <v>0</v>
      </c>
      <c r="H91" s="201"/>
      <c r="I91" s="201"/>
    </row>
    <row r="92" spans="1:21" ht="20.25" hidden="1" customHeight="1">
      <c r="A92" s="112"/>
      <c r="B92" s="112"/>
      <c r="C92" s="180" t="s">
        <v>121</v>
      </c>
      <c r="D92" s="179">
        <f>SUM(D85:D91)</f>
        <v>0</v>
      </c>
      <c r="E92" s="179">
        <f>SUM(E85:E91)</f>
        <v>0</v>
      </c>
      <c r="F92" s="179">
        <f>SUM(F85:F91)</f>
        <v>0</v>
      </c>
      <c r="G92" s="178">
        <f t="shared" si="30"/>
        <v>0</v>
      </c>
      <c r="H92" s="201"/>
      <c r="I92" s="201"/>
    </row>
    <row r="93" spans="1:21" ht="20.25" hidden="1" customHeight="1">
      <c r="A93" s="173"/>
      <c r="B93" s="173"/>
      <c r="C93" s="206"/>
      <c r="D93" s="205"/>
      <c r="E93" s="205"/>
      <c r="F93" s="205"/>
      <c r="G93" s="204"/>
      <c r="H93" s="201"/>
      <c r="I93" s="201"/>
    </row>
    <row r="94" spans="1:21" ht="20.25" hidden="1" customHeight="1">
      <c r="A94" s="112"/>
      <c r="B94" s="112"/>
      <c r="C94" s="327" t="s">
        <v>148</v>
      </c>
      <c r="D94" s="328"/>
      <c r="E94" s="328"/>
      <c r="F94" s="328"/>
      <c r="G94" s="329"/>
      <c r="H94" s="200"/>
      <c r="I94" s="200"/>
    </row>
    <row r="95" spans="1:21" ht="20.25" hidden="1" customHeight="1" thickBot="1">
      <c r="A95" s="112"/>
      <c r="B95" s="112"/>
      <c r="C95" s="199" t="s">
        <v>149</v>
      </c>
      <c r="D95" s="198">
        <v>0</v>
      </c>
      <c r="E95" s="198">
        <v>0</v>
      </c>
      <c r="F95" s="198">
        <v>0</v>
      </c>
      <c r="G95" s="197">
        <f t="shared" ref="G95:G103" si="31">SUM(D95:F95)</f>
        <v>0</v>
      </c>
      <c r="H95" s="201"/>
      <c r="I95" s="201"/>
    </row>
    <row r="96" spans="1:21" ht="20.25" hidden="1" customHeight="1">
      <c r="A96" s="112"/>
      <c r="B96" s="112"/>
      <c r="C96" s="193" t="s">
        <v>130</v>
      </c>
      <c r="D96" s="203"/>
      <c r="E96" s="202"/>
      <c r="F96" s="202"/>
      <c r="G96" s="192">
        <f t="shared" si="31"/>
        <v>0</v>
      </c>
      <c r="H96" s="201"/>
      <c r="I96" s="201"/>
    </row>
    <row r="97" spans="1:22" ht="20.25" hidden="1" customHeight="1">
      <c r="A97" s="112"/>
      <c r="B97" s="173"/>
      <c r="C97" s="187" t="s">
        <v>131</v>
      </c>
      <c r="D97" s="186"/>
      <c r="E97" s="190"/>
      <c r="F97" s="190"/>
      <c r="G97" s="178">
        <f t="shared" si="31"/>
        <v>0</v>
      </c>
      <c r="H97" s="201"/>
      <c r="I97" s="201"/>
    </row>
    <row r="98" spans="1:22" ht="20.25" hidden="1" customHeight="1">
      <c r="A98" s="112"/>
      <c r="B98" s="112"/>
      <c r="C98" s="187" t="s">
        <v>132</v>
      </c>
      <c r="D98" s="186"/>
      <c r="E98" s="186"/>
      <c r="F98" s="186"/>
      <c r="G98" s="178">
        <f t="shared" si="31"/>
        <v>0</v>
      </c>
      <c r="H98" s="201"/>
      <c r="I98" s="201"/>
    </row>
    <row r="99" spans="1:22" ht="20.25" hidden="1" customHeight="1">
      <c r="A99" s="112"/>
      <c r="B99" s="112"/>
      <c r="C99" s="189" t="s">
        <v>133</v>
      </c>
      <c r="D99" s="186"/>
      <c r="E99" s="186"/>
      <c r="F99" s="186"/>
      <c r="G99" s="178">
        <f t="shared" si="31"/>
        <v>0</v>
      </c>
      <c r="H99" s="201"/>
      <c r="I99" s="201"/>
    </row>
    <row r="100" spans="1:22" ht="20.25" hidden="1" customHeight="1">
      <c r="A100" s="112"/>
      <c r="B100" s="112"/>
      <c r="C100" s="187" t="s">
        <v>134</v>
      </c>
      <c r="D100" s="186"/>
      <c r="E100" s="186"/>
      <c r="F100" s="186"/>
      <c r="G100" s="178">
        <f t="shared" si="31"/>
        <v>0</v>
      </c>
      <c r="H100" s="201"/>
      <c r="I100" s="201"/>
    </row>
    <row r="101" spans="1:22" ht="20.25" hidden="1" customHeight="1">
      <c r="A101" s="112"/>
      <c r="B101" s="112"/>
      <c r="C101" s="187" t="s">
        <v>135</v>
      </c>
      <c r="D101" s="186"/>
      <c r="E101" s="186"/>
      <c r="F101" s="186"/>
      <c r="G101" s="178">
        <f t="shared" si="31"/>
        <v>0</v>
      </c>
      <c r="H101" s="201"/>
      <c r="I101" s="201"/>
    </row>
    <row r="102" spans="1:22" ht="20.25" hidden="1" customHeight="1">
      <c r="A102" s="112"/>
      <c r="B102" s="173"/>
      <c r="C102" s="187" t="s">
        <v>136</v>
      </c>
      <c r="D102" s="186"/>
      <c r="E102" s="186"/>
      <c r="F102" s="186"/>
      <c r="G102" s="178">
        <f t="shared" si="31"/>
        <v>0</v>
      </c>
      <c r="H102" s="201"/>
      <c r="I102" s="201"/>
    </row>
    <row r="103" spans="1:22" ht="20.25" hidden="1" customHeight="1">
      <c r="A103" s="112"/>
      <c r="B103" s="112"/>
      <c r="C103" s="180" t="s">
        <v>121</v>
      </c>
      <c r="D103" s="179">
        <f>SUM(D96:D102)</f>
        <v>0</v>
      </c>
      <c r="E103" s="179">
        <f>SUM(E96:E102)</f>
        <v>0</v>
      </c>
      <c r="F103" s="179">
        <f>SUM(F96:F102)</f>
        <v>0</v>
      </c>
      <c r="G103" s="178">
        <f t="shared" si="31"/>
        <v>0</v>
      </c>
      <c r="H103" s="201"/>
      <c r="I103" s="201"/>
    </row>
    <row r="104" spans="1:22" ht="20.25" customHeight="1">
      <c r="A104" s="112"/>
      <c r="B104" s="112"/>
      <c r="C104" s="112"/>
      <c r="D104" s="112"/>
      <c r="E104" s="112"/>
      <c r="F104" s="112"/>
      <c r="G104" s="112"/>
      <c r="H104" s="112"/>
      <c r="I104" s="112"/>
    </row>
    <row r="105" spans="1:22" ht="20.25" customHeight="1">
      <c r="A105" s="112"/>
      <c r="B105" s="330" t="s">
        <v>150</v>
      </c>
      <c r="C105" s="330"/>
      <c r="D105" s="330"/>
      <c r="E105" s="330"/>
      <c r="F105" s="330"/>
      <c r="G105" s="330"/>
      <c r="H105" s="330"/>
      <c r="I105" s="330"/>
      <c r="J105" s="330"/>
      <c r="K105" s="330"/>
      <c r="L105" s="330"/>
      <c r="M105" s="330"/>
      <c r="N105" s="330"/>
      <c r="O105" s="330"/>
      <c r="P105" s="330"/>
      <c r="Q105" s="330"/>
      <c r="R105" s="330"/>
      <c r="S105" s="330"/>
      <c r="T105" s="330"/>
      <c r="U105" s="330"/>
    </row>
    <row r="106" spans="1:22" ht="20.25" customHeight="1">
      <c r="A106" s="112"/>
      <c r="B106" s="241"/>
      <c r="C106" s="330" t="s">
        <v>74</v>
      </c>
      <c r="D106" s="330"/>
      <c r="E106" s="330"/>
      <c r="F106" s="330"/>
      <c r="G106" s="330"/>
      <c r="H106" s="330"/>
      <c r="I106" s="330"/>
      <c r="J106" s="330"/>
      <c r="K106" s="330"/>
      <c r="L106" s="330"/>
      <c r="M106" s="330"/>
      <c r="N106" s="330"/>
      <c r="O106" s="330"/>
      <c r="P106" s="330"/>
      <c r="Q106" s="330"/>
      <c r="R106" s="330"/>
      <c r="S106" s="330"/>
      <c r="T106" s="330"/>
      <c r="U106" s="330"/>
    </row>
    <row r="107" spans="1:22" ht="20.25" customHeight="1" thickBot="1">
      <c r="A107" s="112"/>
      <c r="B107" s="112"/>
      <c r="C107" s="240" t="s">
        <v>151</v>
      </c>
      <c r="D107" s="239">
        <v>170000</v>
      </c>
      <c r="E107" s="239">
        <v>0</v>
      </c>
      <c r="F107" s="239">
        <v>0</v>
      </c>
      <c r="G107" s="110">
        <f t="shared" ref="G107:G115" si="32">SUM(D107:F107)</f>
        <v>170000</v>
      </c>
      <c r="H107" s="110">
        <f>+H115</f>
        <v>35000</v>
      </c>
      <c r="I107" s="110">
        <f>+I115</f>
        <v>10000</v>
      </c>
      <c r="J107" s="238">
        <f>J115</f>
        <v>65000</v>
      </c>
      <c r="K107" s="237"/>
      <c r="L107" s="237"/>
      <c r="M107" s="237">
        <f>SUM(M108:M114)</f>
        <v>54000</v>
      </c>
      <c r="N107" s="236"/>
      <c r="O107" s="236"/>
      <c r="P107" s="236">
        <v>0</v>
      </c>
      <c r="Q107" s="235">
        <f>SUM(J107:P107)</f>
        <v>119000</v>
      </c>
      <c r="R107" s="238">
        <f>+R115</f>
        <v>29315.420000000002</v>
      </c>
      <c r="S107" s="237">
        <f t="shared" ref="S107:T107" si="33">+S115</f>
        <v>23504.32</v>
      </c>
      <c r="T107" s="236">
        <f t="shared" si="33"/>
        <v>0</v>
      </c>
      <c r="U107" s="272">
        <f>+U115</f>
        <v>52819.740000000005</v>
      </c>
      <c r="V107" s="318">
        <v>14412.420000000002</v>
      </c>
    </row>
    <row r="108" spans="1:22" ht="20.25" customHeight="1">
      <c r="A108" s="112"/>
      <c r="B108" s="112"/>
      <c r="C108" s="193" t="s">
        <v>130</v>
      </c>
      <c r="D108" s="203"/>
      <c r="E108" s="202"/>
      <c r="F108" s="202"/>
      <c r="G108" s="192">
        <f t="shared" si="32"/>
        <v>0</v>
      </c>
      <c r="H108" s="191"/>
      <c r="I108" s="191"/>
      <c r="J108" s="219"/>
      <c r="K108" s="188"/>
      <c r="L108" s="188"/>
      <c r="M108" s="217"/>
      <c r="N108" s="216"/>
      <c r="O108" s="216"/>
      <c r="P108" s="216"/>
      <c r="Q108" s="174">
        <f>+D108+N108-O108</f>
        <v>0</v>
      </c>
      <c r="R108" s="152"/>
      <c r="S108" s="150"/>
      <c r="T108" s="149"/>
      <c r="U108" s="272">
        <f>+R108+S108+T108</f>
        <v>0</v>
      </c>
    </row>
    <row r="109" spans="1:22" ht="20.25" customHeight="1">
      <c r="A109" s="112"/>
      <c r="B109" s="112"/>
      <c r="C109" s="187" t="s">
        <v>131</v>
      </c>
      <c r="D109" s="186">
        <v>25000</v>
      </c>
      <c r="E109" s="190"/>
      <c r="F109" s="190"/>
      <c r="G109" s="178">
        <f t="shared" si="32"/>
        <v>25000</v>
      </c>
      <c r="H109" s="213"/>
      <c r="I109" s="213"/>
      <c r="J109" s="219"/>
      <c r="K109" s="183"/>
      <c r="L109" s="183"/>
      <c r="M109" s="215"/>
      <c r="N109" s="214"/>
      <c r="O109" s="214"/>
      <c r="P109" s="214"/>
      <c r="Q109" s="174">
        <f t="shared" ref="Q109:Q114" si="34">J109+M109+P109</f>
        <v>0</v>
      </c>
      <c r="R109" s="152"/>
      <c r="S109" s="150"/>
      <c r="T109" s="149"/>
      <c r="U109" s="272">
        <f t="shared" ref="U109:U114" si="35">+R109+S109+T109</f>
        <v>0</v>
      </c>
    </row>
    <row r="110" spans="1:22" ht="27.75" customHeight="1">
      <c r="A110" s="112"/>
      <c r="B110" s="112"/>
      <c r="C110" s="187" t="s">
        <v>132</v>
      </c>
      <c r="D110" s="186">
        <v>75000</v>
      </c>
      <c r="E110" s="186"/>
      <c r="F110" s="186"/>
      <c r="G110" s="178">
        <f t="shared" si="32"/>
        <v>75000</v>
      </c>
      <c r="H110" s="213">
        <v>9200</v>
      </c>
      <c r="I110" s="213"/>
      <c r="J110" s="219"/>
      <c r="K110" s="183">
        <v>10000</v>
      </c>
      <c r="L110" s="183"/>
      <c r="M110" s="183">
        <v>10000</v>
      </c>
      <c r="N110" s="210"/>
      <c r="O110" s="210"/>
      <c r="P110" s="210"/>
      <c r="Q110" s="174">
        <f t="shared" si="34"/>
        <v>10000</v>
      </c>
      <c r="R110" s="152"/>
      <c r="S110" s="150"/>
      <c r="T110" s="149"/>
      <c r="U110" s="272">
        <f t="shared" si="35"/>
        <v>0</v>
      </c>
      <c r="V110" s="317">
        <f>V107-R115</f>
        <v>-14903</v>
      </c>
    </row>
    <row r="111" spans="1:22" ht="20.25" customHeight="1">
      <c r="A111" s="112"/>
      <c r="B111" s="112"/>
      <c r="C111" s="189" t="s">
        <v>133</v>
      </c>
      <c r="D111" s="186">
        <v>25000</v>
      </c>
      <c r="E111" s="186"/>
      <c r="F111" s="186"/>
      <c r="G111" s="178">
        <f t="shared" si="32"/>
        <v>25000</v>
      </c>
      <c r="H111" s="213"/>
      <c r="I111" s="213">
        <v>10000</v>
      </c>
      <c r="J111" s="219">
        <v>10000</v>
      </c>
      <c r="K111" s="183">
        <v>29000</v>
      </c>
      <c r="L111" s="183">
        <v>10000</v>
      </c>
      <c r="M111" s="183">
        <v>29000</v>
      </c>
      <c r="N111" s="210"/>
      <c r="O111" s="210"/>
      <c r="P111" s="210"/>
      <c r="Q111" s="174">
        <f t="shared" si="34"/>
        <v>39000</v>
      </c>
      <c r="R111" s="152">
        <v>284.89999999999998</v>
      </c>
      <c r="S111" s="150"/>
      <c r="T111" s="149"/>
      <c r="U111" s="272">
        <f t="shared" si="35"/>
        <v>284.89999999999998</v>
      </c>
    </row>
    <row r="112" spans="1:22" ht="20.25" customHeight="1">
      <c r="A112" s="112"/>
      <c r="B112" s="112"/>
      <c r="C112" s="187" t="s">
        <v>134</v>
      </c>
      <c r="D112" s="186">
        <v>25000</v>
      </c>
      <c r="E112" s="186"/>
      <c r="F112" s="186"/>
      <c r="G112" s="178">
        <f t="shared" si="32"/>
        <v>25000</v>
      </c>
      <c r="H112" s="213">
        <v>5650</v>
      </c>
      <c r="I112" s="213"/>
      <c r="J112" s="219">
        <v>5000</v>
      </c>
      <c r="K112" s="183">
        <v>5000</v>
      </c>
      <c r="L112" s="183">
        <v>5000</v>
      </c>
      <c r="M112" s="183">
        <v>5000</v>
      </c>
      <c r="N112" s="210"/>
      <c r="O112" s="210"/>
      <c r="P112" s="210"/>
      <c r="Q112" s="174">
        <f t="shared" si="34"/>
        <v>10000</v>
      </c>
      <c r="R112" s="152">
        <v>4241.3</v>
      </c>
      <c r="S112" s="150"/>
      <c r="T112" s="149"/>
      <c r="U112" s="272">
        <f t="shared" si="35"/>
        <v>4241.3</v>
      </c>
    </row>
    <row r="113" spans="1:22" ht="20.25" customHeight="1">
      <c r="A113" s="112"/>
      <c r="B113" s="112"/>
      <c r="C113" s="187" t="s">
        <v>135</v>
      </c>
      <c r="D113" s="186"/>
      <c r="E113" s="186"/>
      <c r="F113" s="186"/>
      <c r="G113" s="178">
        <f t="shared" si="32"/>
        <v>0</v>
      </c>
      <c r="H113" s="185">
        <v>0</v>
      </c>
      <c r="I113" s="185">
        <v>0</v>
      </c>
      <c r="J113" s="219"/>
      <c r="K113" s="183"/>
      <c r="L113" s="183"/>
      <c r="M113" s="183"/>
      <c r="N113" s="210"/>
      <c r="O113" s="210"/>
      <c r="P113" s="210"/>
      <c r="Q113" s="174">
        <f t="shared" si="34"/>
        <v>0</v>
      </c>
      <c r="R113" s="152"/>
      <c r="S113" s="324">
        <v>23504.32</v>
      </c>
      <c r="T113" s="149"/>
      <c r="U113" s="272">
        <f t="shared" si="35"/>
        <v>23504.32</v>
      </c>
    </row>
    <row r="114" spans="1:22" ht="20.25" customHeight="1">
      <c r="A114" s="112"/>
      <c r="B114" s="112"/>
      <c r="C114" s="187" t="s">
        <v>136</v>
      </c>
      <c r="D114" s="186">
        <v>20000</v>
      </c>
      <c r="E114" s="186"/>
      <c r="F114" s="186"/>
      <c r="G114" s="178">
        <f t="shared" si="32"/>
        <v>20000</v>
      </c>
      <c r="H114" s="185">
        <v>20150</v>
      </c>
      <c r="I114" s="185"/>
      <c r="J114" s="219">
        <v>50000</v>
      </c>
      <c r="K114" s="183">
        <v>10000</v>
      </c>
      <c r="L114" s="183">
        <v>50000</v>
      </c>
      <c r="M114" s="183">
        <v>10000</v>
      </c>
      <c r="N114" s="210"/>
      <c r="O114" s="210"/>
      <c r="P114" s="210"/>
      <c r="Q114" s="174">
        <f t="shared" si="34"/>
        <v>60000</v>
      </c>
      <c r="R114" s="152">
        <v>24789.22</v>
      </c>
      <c r="S114" s="310"/>
      <c r="T114" s="149"/>
      <c r="U114" s="272">
        <f t="shared" si="35"/>
        <v>24789.22</v>
      </c>
    </row>
    <row r="115" spans="1:22" ht="20.25" customHeight="1">
      <c r="A115" s="112"/>
      <c r="B115" s="112"/>
      <c r="C115" s="180" t="s">
        <v>121</v>
      </c>
      <c r="D115" s="179">
        <f>SUM(D108:D114)</f>
        <v>170000</v>
      </c>
      <c r="E115" s="179">
        <f>SUM(E108:E114)</f>
        <v>0</v>
      </c>
      <c r="F115" s="179">
        <f>SUM(F108:F114)</f>
        <v>0</v>
      </c>
      <c r="G115" s="178">
        <f t="shared" si="32"/>
        <v>170000</v>
      </c>
      <c r="H115" s="178">
        <f>SUM(H108:H114)</f>
        <v>35000</v>
      </c>
      <c r="I115" s="178">
        <f>SUM(I108:I114)</f>
        <v>10000</v>
      </c>
      <c r="J115" s="177">
        <f>SUM(J108:J114)</f>
        <v>65000</v>
      </c>
      <c r="K115" s="176"/>
      <c r="L115" s="176"/>
      <c r="M115" s="176">
        <f>SUM(M108:M114)</f>
        <v>54000</v>
      </c>
      <c r="N115" s="175"/>
      <c r="O115" s="175"/>
      <c r="P115" s="175">
        <f>SUM(P108:P114)</f>
        <v>0</v>
      </c>
      <c r="Q115" s="235">
        <f>SUM(Q108:Q114)</f>
        <v>119000</v>
      </c>
      <c r="R115" s="238">
        <f>SUM(R108:R114)</f>
        <v>29315.420000000002</v>
      </c>
      <c r="S115" s="237">
        <f t="shared" ref="S115" si="36">SUM(S108:S114)</f>
        <v>23504.32</v>
      </c>
      <c r="T115" s="236">
        <f t="shared" ref="T115" si="37">SUM(T108:T114)</f>
        <v>0</v>
      </c>
      <c r="U115" s="272">
        <f>SUM(U108:U114)</f>
        <v>52819.740000000005</v>
      </c>
    </row>
    <row r="116" spans="1:22" ht="20.25" customHeight="1">
      <c r="A116" s="173"/>
      <c r="B116" s="173"/>
      <c r="C116" s="264"/>
      <c r="D116" s="262"/>
      <c r="E116" s="262"/>
      <c r="F116" s="262"/>
      <c r="G116" s="263"/>
      <c r="H116" s="207"/>
      <c r="I116" s="207"/>
    </row>
    <row r="117" spans="1:22" ht="20.25" customHeight="1">
      <c r="A117" s="112"/>
      <c r="B117" s="112"/>
      <c r="C117" s="330" t="s">
        <v>152</v>
      </c>
      <c r="D117" s="330"/>
      <c r="E117" s="330"/>
      <c r="F117" s="330"/>
      <c r="G117" s="330"/>
      <c r="H117" s="330"/>
      <c r="I117" s="330"/>
      <c r="J117" s="330"/>
      <c r="K117" s="330"/>
      <c r="L117" s="330"/>
      <c r="M117" s="330"/>
      <c r="N117" s="330"/>
      <c r="O117" s="330"/>
      <c r="P117" s="330"/>
      <c r="Q117" s="330"/>
      <c r="R117" s="330"/>
      <c r="S117" s="330"/>
      <c r="T117" s="330"/>
      <c r="U117" s="330"/>
    </row>
    <row r="118" spans="1:22" ht="20.25" customHeight="1" thickBot="1">
      <c r="A118" s="112"/>
      <c r="B118" s="112"/>
      <c r="C118" s="240" t="s">
        <v>153</v>
      </c>
      <c r="D118" s="239">
        <f>+D126</f>
        <v>200000</v>
      </c>
      <c r="E118" s="239">
        <v>0</v>
      </c>
      <c r="F118" s="239">
        <v>0</v>
      </c>
      <c r="G118" s="110">
        <f t="shared" ref="G118:G126" si="38">SUM(D118:F118)</f>
        <v>200000</v>
      </c>
      <c r="H118" s="110">
        <f>H126</f>
        <v>69000</v>
      </c>
      <c r="I118" s="110">
        <f>I126</f>
        <v>94000</v>
      </c>
      <c r="J118" s="238">
        <f>+J126</f>
        <v>47842</v>
      </c>
      <c r="K118" s="237"/>
      <c r="L118" s="237"/>
      <c r="M118" s="237">
        <v>0</v>
      </c>
      <c r="N118" s="236"/>
      <c r="O118" s="236"/>
      <c r="P118" s="236">
        <v>0</v>
      </c>
      <c r="Q118" s="235">
        <f>SUM(J118:P118)</f>
        <v>47842</v>
      </c>
      <c r="R118" s="238">
        <f>+R126</f>
        <v>15716.29</v>
      </c>
      <c r="S118" s="237">
        <f t="shared" ref="S118:T118" si="39">+S126</f>
        <v>1347.52</v>
      </c>
      <c r="T118" s="236">
        <f t="shared" si="39"/>
        <v>0</v>
      </c>
      <c r="U118" s="272">
        <f>+U126</f>
        <v>17063.810000000001</v>
      </c>
      <c r="V118" s="318">
        <v>15064.61</v>
      </c>
    </row>
    <row r="119" spans="1:22" ht="20.25" customHeight="1">
      <c r="A119" s="112"/>
      <c r="B119" s="112"/>
      <c r="C119" s="193" t="s">
        <v>130</v>
      </c>
      <c r="D119" s="203"/>
      <c r="E119" s="202"/>
      <c r="F119" s="202"/>
      <c r="G119" s="192">
        <f t="shared" si="38"/>
        <v>0</v>
      </c>
      <c r="H119" s="191"/>
      <c r="I119" s="191"/>
      <c r="J119" s="219"/>
      <c r="K119" s="188"/>
      <c r="L119" s="188"/>
      <c r="M119" s="217"/>
      <c r="N119" s="216"/>
      <c r="O119" s="216"/>
      <c r="P119" s="216"/>
      <c r="Q119" s="174">
        <f t="shared" ref="Q119:Q125" si="40">J119+M119+P119</f>
        <v>0</v>
      </c>
      <c r="R119" s="152"/>
      <c r="S119" s="150"/>
      <c r="T119" s="149"/>
      <c r="U119" s="272">
        <f>+R119+S119+T119</f>
        <v>0</v>
      </c>
    </row>
    <row r="120" spans="1:22" ht="20.25" customHeight="1">
      <c r="A120" s="112"/>
      <c r="B120" s="112"/>
      <c r="C120" s="187" t="s">
        <v>131</v>
      </c>
      <c r="D120" s="186">
        <v>50000</v>
      </c>
      <c r="E120" s="190"/>
      <c r="F120" s="190"/>
      <c r="G120" s="178">
        <f t="shared" si="38"/>
        <v>50000</v>
      </c>
      <c r="H120" s="185"/>
      <c r="I120" s="213"/>
      <c r="J120" s="219"/>
      <c r="K120" s="211">
        <v>5000</v>
      </c>
      <c r="L120" s="211"/>
      <c r="M120" s="215">
        <v>5000</v>
      </c>
      <c r="N120" s="214"/>
      <c r="O120" s="214"/>
      <c r="P120" s="216"/>
      <c r="Q120" s="174">
        <f t="shared" si="40"/>
        <v>5000</v>
      </c>
      <c r="R120" s="152"/>
      <c r="S120" s="150"/>
      <c r="T120" s="149"/>
      <c r="U120" s="272">
        <f t="shared" ref="U120:U125" si="41">+R120+S120+T120</f>
        <v>0</v>
      </c>
    </row>
    <row r="121" spans="1:22" ht="20.25" customHeight="1">
      <c r="A121" s="112"/>
      <c r="B121" s="112"/>
      <c r="C121" s="187" t="s">
        <v>132</v>
      </c>
      <c r="D121" s="186">
        <v>100000</v>
      </c>
      <c r="E121" s="186"/>
      <c r="F121" s="186"/>
      <c r="G121" s="178">
        <f t="shared" si="38"/>
        <v>100000</v>
      </c>
      <c r="H121" s="185">
        <v>0</v>
      </c>
      <c r="I121" s="213">
        <v>70000</v>
      </c>
      <c r="J121" s="219">
        <v>927</v>
      </c>
      <c r="K121" s="211"/>
      <c r="L121" s="211">
        <v>927</v>
      </c>
      <c r="M121" s="183"/>
      <c r="N121" s="210"/>
      <c r="O121" s="210"/>
      <c r="P121" s="216"/>
      <c r="Q121" s="174">
        <f t="shared" si="40"/>
        <v>927</v>
      </c>
      <c r="R121" s="152"/>
      <c r="S121" s="150"/>
      <c r="T121" s="149"/>
      <c r="U121" s="272">
        <f t="shared" si="41"/>
        <v>0</v>
      </c>
    </row>
    <row r="122" spans="1:22" ht="20.25" customHeight="1">
      <c r="A122" s="112"/>
      <c r="B122" s="112"/>
      <c r="C122" s="189" t="s">
        <v>133</v>
      </c>
      <c r="D122" s="186">
        <v>25000</v>
      </c>
      <c r="E122" s="186"/>
      <c r="F122" s="186"/>
      <c r="G122" s="178">
        <f t="shared" si="38"/>
        <v>25000</v>
      </c>
      <c r="H122" s="185"/>
      <c r="I122" s="213">
        <v>14000</v>
      </c>
      <c r="J122" s="219">
        <v>23836</v>
      </c>
      <c r="K122" s="211">
        <v>5000</v>
      </c>
      <c r="L122" s="211">
        <v>23836</v>
      </c>
      <c r="M122" s="183">
        <v>5000</v>
      </c>
      <c r="N122" s="210"/>
      <c r="O122" s="210"/>
      <c r="P122" s="216"/>
      <c r="Q122" s="174">
        <f t="shared" si="40"/>
        <v>28836</v>
      </c>
      <c r="R122" s="311">
        <v>5151.68</v>
      </c>
      <c r="S122" s="150"/>
      <c r="T122" s="149"/>
      <c r="U122" s="272">
        <f>+R122+S122+T122</f>
        <v>5151.68</v>
      </c>
      <c r="V122" s="317">
        <f>+V118-R126</f>
        <v>-651.68000000000029</v>
      </c>
    </row>
    <row r="123" spans="1:22" ht="20.25" customHeight="1">
      <c r="A123" s="112"/>
      <c r="B123" s="112"/>
      <c r="C123" s="187" t="s">
        <v>134</v>
      </c>
      <c r="D123" s="186">
        <v>25000</v>
      </c>
      <c r="E123" s="186"/>
      <c r="F123" s="186"/>
      <c r="G123" s="178">
        <f t="shared" si="38"/>
        <v>25000</v>
      </c>
      <c r="H123" s="185"/>
      <c r="I123" s="213">
        <v>10000</v>
      </c>
      <c r="J123" s="219">
        <v>3079</v>
      </c>
      <c r="K123" s="211"/>
      <c r="L123" s="211">
        <v>3079</v>
      </c>
      <c r="M123" s="183"/>
      <c r="N123" s="210"/>
      <c r="O123" s="210"/>
      <c r="P123" s="216"/>
      <c r="Q123" s="174">
        <f t="shared" si="40"/>
        <v>3079</v>
      </c>
      <c r="R123" s="152"/>
      <c r="S123" s="150"/>
      <c r="T123" s="149"/>
      <c r="U123" s="272">
        <f t="shared" si="41"/>
        <v>0</v>
      </c>
    </row>
    <row r="124" spans="1:22" ht="20.25" customHeight="1">
      <c r="A124" s="112"/>
      <c r="B124" s="112"/>
      <c r="C124" s="187" t="s">
        <v>135</v>
      </c>
      <c r="D124" s="186"/>
      <c r="E124" s="186"/>
      <c r="F124" s="186"/>
      <c r="G124" s="178">
        <f t="shared" si="38"/>
        <v>0</v>
      </c>
      <c r="H124" s="185"/>
      <c r="I124" s="185"/>
      <c r="J124" s="219"/>
      <c r="K124" s="211"/>
      <c r="L124" s="211"/>
      <c r="M124" s="183"/>
      <c r="N124" s="210"/>
      <c r="O124" s="210"/>
      <c r="P124" s="216"/>
      <c r="Q124" s="174">
        <f t="shared" si="40"/>
        <v>0</v>
      </c>
      <c r="R124" s="152"/>
      <c r="S124" s="322">
        <v>1347.52</v>
      </c>
      <c r="T124" s="149"/>
      <c r="U124" s="272">
        <f t="shared" si="41"/>
        <v>1347.52</v>
      </c>
    </row>
    <row r="125" spans="1:22" ht="20.25" customHeight="1">
      <c r="A125" s="112"/>
      <c r="B125" s="112"/>
      <c r="C125" s="187" t="s">
        <v>136</v>
      </c>
      <c r="D125" s="186"/>
      <c r="E125" s="186"/>
      <c r="F125" s="186"/>
      <c r="G125" s="178">
        <f t="shared" si="38"/>
        <v>0</v>
      </c>
      <c r="H125" s="185">
        <v>69000</v>
      </c>
      <c r="I125" s="185"/>
      <c r="J125" s="219">
        <v>20000</v>
      </c>
      <c r="K125" s="211">
        <v>5000</v>
      </c>
      <c r="L125" s="211">
        <v>20000</v>
      </c>
      <c r="M125" s="183">
        <v>5000</v>
      </c>
      <c r="N125" s="210"/>
      <c r="O125" s="210"/>
      <c r="P125" s="216"/>
      <c r="Q125" s="174">
        <f t="shared" si="40"/>
        <v>25000</v>
      </c>
      <c r="R125" s="152">
        <v>10564.61</v>
      </c>
      <c r="S125" s="150"/>
      <c r="T125" s="149"/>
      <c r="U125" s="272">
        <f t="shared" si="41"/>
        <v>10564.61</v>
      </c>
    </row>
    <row r="126" spans="1:22" ht="20.25" customHeight="1" thickBot="1">
      <c r="A126" s="112"/>
      <c r="B126" s="112"/>
      <c r="C126" s="180" t="s">
        <v>121</v>
      </c>
      <c r="D126" s="179">
        <f>SUM(D119:D125)</f>
        <v>200000</v>
      </c>
      <c r="E126" s="179">
        <f>SUM(E119:E125)</f>
        <v>0</v>
      </c>
      <c r="F126" s="179">
        <f>SUM(F119:F125)</f>
        <v>0</v>
      </c>
      <c r="G126" s="178">
        <f t="shared" si="38"/>
        <v>200000</v>
      </c>
      <c r="H126" s="178">
        <f>SUM(H119:H125)</f>
        <v>69000</v>
      </c>
      <c r="I126" s="178">
        <f>SUM(I119:I125)</f>
        <v>94000</v>
      </c>
      <c r="J126" s="209">
        <f>SUM(J119:J125)</f>
        <v>47842</v>
      </c>
      <c r="K126" s="208"/>
      <c r="L126" s="208"/>
      <c r="M126" s="176">
        <f>SUM(M119:M125)</f>
        <v>15000</v>
      </c>
      <c r="N126" s="175"/>
      <c r="O126" s="175"/>
      <c r="P126" s="175">
        <f>SUM(P119:P125)</f>
        <v>0</v>
      </c>
      <c r="Q126" s="174">
        <f>SUM(Q119:Q125)</f>
        <v>62842</v>
      </c>
      <c r="R126" s="238">
        <f>SUM(R119:R125)</f>
        <v>15716.29</v>
      </c>
      <c r="S126" s="237">
        <f t="shared" ref="S126" si="42">SUM(S119:S125)</f>
        <v>1347.52</v>
      </c>
      <c r="T126" s="236">
        <f t="shared" ref="T126" si="43">SUM(T119:T125)</f>
        <v>0</v>
      </c>
      <c r="U126" s="272">
        <f>SUM(U119:U125)</f>
        <v>17063.810000000001</v>
      </c>
    </row>
    <row r="127" spans="1:22" ht="20.25" customHeight="1">
      <c r="A127" s="173"/>
      <c r="B127" s="173"/>
      <c r="C127" s="264"/>
      <c r="D127" s="262"/>
      <c r="E127" s="262"/>
      <c r="F127" s="262"/>
      <c r="G127" s="263"/>
      <c r="H127" s="207"/>
      <c r="I127" s="207"/>
    </row>
    <row r="128" spans="1:22" ht="20.25" hidden="1" customHeight="1">
      <c r="A128" s="112"/>
      <c r="B128" s="112"/>
      <c r="C128" s="330" t="s">
        <v>88</v>
      </c>
      <c r="D128" s="330"/>
      <c r="E128" s="330"/>
      <c r="F128" s="330"/>
      <c r="G128" s="330"/>
      <c r="H128" s="330"/>
      <c r="I128" s="330"/>
      <c r="J128" s="330"/>
      <c r="K128" s="330"/>
      <c r="L128" s="330"/>
      <c r="M128" s="330"/>
      <c r="N128" s="330"/>
      <c r="O128" s="330"/>
      <c r="P128" s="330"/>
      <c r="Q128" s="330"/>
      <c r="R128" s="330"/>
      <c r="S128" s="330"/>
      <c r="T128" s="330"/>
      <c r="U128" s="330"/>
    </row>
    <row r="129" spans="1:21" ht="20.25" hidden="1" customHeight="1" thickBot="1">
      <c r="A129" s="112"/>
      <c r="B129" s="112"/>
      <c r="C129" s="240" t="s">
        <v>154</v>
      </c>
      <c r="D129" s="239">
        <f>+D137</f>
        <v>135000</v>
      </c>
      <c r="E129" s="239">
        <v>0</v>
      </c>
      <c r="F129" s="239">
        <v>0</v>
      </c>
      <c r="G129" s="110">
        <f t="shared" ref="G129:G137" si="44">SUM(D129:F129)</f>
        <v>135000</v>
      </c>
      <c r="H129" s="110">
        <f>+H137</f>
        <v>15000</v>
      </c>
      <c r="I129" s="110">
        <f>+I137</f>
        <v>15000</v>
      </c>
      <c r="J129" s="238">
        <f>+J137</f>
        <v>0</v>
      </c>
      <c r="K129" s="237"/>
      <c r="L129" s="237"/>
      <c r="M129" s="237">
        <v>0</v>
      </c>
      <c r="N129" s="236"/>
      <c r="O129" s="236"/>
      <c r="P129" s="236">
        <v>0</v>
      </c>
      <c r="Q129" s="235">
        <f>SUM(J129:P129)</f>
        <v>0</v>
      </c>
      <c r="R129" s="152">
        <f>+R137</f>
        <v>0</v>
      </c>
      <c r="S129" s="150">
        <f t="shared" ref="S129:T129" si="45">+S137</f>
        <v>0</v>
      </c>
      <c r="T129" s="149">
        <f t="shared" si="45"/>
        <v>0</v>
      </c>
      <c r="U129" s="272">
        <f>+U137</f>
        <v>0</v>
      </c>
    </row>
    <row r="130" spans="1:21" ht="20.25" hidden="1" customHeight="1">
      <c r="A130" s="112"/>
      <c r="B130" s="112"/>
      <c r="C130" s="193" t="s">
        <v>130</v>
      </c>
      <c r="D130" s="203"/>
      <c r="E130" s="202"/>
      <c r="F130" s="202"/>
      <c r="G130" s="192">
        <f t="shared" si="44"/>
        <v>0</v>
      </c>
      <c r="H130" s="191"/>
      <c r="I130" s="191"/>
      <c r="J130" s="212"/>
      <c r="K130" s="218"/>
      <c r="L130" s="218"/>
      <c r="M130" s="217"/>
      <c r="N130" s="216"/>
      <c r="O130" s="216"/>
      <c r="P130" s="216"/>
      <c r="Q130" s="174">
        <f t="shared" ref="Q130:Q136" si="46">+J130+M130+P130</f>
        <v>0</v>
      </c>
      <c r="R130" s="152"/>
      <c r="S130" s="150"/>
      <c r="T130" s="149"/>
      <c r="U130" s="272">
        <f>+R130+S130+T130</f>
        <v>0</v>
      </c>
    </row>
    <row r="131" spans="1:21" ht="20.25" hidden="1" customHeight="1">
      <c r="A131" s="112"/>
      <c r="B131" s="112"/>
      <c r="C131" s="187" t="s">
        <v>131</v>
      </c>
      <c r="D131" s="186"/>
      <c r="E131" s="190"/>
      <c r="F131" s="190"/>
      <c r="G131" s="178">
        <f t="shared" si="44"/>
        <v>0</v>
      </c>
      <c r="H131" s="185"/>
      <c r="I131" s="185"/>
      <c r="J131" s="212"/>
      <c r="K131" s="211"/>
      <c r="L131" s="211"/>
      <c r="M131" s="215"/>
      <c r="N131" s="214"/>
      <c r="O131" s="214"/>
      <c r="P131" s="214"/>
      <c r="Q131" s="174">
        <f t="shared" si="46"/>
        <v>0</v>
      </c>
      <c r="R131" s="152"/>
      <c r="S131" s="150"/>
      <c r="T131" s="149"/>
      <c r="U131" s="272">
        <f t="shared" ref="U131:U136" si="47">+R131+S131+T131</f>
        <v>0</v>
      </c>
    </row>
    <row r="132" spans="1:21" ht="20.25" hidden="1" customHeight="1">
      <c r="A132" s="112"/>
      <c r="B132" s="112"/>
      <c r="C132" s="187" t="s">
        <v>132</v>
      </c>
      <c r="D132" s="186">
        <v>15000</v>
      </c>
      <c r="E132" s="186"/>
      <c r="F132" s="186"/>
      <c r="G132" s="178">
        <f t="shared" si="44"/>
        <v>15000</v>
      </c>
      <c r="H132" s="213"/>
      <c r="I132" s="213">
        <f>G132</f>
        <v>15000</v>
      </c>
      <c r="J132" s="212"/>
      <c r="K132" s="211"/>
      <c r="L132" s="211"/>
      <c r="M132" s="183"/>
      <c r="N132" s="210"/>
      <c r="O132" s="210"/>
      <c r="P132" s="210"/>
      <c r="Q132" s="174">
        <f t="shared" si="46"/>
        <v>0</v>
      </c>
      <c r="R132" s="152"/>
      <c r="S132" s="150"/>
      <c r="T132" s="149"/>
      <c r="U132" s="272">
        <f t="shared" si="47"/>
        <v>0</v>
      </c>
    </row>
    <row r="133" spans="1:21" ht="20.25" hidden="1" customHeight="1">
      <c r="A133" s="112"/>
      <c r="B133" s="112"/>
      <c r="C133" s="189" t="s">
        <v>133</v>
      </c>
      <c r="D133" s="186">
        <v>50000</v>
      </c>
      <c r="E133" s="186"/>
      <c r="F133" s="186"/>
      <c r="G133" s="178">
        <f t="shared" si="44"/>
        <v>50000</v>
      </c>
      <c r="H133" s="213"/>
      <c r="I133" s="213"/>
      <c r="J133" s="212"/>
      <c r="K133" s="211"/>
      <c r="L133" s="211"/>
      <c r="M133" s="183"/>
      <c r="N133" s="210"/>
      <c r="O133" s="210"/>
      <c r="P133" s="210"/>
      <c r="Q133" s="174">
        <f t="shared" si="46"/>
        <v>0</v>
      </c>
      <c r="R133" s="152"/>
      <c r="S133" s="150"/>
      <c r="T133" s="149"/>
      <c r="U133" s="272">
        <f t="shared" si="47"/>
        <v>0</v>
      </c>
    </row>
    <row r="134" spans="1:21" ht="20.25" hidden="1" customHeight="1">
      <c r="A134" s="112"/>
      <c r="B134" s="112"/>
      <c r="C134" s="187" t="s">
        <v>134</v>
      </c>
      <c r="D134" s="186">
        <v>10000</v>
      </c>
      <c r="E134" s="186"/>
      <c r="F134" s="186"/>
      <c r="G134" s="178">
        <f t="shared" si="44"/>
        <v>10000</v>
      </c>
      <c r="H134" s="213">
        <v>15000</v>
      </c>
      <c r="I134" s="213"/>
      <c r="J134" s="212"/>
      <c r="K134" s="211"/>
      <c r="L134" s="211"/>
      <c r="M134" s="183"/>
      <c r="N134" s="210"/>
      <c r="O134" s="210"/>
      <c r="P134" s="210"/>
      <c r="Q134" s="174">
        <f t="shared" si="46"/>
        <v>0</v>
      </c>
      <c r="R134" s="152"/>
      <c r="S134" s="150"/>
      <c r="T134" s="149"/>
      <c r="U134" s="272">
        <f t="shared" si="47"/>
        <v>0</v>
      </c>
    </row>
    <row r="135" spans="1:21" ht="20.25" hidden="1" customHeight="1">
      <c r="A135" s="112"/>
      <c r="B135" s="112"/>
      <c r="C135" s="187" t="s">
        <v>135</v>
      </c>
      <c r="D135" s="186">
        <v>60000</v>
      </c>
      <c r="E135" s="186"/>
      <c r="F135" s="186"/>
      <c r="G135" s="178">
        <f t="shared" si="44"/>
        <v>60000</v>
      </c>
      <c r="H135" s="213"/>
      <c r="I135" s="213"/>
      <c r="J135" s="212"/>
      <c r="K135" s="211"/>
      <c r="L135" s="211"/>
      <c r="M135" s="183"/>
      <c r="N135" s="210"/>
      <c r="O135" s="210"/>
      <c r="P135" s="210"/>
      <c r="Q135" s="174">
        <f t="shared" si="46"/>
        <v>0</v>
      </c>
      <c r="R135" s="152"/>
      <c r="S135" s="150"/>
      <c r="T135" s="149"/>
      <c r="U135" s="272">
        <f t="shared" si="47"/>
        <v>0</v>
      </c>
    </row>
    <row r="136" spans="1:21" ht="20.25" hidden="1" customHeight="1">
      <c r="A136" s="112"/>
      <c r="B136" s="112"/>
      <c r="C136" s="187" t="s">
        <v>136</v>
      </c>
      <c r="D136" s="186"/>
      <c r="E136" s="186"/>
      <c r="F136" s="186"/>
      <c r="G136" s="178">
        <f t="shared" si="44"/>
        <v>0</v>
      </c>
      <c r="H136" s="185"/>
      <c r="I136" s="185"/>
      <c r="J136" s="212"/>
      <c r="K136" s="211"/>
      <c r="L136" s="211"/>
      <c r="M136" s="183"/>
      <c r="N136" s="210"/>
      <c r="O136" s="210"/>
      <c r="P136" s="210"/>
      <c r="Q136" s="174">
        <f t="shared" si="46"/>
        <v>0</v>
      </c>
      <c r="R136" s="152"/>
      <c r="S136" s="150"/>
      <c r="T136" s="149"/>
      <c r="U136" s="272">
        <f t="shared" si="47"/>
        <v>0</v>
      </c>
    </row>
    <row r="137" spans="1:21" ht="20.25" hidden="1" customHeight="1">
      <c r="A137" s="112"/>
      <c r="B137" s="112"/>
      <c r="C137" s="180" t="s">
        <v>121</v>
      </c>
      <c r="D137" s="179">
        <f>SUM(D130:D136)</f>
        <v>135000</v>
      </c>
      <c r="E137" s="179">
        <f>SUM(E130:E136)</f>
        <v>0</v>
      </c>
      <c r="F137" s="179">
        <f>SUM(F130:F136)</f>
        <v>0</v>
      </c>
      <c r="G137" s="178">
        <f t="shared" si="44"/>
        <v>135000</v>
      </c>
      <c r="H137" s="178">
        <f>SUM(H130:H136)</f>
        <v>15000</v>
      </c>
      <c r="I137" s="178">
        <f>SUM(I130:I136)</f>
        <v>15000</v>
      </c>
      <c r="J137" s="209">
        <f>SUM(J130:J136)</f>
        <v>0</v>
      </c>
      <c r="K137" s="208"/>
      <c r="L137" s="208"/>
      <c r="M137" s="176">
        <f>SUM(M130:M136)</f>
        <v>0</v>
      </c>
      <c r="N137" s="175"/>
      <c r="O137" s="175"/>
      <c r="P137" s="175">
        <f>SUM(P130:P136)</f>
        <v>0</v>
      </c>
      <c r="Q137" s="174">
        <f>SUM(Q130:Q136)</f>
        <v>0</v>
      </c>
      <c r="R137" s="152">
        <f>SUM(R130:R136)</f>
        <v>0</v>
      </c>
      <c r="S137" s="150">
        <f t="shared" ref="S137" si="48">SUM(S130:S136)</f>
        <v>0</v>
      </c>
      <c r="T137" s="149">
        <f t="shared" ref="T137" si="49">SUM(T130:T136)</f>
        <v>0</v>
      </c>
      <c r="U137" s="272">
        <f>SUM(U130:U136)</f>
        <v>0</v>
      </c>
    </row>
    <row r="138" spans="1:21" ht="20.25" hidden="1" customHeight="1">
      <c r="A138" s="173"/>
      <c r="B138" s="173"/>
      <c r="C138" s="206"/>
      <c r="D138" s="205"/>
      <c r="E138" s="205"/>
      <c r="F138" s="205"/>
      <c r="G138" s="204"/>
      <c r="H138" s="207"/>
      <c r="I138" s="207"/>
    </row>
    <row r="139" spans="1:21" ht="20.25" hidden="1" customHeight="1">
      <c r="A139" s="112"/>
      <c r="B139" s="112"/>
      <c r="C139" s="258" t="s">
        <v>155</v>
      </c>
      <c r="D139" s="259"/>
      <c r="E139" s="259"/>
      <c r="F139" s="259"/>
      <c r="G139" s="260"/>
      <c r="H139" s="200"/>
      <c r="I139" s="200"/>
    </row>
    <row r="140" spans="1:21" ht="20.25" hidden="1" customHeight="1" thickBot="1">
      <c r="A140" s="112"/>
      <c r="B140" s="112"/>
      <c r="C140" s="199" t="s">
        <v>156</v>
      </c>
      <c r="D140" s="198">
        <v>0</v>
      </c>
      <c r="E140" s="198">
        <v>0</v>
      </c>
      <c r="F140" s="198">
        <v>0</v>
      </c>
      <c r="G140" s="197">
        <f t="shared" ref="G140:G148" si="50">SUM(D140:F140)</f>
        <v>0</v>
      </c>
      <c r="H140" s="201"/>
      <c r="I140" s="201"/>
    </row>
    <row r="141" spans="1:21" ht="20.25" hidden="1" customHeight="1">
      <c r="A141" s="112"/>
      <c r="B141" s="112"/>
      <c r="C141" s="193" t="s">
        <v>130</v>
      </c>
      <c r="D141" s="203"/>
      <c r="E141" s="202"/>
      <c r="F141" s="202"/>
      <c r="G141" s="192">
        <f t="shared" si="50"/>
        <v>0</v>
      </c>
      <c r="H141" s="201"/>
      <c r="I141" s="201"/>
    </row>
    <row r="142" spans="1:21" ht="20.25" hidden="1" customHeight="1">
      <c r="A142" s="112"/>
      <c r="B142" s="112"/>
      <c r="C142" s="187" t="s">
        <v>131</v>
      </c>
      <c r="D142" s="186"/>
      <c r="E142" s="190"/>
      <c r="F142" s="190"/>
      <c r="G142" s="178">
        <f t="shared" si="50"/>
        <v>0</v>
      </c>
      <c r="H142" s="201"/>
      <c r="I142" s="201"/>
    </row>
    <row r="143" spans="1:21" ht="20.25" hidden="1" customHeight="1">
      <c r="A143" s="112"/>
      <c r="B143" s="112"/>
      <c r="C143" s="187" t="s">
        <v>132</v>
      </c>
      <c r="D143" s="186"/>
      <c r="E143" s="186"/>
      <c r="F143" s="186"/>
      <c r="G143" s="178">
        <f t="shared" si="50"/>
        <v>0</v>
      </c>
      <c r="H143" s="201"/>
      <c r="I143" s="201"/>
    </row>
    <row r="144" spans="1:21" ht="20.25" hidden="1" customHeight="1">
      <c r="A144" s="112"/>
      <c r="B144" s="112"/>
      <c r="C144" s="189" t="s">
        <v>133</v>
      </c>
      <c r="D144" s="186"/>
      <c r="E144" s="186"/>
      <c r="F144" s="186"/>
      <c r="G144" s="178">
        <f t="shared" si="50"/>
        <v>0</v>
      </c>
      <c r="H144" s="201"/>
      <c r="I144" s="201"/>
    </row>
    <row r="145" spans="1:9" ht="20.25" hidden="1" customHeight="1">
      <c r="A145" s="112"/>
      <c r="B145" s="112"/>
      <c r="C145" s="187" t="s">
        <v>134</v>
      </c>
      <c r="D145" s="186"/>
      <c r="E145" s="186"/>
      <c r="F145" s="186"/>
      <c r="G145" s="178">
        <f t="shared" si="50"/>
        <v>0</v>
      </c>
      <c r="H145" s="201"/>
      <c r="I145" s="201"/>
    </row>
    <row r="146" spans="1:9" ht="20.25" hidden="1" customHeight="1">
      <c r="A146" s="112"/>
      <c r="B146" s="112"/>
      <c r="C146" s="187" t="s">
        <v>135</v>
      </c>
      <c r="D146" s="186"/>
      <c r="E146" s="186"/>
      <c r="F146" s="186"/>
      <c r="G146" s="178">
        <f t="shared" si="50"/>
        <v>0</v>
      </c>
      <c r="H146" s="201"/>
      <c r="I146" s="201"/>
    </row>
    <row r="147" spans="1:9" ht="20.25" hidden="1" customHeight="1">
      <c r="A147" s="112"/>
      <c r="B147" s="112"/>
      <c r="C147" s="187" t="s">
        <v>136</v>
      </c>
      <c r="D147" s="186"/>
      <c r="E147" s="186"/>
      <c r="F147" s="186"/>
      <c r="G147" s="178">
        <f t="shared" si="50"/>
        <v>0</v>
      </c>
      <c r="H147" s="201"/>
      <c r="I147" s="201"/>
    </row>
    <row r="148" spans="1:9" ht="20.25" hidden="1" customHeight="1">
      <c r="A148" s="112"/>
      <c r="B148" s="112"/>
      <c r="C148" s="180" t="s">
        <v>121</v>
      </c>
      <c r="D148" s="179">
        <f>SUM(D141:D147)</f>
        <v>0</v>
      </c>
      <c r="E148" s="179">
        <f>SUM(E141:E147)</f>
        <v>0</v>
      </c>
      <c r="F148" s="179">
        <f>SUM(F141:F147)</f>
        <v>0</v>
      </c>
      <c r="G148" s="178">
        <f t="shared" si="50"/>
        <v>0</v>
      </c>
      <c r="H148" s="201"/>
      <c r="I148" s="201"/>
    </row>
    <row r="149" spans="1:9" ht="20.25" hidden="1" customHeight="1">
      <c r="A149" s="112"/>
      <c r="B149" s="112"/>
      <c r="C149" s="112"/>
      <c r="D149" s="173"/>
      <c r="E149" s="173"/>
      <c r="F149" s="173"/>
      <c r="G149" s="112"/>
      <c r="H149" s="112"/>
      <c r="I149" s="112"/>
    </row>
    <row r="150" spans="1:9" ht="20.25" hidden="1" customHeight="1">
      <c r="A150" s="112"/>
      <c r="B150" s="327" t="s">
        <v>157</v>
      </c>
      <c r="C150" s="328"/>
      <c r="D150" s="328"/>
      <c r="E150" s="328"/>
      <c r="F150" s="328"/>
      <c r="G150" s="329"/>
      <c r="H150" s="200"/>
      <c r="I150" s="200"/>
    </row>
    <row r="151" spans="1:9" ht="20.25" hidden="1" customHeight="1">
      <c r="A151" s="112"/>
      <c r="B151" s="112"/>
      <c r="C151" s="327" t="s">
        <v>158</v>
      </c>
      <c r="D151" s="328"/>
      <c r="E151" s="328"/>
      <c r="F151" s="328"/>
      <c r="G151" s="329"/>
      <c r="H151" s="200"/>
      <c r="I151" s="200"/>
    </row>
    <row r="152" spans="1:9" ht="20.25" hidden="1" customHeight="1" thickBot="1">
      <c r="A152" s="112"/>
      <c r="B152" s="112"/>
      <c r="C152" s="199" t="s">
        <v>159</v>
      </c>
      <c r="D152" s="198">
        <v>0</v>
      </c>
      <c r="E152" s="198">
        <v>0</v>
      </c>
      <c r="F152" s="198">
        <v>0</v>
      </c>
      <c r="G152" s="197">
        <f t="shared" ref="G152:G160" si="51">SUM(D152:F152)</f>
        <v>0</v>
      </c>
      <c r="H152" s="201"/>
      <c r="I152" s="201"/>
    </row>
    <row r="153" spans="1:9" ht="20.25" hidden="1" customHeight="1">
      <c r="A153" s="112"/>
      <c r="B153" s="112"/>
      <c r="C153" s="193" t="s">
        <v>130</v>
      </c>
      <c r="D153" s="203"/>
      <c r="E153" s="202"/>
      <c r="F153" s="202"/>
      <c r="G153" s="192">
        <f t="shared" si="51"/>
        <v>0</v>
      </c>
      <c r="H153" s="201"/>
      <c r="I153" s="201"/>
    </row>
    <row r="154" spans="1:9" ht="20.25" hidden="1" customHeight="1">
      <c r="A154" s="112"/>
      <c r="B154" s="112"/>
      <c r="C154" s="187" t="s">
        <v>131</v>
      </c>
      <c r="D154" s="186"/>
      <c r="E154" s="190"/>
      <c r="F154" s="190"/>
      <c r="G154" s="178">
        <f t="shared" si="51"/>
        <v>0</v>
      </c>
      <c r="H154" s="201"/>
      <c r="I154" s="201"/>
    </row>
    <row r="155" spans="1:9" ht="20.25" hidden="1" customHeight="1">
      <c r="A155" s="112"/>
      <c r="B155" s="112"/>
      <c r="C155" s="187" t="s">
        <v>132</v>
      </c>
      <c r="D155" s="186"/>
      <c r="E155" s="186"/>
      <c r="F155" s="186"/>
      <c r="G155" s="178">
        <f t="shared" si="51"/>
        <v>0</v>
      </c>
      <c r="H155" s="201"/>
      <c r="I155" s="201"/>
    </row>
    <row r="156" spans="1:9" ht="20.25" hidden="1" customHeight="1">
      <c r="A156" s="112"/>
      <c r="B156" s="112"/>
      <c r="C156" s="189" t="s">
        <v>133</v>
      </c>
      <c r="D156" s="186"/>
      <c r="E156" s="186"/>
      <c r="F156" s="186"/>
      <c r="G156" s="178">
        <f t="shared" si="51"/>
        <v>0</v>
      </c>
      <c r="H156" s="201"/>
      <c r="I156" s="201"/>
    </row>
    <row r="157" spans="1:9" ht="20.25" hidden="1" customHeight="1">
      <c r="A157" s="112"/>
      <c r="B157" s="112"/>
      <c r="C157" s="187" t="s">
        <v>134</v>
      </c>
      <c r="D157" s="186"/>
      <c r="E157" s="186"/>
      <c r="F157" s="186"/>
      <c r="G157" s="178">
        <f t="shared" si="51"/>
        <v>0</v>
      </c>
      <c r="H157" s="201"/>
      <c r="I157" s="201"/>
    </row>
    <row r="158" spans="1:9" ht="20.25" hidden="1" customHeight="1">
      <c r="A158" s="112"/>
      <c r="B158" s="112"/>
      <c r="C158" s="187" t="s">
        <v>135</v>
      </c>
      <c r="D158" s="186"/>
      <c r="E158" s="186"/>
      <c r="F158" s="186"/>
      <c r="G158" s="178">
        <f t="shared" si="51"/>
        <v>0</v>
      </c>
      <c r="H158" s="201"/>
      <c r="I158" s="201"/>
    </row>
    <row r="159" spans="1:9" ht="20.25" hidden="1" customHeight="1">
      <c r="A159" s="112"/>
      <c r="B159" s="112"/>
      <c r="C159" s="187" t="s">
        <v>136</v>
      </c>
      <c r="D159" s="186"/>
      <c r="E159" s="186"/>
      <c r="F159" s="186"/>
      <c r="G159" s="178">
        <f t="shared" si="51"/>
        <v>0</v>
      </c>
      <c r="H159" s="201"/>
      <c r="I159" s="201"/>
    </row>
    <row r="160" spans="1:9" ht="20.25" hidden="1" customHeight="1">
      <c r="A160" s="112"/>
      <c r="B160" s="112"/>
      <c r="C160" s="180" t="s">
        <v>121</v>
      </c>
      <c r="D160" s="179">
        <f>SUM(D153:D159)</f>
        <v>0</v>
      </c>
      <c r="E160" s="179">
        <f>SUM(E153:E159)</f>
        <v>0</v>
      </c>
      <c r="F160" s="179">
        <f>SUM(F153:F159)</f>
        <v>0</v>
      </c>
      <c r="G160" s="178">
        <f t="shared" si="51"/>
        <v>0</v>
      </c>
      <c r="H160" s="201"/>
      <c r="I160" s="201"/>
    </row>
    <row r="161" spans="1:9" ht="20.25" hidden="1" customHeight="1">
      <c r="A161" s="173"/>
      <c r="B161" s="173"/>
      <c r="C161" s="206"/>
      <c r="D161" s="205"/>
      <c r="E161" s="205"/>
      <c r="F161" s="205"/>
      <c r="G161" s="204"/>
      <c r="H161" s="201"/>
      <c r="I161" s="201"/>
    </row>
    <row r="162" spans="1:9" ht="20.25" hidden="1" customHeight="1">
      <c r="A162" s="112"/>
      <c r="B162" s="112"/>
      <c r="C162" s="327" t="s">
        <v>160</v>
      </c>
      <c r="D162" s="328"/>
      <c r="E162" s="328"/>
      <c r="F162" s="328"/>
      <c r="G162" s="329"/>
      <c r="H162" s="200"/>
      <c r="I162" s="200"/>
    </row>
    <row r="163" spans="1:9" ht="20.25" hidden="1" customHeight="1" thickBot="1">
      <c r="A163" s="112"/>
      <c r="B163" s="112"/>
      <c r="C163" s="199" t="s">
        <v>161</v>
      </c>
      <c r="D163" s="198">
        <v>0</v>
      </c>
      <c r="E163" s="198">
        <v>0</v>
      </c>
      <c r="F163" s="198">
        <v>0</v>
      </c>
      <c r="G163" s="197">
        <f t="shared" ref="G163:G171" si="52">SUM(D163:F163)</f>
        <v>0</v>
      </c>
      <c r="H163" s="201"/>
      <c r="I163" s="201"/>
    </row>
    <row r="164" spans="1:9" ht="20.25" hidden="1" customHeight="1">
      <c r="A164" s="112"/>
      <c r="B164" s="112"/>
      <c r="C164" s="193" t="s">
        <v>130</v>
      </c>
      <c r="D164" s="203"/>
      <c r="E164" s="202"/>
      <c r="F164" s="202"/>
      <c r="G164" s="192">
        <f t="shared" si="52"/>
        <v>0</v>
      </c>
      <c r="H164" s="201"/>
      <c r="I164" s="201"/>
    </row>
    <row r="165" spans="1:9" ht="20.25" hidden="1" customHeight="1">
      <c r="A165" s="112"/>
      <c r="B165" s="112"/>
      <c r="C165" s="187" t="s">
        <v>131</v>
      </c>
      <c r="D165" s="186"/>
      <c r="E165" s="190"/>
      <c r="F165" s="190"/>
      <c r="G165" s="178">
        <f t="shared" si="52"/>
        <v>0</v>
      </c>
      <c r="H165" s="201"/>
      <c r="I165" s="201"/>
    </row>
    <row r="166" spans="1:9" ht="20.25" hidden="1" customHeight="1">
      <c r="A166" s="112"/>
      <c r="B166" s="112"/>
      <c r="C166" s="187" t="s">
        <v>132</v>
      </c>
      <c r="D166" s="186"/>
      <c r="E166" s="186"/>
      <c r="F166" s="186"/>
      <c r="G166" s="178">
        <f t="shared" si="52"/>
        <v>0</v>
      </c>
      <c r="H166" s="201"/>
      <c r="I166" s="201"/>
    </row>
    <row r="167" spans="1:9" ht="20.25" hidden="1" customHeight="1">
      <c r="A167" s="112"/>
      <c r="B167" s="112"/>
      <c r="C167" s="189" t="s">
        <v>133</v>
      </c>
      <c r="D167" s="186"/>
      <c r="E167" s="186"/>
      <c r="F167" s="186"/>
      <c r="G167" s="178">
        <f t="shared" si="52"/>
        <v>0</v>
      </c>
      <c r="H167" s="201"/>
      <c r="I167" s="201"/>
    </row>
    <row r="168" spans="1:9" ht="20.25" hidden="1" customHeight="1">
      <c r="A168" s="112"/>
      <c r="B168" s="112"/>
      <c r="C168" s="187" t="s">
        <v>134</v>
      </c>
      <c r="D168" s="186"/>
      <c r="E168" s="186"/>
      <c r="F168" s="186"/>
      <c r="G168" s="178">
        <f t="shared" si="52"/>
        <v>0</v>
      </c>
      <c r="H168" s="201"/>
      <c r="I168" s="201"/>
    </row>
    <row r="169" spans="1:9" ht="20.25" hidden="1" customHeight="1">
      <c r="A169" s="112"/>
      <c r="B169" s="112"/>
      <c r="C169" s="187" t="s">
        <v>135</v>
      </c>
      <c r="D169" s="186"/>
      <c r="E169" s="186"/>
      <c r="F169" s="186"/>
      <c r="G169" s="178">
        <f t="shared" si="52"/>
        <v>0</v>
      </c>
      <c r="H169" s="201"/>
      <c r="I169" s="201"/>
    </row>
    <row r="170" spans="1:9" ht="20.25" hidden="1" customHeight="1">
      <c r="A170" s="112"/>
      <c r="B170" s="112"/>
      <c r="C170" s="187" t="s">
        <v>136</v>
      </c>
      <c r="D170" s="186"/>
      <c r="E170" s="186"/>
      <c r="F170" s="186"/>
      <c r="G170" s="178">
        <f t="shared" si="52"/>
        <v>0</v>
      </c>
      <c r="H170" s="201"/>
      <c r="I170" s="201"/>
    </row>
    <row r="171" spans="1:9" ht="20.25" hidden="1" customHeight="1">
      <c r="A171" s="112"/>
      <c r="B171" s="112"/>
      <c r="C171" s="180" t="s">
        <v>121</v>
      </c>
      <c r="D171" s="179">
        <f>SUM(D164:D170)</f>
        <v>0</v>
      </c>
      <c r="E171" s="179">
        <f>SUM(E164:E170)</f>
        <v>0</v>
      </c>
      <c r="F171" s="179">
        <f>SUM(F164:F170)</f>
        <v>0</v>
      </c>
      <c r="G171" s="178">
        <f t="shared" si="52"/>
        <v>0</v>
      </c>
      <c r="H171" s="201"/>
      <c r="I171" s="201"/>
    </row>
    <row r="172" spans="1:9" ht="20.25" hidden="1" customHeight="1">
      <c r="A172" s="173"/>
      <c r="B172" s="173"/>
      <c r="C172" s="206"/>
      <c r="D172" s="205"/>
      <c r="E172" s="205"/>
      <c r="F172" s="205"/>
      <c r="G172" s="204"/>
      <c r="H172" s="201"/>
      <c r="I172" s="201"/>
    </row>
    <row r="173" spans="1:9" ht="20.25" hidden="1" customHeight="1">
      <c r="A173" s="112"/>
      <c r="B173" s="112"/>
      <c r="C173" s="327" t="s">
        <v>162</v>
      </c>
      <c r="D173" s="328"/>
      <c r="E173" s="328"/>
      <c r="F173" s="328"/>
      <c r="G173" s="329"/>
      <c r="H173" s="200"/>
      <c r="I173" s="200"/>
    </row>
    <row r="174" spans="1:9" ht="20.25" hidden="1" customHeight="1" thickBot="1">
      <c r="A174" s="112"/>
      <c r="B174" s="112"/>
      <c r="C174" s="199" t="s">
        <v>163</v>
      </c>
      <c r="D174" s="198">
        <v>0</v>
      </c>
      <c r="E174" s="198">
        <v>0</v>
      </c>
      <c r="F174" s="198">
        <v>0</v>
      </c>
      <c r="G174" s="197">
        <f t="shared" ref="G174:G182" si="53">SUM(D174:F174)</f>
        <v>0</v>
      </c>
      <c r="H174" s="201"/>
      <c r="I174" s="201"/>
    </row>
    <row r="175" spans="1:9" ht="20.25" hidden="1" customHeight="1">
      <c r="A175" s="112"/>
      <c r="B175" s="112"/>
      <c r="C175" s="193" t="s">
        <v>130</v>
      </c>
      <c r="D175" s="203"/>
      <c r="E175" s="202"/>
      <c r="F175" s="202"/>
      <c r="G175" s="192">
        <f t="shared" si="53"/>
        <v>0</v>
      </c>
      <c r="H175" s="201"/>
      <c r="I175" s="201"/>
    </row>
    <row r="176" spans="1:9" ht="20.25" hidden="1" customHeight="1">
      <c r="A176" s="112"/>
      <c r="B176" s="112"/>
      <c r="C176" s="187" t="s">
        <v>131</v>
      </c>
      <c r="D176" s="186"/>
      <c r="E176" s="190"/>
      <c r="F176" s="190"/>
      <c r="G176" s="178">
        <f t="shared" si="53"/>
        <v>0</v>
      </c>
      <c r="H176" s="201"/>
      <c r="I176" s="201"/>
    </row>
    <row r="177" spans="1:9" ht="20.25" hidden="1" customHeight="1">
      <c r="A177" s="112"/>
      <c r="B177" s="112"/>
      <c r="C177" s="187" t="s">
        <v>132</v>
      </c>
      <c r="D177" s="186"/>
      <c r="E177" s="186"/>
      <c r="F177" s="186"/>
      <c r="G177" s="178">
        <f t="shared" si="53"/>
        <v>0</v>
      </c>
      <c r="H177" s="201"/>
      <c r="I177" s="201"/>
    </row>
    <row r="178" spans="1:9" ht="20.25" hidden="1" customHeight="1">
      <c r="A178" s="112"/>
      <c r="B178" s="112"/>
      <c r="C178" s="189" t="s">
        <v>133</v>
      </c>
      <c r="D178" s="186"/>
      <c r="E178" s="186"/>
      <c r="F178" s="186"/>
      <c r="G178" s="178">
        <f t="shared" si="53"/>
        <v>0</v>
      </c>
      <c r="H178" s="201"/>
      <c r="I178" s="201"/>
    </row>
    <row r="179" spans="1:9" ht="20.25" hidden="1" customHeight="1">
      <c r="A179" s="112"/>
      <c r="B179" s="112"/>
      <c r="C179" s="187" t="s">
        <v>134</v>
      </c>
      <c r="D179" s="186"/>
      <c r="E179" s="186"/>
      <c r="F179" s="186"/>
      <c r="G179" s="178">
        <f t="shared" si="53"/>
        <v>0</v>
      </c>
      <c r="H179" s="201"/>
      <c r="I179" s="201"/>
    </row>
    <row r="180" spans="1:9" ht="20.25" hidden="1" customHeight="1">
      <c r="A180" s="112"/>
      <c r="B180" s="112"/>
      <c r="C180" s="187" t="s">
        <v>135</v>
      </c>
      <c r="D180" s="186"/>
      <c r="E180" s="186"/>
      <c r="F180" s="186"/>
      <c r="G180" s="178">
        <f t="shared" si="53"/>
        <v>0</v>
      </c>
      <c r="H180" s="201"/>
      <c r="I180" s="201"/>
    </row>
    <row r="181" spans="1:9" ht="20.25" hidden="1" customHeight="1">
      <c r="A181" s="112"/>
      <c r="B181" s="112"/>
      <c r="C181" s="187" t="s">
        <v>136</v>
      </c>
      <c r="D181" s="186"/>
      <c r="E181" s="186"/>
      <c r="F181" s="186"/>
      <c r="G181" s="178">
        <f t="shared" si="53"/>
        <v>0</v>
      </c>
      <c r="H181" s="201"/>
      <c r="I181" s="201"/>
    </row>
    <row r="182" spans="1:9" ht="20.25" hidden="1" customHeight="1">
      <c r="A182" s="112"/>
      <c r="B182" s="112"/>
      <c r="C182" s="180" t="s">
        <v>121</v>
      </c>
      <c r="D182" s="179">
        <f>SUM(D175:D181)</f>
        <v>0</v>
      </c>
      <c r="E182" s="179">
        <f>SUM(E175:E181)</f>
        <v>0</v>
      </c>
      <c r="F182" s="179">
        <f>SUM(F175:F181)</f>
        <v>0</v>
      </c>
      <c r="G182" s="178">
        <f t="shared" si="53"/>
        <v>0</v>
      </c>
      <c r="H182" s="201"/>
      <c r="I182" s="201"/>
    </row>
    <row r="183" spans="1:9" ht="20.25" hidden="1" customHeight="1">
      <c r="A183" s="173"/>
      <c r="B183" s="173"/>
      <c r="C183" s="206"/>
      <c r="D183" s="205"/>
      <c r="E183" s="205"/>
      <c r="F183" s="205"/>
      <c r="G183" s="204"/>
      <c r="H183" s="201"/>
      <c r="I183" s="201"/>
    </row>
    <row r="184" spans="1:9" ht="20.25" hidden="1" customHeight="1">
      <c r="A184" s="112"/>
      <c r="B184" s="112"/>
      <c r="C184" s="327" t="s">
        <v>164</v>
      </c>
      <c r="D184" s="328"/>
      <c r="E184" s="328"/>
      <c r="F184" s="328"/>
      <c r="G184" s="329"/>
      <c r="H184" s="200"/>
      <c r="I184" s="200"/>
    </row>
    <row r="185" spans="1:9" ht="20.25" hidden="1" customHeight="1" thickBot="1">
      <c r="A185" s="112"/>
      <c r="B185" s="112"/>
      <c r="C185" s="199" t="s">
        <v>165</v>
      </c>
      <c r="D185" s="198">
        <v>0</v>
      </c>
      <c r="E185" s="198">
        <v>0</v>
      </c>
      <c r="F185" s="198">
        <v>0</v>
      </c>
      <c r="G185" s="197">
        <f t="shared" ref="G185:G193" si="54">SUM(D185:F185)</f>
        <v>0</v>
      </c>
      <c r="H185" s="201"/>
      <c r="I185" s="201"/>
    </row>
    <row r="186" spans="1:9" ht="20.25" hidden="1" customHeight="1">
      <c r="A186" s="112"/>
      <c r="B186" s="112"/>
      <c r="C186" s="193" t="s">
        <v>130</v>
      </c>
      <c r="D186" s="203"/>
      <c r="E186" s="202"/>
      <c r="F186" s="202"/>
      <c r="G186" s="192">
        <f t="shared" si="54"/>
        <v>0</v>
      </c>
      <c r="H186" s="201"/>
      <c r="I186" s="201"/>
    </row>
    <row r="187" spans="1:9" ht="20.25" hidden="1" customHeight="1">
      <c r="A187" s="112"/>
      <c r="B187" s="112"/>
      <c r="C187" s="187" t="s">
        <v>131</v>
      </c>
      <c r="D187" s="186"/>
      <c r="E187" s="190"/>
      <c r="F187" s="190"/>
      <c r="G187" s="178">
        <f t="shared" si="54"/>
        <v>0</v>
      </c>
      <c r="H187" s="201"/>
      <c r="I187" s="201"/>
    </row>
    <row r="188" spans="1:9" ht="20.25" hidden="1" customHeight="1">
      <c r="A188" s="112"/>
      <c r="B188" s="112"/>
      <c r="C188" s="187" t="s">
        <v>132</v>
      </c>
      <c r="D188" s="186"/>
      <c r="E188" s="186"/>
      <c r="F188" s="186"/>
      <c r="G188" s="178">
        <f t="shared" si="54"/>
        <v>0</v>
      </c>
      <c r="H188" s="201"/>
      <c r="I188" s="201"/>
    </row>
    <row r="189" spans="1:9" ht="20.25" hidden="1" customHeight="1">
      <c r="A189" s="112"/>
      <c r="B189" s="112"/>
      <c r="C189" s="189" t="s">
        <v>133</v>
      </c>
      <c r="D189" s="186"/>
      <c r="E189" s="186"/>
      <c r="F189" s="186"/>
      <c r="G189" s="178">
        <f t="shared" si="54"/>
        <v>0</v>
      </c>
      <c r="H189" s="201"/>
      <c r="I189" s="201"/>
    </row>
    <row r="190" spans="1:9" ht="20.25" hidden="1" customHeight="1">
      <c r="A190" s="112"/>
      <c r="B190" s="112"/>
      <c r="C190" s="187" t="s">
        <v>134</v>
      </c>
      <c r="D190" s="186"/>
      <c r="E190" s="186"/>
      <c r="F190" s="186"/>
      <c r="G190" s="178">
        <f t="shared" si="54"/>
        <v>0</v>
      </c>
      <c r="H190" s="201"/>
      <c r="I190" s="201"/>
    </row>
    <row r="191" spans="1:9" ht="20.25" hidden="1" customHeight="1">
      <c r="A191" s="112"/>
      <c r="B191" s="112"/>
      <c r="C191" s="187" t="s">
        <v>135</v>
      </c>
      <c r="D191" s="186"/>
      <c r="E191" s="186"/>
      <c r="F191" s="186"/>
      <c r="G191" s="178">
        <f t="shared" si="54"/>
        <v>0</v>
      </c>
      <c r="H191" s="201"/>
      <c r="I191" s="201"/>
    </row>
    <row r="192" spans="1:9" ht="20.25" hidden="1" customHeight="1">
      <c r="A192" s="112"/>
      <c r="B192" s="112"/>
      <c r="C192" s="187" t="s">
        <v>136</v>
      </c>
      <c r="D192" s="186"/>
      <c r="E192" s="186"/>
      <c r="F192" s="186"/>
      <c r="G192" s="178">
        <f t="shared" si="54"/>
        <v>0</v>
      </c>
      <c r="H192" s="201"/>
      <c r="I192" s="201"/>
    </row>
    <row r="193" spans="1:23" ht="20.25" hidden="1" customHeight="1">
      <c r="A193" s="112"/>
      <c r="B193" s="112"/>
      <c r="C193" s="180" t="s">
        <v>121</v>
      </c>
      <c r="D193" s="179">
        <f>SUM(D186:D192)</f>
        <v>0</v>
      </c>
      <c r="E193" s="179">
        <f>SUM(E186:E192)</f>
        <v>0</v>
      </c>
      <c r="F193" s="179">
        <f>SUM(F186:F192)</f>
        <v>0</v>
      </c>
      <c r="G193" s="178">
        <f t="shared" si="54"/>
        <v>0</v>
      </c>
      <c r="H193" s="201"/>
      <c r="I193" s="201"/>
    </row>
    <row r="194" spans="1:23" ht="20.25" customHeight="1">
      <c r="A194" s="112"/>
      <c r="B194" s="112"/>
      <c r="C194" s="112"/>
      <c r="D194" s="173"/>
      <c r="E194" s="173"/>
      <c r="F194" s="173"/>
      <c r="G194" s="112"/>
      <c r="H194" s="112"/>
      <c r="I194" s="112"/>
      <c r="U194" s="301"/>
    </row>
    <row r="195" spans="1:23" ht="20.25" customHeight="1">
      <c r="A195" s="112"/>
      <c r="B195" s="112"/>
      <c r="C195" s="330" t="s">
        <v>166</v>
      </c>
      <c r="D195" s="330"/>
      <c r="E195" s="330"/>
      <c r="F195" s="330"/>
      <c r="G195" s="330"/>
      <c r="H195" s="330"/>
      <c r="I195" s="330"/>
      <c r="J195" s="330"/>
      <c r="K195" s="330"/>
      <c r="L195" s="330"/>
      <c r="M195" s="330"/>
      <c r="N195" s="330"/>
      <c r="O195" s="330"/>
      <c r="P195" s="330"/>
      <c r="Q195" s="330"/>
      <c r="R195" s="330"/>
      <c r="S195" s="330"/>
      <c r="T195" s="330"/>
      <c r="U195" s="330"/>
    </row>
    <row r="196" spans="1:23" ht="20.25" customHeight="1" thickBot="1">
      <c r="A196" s="112"/>
      <c r="B196" s="112"/>
      <c r="C196" s="240" t="s">
        <v>167</v>
      </c>
      <c r="D196" s="239">
        <v>381800</v>
      </c>
      <c r="E196" s="239">
        <v>313495</v>
      </c>
      <c r="F196" s="239">
        <v>100730</v>
      </c>
      <c r="G196" s="110">
        <f t="shared" ref="G196:G204" si="55">SUM(D196:F196)</f>
        <v>796025</v>
      </c>
      <c r="H196" s="110">
        <f>H204</f>
        <v>130000</v>
      </c>
      <c r="I196" s="110">
        <f>I204</f>
        <v>130000</v>
      </c>
      <c r="J196" s="238">
        <f>J204</f>
        <v>639581</v>
      </c>
      <c r="K196" s="237">
        <f>+K204</f>
        <v>400000</v>
      </c>
      <c r="L196" s="237">
        <f>+L204</f>
        <v>639581</v>
      </c>
      <c r="M196" s="237">
        <f>M204</f>
        <v>400000</v>
      </c>
      <c r="N196" s="236">
        <f>+N204</f>
        <v>0</v>
      </c>
      <c r="O196" s="236">
        <f>+O204</f>
        <v>0</v>
      </c>
      <c r="P196" s="236">
        <v>76485</v>
      </c>
      <c r="Q196" s="235">
        <f>+Q204</f>
        <v>1039581</v>
      </c>
      <c r="R196" s="238">
        <f>+R204</f>
        <v>335490</v>
      </c>
      <c r="S196" s="237">
        <f t="shared" ref="S196:T196" si="56">+S204</f>
        <v>430758.94</v>
      </c>
      <c r="T196" s="236">
        <f t="shared" si="56"/>
        <v>0</v>
      </c>
      <c r="U196" s="272">
        <f>+U204</f>
        <v>766248.94000000006</v>
      </c>
      <c r="V196" s="318">
        <v>377465.22000000003</v>
      </c>
    </row>
    <row r="197" spans="1:23" ht="20.25" customHeight="1">
      <c r="A197" s="112"/>
      <c r="B197" s="112"/>
      <c r="C197" s="193" t="s">
        <v>130</v>
      </c>
      <c r="D197" s="186">
        <v>194000</v>
      </c>
      <c r="E197" s="186">
        <v>206160</v>
      </c>
      <c r="F197" s="186">
        <v>79730</v>
      </c>
      <c r="G197" s="192">
        <f t="shared" si="55"/>
        <v>479890</v>
      </c>
      <c r="H197" s="191">
        <v>0</v>
      </c>
      <c r="I197" s="191">
        <v>114000</v>
      </c>
      <c r="J197" s="184">
        <v>50000</v>
      </c>
      <c r="K197" s="183"/>
      <c r="L197" s="183">
        <v>50000</v>
      </c>
      <c r="M197" s="182"/>
      <c r="N197" s="181"/>
      <c r="O197" s="181"/>
      <c r="P197" s="148"/>
      <c r="Q197" s="174">
        <f t="shared" ref="Q197:Q203" si="57">+J197+M197+P197</f>
        <v>50000</v>
      </c>
      <c r="R197" s="152">
        <v>12464.17</v>
      </c>
      <c r="S197" s="322">
        <v>269240.3</v>
      </c>
      <c r="T197" s="149"/>
      <c r="U197" s="272">
        <f>+R197+S197+T197</f>
        <v>281704.46999999997</v>
      </c>
    </row>
    <row r="198" spans="1:23" ht="20.25" customHeight="1">
      <c r="A198" s="112"/>
      <c r="B198" s="112"/>
      <c r="C198" s="187" t="s">
        <v>131</v>
      </c>
      <c r="D198" s="186">
        <v>15500</v>
      </c>
      <c r="E198" s="190">
        <v>0</v>
      </c>
      <c r="F198" s="190">
        <v>6000</v>
      </c>
      <c r="G198" s="178">
        <f t="shared" si="55"/>
        <v>21500</v>
      </c>
      <c r="H198" s="185">
        <v>0</v>
      </c>
      <c r="I198" s="185">
        <v>0</v>
      </c>
      <c r="J198" s="184">
        <v>25830</v>
      </c>
      <c r="K198" s="183">
        <v>30000</v>
      </c>
      <c r="L198" s="183">
        <v>25830</v>
      </c>
      <c r="M198" s="182">
        <v>30000</v>
      </c>
      <c r="N198" s="181"/>
      <c r="O198" s="181"/>
      <c r="P198" s="148"/>
      <c r="Q198" s="174">
        <f t="shared" si="57"/>
        <v>55830</v>
      </c>
      <c r="R198" s="152">
        <v>25000</v>
      </c>
      <c r="S198" s="322">
        <v>38054.04</v>
      </c>
      <c r="T198" s="149"/>
      <c r="U198" s="272">
        <f t="shared" ref="U198:U203" si="58">+R198+S198+T198</f>
        <v>63054.04</v>
      </c>
      <c r="W198" s="299"/>
    </row>
    <row r="199" spans="1:23" ht="20.25" customHeight="1">
      <c r="A199" s="112"/>
      <c r="B199" s="112"/>
      <c r="C199" s="187" t="s">
        <v>132</v>
      </c>
      <c r="D199" s="186">
        <v>17300</v>
      </c>
      <c r="E199" s="186">
        <v>0</v>
      </c>
      <c r="F199" s="186">
        <v>0</v>
      </c>
      <c r="G199" s="178">
        <f t="shared" si="55"/>
        <v>17300</v>
      </c>
      <c r="H199" s="185">
        <v>1500</v>
      </c>
      <c r="I199" s="185"/>
      <c r="J199" s="184">
        <v>87285</v>
      </c>
      <c r="K199" s="183">
        <v>120000</v>
      </c>
      <c r="L199" s="183">
        <v>87285</v>
      </c>
      <c r="M199" s="182">
        <v>120000</v>
      </c>
      <c r="N199" s="181"/>
      <c r="O199" s="181"/>
      <c r="P199" s="148"/>
      <c r="Q199" s="174">
        <f t="shared" si="57"/>
        <v>207285</v>
      </c>
      <c r="R199" s="152">
        <v>79603.990000000005</v>
      </c>
      <c r="S199" s="150">
        <v>78062.28</v>
      </c>
      <c r="T199" s="149"/>
      <c r="U199" s="272">
        <f t="shared" si="58"/>
        <v>157666.27000000002</v>
      </c>
      <c r="V199" s="317">
        <f>+V196-R204</f>
        <v>41975.22000000003</v>
      </c>
    </row>
    <row r="200" spans="1:23" ht="20.25" customHeight="1">
      <c r="A200" s="112"/>
      <c r="B200" s="112"/>
      <c r="C200" s="189" t="s">
        <v>133</v>
      </c>
      <c r="D200" s="186">
        <v>55000</v>
      </c>
      <c r="E200" s="186">
        <v>65000</v>
      </c>
      <c r="F200" s="186">
        <v>0</v>
      </c>
      <c r="G200" s="178">
        <f t="shared" si="55"/>
        <v>120000</v>
      </c>
      <c r="H200" s="185">
        <v>100700</v>
      </c>
      <c r="I200" s="185">
        <v>0</v>
      </c>
      <c r="J200" s="184">
        <v>286691</v>
      </c>
      <c r="K200" s="183">
        <v>125000</v>
      </c>
      <c r="L200" s="182">
        <v>286691</v>
      </c>
      <c r="M200" s="182">
        <v>125000</v>
      </c>
      <c r="N200" s="181"/>
      <c r="O200" s="181"/>
      <c r="P200" s="148"/>
      <c r="Q200" s="174">
        <f t="shared" si="57"/>
        <v>411691</v>
      </c>
      <c r="R200" s="152">
        <v>138187.88</v>
      </c>
      <c r="S200" s="150">
        <v>1951.72</v>
      </c>
      <c r="T200" s="149"/>
      <c r="U200" s="272">
        <f>+R200+S200+T200</f>
        <v>140139.6</v>
      </c>
      <c r="V200" s="317"/>
    </row>
    <row r="201" spans="1:23" ht="20.25" customHeight="1">
      <c r="A201" s="112">
        <v>29245</v>
      </c>
      <c r="B201" s="112"/>
      <c r="C201" s="187" t="s">
        <v>134</v>
      </c>
      <c r="D201" s="186">
        <v>50000</v>
      </c>
      <c r="E201" s="186">
        <v>42335</v>
      </c>
      <c r="F201" s="186">
        <v>15000</v>
      </c>
      <c r="G201" s="178">
        <f t="shared" si="55"/>
        <v>107335</v>
      </c>
      <c r="H201" s="185">
        <v>0</v>
      </c>
      <c r="I201" s="185">
        <v>10864</v>
      </c>
      <c r="J201" s="184">
        <v>39132</v>
      </c>
      <c r="K201" s="183">
        <v>25000</v>
      </c>
      <c r="L201" s="188">
        <v>39132</v>
      </c>
      <c r="M201" s="182">
        <v>25000</v>
      </c>
      <c r="N201" s="181"/>
      <c r="O201" s="181"/>
      <c r="P201" s="148"/>
      <c r="Q201" s="174">
        <f t="shared" si="57"/>
        <v>64132</v>
      </c>
      <c r="R201" s="152">
        <v>29020.48</v>
      </c>
      <c r="S201" s="150">
        <v>13918.32</v>
      </c>
      <c r="T201" s="149"/>
      <c r="U201" s="272">
        <f t="shared" si="58"/>
        <v>42938.8</v>
      </c>
    </row>
    <row r="202" spans="1:23" ht="20.25" customHeight="1">
      <c r="A202" s="112"/>
      <c r="B202" s="112"/>
      <c r="C202" s="187" t="s">
        <v>135</v>
      </c>
      <c r="D202" s="186">
        <v>0</v>
      </c>
      <c r="E202" s="186">
        <v>0</v>
      </c>
      <c r="F202" s="186">
        <v>0</v>
      </c>
      <c r="G202" s="178">
        <f t="shared" si="55"/>
        <v>0</v>
      </c>
      <c r="H202" s="185">
        <v>27800</v>
      </c>
      <c r="I202" s="185">
        <v>0</v>
      </c>
      <c r="J202" s="184">
        <v>20000</v>
      </c>
      <c r="K202" s="183"/>
      <c r="L202" s="188">
        <v>20000</v>
      </c>
      <c r="M202" s="182"/>
      <c r="N202" s="181"/>
      <c r="O202" s="181"/>
      <c r="P202" s="148"/>
      <c r="Q202" s="174">
        <f t="shared" si="57"/>
        <v>20000</v>
      </c>
      <c r="R202" s="152">
        <v>20000</v>
      </c>
      <c r="S202" s="150">
        <v>3939.26</v>
      </c>
      <c r="T202" s="149"/>
      <c r="U202" s="272">
        <f t="shared" si="58"/>
        <v>23939.260000000002</v>
      </c>
    </row>
    <row r="203" spans="1:23" ht="20.25" customHeight="1">
      <c r="A203" s="112"/>
      <c r="B203" s="112"/>
      <c r="C203" s="187" t="s">
        <v>136</v>
      </c>
      <c r="D203" s="186">
        <v>50000</v>
      </c>
      <c r="E203" s="186">
        <v>0</v>
      </c>
      <c r="F203" s="186">
        <v>0</v>
      </c>
      <c r="G203" s="178">
        <f t="shared" si="55"/>
        <v>50000</v>
      </c>
      <c r="H203" s="185"/>
      <c r="I203" s="185">
        <v>5136</v>
      </c>
      <c r="J203" s="184">
        <v>130643</v>
      </c>
      <c r="K203" s="183">
        <v>100000</v>
      </c>
      <c r="L203" s="183">
        <v>130643</v>
      </c>
      <c r="M203" s="182">
        <v>100000</v>
      </c>
      <c r="N203" s="181"/>
      <c r="O203" s="181"/>
      <c r="P203" s="148"/>
      <c r="Q203" s="174">
        <f t="shared" si="57"/>
        <v>230643</v>
      </c>
      <c r="R203" s="152">
        <v>31213.480000000003</v>
      </c>
      <c r="S203" s="150">
        <v>25593.02</v>
      </c>
      <c r="T203" s="149"/>
      <c r="U203" s="272">
        <f t="shared" si="58"/>
        <v>56806.5</v>
      </c>
    </row>
    <row r="204" spans="1:23" ht="20.25" customHeight="1" thickBot="1">
      <c r="A204" s="112"/>
      <c r="B204" s="112"/>
      <c r="C204" s="180" t="s">
        <v>121</v>
      </c>
      <c r="D204" s="179">
        <f>SUM(D197:D203)</f>
        <v>381800</v>
      </c>
      <c r="E204" s="179">
        <f>SUM(E197:E203)</f>
        <v>313495</v>
      </c>
      <c r="F204" s="179">
        <f>SUM(F197:F203)</f>
        <v>100730</v>
      </c>
      <c r="G204" s="178">
        <f t="shared" si="55"/>
        <v>796025</v>
      </c>
      <c r="H204" s="178">
        <f t="shared" ref="H204:Q204" si="59">SUM(H197:H203)</f>
        <v>130000</v>
      </c>
      <c r="I204" s="178">
        <f t="shared" si="59"/>
        <v>130000</v>
      </c>
      <c r="J204" s="177">
        <f t="shared" si="59"/>
        <v>639581</v>
      </c>
      <c r="K204" s="176">
        <f t="shared" si="59"/>
        <v>400000</v>
      </c>
      <c r="L204" s="176">
        <f t="shared" si="59"/>
        <v>639581</v>
      </c>
      <c r="M204" s="176">
        <f t="shared" si="59"/>
        <v>400000</v>
      </c>
      <c r="N204" s="175">
        <f t="shared" si="59"/>
        <v>0</v>
      </c>
      <c r="O204" s="175">
        <f t="shared" si="59"/>
        <v>0</v>
      </c>
      <c r="P204" s="175">
        <f t="shared" si="59"/>
        <v>0</v>
      </c>
      <c r="Q204" s="174">
        <f t="shared" si="59"/>
        <v>1039581</v>
      </c>
      <c r="R204" s="238">
        <f>SUM(R197:R203)</f>
        <v>335490</v>
      </c>
      <c r="S204" s="237">
        <f>SUM(S197:S203)</f>
        <v>430758.94</v>
      </c>
      <c r="T204" s="236">
        <f t="shared" ref="T204" si="60">SUM(T197:T203)</f>
        <v>0</v>
      </c>
      <c r="U204" s="272">
        <f>SUM(U197:U203)</f>
        <v>766248.94000000006</v>
      </c>
    </row>
    <row r="205" spans="1:23" ht="20.25" customHeight="1" thickBot="1">
      <c r="A205" s="112"/>
      <c r="B205" s="112"/>
      <c r="C205" s="112"/>
      <c r="D205" s="173"/>
      <c r="E205" s="173"/>
      <c r="F205" s="173"/>
      <c r="G205" s="112"/>
      <c r="H205" s="112"/>
      <c r="I205" s="112"/>
    </row>
    <row r="206" spans="1:23" ht="20.25" customHeight="1" thickBot="1">
      <c r="A206" s="112"/>
      <c r="B206" s="112"/>
      <c r="C206" s="172"/>
      <c r="D206" s="385" t="s">
        <v>115</v>
      </c>
      <c r="E206" s="386"/>
      <c r="F206" s="386"/>
      <c r="G206" s="387"/>
      <c r="H206" s="171"/>
      <c r="I206" s="171"/>
      <c r="J206" s="334" t="s">
        <v>116</v>
      </c>
      <c r="K206" s="335"/>
      <c r="L206" s="335"/>
      <c r="M206" s="335"/>
      <c r="N206" s="335"/>
      <c r="O206" s="335"/>
      <c r="P206" s="335"/>
      <c r="Q206" s="336"/>
      <c r="R206" s="337" t="s">
        <v>117</v>
      </c>
      <c r="S206" s="337"/>
      <c r="T206" s="337"/>
      <c r="U206" s="337"/>
    </row>
    <row r="207" spans="1:23" ht="41.25" customHeight="1">
      <c r="A207" s="112"/>
      <c r="B207" s="112"/>
      <c r="C207" s="170"/>
      <c r="D207" s="169" t="s">
        <v>101</v>
      </c>
      <c r="E207" s="169" t="s">
        <v>102</v>
      </c>
      <c r="F207" s="169" t="s">
        <v>103</v>
      </c>
      <c r="G207" s="338" t="s">
        <v>100</v>
      </c>
      <c r="H207" s="340" t="s">
        <v>168</v>
      </c>
      <c r="I207" s="341"/>
      <c r="J207" s="342"/>
      <c r="K207" s="343" t="s">
        <v>119</v>
      </c>
      <c r="L207" s="344"/>
      <c r="M207" s="345"/>
      <c r="N207" s="346" t="s">
        <v>120</v>
      </c>
      <c r="O207" s="347"/>
      <c r="P207" s="348"/>
      <c r="Q207" s="383" t="s">
        <v>169</v>
      </c>
      <c r="R207" s="165" t="s">
        <v>101</v>
      </c>
      <c r="S207" s="243" t="s">
        <v>102</v>
      </c>
      <c r="T207" s="242" t="s">
        <v>103</v>
      </c>
      <c r="U207" s="325" t="s">
        <v>170</v>
      </c>
    </row>
    <row r="208" spans="1:23" ht="20.25" customHeight="1">
      <c r="A208" s="112"/>
      <c r="B208" s="112"/>
      <c r="C208" s="168"/>
      <c r="D208" s="167" t="s">
        <v>123</v>
      </c>
      <c r="E208" s="167" t="s">
        <v>15</v>
      </c>
      <c r="F208" s="167" t="s">
        <v>124</v>
      </c>
      <c r="G208" s="339"/>
      <c r="H208" s="166" t="s">
        <v>125</v>
      </c>
      <c r="I208" s="165" t="s">
        <v>126</v>
      </c>
      <c r="J208" s="164" t="s">
        <v>14</v>
      </c>
      <c r="K208" s="163" t="s">
        <v>125</v>
      </c>
      <c r="L208" s="162" t="s">
        <v>126</v>
      </c>
      <c r="M208" s="161" t="s">
        <v>15</v>
      </c>
      <c r="N208" s="160" t="s">
        <v>125</v>
      </c>
      <c r="O208" s="159" t="s">
        <v>126</v>
      </c>
      <c r="P208" s="158"/>
      <c r="Q208" s="384"/>
      <c r="R208" s="165" t="s">
        <v>14</v>
      </c>
      <c r="S208" s="243" t="s">
        <v>15</v>
      </c>
      <c r="T208" s="242"/>
      <c r="U208" s="326"/>
    </row>
    <row r="209" spans="1:24" ht="20.25" customHeight="1">
      <c r="A209" s="112"/>
      <c r="B209" s="112"/>
      <c r="C209" s="157" t="s">
        <v>130</v>
      </c>
      <c r="D209" s="154">
        <f>SUM(D186,D175,D164,D153,D141,D130,D119,D108,D96,D85,D74,D63,D51,D40,D29,D18,D197)</f>
        <v>194000</v>
      </c>
      <c r="E209" s="154">
        <f t="shared" ref="D209:F215" si="61">SUM(E186,E175,E164,E153,E141,E130,E119,E108,E96,E85,E74,E63,E51,E40,E29,E18,E197)</f>
        <v>206160</v>
      </c>
      <c r="F209" s="154">
        <f>SUM(F186,F175,F164,F153,F141,F130,F119,F108,F96,F85,F74,F63,F51,F40,F29,F18,F197)</f>
        <v>80730</v>
      </c>
      <c r="G209" s="156">
        <f t="shared" ref="G209:G216" si="62">SUM(D209:F209)</f>
        <v>480890</v>
      </c>
      <c r="H209" s="153">
        <v>0</v>
      </c>
      <c r="I209" s="152">
        <v>114000</v>
      </c>
      <c r="J209" s="142">
        <f>SUM(J186,J175,J164,J153,J141,J130,J119,J108,J96,J85,J74,J63,J51,J40,J29,J18,J197)</f>
        <v>50000</v>
      </c>
      <c r="K209" s="151">
        <f t="shared" ref="K209" si="63">SUM(K186,K175,K164,K153,K141,K130,K119,K108,K96,K85,K74,K63,K51,K40,K29,K18,K197)</f>
        <v>0</v>
      </c>
      <c r="L209" s="150">
        <f>SUM(L186,L175,L164,L153,L141,L130,L119,L108,L96,L85,L74,L63,L51,L40,L29,L18,L197)</f>
        <v>200000</v>
      </c>
      <c r="M209" s="139">
        <f t="shared" ref="M209" si="64">SUM(M186,M175,M164,M153,M141,M130,M119,M108,M96,M85,M74,M63,M51,M40,M29,M18,M197)</f>
        <v>0</v>
      </c>
      <c r="N209" s="149"/>
      <c r="O209" s="148">
        <v>54115.83</v>
      </c>
      <c r="P209" s="136">
        <f>SUM(P186,P175,P164,P153,P141,P130,P119,P108,P96,P85,P74,P63,P51,P40,P29,P18,P197)</f>
        <v>0</v>
      </c>
      <c r="Q209" s="269">
        <f t="shared" ref="Q209:Q215" si="65">J209+M209+P209</f>
        <v>50000</v>
      </c>
      <c r="R209" s="152">
        <f>SUM(R186,R175,R164,R153,R141,R130,R119,R108,R96,R85,R74,R63,R51,R40,R29,R18,R197)</f>
        <v>12464.17</v>
      </c>
      <c r="S209" s="323">
        <f>SUM(S186,S175,S164,S153,S141,S130,S119,S108,S96,S85,S74,S63,S51,S40,S29,S18,S197)</f>
        <v>269240.3</v>
      </c>
      <c r="T209" s="152">
        <f>SUM(T186,T175,T164,T153,T141,T130,T119,T108,T96,T85,T74,T63,T51,T40,T29,T18,T197)</f>
        <v>0</v>
      </c>
      <c r="U209" s="213">
        <f t="shared" ref="R209:U210" si="66">SUM(U186,U175,U164,U153,U141,U130,U119,U108,U96,U85,U74,U63,U51,U40,U29,U18,U197)</f>
        <v>281704.46999999997</v>
      </c>
      <c r="V209" s="317">
        <v>156404.07</v>
      </c>
      <c r="W209" s="299">
        <f>+J209-V209</f>
        <v>-106404.07</v>
      </c>
      <c r="X209" s="299">
        <f>J209-R209</f>
        <v>37535.83</v>
      </c>
    </row>
    <row r="210" spans="1:24" ht="20.25" customHeight="1">
      <c r="A210" s="112"/>
      <c r="B210" s="112"/>
      <c r="C210" s="147" t="s">
        <v>131</v>
      </c>
      <c r="D210" s="154">
        <f t="shared" si="61"/>
        <v>100500</v>
      </c>
      <c r="E210" s="154">
        <f t="shared" si="61"/>
        <v>29800</v>
      </c>
      <c r="F210" s="154">
        <f t="shared" si="61"/>
        <v>9000</v>
      </c>
      <c r="G210" s="145">
        <f t="shared" si="62"/>
        <v>139300</v>
      </c>
      <c r="H210" s="153">
        <v>0</v>
      </c>
      <c r="I210" s="152">
        <v>85000</v>
      </c>
      <c r="J210" s="142">
        <f t="shared" ref="J210" si="67">SUM(J187,J176,J165,J154,J142,J131,J120,J109,J97,J86,J75,J64,J52,J41,J30,J19,J198)</f>
        <v>49737</v>
      </c>
      <c r="K210" s="151">
        <f>SUM(K187,K176,K165,K154,K142,K131,K120,K109,K97,K86,K75,K64,K52,K41,K30,K19,K198)</f>
        <v>82000</v>
      </c>
      <c r="L210" s="150">
        <f t="shared" ref="L210" si="68">SUM(L187,L176,L165,L154,L142,L131,L120,L109,L97,L86,L75,L64,L52,L41,L30,L19,L198)</f>
        <v>224087.21</v>
      </c>
      <c r="M210" s="139">
        <f>SUM(M187,M176,M165,M154,M142,M131,M120,M109,M97,M86,M75,M64,M52,M41,M30,M19,M198)</f>
        <v>82000</v>
      </c>
      <c r="N210" s="149">
        <v>110545.33</v>
      </c>
      <c r="O210" s="148"/>
      <c r="P210" s="136">
        <f t="shared" ref="P210" si="69">SUM(P187,P176,P165,P154,P142,P131,P120,P109,P97,P86,P75,P64,P52,P41,P30,P19,P198)</f>
        <v>0</v>
      </c>
      <c r="Q210" s="269">
        <f t="shared" si="65"/>
        <v>131737</v>
      </c>
      <c r="R210" s="152">
        <f t="shared" si="66"/>
        <v>31489.47</v>
      </c>
      <c r="S210" s="323">
        <f>SUM(S187,S176,S165,S154,S142,S131,S120,S109,S97,S86,S75,S64,S52,S41,S30,S19,S198)</f>
        <v>82988.38</v>
      </c>
      <c r="T210" s="152">
        <f t="shared" si="66"/>
        <v>0</v>
      </c>
      <c r="U210" s="213">
        <f t="shared" si="66"/>
        <v>114477.85</v>
      </c>
      <c r="V210" s="317">
        <v>9177.49</v>
      </c>
      <c r="W210" s="299">
        <f t="shared" ref="W210:W215" si="70">+J210-V210</f>
        <v>40559.51</v>
      </c>
      <c r="X210" s="299">
        <f t="shared" ref="X210:X215" si="71">J210-R210</f>
        <v>18247.53</v>
      </c>
    </row>
    <row r="211" spans="1:24" ht="32.25" customHeight="1">
      <c r="A211" s="112" t="s">
        <v>171</v>
      </c>
      <c r="B211" s="112"/>
      <c r="C211" s="147" t="s">
        <v>132</v>
      </c>
      <c r="D211" s="154">
        <f t="shared" si="61"/>
        <v>457300</v>
      </c>
      <c r="E211" s="154">
        <f t="shared" si="61"/>
        <v>594800</v>
      </c>
      <c r="F211" s="154">
        <f t="shared" si="61"/>
        <v>100000</v>
      </c>
      <c r="G211" s="145">
        <f t="shared" si="62"/>
        <v>1152100</v>
      </c>
      <c r="H211" s="153">
        <v>0</v>
      </c>
      <c r="I211" s="152">
        <v>324300</v>
      </c>
      <c r="J211" s="142">
        <f t="shared" ref="J211:L214" si="72">SUM(J188,J177,J166,J155,J143,J132,J121,J110,J98,J87,J76,J65,J53,J42,J31,J20,J199)</f>
        <v>336444</v>
      </c>
      <c r="K211" s="151">
        <f t="shared" si="72"/>
        <v>280000</v>
      </c>
      <c r="L211" s="150">
        <f t="shared" si="72"/>
        <v>772439</v>
      </c>
      <c r="M211" s="139">
        <f t="shared" ref="M211:M214" si="73">SUM(M188,M177,M166,M155,M143,M132,M121,M110,M98,M87,M76,M65,M53,M42,M31,M20,M199)</f>
        <v>280000</v>
      </c>
      <c r="N211" s="149"/>
      <c r="O211" s="148">
        <v>16784.3</v>
      </c>
      <c r="P211" s="136">
        <f t="shared" ref="P211" si="74">SUM(P188,P177,P166,P155,P143,P132,P121,P110,P98,P87,P76,P65,P53,P42,P31,P20,P199)</f>
        <v>0</v>
      </c>
      <c r="Q211" s="269">
        <f t="shared" si="65"/>
        <v>616444</v>
      </c>
      <c r="R211" s="152">
        <f t="shared" ref="R211:T211" si="75">SUM(R188,R177,R166,R155,R143,R132,R121,R110,R98,R87,R76,R65,R53,R42,R31,R20,R199)</f>
        <v>237601.49</v>
      </c>
      <c r="S211" s="152">
        <f t="shared" ref="S211" si="76">SUM(S188,S177,S166,S155,S143,S132,S121,S110,S98,S87,S76,S65,S53,S42,S31,S20,S199)</f>
        <v>78062.28</v>
      </c>
      <c r="T211" s="152">
        <f t="shared" si="75"/>
        <v>0</v>
      </c>
      <c r="U211" s="213">
        <f>SUM(U188,U177,U166,U155,U143,U132,U121,U110,U98,U87,U76,U65,U53,U42,U31,U20,U199)</f>
        <v>315663.77</v>
      </c>
      <c r="V211" s="317">
        <v>72178.789999999994</v>
      </c>
      <c r="W211" s="299">
        <f t="shared" si="70"/>
        <v>264265.21000000002</v>
      </c>
      <c r="X211" s="299">
        <f>J211-R211</f>
        <v>98842.510000000009</v>
      </c>
    </row>
    <row r="212" spans="1:24" ht="20.25" customHeight="1">
      <c r="A212" s="112" t="s">
        <v>172</v>
      </c>
      <c r="B212" s="112"/>
      <c r="C212" s="155" t="s">
        <v>133</v>
      </c>
      <c r="D212" s="154">
        <f t="shared" si="61"/>
        <v>655000</v>
      </c>
      <c r="E212" s="154">
        <f t="shared" si="61"/>
        <v>269400</v>
      </c>
      <c r="F212" s="154">
        <f t="shared" si="61"/>
        <v>110000</v>
      </c>
      <c r="G212" s="145">
        <f t="shared" si="62"/>
        <v>1034400</v>
      </c>
      <c r="H212" s="153">
        <v>0</v>
      </c>
      <c r="I212" s="152">
        <v>113300</v>
      </c>
      <c r="J212" s="142">
        <f t="shared" ref="J212" si="77">SUM(J189,J178,J167,J156,J144,J133,J122,J111,J99,J88,J77,J66,J54,J43,J32,J21,J200)</f>
        <v>715471</v>
      </c>
      <c r="K212" s="151">
        <f t="shared" si="72"/>
        <v>999554</v>
      </c>
      <c r="L212" s="150">
        <f t="shared" si="72"/>
        <v>523257</v>
      </c>
      <c r="M212" s="139">
        <f t="shared" si="73"/>
        <v>519954</v>
      </c>
      <c r="N212" s="149"/>
      <c r="O212" s="148">
        <v>61500.43</v>
      </c>
      <c r="P212" s="136">
        <f t="shared" ref="P212" si="78">SUM(P189,P178,P167,P156,P144,P133,P122,P111,P99,P88,P77,P66,P54,P43,P32,P21,P200)</f>
        <v>0</v>
      </c>
      <c r="Q212" s="269">
        <f t="shared" si="65"/>
        <v>1235425</v>
      </c>
      <c r="R212" s="152">
        <f t="shared" ref="R212:T212" si="79">SUM(R189,R178,R167,R156,R144,R133,R122,R111,R99,R88,R77,R66,R54,R43,R32,R21,R200)</f>
        <v>357984.19</v>
      </c>
      <c r="S212" s="152">
        <f t="shared" ref="S212" si="80">SUM(S189,S178,S167,S156,S144,S133,S122,S111,S99,S88,S77,S66,S54,S43,S32,S21,S200)</f>
        <v>34051.68</v>
      </c>
      <c r="T212" s="152">
        <f t="shared" si="79"/>
        <v>0</v>
      </c>
      <c r="U212" s="213">
        <f>SUM(U189,U178,U167,U156,U144,U133,U122,U111,U99,U88,U77,U66,U54,U43,U32,U21,U200)</f>
        <v>392035.87</v>
      </c>
      <c r="V212" s="320">
        <v>253168.99</v>
      </c>
      <c r="W212" s="299">
        <f t="shared" si="70"/>
        <v>462302.01</v>
      </c>
      <c r="X212" s="299">
        <f t="shared" si="71"/>
        <v>357486.81</v>
      </c>
    </row>
    <row r="213" spans="1:24" ht="20.25" customHeight="1">
      <c r="A213" s="112"/>
      <c r="B213" s="112"/>
      <c r="C213" s="147" t="s">
        <v>134</v>
      </c>
      <c r="D213" s="154">
        <f t="shared" si="61"/>
        <v>135000</v>
      </c>
      <c r="E213" s="154">
        <f t="shared" si="61"/>
        <v>42335</v>
      </c>
      <c r="F213" s="154">
        <f t="shared" si="61"/>
        <v>51000</v>
      </c>
      <c r="G213" s="145">
        <f t="shared" si="62"/>
        <v>228335</v>
      </c>
      <c r="H213" s="153"/>
      <c r="I213" s="152">
        <v>7814</v>
      </c>
      <c r="J213" s="142">
        <f t="shared" ref="J213" si="81">SUM(J190,J179,J168,J157,J145,J134,J123,J112,J100,J89,J78,J67,J55,J44,J33,J22,J201)</f>
        <v>170142</v>
      </c>
      <c r="K213" s="151">
        <f t="shared" si="72"/>
        <v>75000</v>
      </c>
      <c r="L213" s="150">
        <f t="shared" si="72"/>
        <v>116880</v>
      </c>
      <c r="M213" s="139">
        <f t="shared" si="73"/>
        <v>68000</v>
      </c>
      <c r="N213" s="149"/>
      <c r="O213" s="148">
        <v>37958.839999999997</v>
      </c>
      <c r="P213" s="136">
        <f t="shared" ref="P213" si="82">SUM(P190,P179,P168,P157,P145,P134,P123,P112,P100,P89,P78,P67,P55,P44,P33,P22,P201)</f>
        <v>0</v>
      </c>
      <c r="Q213" s="269">
        <f t="shared" si="65"/>
        <v>238142</v>
      </c>
      <c r="R213" s="152">
        <f t="shared" ref="R213:U213" si="83">SUM(R190,R179,R168,R157,R145,R134,R123,R112,R100,R89,R78,R67,R55,R44,R33,R22,R201)</f>
        <v>137468.25</v>
      </c>
      <c r="S213" s="323">
        <f t="shared" ref="S213" si="84">SUM(S190,S179,S168,S157,S145,S134,S123,S112,S100,S89,S78,S67,S55,S44,S33,S22,S201)</f>
        <v>71419.259999999995</v>
      </c>
      <c r="T213" s="152">
        <f t="shared" si="83"/>
        <v>0</v>
      </c>
      <c r="U213" s="213">
        <f t="shared" si="83"/>
        <v>208887.51</v>
      </c>
      <c r="V213" s="317">
        <v>179987.14</v>
      </c>
      <c r="W213" s="299">
        <f t="shared" si="70"/>
        <v>-9845.140000000014</v>
      </c>
      <c r="X213" s="299">
        <f t="shared" si="71"/>
        <v>32673.75</v>
      </c>
    </row>
    <row r="214" spans="1:24" ht="20.25" customHeight="1">
      <c r="A214" s="112"/>
      <c r="B214" s="112"/>
      <c r="C214" s="147" t="s">
        <v>135</v>
      </c>
      <c r="D214" s="154">
        <f t="shared" si="61"/>
        <v>110000</v>
      </c>
      <c r="E214" s="154">
        <f t="shared" si="61"/>
        <v>10000</v>
      </c>
      <c r="F214" s="154">
        <f t="shared" si="61"/>
        <v>0</v>
      </c>
      <c r="G214" s="145">
        <f t="shared" si="62"/>
        <v>120000</v>
      </c>
      <c r="H214" s="153">
        <v>560400</v>
      </c>
      <c r="I214" s="152">
        <v>0</v>
      </c>
      <c r="J214" s="142">
        <f t="shared" ref="J214" si="85">SUM(J191,J180,J169,J158,J146,J135,J124,J113,J101,J90,J79,J68,J56,J45,J34,J23,J202)</f>
        <v>565000</v>
      </c>
      <c r="K214" s="151">
        <f t="shared" si="72"/>
        <v>128457.21</v>
      </c>
      <c r="L214" s="150">
        <f t="shared" si="72"/>
        <v>565000</v>
      </c>
      <c r="M214" s="139">
        <f t="shared" si="73"/>
        <v>128457.21</v>
      </c>
      <c r="N214" s="149"/>
      <c r="O214" s="148"/>
      <c r="P214" s="136">
        <f t="shared" ref="P214" si="86">SUM(P191,P180,P169,P158,P146,P135,P124,P113,P101,P90,P79,P68,P56,P45,P34,P23,P202)</f>
        <v>0</v>
      </c>
      <c r="Q214" s="269">
        <f t="shared" si="65"/>
        <v>693457.21</v>
      </c>
      <c r="R214" s="152">
        <f t="shared" ref="R214:U214" si="87">SUM(R191,R180,R169,R158,R146,R135,R124,R113,R101,R90,R79,R68,R56,R45,R34,R23,R202)</f>
        <v>107926</v>
      </c>
      <c r="S214" s="152">
        <f t="shared" ref="S214" si="88">SUM(S191,S180,S169,S158,S146,S135,S124,S113,S101,S90,S79,S68,S56,S45,S34,S23,S202)</f>
        <v>83506.939999999988</v>
      </c>
      <c r="T214" s="152">
        <f t="shared" si="87"/>
        <v>0</v>
      </c>
      <c r="U214" s="213">
        <f t="shared" si="87"/>
        <v>191432.94000000003</v>
      </c>
      <c r="V214" s="317">
        <v>44540.7</v>
      </c>
      <c r="W214" s="299">
        <f t="shared" si="70"/>
        <v>520459.3</v>
      </c>
      <c r="X214" s="299">
        <f t="shared" si="71"/>
        <v>457074</v>
      </c>
    </row>
    <row r="215" spans="1:24" ht="36.75" customHeight="1">
      <c r="A215" s="112"/>
      <c r="B215" s="112"/>
      <c r="C215" s="147" t="s">
        <v>136</v>
      </c>
      <c r="D215" s="146">
        <f t="shared" si="61"/>
        <v>85000</v>
      </c>
      <c r="E215" s="146">
        <f t="shared" si="61"/>
        <v>51000</v>
      </c>
      <c r="F215" s="146">
        <f t="shared" si="61"/>
        <v>0</v>
      </c>
      <c r="G215" s="145">
        <f t="shared" si="62"/>
        <v>136000</v>
      </c>
      <c r="H215" s="144">
        <v>84014</v>
      </c>
      <c r="I215" s="143"/>
      <c r="J215" s="142">
        <f>SUM(J192,J181,J170,J159,J147,J136,J125,J114,J102,J91,J80,J69,J57,J46,J35,J24,J203)</f>
        <v>309466</v>
      </c>
      <c r="K215" s="141">
        <f>SUM(K192,K181,K170,K159,K147,K136,K125,K114,K102,K91,K80,K69,K57,K46,K35,K24,K203)</f>
        <v>231500</v>
      </c>
      <c r="L215" s="140">
        <f t="shared" ref="L215" si="89">SUM(L192,L181,L170,L159,L147,L136,L125,L114,L102,L91,L80,L69,L57,L46,L35,L24,L203)</f>
        <v>281393</v>
      </c>
      <c r="M215" s="139">
        <f>SUM(M192,M181,M170,M159,M147,M136,M125,M114,M102,M91,M80,M69,M57,M46,M35,M24,M203)</f>
        <v>230000</v>
      </c>
      <c r="N215" s="138">
        <v>59814.07</v>
      </c>
      <c r="O215" s="137"/>
      <c r="P215" s="136">
        <f t="shared" ref="P215" si="90">SUM(P192,P181,P170,P159,P147,P136,P125,P114,P102,P91,P80,P69,P57,P46,P35,P24,P203)</f>
        <v>0</v>
      </c>
      <c r="Q215" s="269">
        <f t="shared" si="65"/>
        <v>539466</v>
      </c>
      <c r="R215" s="152">
        <f>SUM(R192,R181,R170,R159,R147,R136,R125,R114,R102,R91,R80,R69,R57,R46,R35,R24,R203)</f>
        <v>205143.96000000002</v>
      </c>
      <c r="S215" s="152">
        <f>SUM(S192,S181,S170,S159,S147,S136,S125,S114,S102,S91,S80,S69,S57,S46,S35,S24,S203)</f>
        <v>52009.91</v>
      </c>
      <c r="T215" s="152">
        <f t="shared" ref="T215:U215" si="91">SUM(T192,T181,T170,T159,T147,T136,T125,T114,T102,T91,T80,T69,T57,T46,T35,T24,T203)</f>
        <v>0</v>
      </c>
      <c r="U215" s="213">
        <f t="shared" si="91"/>
        <v>257153.87</v>
      </c>
      <c r="V215" s="317">
        <v>351142.5</v>
      </c>
      <c r="W215" s="299">
        <f t="shared" si="70"/>
        <v>-41676.5</v>
      </c>
      <c r="X215" s="299">
        <f t="shared" si="71"/>
        <v>104322.03999999998</v>
      </c>
    </row>
    <row r="216" spans="1:24" ht="20.25" customHeight="1">
      <c r="A216" s="112"/>
      <c r="B216" s="112"/>
      <c r="C216" s="124" t="s">
        <v>104</v>
      </c>
      <c r="D216" s="135">
        <f>SUM(D209:D215)</f>
        <v>1736800</v>
      </c>
      <c r="E216" s="135">
        <f>SUM(E209:E215)</f>
        <v>1203495</v>
      </c>
      <c r="F216" s="135">
        <f>SUM(F209:F215)</f>
        <v>350730</v>
      </c>
      <c r="G216" s="134">
        <f t="shared" si="62"/>
        <v>3291025</v>
      </c>
      <c r="H216" s="133">
        <f t="shared" ref="H216:Q216" si="92">SUM(H209:H215)</f>
        <v>644414</v>
      </c>
      <c r="I216" s="132">
        <f t="shared" si="92"/>
        <v>644414</v>
      </c>
      <c r="J216" s="131">
        <f>SUM(J209:J215)</f>
        <v>2196260</v>
      </c>
      <c r="K216" s="130">
        <f>SUM(K209:K215)</f>
        <v>1796511.21</v>
      </c>
      <c r="L216" s="129">
        <f>SUM(L209:L215)</f>
        <v>2683056.21</v>
      </c>
      <c r="M216" s="128">
        <f>SUM(M209:M215)</f>
        <v>1308411.21</v>
      </c>
      <c r="N216" s="127">
        <f t="shared" si="92"/>
        <v>170359.4</v>
      </c>
      <c r="O216" s="126">
        <f t="shared" si="92"/>
        <v>170359.4</v>
      </c>
      <c r="P216" s="125">
        <f>SUM(P209:P215)</f>
        <v>0</v>
      </c>
      <c r="Q216" s="270">
        <f t="shared" si="92"/>
        <v>3504671.21</v>
      </c>
      <c r="R216" s="152">
        <f>SUM(R209:R215)</f>
        <v>1090077.53</v>
      </c>
      <c r="S216" s="152">
        <f>SUM(S209:S215)</f>
        <v>671278.74999999988</v>
      </c>
      <c r="T216" s="152">
        <f>SUM(T209:T215)</f>
        <v>0</v>
      </c>
      <c r="U216" s="213">
        <f>SUM(U209:U215)</f>
        <v>1761356.2799999998</v>
      </c>
      <c r="V216" s="321">
        <f>SUM(V209:V215)</f>
        <v>1066599.68</v>
      </c>
      <c r="W216" s="299"/>
    </row>
    <row r="217" spans="1:24" ht="20.25" customHeight="1" thickBot="1">
      <c r="A217" s="112"/>
      <c r="B217" s="112"/>
      <c r="C217" s="124" t="s">
        <v>105</v>
      </c>
      <c r="D217" s="123">
        <f>D216*0.07</f>
        <v>121576.00000000001</v>
      </c>
      <c r="E217" s="123">
        <f>E216*0.07</f>
        <v>84244.650000000009</v>
      </c>
      <c r="F217" s="123">
        <f>F216*0.07</f>
        <v>24551.100000000002</v>
      </c>
      <c r="G217" s="122">
        <f>G216*0.07</f>
        <v>230371.75000000003</v>
      </c>
      <c r="H217" s="121">
        <v>0</v>
      </c>
      <c r="I217" s="120">
        <v>0</v>
      </c>
      <c r="J217" s="119">
        <v>153738.20000000001</v>
      </c>
      <c r="K217" s="118">
        <v>91588.784700000004</v>
      </c>
      <c r="L217" s="117">
        <v>0</v>
      </c>
      <c r="M217" s="116">
        <f>M216*0.07</f>
        <v>91588.784700000004</v>
      </c>
      <c r="N217" s="115">
        <v>0</v>
      </c>
      <c r="O217" s="114">
        <v>0</v>
      </c>
      <c r="P217" s="113">
        <f>P216*0.07</f>
        <v>0</v>
      </c>
      <c r="Q217" s="269">
        <f>+J217+M217+P217</f>
        <v>245326.98470000003</v>
      </c>
      <c r="R217" s="152">
        <v>59918.219200000007</v>
      </c>
      <c r="S217" s="152">
        <f>S216*0.07</f>
        <v>46989.512499999997</v>
      </c>
      <c r="T217" s="152">
        <v>0</v>
      </c>
      <c r="U217" s="213">
        <f>R217+S217+T217</f>
        <v>106907.7317</v>
      </c>
      <c r="V217" s="317">
        <v>83396.149999999994</v>
      </c>
      <c r="W217" s="299"/>
    </row>
    <row r="218" spans="1:24" ht="20.25" customHeight="1" thickBot="1">
      <c r="A218" s="112"/>
      <c r="B218" s="112"/>
      <c r="C218" s="111" t="s">
        <v>173</v>
      </c>
      <c r="D218" s="110">
        <f>SUM(D216:D217)</f>
        <v>1858376</v>
      </c>
      <c r="E218" s="110">
        <f>SUM(E216:E217)</f>
        <v>1287739.6499999999</v>
      </c>
      <c r="F218" s="110">
        <f>SUM(F216:F217)</f>
        <v>375281.1</v>
      </c>
      <c r="G218" s="108">
        <f>SUM(G216:G217)</f>
        <v>3521396.75</v>
      </c>
      <c r="H218" s="109">
        <v>0</v>
      </c>
      <c r="I218" s="108">
        <v>0</v>
      </c>
      <c r="J218" s="107">
        <f>+J216+J217</f>
        <v>2349998.2000000002</v>
      </c>
      <c r="K218" s="106">
        <v>0</v>
      </c>
      <c r="L218" s="105">
        <v>0</v>
      </c>
      <c r="M218" s="104">
        <f>SUM(M216:M217)</f>
        <v>1399999.9946999999</v>
      </c>
      <c r="N218" s="103">
        <v>0</v>
      </c>
      <c r="O218" s="102">
        <v>0</v>
      </c>
      <c r="P218" s="101">
        <f>SUM(P216:P217)</f>
        <v>0</v>
      </c>
      <c r="Q218" s="271">
        <f>+J218+M218+P218</f>
        <v>3749998.1946999999</v>
      </c>
      <c r="R218" s="152">
        <f>SUM(R216:R217)</f>
        <v>1149995.7492</v>
      </c>
      <c r="S218" s="152">
        <f>SUM(S216:S217)</f>
        <v>718268.26249999984</v>
      </c>
      <c r="T218" s="152">
        <f>SUM(T216:T217)</f>
        <v>0</v>
      </c>
      <c r="U218" s="213">
        <f t="shared" ref="U218" si="93">SUM(U216:U217)</f>
        <v>1868264.0116999997</v>
      </c>
      <c r="V218" s="321">
        <f>SUM(V216:V217)</f>
        <v>1149995.8299999998</v>
      </c>
      <c r="W218" s="299"/>
    </row>
    <row r="220" spans="1:24">
      <c r="L220" s="100"/>
      <c r="P220" s="100"/>
      <c r="U220" s="276"/>
    </row>
    <row r="221" spans="1:24">
      <c r="P221" s="100"/>
      <c r="U221" s="300">
        <f>+S218-'RF par produits'!J78</f>
        <v>0</v>
      </c>
    </row>
    <row r="222" spans="1:24">
      <c r="R222" s="307"/>
      <c r="U222" s="276"/>
    </row>
    <row r="223" spans="1:24">
      <c r="U223" s="276"/>
    </row>
    <row r="224" spans="1:24">
      <c r="U224" s="276"/>
    </row>
    <row r="225" spans="21:21">
      <c r="U225" s="276"/>
    </row>
    <row r="226" spans="21:21">
      <c r="U226" s="276"/>
    </row>
    <row r="227" spans="21:21">
      <c r="U227" s="276"/>
    </row>
    <row r="228" spans="21:21">
      <c r="U228" s="276"/>
    </row>
  </sheetData>
  <mergeCells count="42">
    <mergeCell ref="C94:G94"/>
    <mergeCell ref="Q207:Q208"/>
    <mergeCell ref="C151:G151"/>
    <mergeCell ref="C162:G162"/>
    <mergeCell ref="C173:G173"/>
    <mergeCell ref="C184:G184"/>
    <mergeCell ref="D206:G206"/>
    <mergeCell ref="C16:U16"/>
    <mergeCell ref="B60:U60"/>
    <mergeCell ref="C61:U61"/>
    <mergeCell ref="C72:U72"/>
    <mergeCell ref="C83:U83"/>
    <mergeCell ref="C2:F2"/>
    <mergeCell ref="C5:G5"/>
    <mergeCell ref="C6:G8"/>
    <mergeCell ref="C10:F10"/>
    <mergeCell ref="D12:G12"/>
    <mergeCell ref="H12:Q12"/>
    <mergeCell ref="G13:G14"/>
    <mergeCell ref="H13:J13"/>
    <mergeCell ref="K13:M13"/>
    <mergeCell ref="B15:U15"/>
    <mergeCell ref="U13:U14"/>
    <mergeCell ref="N13:P13"/>
    <mergeCell ref="Q13:Q14"/>
    <mergeCell ref="R12:U12"/>
    <mergeCell ref="U207:U208"/>
    <mergeCell ref="C38:U38"/>
    <mergeCell ref="C27:U27"/>
    <mergeCell ref="B105:U105"/>
    <mergeCell ref="C106:U106"/>
    <mergeCell ref="C49:G49"/>
    <mergeCell ref="J206:Q206"/>
    <mergeCell ref="B150:G150"/>
    <mergeCell ref="C128:U128"/>
    <mergeCell ref="C195:U195"/>
    <mergeCell ref="C117:U117"/>
    <mergeCell ref="R206:U206"/>
    <mergeCell ref="G207:G208"/>
    <mergeCell ref="H207:J207"/>
    <mergeCell ref="K207:M207"/>
    <mergeCell ref="N207:P207"/>
  </mergeCells>
  <conditionalFormatting sqref="G70">
    <cfRule type="cellIs" dxfId="17" priority="15" operator="notEqual">
      <formula>$G$62</formula>
    </cfRule>
  </conditionalFormatting>
  <conditionalFormatting sqref="G25:I25">
    <cfRule type="cellIs" dxfId="16" priority="19" operator="notEqual">
      <formula>$G$17</formula>
    </cfRule>
  </conditionalFormatting>
  <conditionalFormatting sqref="G36:I36">
    <cfRule type="cellIs" dxfId="15" priority="18" operator="notEqual">
      <formula>$G$28</formula>
    </cfRule>
  </conditionalFormatting>
  <conditionalFormatting sqref="G47:I47">
    <cfRule type="cellIs" dxfId="14" priority="17" operator="notEqual">
      <formula>$G$39</formula>
    </cfRule>
  </conditionalFormatting>
  <conditionalFormatting sqref="G58:I58">
    <cfRule type="cellIs" dxfId="13" priority="16" operator="notEqual">
      <formula>$G$50</formula>
    </cfRule>
  </conditionalFormatting>
  <conditionalFormatting sqref="G81:I81">
    <cfRule type="cellIs" dxfId="12" priority="14" operator="notEqual">
      <formula>$G$73</formula>
    </cfRule>
  </conditionalFormatting>
  <conditionalFormatting sqref="G92:I92">
    <cfRule type="cellIs" dxfId="11" priority="13" operator="notEqual">
      <formula>$G$84</formula>
    </cfRule>
  </conditionalFormatting>
  <conditionalFormatting sqref="G103:I103">
    <cfRule type="cellIs" dxfId="10" priority="12" operator="notEqual">
      <formula>$G$95</formula>
    </cfRule>
  </conditionalFormatting>
  <conditionalFormatting sqref="G115:I115">
    <cfRule type="cellIs" dxfId="9" priority="11" operator="notEqual">
      <formula>$G$107</formula>
    </cfRule>
  </conditionalFormatting>
  <conditionalFormatting sqref="G126:I126">
    <cfRule type="cellIs" dxfId="8" priority="10" operator="notEqual">
      <formula>$G$118</formula>
    </cfRule>
  </conditionalFormatting>
  <conditionalFormatting sqref="G137:I137">
    <cfRule type="cellIs" dxfId="7" priority="9" operator="notEqual">
      <formula>$G$129</formula>
    </cfRule>
  </conditionalFormatting>
  <conditionalFormatting sqref="G148:I148">
    <cfRule type="cellIs" dxfId="6" priority="8" operator="notEqual">
      <formula>$G$140</formula>
    </cfRule>
  </conditionalFormatting>
  <conditionalFormatting sqref="G160:I160">
    <cfRule type="cellIs" dxfId="5" priority="7" operator="notEqual">
      <formula>$G$152</formula>
    </cfRule>
  </conditionalFormatting>
  <conditionalFormatting sqref="G171:I171">
    <cfRule type="cellIs" dxfId="4" priority="6" operator="notEqual">
      <formula>$G$163</formula>
    </cfRule>
  </conditionalFormatting>
  <conditionalFormatting sqref="G182:I182">
    <cfRule type="cellIs" dxfId="3" priority="5" operator="notEqual">
      <formula>$G$163</formula>
    </cfRule>
  </conditionalFormatting>
  <conditionalFormatting sqref="G193:I193">
    <cfRule type="cellIs" dxfId="2" priority="4" operator="notEqual">
      <formula>$G$185</formula>
    </cfRule>
  </conditionalFormatting>
  <conditionalFormatting sqref="G204:I204">
    <cfRule type="cellIs" dxfId="1" priority="3" operator="notEqual">
      <formula>$G$196</formula>
    </cfRule>
  </conditionalFormatting>
  <conditionalFormatting sqref="H70:I70">
    <cfRule type="cellIs" dxfId="0" priority="1" operator="notEqual">
      <formula>$G$39</formula>
    </cfRule>
  </conditionalFormatting>
  <dataValidations count="8">
    <dataValidation allowBlank="1" showInputMessage="1" showErrorMessage="1" prompt="Output totals must match the original total from Table 1, and will show as red if not. " sqref="G25:I25" xr:uid="{00000000-0002-0000-0100-000000000000}"/>
    <dataValidation allowBlank="1" showInputMessage="1" showErrorMessage="1" prompt="Includes all related staff and temporary staff costs including base salary, post adjustment and all staff entitlements." sqref="C186 C18 C29 C40 C51 C63 C74 C85 C96 C108 C119 C130 C141 C153 C164 C175 C197 C209" xr:uid="{00000000-0002-0000-0100-000001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7 C19 C30 C41 C52 C64 C75 C86 C97 C109 C120 C131 C142 C154 C165 C176 C198 C210" xr:uid="{00000000-0002-0000-0100-000002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8 C20 C31 C42 C53 C65 C76 C87 C98 C110 C121 C132 C143 C155 C166 C177 C199 C211" xr:uid="{00000000-0002-0000-0100-000003000000}"/>
    <dataValidation allowBlank="1" showInputMessage="1" showErrorMessage="1" prompt="Includes staff and non-staff travel paid for by the organization directly related to a project." sqref="C190 C22 C33 C44 C55 C67 C78 C89 C100 C112 C123 C134 C145 C157 C168 C179 C201 C213" xr:uid="{00000000-0002-0000-0100-000004000000}"/>
    <dataValidation allowBlank="1" showInputMessage="1" showErrorMessage="1" prompt="Services contracted by an organization which follow the normal procurement processes." sqref="C189 C21 C32 C43 C54 C66 C77 C88 C99 C111 C122 C133 C144 C156 C167 C178 C200 C212" xr:uid="{00000000-0002-0000-0100-000005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1 C23 C34 C45 C56 C68 C79 C90 C101 C113 C124 C135 C146 C158 C169 C180 C202 C214" xr:uid="{00000000-0002-0000-0100-000006000000}"/>
    <dataValidation allowBlank="1" showInputMessage="1" showErrorMessage="1" prompt=" Includes all general operating costs for running an office. Examples include telecommunication, rents, finance charges and other costs which cannot be mapped to other expense categories." sqref="C192 C24 C35 C46 C57 C69 C80 C91 C102 C114 C125 C136 C147 C159 C170 C181 C203 C215" xr:uid="{00000000-0002-0000-0100-000007000000}"/>
  </dataValidations>
  <pageMargins left="0.70866141732283472" right="0.70866141732283472" top="0.74803149606299213" bottom="0.74803149606299213" header="0.31496062992125984" footer="0.31496062992125984"/>
  <pageSetup paperSize="9" scale="29"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7"/>
  <sheetViews>
    <sheetView topLeftCell="A4" zoomScale="85" zoomScaleNormal="85" workbookViewId="0">
      <pane xSplit="1" ySplit="3" topLeftCell="B7" activePane="bottomRight" state="frozen"/>
      <selection pane="bottomRight" activeCell="E13" sqref="E13"/>
      <selection pane="bottomLeft" activeCell="A7" sqref="A7"/>
      <selection pane="topRight" activeCell="B4" sqref="B4"/>
    </sheetView>
  </sheetViews>
  <sheetFormatPr defaultColWidth="8.85546875" defaultRowHeight="14.45"/>
  <cols>
    <col min="1" max="1" width="37.28515625" customWidth="1"/>
    <col min="2" max="9" width="13.28515625" customWidth="1"/>
    <col min="10" max="10" width="9" bestFit="1" customWidth="1"/>
  </cols>
  <sheetData>
    <row r="2" spans="1:10">
      <c r="A2" s="5" t="s">
        <v>174</v>
      </c>
      <c r="B2" s="5"/>
      <c r="C2" s="5"/>
      <c r="D2" s="5"/>
    </row>
    <row r="3" spans="1:10">
      <c r="A3" s="5"/>
      <c r="B3" s="5"/>
      <c r="C3" s="5"/>
      <c r="D3" s="5"/>
    </row>
    <row r="4" spans="1:10" ht="15" thickBot="1"/>
    <row r="5" spans="1:10" ht="15" customHeight="1">
      <c r="A5" s="413" t="s">
        <v>175</v>
      </c>
      <c r="B5" s="413" t="s">
        <v>14</v>
      </c>
      <c r="C5" s="414"/>
      <c r="D5" s="413" t="s">
        <v>15</v>
      </c>
      <c r="E5" s="414"/>
      <c r="F5" s="413"/>
      <c r="G5" s="414"/>
      <c r="H5" s="413" t="s">
        <v>176</v>
      </c>
      <c r="I5" s="414"/>
    </row>
    <row r="6" spans="1:10">
      <c r="A6" s="415"/>
      <c r="B6" s="28" t="s">
        <v>177</v>
      </c>
      <c r="C6" s="23" t="s">
        <v>178</v>
      </c>
      <c r="D6" s="27" t="s">
        <v>177</v>
      </c>
      <c r="E6" s="29" t="s">
        <v>178</v>
      </c>
      <c r="F6" s="28" t="s">
        <v>177</v>
      </c>
      <c r="G6" s="23" t="s">
        <v>178</v>
      </c>
      <c r="H6" s="30" t="s">
        <v>177</v>
      </c>
      <c r="I6" s="23" t="s">
        <v>178</v>
      </c>
    </row>
    <row r="7" spans="1:10" ht="33" customHeight="1">
      <c r="A7" s="24" t="s">
        <v>130</v>
      </c>
      <c r="B7" s="277">
        <f>'2)UNDG Budget categ par produit'!J209</f>
        <v>50000</v>
      </c>
      <c r="C7" s="278">
        <f>'2)UNDG Budget categ par produit'!R209</f>
        <v>12464.17</v>
      </c>
      <c r="D7" s="279">
        <f>+'2)UNDG Budget categ par produit'!M209</f>
        <v>0</v>
      </c>
      <c r="E7" s="280">
        <f>+'2)UNDG Budget categ par produit'!S209</f>
        <v>269240.3</v>
      </c>
      <c r="F7" s="281"/>
      <c r="G7" s="278"/>
      <c r="H7" s="282">
        <f t="shared" ref="H7:H15" si="0">+B7+D7+F7</f>
        <v>50000</v>
      </c>
      <c r="I7" s="278">
        <f t="shared" ref="I7:I15" si="1">+C7+E7+G7</f>
        <v>281704.46999999997</v>
      </c>
    </row>
    <row r="8" spans="1:10" ht="42" customHeight="1">
      <c r="A8" s="24" t="s">
        <v>131</v>
      </c>
      <c r="B8" s="277">
        <f>'2)UNDG Budget categ par produit'!J210</f>
        <v>49737</v>
      </c>
      <c r="C8" s="278">
        <f>'2)UNDG Budget categ par produit'!R210</f>
        <v>31489.47</v>
      </c>
      <c r="D8" s="279">
        <f>+'2)UNDG Budget categ par produit'!M210</f>
        <v>82000</v>
      </c>
      <c r="E8" s="280">
        <f>+'2)UNDG Budget categ par produit'!S210</f>
        <v>82988.38</v>
      </c>
      <c r="F8" s="281"/>
      <c r="G8" s="278"/>
      <c r="H8" s="282">
        <f t="shared" si="0"/>
        <v>131737</v>
      </c>
      <c r="I8" s="278">
        <f t="shared" si="1"/>
        <v>114477.85</v>
      </c>
    </row>
    <row r="9" spans="1:10" ht="39.75" customHeight="1">
      <c r="A9" s="24" t="s">
        <v>132</v>
      </c>
      <c r="B9" s="277">
        <f>'2)UNDG Budget categ par produit'!J211</f>
        <v>336444</v>
      </c>
      <c r="C9" s="278">
        <f>'2)UNDG Budget categ par produit'!R211</f>
        <v>237601.49</v>
      </c>
      <c r="D9" s="279">
        <f>+'2)UNDG Budget categ par produit'!M211</f>
        <v>280000</v>
      </c>
      <c r="E9" s="280">
        <f>+'2)UNDG Budget categ par produit'!S211</f>
        <v>78062.28</v>
      </c>
      <c r="F9" s="281"/>
      <c r="G9" s="278"/>
      <c r="H9" s="282">
        <f>+B9+D9+F9</f>
        <v>616444</v>
      </c>
      <c r="I9" s="278">
        <f t="shared" si="1"/>
        <v>315663.77</v>
      </c>
    </row>
    <row r="10" spans="1:10" ht="33" customHeight="1">
      <c r="A10" s="24" t="s">
        <v>133</v>
      </c>
      <c r="B10" s="277">
        <f>'2)UNDG Budget categ par produit'!J212</f>
        <v>715471</v>
      </c>
      <c r="C10" s="278">
        <f>'2)UNDG Budget categ par produit'!R212</f>
        <v>357984.19</v>
      </c>
      <c r="D10" s="279">
        <f>+'2)UNDG Budget categ par produit'!M212</f>
        <v>519954</v>
      </c>
      <c r="E10" s="280">
        <f>+'2)UNDG Budget categ par produit'!S212</f>
        <v>34051.68</v>
      </c>
      <c r="F10" s="281"/>
      <c r="G10" s="278"/>
      <c r="H10" s="282">
        <f t="shared" si="0"/>
        <v>1235425</v>
      </c>
      <c r="I10" s="278">
        <f t="shared" si="1"/>
        <v>392035.87</v>
      </c>
    </row>
    <row r="11" spans="1:10" ht="33" customHeight="1">
      <c r="A11" s="24" t="s">
        <v>134</v>
      </c>
      <c r="B11" s="277">
        <f>'2)UNDG Budget categ par produit'!J213</f>
        <v>170142</v>
      </c>
      <c r="C11" s="278">
        <f>'2)UNDG Budget categ par produit'!R213</f>
        <v>137468.25</v>
      </c>
      <c r="D11" s="279">
        <f>+'2)UNDG Budget categ par produit'!M213</f>
        <v>68000</v>
      </c>
      <c r="E11" s="280">
        <f>+'2)UNDG Budget categ par produit'!S213</f>
        <v>71419.259999999995</v>
      </c>
      <c r="F11" s="281"/>
      <c r="G11" s="278"/>
      <c r="H11" s="282">
        <f t="shared" si="0"/>
        <v>238142</v>
      </c>
      <c r="I11" s="278">
        <f t="shared" si="1"/>
        <v>208887.51</v>
      </c>
    </row>
    <row r="12" spans="1:10" ht="39" customHeight="1">
      <c r="A12" s="24" t="s">
        <v>135</v>
      </c>
      <c r="B12" s="277">
        <f>'2)UNDG Budget categ par produit'!J214</f>
        <v>565000</v>
      </c>
      <c r="C12" s="278">
        <f>'2)UNDG Budget categ par produit'!R214</f>
        <v>107926</v>
      </c>
      <c r="D12" s="279">
        <f>+'2)UNDG Budget categ par produit'!M214</f>
        <v>128457.21</v>
      </c>
      <c r="E12" s="280">
        <f>+'2)UNDG Budget categ par produit'!S214</f>
        <v>83506.939999999988</v>
      </c>
      <c r="F12" s="281"/>
      <c r="G12" s="278"/>
      <c r="H12" s="282">
        <f t="shared" si="0"/>
        <v>693457.21</v>
      </c>
      <c r="I12" s="278">
        <f t="shared" si="1"/>
        <v>191432.94</v>
      </c>
    </row>
    <row r="13" spans="1:10" ht="45" customHeight="1">
      <c r="A13" s="24" t="s">
        <v>136</v>
      </c>
      <c r="B13" s="277">
        <f>'2)UNDG Budget categ par produit'!J215</f>
        <v>309466</v>
      </c>
      <c r="C13" s="278">
        <f>'2)UNDG Budget categ par produit'!R215</f>
        <v>205143.96000000002</v>
      </c>
      <c r="D13" s="279">
        <f>+'2)UNDG Budget categ par produit'!M215</f>
        <v>230000</v>
      </c>
      <c r="E13" s="280">
        <f>+'2)UNDG Budget categ par produit'!S215</f>
        <v>52009.91</v>
      </c>
      <c r="F13" s="281"/>
      <c r="G13" s="278"/>
      <c r="H13" s="282">
        <f t="shared" si="0"/>
        <v>539466</v>
      </c>
      <c r="I13" s="278">
        <f t="shared" si="1"/>
        <v>257153.87000000002</v>
      </c>
    </row>
    <row r="14" spans="1:10" ht="33" customHeight="1">
      <c r="A14" s="25" t="s">
        <v>179</v>
      </c>
      <c r="B14" s="283">
        <f>SUM(B7:B13)</f>
        <v>2196260</v>
      </c>
      <c r="C14" s="284">
        <f>SUM(C7:C13)</f>
        <v>1090077.53</v>
      </c>
      <c r="D14" s="285">
        <f>SUM(D7:D13)</f>
        <v>1308411.21</v>
      </c>
      <c r="E14" s="285">
        <f t="shared" ref="E14" si="2">SUM(E7:E13)</f>
        <v>671278.74999999988</v>
      </c>
      <c r="F14" s="283">
        <f>SUM(F7:F13)</f>
        <v>0</v>
      </c>
      <c r="G14" s="284">
        <f>SUM(G7:G13)</f>
        <v>0</v>
      </c>
      <c r="H14" s="286">
        <f t="shared" si="0"/>
        <v>3504671.21</v>
      </c>
      <c r="I14" s="287">
        <f t="shared" si="1"/>
        <v>1761356.2799999998</v>
      </c>
    </row>
    <row r="15" spans="1:10" ht="33" customHeight="1">
      <c r="A15" s="24" t="s">
        <v>180</v>
      </c>
      <c r="B15" s="288">
        <f>+B14*0.07</f>
        <v>153738.20000000001</v>
      </c>
      <c r="C15" s="289">
        <f>'2)UNDG Budget categ par produit'!R217</f>
        <v>59918.219200000007</v>
      </c>
      <c r="D15" s="279">
        <v>91588.784700000004</v>
      </c>
      <c r="E15" s="279">
        <f>E14*7%</f>
        <v>46989.512499999997</v>
      </c>
      <c r="F15" s="288"/>
      <c r="G15" s="289"/>
      <c r="H15" s="282">
        <f t="shared" si="0"/>
        <v>245326.98470000003</v>
      </c>
      <c r="I15" s="278">
        <f t="shared" si="1"/>
        <v>106907.7317</v>
      </c>
    </row>
    <row r="16" spans="1:10" ht="33" customHeight="1" thickBot="1">
      <c r="A16" s="26" t="s">
        <v>173</v>
      </c>
      <c r="B16" s="290">
        <f>+B14+B15</f>
        <v>2349998.2000000002</v>
      </c>
      <c r="C16" s="291">
        <f>+C14+C15</f>
        <v>1149995.7492</v>
      </c>
      <c r="D16" s="292">
        <f>SUM(D14:D15)</f>
        <v>1399999.9946999999</v>
      </c>
      <c r="E16" s="292">
        <f t="shared" ref="E16" si="3">SUM(E14:E15)</f>
        <v>718268.26249999984</v>
      </c>
      <c r="F16" s="290">
        <f t="shared" ref="F16" si="4">+F14+F15</f>
        <v>0</v>
      </c>
      <c r="G16" s="293">
        <f>+G14+G15</f>
        <v>0</v>
      </c>
      <c r="H16" s="294">
        <f t="shared" ref="H16" si="5">+B16+D16+F16</f>
        <v>3749998.1946999999</v>
      </c>
      <c r="I16" s="295">
        <f>+C16+E16+G16</f>
        <v>1868264.0116999997</v>
      </c>
      <c r="J16" s="11"/>
    </row>
    <row r="17" spans="9:10">
      <c r="I17" s="312"/>
      <c r="J17" s="11"/>
    </row>
  </sheetData>
  <mergeCells count="5">
    <mergeCell ref="H5:I5"/>
    <mergeCell ref="F5:G5"/>
    <mergeCell ref="D5:E5"/>
    <mergeCell ref="B5:C5"/>
    <mergeCell ref="A5:A6"/>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MPTF_00006_01059</ProjectId>
    <FundCode xmlns="f9695bc1-6109-4dcd-a27a-f8a0370b00e2">MPTF_00006</FundCode>
    <Comments xmlns="f9695bc1-6109-4dcd-a27a-f8a0370b00e2">Financial progress report Project Andriry Milamy June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DE498957-5EC3-4CA9-B19A-5DEA0C009891}"/>
</file>

<file path=customXml/itemProps2.xml><?xml version="1.0" encoding="utf-8"?>
<ds:datastoreItem xmlns:ds="http://schemas.openxmlformats.org/officeDocument/2006/customXml" ds:itemID="{A724F91D-5E0F-4AE4-A370-B3B4A44DDD18}"/>
</file>

<file path=customXml/itemProps3.xml><?xml version="1.0" encoding="utf-8"?>
<ds:datastoreItem xmlns:ds="http://schemas.openxmlformats.org/officeDocument/2006/customXml" ds:itemID="{CB27AA16-EDF5-4E68-84ED-C9A6E90E4AB7}"/>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AMI 22052026.xlsx</dc:title>
  <dc:subject/>
  <dc:creator>Herizo Randriamampia</dc:creator>
  <cp:keywords/>
  <dc:description/>
  <cp:lastModifiedBy>Marie Doucey</cp:lastModifiedBy>
  <cp:revision/>
  <dcterms:created xsi:type="dcterms:W3CDTF">2020-05-05T05:58:38Z</dcterms:created>
  <dcterms:modified xsi:type="dcterms:W3CDTF">2026-06-09T09:02:43Z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0x010100A20E1B0FB969FA4DB37D3562DA9CC146</vt:lpwstr>
  </property>
  <property fmtid="{D5CDD505-2E9C-101B-9397-08002B2CF9AE}" pid="5" name="MediaServiceImageTags">
    <vt:lpwstr/>
  </property>
</Properties>
</file>