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undp-my.sharepoint.com/personal/mamadou_dioulde_bah_undp_org/Documents/Apps/Desktop/Secretariat PBF 2026/Rapport Financier 2026/"/>
    </mc:Choice>
  </mc:AlternateContent>
  <xr:revisionPtr revIDLastSave="9" documentId="8_{1EA82164-F0DA-4726-A603-48E8931B6CFD}" xr6:coauthVersionLast="47" xr6:coauthVersionMax="47" xr10:uidLastSave="{1610D627-FF5F-4E85-A6C1-D9D6C5DAABAB}"/>
  <bookViews>
    <workbookView xWindow="-110" yWindow="-110" windowWidth="19420" windowHeight="11500" activeTab="1" xr2:uid="{00000000-000D-0000-FFFF-FFFF00000000}"/>
  </bookViews>
  <sheets>
    <sheet name="Instructions" sheetId="9" r:id="rId1"/>
    <sheet name="1) Tableau budgétaire 1" sheetId="1" r:id="rId2"/>
    <sheet name="2) Tableau budgétaire 2" sheetId="5" r:id="rId3"/>
    <sheet name="3) Notes d'explication" sheetId="3" r:id="rId4"/>
    <sheet name="4) Pour utilisation par PBSO" sheetId="6" r:id="rId5"/>
    <sheet name="5) Pour utilisation par MPTFO" sheetId="4" r:id="rId6"/>
    <sheet name="Dropdowns" sheetId="8" state="hidden" r:id="rId7"/>
    <sheet name="Sheet2" sheetId="7" state="hidden" r:id="rId8"/>
  </sheets>
  <definedNames>
    <definedName name="_xlnm.Print_Area" localSheetId="1">'1) Tableau budgétaire 1'!$A$1:$Q$82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78" i="1" l="1"/>
  <c r="O77" i="1"/>
  <c r="O17" i="1"/>
  <c r="L59" i="1"/>
  <c r="M59" i="1"/>
  <c r="H29" i="4"/>
  <c r="H13" i="4"/>
  <c r="H8" i="4"/>
  <c r="H9" i="4"/>
  <c r="H10" i="4"/>
  <c r="H11" i="4"/>
  <c r="H12" i="4"/>
  <c r="H7" i="4"/>
  <c r="H28" i="4"/>
  <c r="G29" i="4"/>
  <c r="G11" i="4"/>
  <c r="G10" i="4"/>
  <c r="G19" i="4"/>
  <c r="G13" i="4"/>
  <c r="G7" i="4"/>
  <c r="G6" i="4"/>
  <c r="G14" i="4" l="1"/>
  <c r="G15" i="4" s="1"/>
  <c r="G16" i="4"/>
  <c r="G28" i="4" s="1"/>
  <c r="H86" i="5"/>
  <c r="I86" i="5"/>
  <c r="H85" i="5"/>
  <c r="H84" i="5"/>
  <c r="H83" i="5"/>
  <c r="H82" i="5"/>
  <c r="H81" i="5"/>
  <c r="H80" i="5"/>
  <c r="H79" i="5"/>
  <c r="H78" i="5"/>
  <c r="H77" i="5"/>
  <c r="I65" i="5"/>
  <c r="I66" i="5"/>
  <c r="I67" i="5"/>
  <c r="I68" i="5"/>
  <c r="I69" i="5"/>
  <c r="I70" i="5"/>
  <c r="I64" i="5"/>
  <c r="I63" i="5"/>
  <c r="H71" i="5"/>
  <c r="H63" i="5"/>
  <c r="I60" i="5"/>
  <c r="I54" i="5"/>
  <c r="I55" i="5"/>
  <c r="I56" i="5"/>
  <c r="I57" i="5"/>
  <c r="I58" i="5"/>
  <c r="I59" i="5"/>
  <c r="I53" i="5"/>
  <c r="I52" i="5"/>
  <c r="H60" i="5"/>
  <c r="H52" i="5"/>
  <c r="I42" i="5"/>
  <c r="I43" i="5"/>
  <c r="I44" i="5"/>
  <c r="I45" i="5"/>
  <c r="I46" i="5"/>
  <c r="I47" i="5"/>
  <c r="I41" i="5"/>
  <c r="I40" i="5"/>
  <c r="H48" i="5"/>
  <c r="H45" i="5"/>
  <c r="H40" i="5"/>
  <c r="H34" i="5"/>
  <c r="H37" i="5" s="1"/>
  <c r="I31" i="5"/>
  <c r="I32" i="5"/>
  <c r="I33" i="5"/>
  <c r="I35" i="5"/>
  <c r="I36" i="5"/>
  <c r="I30" i="5"/>
  <c r="I29" i="5"/>
  <c r="H33" i="5"/>
  <c r="H29" i="5"/>
  <c r="I26" i="5"/>
  <c r="I20" i="5"/>
  <c r="I21" i="5"/>
  <c r="I22" i="5"/>
  <c r="I23" i="5"/>
  <c r="I24" i="5"/>
  <c r="I25" i="5"/>
  <c r="I19" i="5"/>
  <c r="I18" i="5"/>
  <c r="H26" i="5"/>
  <c r="H22" i="5"/>
  <c r="H18" i="5"/>
  <c r="E18" i="5"/>
  <c r="F18" i="5"/>
  <c r="G18" i="5"/>
  <c r="I7" i="5"/>
  <c r="I9" i="5"/>
  <c r="I10" i="5"/>
  <c r="I11" i="5"/>
  <c r="I12" i="5"/>
  <c r="I13" i="5"/>
  <c r="I14" i="5"/>
  <c r="I8" i="5"/>
  <c r="H7" i="5"/>
  <c r="H12" i="5"/>
  <c r="H11" i="5"/>
  <c r="H14" i="5"/>
  <c r="H15" i="5"/>
  <c r="I15" i="5" s="1"/>
  <c r="L17" i="1"/>
  <c r="H8" i="5"/>
  <c r="H4" i="5"/>
  <c r="D78" i="1"/>
  <c r="D81" i="1"/>
  <c r="D80" i="1"/>
  <c r="K39" i="1"/>
  <c r="K41" i="1" s="1"/>
  <c r="K40" i="1"/>
  <c r="J41" i="1"/>
  <c r="F41" i="1"/>
  <c r="E41" i="1"/>
  <c r="D41" i="1"/>
  <c r="M72" i="1"/>
  <c r="K53" i="1"/>
  <c r="M53" i="1" s="1"/>
  <c r="K51" i="1"/>
  <c r="K48" i="1"/>
  <c r="M48" i="1" s="1"/>
  <c r="K46" i="1"/>
  <c r="K36" i="1"/>
  <c r="M36" i="1" s="1"/>
  <c r="K34" i="1"/>
  <c r="M34" i="1" s="1"/>
  <c r="K33" i="1"/>
  <c r="M33" i="1" s="1"/>
  <c r="K32" i="1"/>
  <c r="M32" i="1" s="1"/>
  <c r="K31" i="1"/>
  <c r="K27" i="1"/>
  <c r="K25" i="1"/>
  <c r="K22" i="1"/>
  <c r="M22" i="1" s="1"/>
  <c r="K20" i="1"/>
  <c r="K19" i="1"/>
  <c r="K8" i="1"/>
  <c r="M8" i="1" s="1"/>
  <c r="M46" i="1"/>
  <c r="M40" i="1"/>
  <c r="M27" i="1"/>
  <c r="M25" i="1"/>
  <c r="M20" i="1"/>
  <c r="M19" i="1"/>
  <c r="L73" i="1"/>
  <c r="L21" i="1"/>
  <c r="L23" i="1" s="1"/>
  <c r="L54" i="1"/>
  <c r="L49" i="1"/>
  <c r="L41" i="1"/>
  <c r="L29" i="1"/>
  <c r="L13" i="1"/>
  <c r="L12" i="1"/>
  <c r="L10" i="1"/>
  <c r="L11" i="1"/>
  <c r="L9" i="1"/>
  <c r="G11" i="5"/>
  <c r="J13" i="1"/>
  <c r="J12" i="1"/>
  <c r="J11" i="1"/>
  <c r="J10" i="1"/>
  <c r="J9" i="1"/>
  <c r="I71" i="5" l="1"/>
  <c r="I48" i="5"/>
  <c r="I34" i="5"/>
  <c r="I37" i="5" s="1"/>
  <c r="M39" i="1"/>
  <c r="M51" i="1"/>
  <c r="M31" i="1"/>
  <c r="N23" i="1"/>
  <c r="M23" i="1"/>
  <c r="L58" i="1"/>
  <c r="L60" i="1" s="1"/>
  <c r="M60" i="1" s="1"/>
  <c r="G83" i="5"/>
  <c r="G81" i="5"/>
  <c r="G80" i="5"/>
  <c r="G79" i="5"/>
  <c r="G78" i="5"/>
  <c r="J47" i="1"/>
  <c r="J45" i="1"/>
  <c r="K45" i="1" s="1"/>
  <c r="J38" i="1"/>
  <c r="K38" i="1" s="1"/>
  <c r="M38" i="1" s="1"/>
  <c r="J37" i="1"/>
  <c r="K37" i="1" s="1"/>
  <c r="M37" i="1" s="1"/>
  <c r="J28" i="1"/>
  <c r="K28" i="1" s="1"/>
  <c r="M28" i="1" s="1"/>
  <c r="J26" i="1"/>
  <c r="K26" i="1" s="1"/>
  <c r="J16" i="1"/>
  <c r="J35" i="1"/>
  <c r="J21" i="1"/>
  <c r="K21" i="1" s="1"/>
  <c r="M21" i="1" s="1"/>
  <c r="J15" i="1"/>
  <c r="H49" i="1"/>
  <c r="H58" i="1" s="1"/>
  <c r="G70" i="1"/>
  <c r="G71" i="1"/>
  <c r="G53" i="1"/>
  <c r="I53" i="1" s="1"/>
  <c r="G51" i="1"/>
  <c r="I51" i="1" s="1"/>
  <c r="G48" i="1"/>
  <c r="I48" i="1" s="1"/>
  <c r="G46" i="1"/>
  <c r="I46" i="1" s="1"/>
  <c r="G45" i="1"/>
  <c r="I45" i="1" s="1"/>
  <c r="G38" i="1"/>
  <c r="I38" i="1" s="1"/>
  <c r="G39" i="1"/>
  <c r="I39" i="1" s="1"/>
  <c r="G40" i="1"/>
  <c r="I40" i="1" s="1"/>
  <c r="G36" i="1"/>
  <c r="I36" i="1" s="1"/>
  <c r="G37" i="1"/>
  <c r="I37" i="1" s="1"/>
  <c r="G32" i="1"/>
  <c r="I32" i="1" s="1"/>
  <c r="G33" i="1"/>
  <c r="I33" i="1" s="1"/>
  <c r="G34" i="1"/>
  <c r="I34" i="1" s="1"/>
  <c r="G31" i="1"/>
  <c r="I31" i="1" s="1"/>
  <c r="G28" i="1"/>
  <c r="I28" i="1" s="1"/>
  <c r="G26" i="1"/>
  <c r="I26" i="1" s="1"/>
  <c r="G27" i="1"/>
  <c r="I27" i="1" s="1"/>
  <c r="G25" i="1"/>
  <c r="I25" i="1" s="1"/>
  <c r="G22" i="1"/>
  <c r="I22" i="1" s="1"/>
  <c r="G20" i="1"/>
  <c r="I20" i="1" s="1"/>
  <c r="G21" i="1"/>
  <c r="I21" i="1" s="1"/>
  <c r="G19" i="1"/>
  <c r="I19" i="1" s="1"/>
  <c r="G8" i="1"/>
  <c r="I8" i="1" s="1"/>
  <c r="M45" i="1" l="1"/>
  <c r="K23" i="1"/>
  <c r="M26" i="1"/>
  <c r="K29" i="1"/>
  <c r="J23" i="1"/>
  <c r="H59" i="1"/>
  <c r="H60" i="1" s="1"/>
  <c r="J17" i="1"/>
  <c r="J54" i="1"/>
  <c r="J29" i="1"/>
  <c r="M29" i="1" l="1"/>
  <c r="N29" i="1"/>
  <c r="F19" i="4"/>
  <c r="G77" i="5"/>
  <c r="E6" i="4"/>
  <c r="F6" i="4"/>
  <c r="E19" i="4"/>
  <c r="E4" i="5"/>
  <c r="D19" i="4" s="1"/>
  <c r="D4" i="5"/>
  <c r="C19" i="4" s="1"/>
  <c r="E83" i="5"/>
  <c r="D13" i="4" s="1"/>
  <c r="E82" i="5"/>
  <c r="D12" i="4" s="1"/>
  <c r="E81" i="5"/>
  <c r="D11" i="4" s="1"/>
  <c r="E79" i="5"/>
  <c r="D9" i="4" s="1"/>
  <c r="E78" i="5"/>
  <c r="D8" i="4" s="1"/>
  <c r="E77" i="5"/>
  <c r="D7" i="4" s="1"/>
  <c r="E71" i="5"/>
  <c r="E60" i="5"/>
  <c r="E48" i="5"/>
  <c r="E37" i="5"/>
  <c r="E26" i="5"/>
  <c r="E15" i="5"/>
  <c r="D57" i="1"/>
  <c r="D76" i="5" s="1"/>
  <c r="D54" i="1"/>
  <c r="D49" i="1"/>
  <c r="D29" i="1"/>
  <c r="D23" i="1"/>
  <c r="D17" i="1"/>
  <c r="D18" i="5" l="1"/>
  <c r="D29" i="5"/>
  <c r="D52" i="5"/>
  <c r="D63" i="5"/>
  <c r="D40" i="5"/>
  <c r="D7" i="5"/>
  <c r="D58" i="1"/>
  <c r="C6" i="4"/>
  <c r="D6" i="4"/>
  <c r="E80" i="5"/>
  <c r="E84" i="5" l="1"/>
  <c r="E85" i="5" s="1"/>
  <c r="E86" i="5" s="1"/>
  <c r="D10" i="4"/>
  <c r="D14" i="4" s="1"/>
  <c r="D15" i="4" s="1"/>
  <c r="D16" i="4" s="1"/>
  <c r="D59" i="1"/>
  <c r="D60" i="1" l="1"/>
  <c r="F13" i="4"/>
  <c r="F82" i="5"/>
  <c r="E12" i="4" s="1"/>
  <c r="G82" i="5"/>
  <c r="D83" i="5"/>
  <c r="D82" i="5"/>
  <c r="F11" i="4"/>
  <c r="F80" i="5"/>
  <c r="E10" i="4" s="1"/>
  <c r="F10" i="4"/>
  <c r="F79" i="5"/>
  <c r="E9" i="4" s="1"/>
  <c r="F9" i="4"/>
  <c r="F78" i="5"/>
  <c r="E8" i="4" s="1"/>
  <c r="F8" i="4"/>
  <c r="D81" i="5"/>
  <c r="D79" i="5"/>
  <c r="D78" i="5"/>
  <c r="F77" i="5"/>
  <c r="E7" i="4" s="1"/>
  <c r="F7" i="4"/>
  <c r="D77" i="5"/>
  <c r="F14" i="5"/>
  <c r="F83" i="5" s="1"/>
  <c r="E13" i="4" s="1"/>
  <c r="F12" i="5"/>
  <c r="F81" i="5" s="1"/>
  <c r="E11" i="4" s="1"/>
  <c r="F13" i="1"/>
  <c r="F12" i="4" l="1"/>
  <c r="F14" i="4" s="1"/>
  <c r="G84" i="5"/>
  <c r="G85" i="5" s="1"/>
  <c r="G13" i="1"/>
  <c r="I13" i="1" s="1"/>
  <c r="K13" i="1"/>
  <c r="M13" i="1" s="1"/>
  <c r="D65" i="1"/>
  <c r="G65" i="1" s="1"/>
  <c r="K65" i="1" s="1"/>
  <c r="M65" i="1" s="1"/>
  <c r="D64" i="1"/>
  <c r="E14" i="4"/>
  <c r="E15" i="4" s="1"/>
  <c r="E16" i="4" s="1"/>
  <c r="F9" i="1"/>
  <c r="G9" i="1" l="1"/>
  <c r="I9" i="1" s="1"/>
  <c r="K9" i="1"/>
  <c r="C21" i="4"/>
  <c r="C20" i="4"/>
  <c r="G64" i="1"/>
  <c r="K64" i="1" s="1"/>
  <c r="M64" i="1" s="1"/>
  <c r="D73" i="1"/>
  <c r="F15" i="4"/>
  <c r="F16" i="4" s="1"/>
  <c r="F10" i="1"/>
  <c r="F16" i="1"/>
  <c r="F12" i="1"/>
  <c r="F11" i="1"/>
  <c r="G11" i="1" l="1"/>
  <c r="I11" i="1" s="1"/>
  <c r="K11" i="1"/>
  <c r="M11" i="1" s="1"/>
  <c r="G12" i="1"/>
  <c r="I12" i="1" s="1"/>
  <c r="K12" i="1"/>
  <c r="M12" i="1" s="1"/>
  <c r="G16" i="1"/>
  <c r="I16" i="1" s="1"/>
  <c r="K16" i="1"/>
  <c r="M16" i="1" s="1"/>
  <c r="G10" i="1"/>
  <c r="I10" i="1" s="1"/>
  <c r="K10" i="1"/>
  <c r="M10" i="1" s="1"/>
  <c r="M9" i="1"/>
  <c r="C29" i="4"/>
  <c r="D80" i="5"/>
  <c r="F52" i="1" l="1"/>
  <c r="F47" i="1"/>
  <c r="F35" i="1"/>
  <c r="F15" i="1"/>
  <c r="F14" i="1"/>
  <c r="G14" i="1" l="1"/>
  <c r="I14" i="1" s="1"/>
  <c r="K14" i="1"/>
  <c r="G15" i="1"/>
  <c r="I15" i="1" s="1"/>
  <c r="K15" i="1"/>
  <c r="M15" i="1" s="1"/>
  <c r="G35" i="1"/>
  <c r="I35" i="1" s="1"/>
  <c r="K35" i="1"/>
  <c r="G47" i="1"/>
  <c r="I47" i="1" s="1"/>
  <c r="K47" i="1"/>
  <c r="G52" i="1"/>
  <c r="I52" i="1" s="1"/>
  <c r="K52" i="1"/>
  <c r="F17" i="1"/>
  <c r="E17" i="1"/>
  <c r="G17" i="1" s="1"/>
  <c r="I17" i="1" s="1"/>
  <c r="E57" i="1"/>
  <c r="E76" i="5" s="1"/>
  <c r="F76" i="5"/>
  <c r="G76" i="5"/>
  <c r="F4" i="5"/>
  <c r="G4" i="5"/>
  <c r="F57" i="1"/>
  <c r="J57" i="1"/>
  <c r="I22" i="4"/>
  <c r="I21" i="4"/>
  <c r="I20" i="4"/>
  <c r="O54" i="1"/>
  <c r="O49" i="1"/>
  <c r="O41" i="1"/>
  <c r="O29" i="1"/>
  <c r="O23" i="1"/>
  <c r="C7" i="4"/>
  <c r="C9" i="4"/>
  <c r="C11" i="4"/>
  <c r="C13" i="4"/>
  <c r="C8" i="4"/>
  <c r="D71" i="5"/>
  <c r="F71" i="5"/>
  <c r="G71" i="5"/>
  <c r="D60" i="5"/>
  <c r="F60" i="5"/>
  <c r="G60" i="5"/>
  <c r="D26" i="5"/>
  <c r="F26" i="5"/>
  <c r="G26" i="5"/>
  <c r="D37" i="5"/>
  <c r="F37" i="5"/>
  <c r="G37" i="5"/>
  <c r="D48" i="5"/>
  <c r="F48" i="5"/>
  <c r="G48" i="5"/>
  <c r="F15" i="5"/>
  <c r="G15" i="5"/>
  <c r="D15" i="5"/>
  <c r="F54" i="1"/>
  <c r="F63" i="5" s="1"/>
  <c r="G63" i="5"/>
  <c r="F49" i="1"/>
  <c r="F52" i="5" s="1"/>
  <c r="J49" i="1"/>
  <c r="J58" i="1" s="1"/>
  <c r="F29" i="1"/>
  <c r="F29" i="5" s="1"/>
  <c r="G29" i="5"/>
  <c r="F23" i="1"/>
  <c r="E23" i="1"/>
  <c r="E54" i="1"/>
  <c r="E49" i="1"/>
  <c r="E29" i="1"/>
  <c r="I82" i="5" l="1"/>
  <c r="I78" i="5"/>
  <c r="I83" i="5"/>
  <c r="I79" i="5"/>
  <c r="I81" i="5"/>
  <c r="I80" i="5"/>
  <c r="I77" i="5"/>
  <c r="F58" i="1"/>
  <c r="M52" i="1"/>
  <c r="K54" i="1"/>
  <c r="M47" i="1"/>
  <c r="K49" i="1"/>
  <c r="M35" i="1"/>
  <c r="M14" i="1"/>
  <c r="K17" i="1"/>
  <c r="G41" i="1"/>
  <c r="E29" i="5"/>
  <c r="G29" i="1"/>
  <c r="I29" i="1" s="1"/>
  <c r="E52" i="5"/>
  <c r="G49" i="1"/>
  <c r="I49" i="1" s="1"/>
  <c r="E63" i="5"/>
  <c r="G54" i="1"/>
  <c r="I54" i="1" s="1"/>
  <c r="G23" i="1"/>
  <c r="I23" i="1" s="1"/>
  <c r="J59" i="1"/>
  <c r="G52" i="5"/>
  <c r="F40" i="5"/>
  <c r="E40" i="5"/>
  <c r="E7" i="5"/>
  <c r="E58" i="1"/>
  <c r="K58" i="1" s="1"/>
  <c r="G40" i="5"/>
  <c r="C12" i="4"/>
  <c r="G7" i="5"/>
  <c r="C40" i="6"/>
  <c r="D43" i="6" s="1"/>
  <c r="F84" i="5"/>
  <c r="F85" i="5" s="1"/>
  <c r="F86" i="5" s="1"/>
  <c r="C10" i="4"/>
  <c r="H14" i="4" s="1"/>
  <c r="D84" i="5"/>
  <c r="F7" i="5"/>
  <c r="C29" i="6"/>
  <c r="D36" i="6" s="1"/>
  <c r="C18" i="6"/>
  <c r="D23" i="6" s="1"/>
  <c r="H15" i="4" l="1"/>
  <c r="H16" i="4" s="1"/>
  <c r="I84" i="5"/>
  <c r="I85" i="5" s="1"/>
  <c r="I41" i="1"/>
  <c r="K59" i="1"/>
  <c r="K60" i="1" s="1"/>
  <c r="M58" i="1"/>
  <c r="M17" i="1"/>
  <c r="N17" i="1"/>
  <c r="M41" i="1"/>
  <c r="N41" i="1"/>
  <c r="N49" i="1"/>
  <c r="M49" i="1"/>
  <c r="M54" i="1"/>
  <c r="N54" i="1"/>
  <c r="C7" i="6"/>
  <c r="D12" i="6" s="1"/>
  <c r="G58" i="1"/>
  <c r="I58" i="1" s="1"/>
  <c r="J60" i="1"/>
  <c r="G86" i="5"/>
  <c r="F59" i="1"/>
  <c r="F60" i="1" s="1"/>
  <c r="D47" i="6"/>
  <c r="D46" i="6"/>
  <c r="D44" i="6"/>
  <c r="C14" i="4"/>
  <c r="D45" i="6"/>
  <c r="D34" i="6"/>
  <c r="D35" i="6"/>
  <c r="D32" i="6"/>
  <c r="D85" i="5"/>
  <c r="D86" i="5" s="1"/>
  <c r="D24" i="6"/>
  <c r="D21" i="6"/>
  <c r="D22" i="6"/>
  <c r="D33" i="6"/>
  <c r="D25" i="6"/>
  <c r="C41" i="6"/>
  <c r="E59" i="1"/>
  <c r="D77" i="1" l="1"/>
  <c r="D13" i="6"/>
  <c r="D10" i="6"/>
  <c r="D14" i="6"/>
  <c r="D11" i="6"/>
  <c r="G59" i="1"/>
  <c r="I59" i="1"/>
  <c r="E60" i="1"/>
  <c r="G60" i="1" s="1"/>
  <c r="I60" i="1" s="1"/>
  <c r="J71" i="1"/>
  <c r="K71" i="1" s="1"/>
  <c r="M71" i="1" s="1"/>
  <c r="E67" i="1"/>
  <c r="G67" i="1" s="1"/>
  <c r="K67" i="1" s="1"/>
  <c r="M67" i="1" s="1"/>
  <c r="E66" i="1"/>
  <c r="G66" i="1" s="1"/>
  <c r="K66" i="1" s="1"/>
  <c r="M66" i="1" s="1"/>
  <c r="C15" i="4"/>
  <c r="C16" i="4" s="1"/>
  <c r="C30" i="6"/>
  <c r="C19" i="6"/>
  <c r="D21" i="4"/>
  <c r="D20" i="4"/>
  <c r="C8" i="6" l="1"/>
  <c r="J70" i="1"/>
  <c r="H27" i="4"/>
  <c r="F27" i="4"/>
  <c r="F69" i="1"/>
  <c r="G69" i="1" s="1"/>
  <c r="K69" i="1" s="1"/>
  <c r="M69" i="1" s="1"/>
  <c r="F68" i="1"/>
  <c r="G68" i="1" s="1"/>
  <c r="K68" i="1" s="1"/>
  <c r="M68" i="1" s="1"/>
  <c r="F20" i="4"/>
  <c r="H20" i="4"/>
  <c r="F21" i="4"/>
  <c r="H21" i="4"/>
  <c r="D23" i="4"/>
  <c r="H23" i="4"/>
  <c r="D22" i="4"/>
  <c r="E73" i="1"/>
  <c r="H22" i="4"/>
  <c r="E20" i="4"/>
  <c r="F26" i="4" l="1"/>
  <c r="K70" i="1"/>
  <c r="J73" i="1"/>
  <c r="D29" i="4"/>
  <c r="E24" i="4"/>
  <c r="H24" i="4"/>
  <c r="F73" i="1"/>
  <c r="G73" i="1" s="1"/>
  <c r="H25" i="4"/>
  <c r="E25" i="4"/>
  <c r="E21" i="4"/>
  <c r="E22" i="4"/>
  <c r="H26" i="4" l="1"/>
  <c r="M70" i="1"/>
  <c r="M73" i="1" s="1"/>
  <c r="K73" i="1"/>
  <c r="F29" i="4"/>
  <c r="E2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tc={A22DEAE2-A802-4D88-98A3-CCD346041CEC}</author>
  </authors>
  <commentList>
    <comment ref="F38" authorId="0" shapeId="0" xr:uid="{A22DEAE2-A802-4D88-98A3-CCD346041CEC}">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Revoir en hausse</t>
      </text>
    </comment>
  </commentList>
</comments>
</file>

<file path=xl/sharedStrings.xml><?xml version="1.0" encoding="utf-8"?>
<sst xmlns="http://schemas.openxmlformats.org/spreadsheetml/2006/main" count="648" uniqueCount="546">
  <si>
    <t>1. Staff and other personnel</t>
  </si>
  <si>
    <t>2. Supplies, Commodities, Materials</t>
  </si>
  <si>
    <t>3. Equipment, Vehicles, and Furniture (including Depreciation)</t>
  </si>
  <si>
    <t>4. Contractual services</t>
  </si>
  <si>
    <t>6. Transfers and Grants to Counterparts</t>
  </si>
  <si>
    <t>5. Travel</t>
  </si>
  <si>
    <t>Totals</t>
  </si>
  <si>
    <t>Performance-Based Tranche Breakdown</t>
  </si>
  <si>
    <t>First Tranche:</t>
  </si>
  <si>
    <t>Tranche %</t>
  </si>
  <si>
    <t>Second Tranche:</t>
  </si>
  <si>
    <t>Total</t>
  </si>
  <si>
    <t>For MPTFO Use</t>
  </si>
  <si>
    <t>7. General Operating and other Costs</t>
  </si>
  <si>
    <t xml:space="preserve">Total </t>
  </si>
  <si>
    <t>Outcome 1</t>
  </si>
  <si>
    <t>Outcome Budget</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</si>
  <si>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</si>
  <si>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</si>
  <si>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</si>
  <si>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</si>
  <si>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</si>
  <si>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</si>
  <si>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</si>
  <si>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</si>
  <si>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</si>
  <si>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</si>
  <si>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</si>
  <si>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</si>
  <si>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</si>
  <si>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</si>
  <si>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</si>
  <si>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</si>
  <si>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</si>
  <si>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</si>
  <si>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</si>
  <si>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</si>
  <si>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</si>
  <si>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</si>
  <si>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</si>
  <si>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</si>
  <si>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</si>
  <si>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</si>
  <si>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</si>
  <si>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</si>
  <si>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</si>
  <si>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</si>
  <si>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</si>
  <si>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</si>
  <si>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</si>
  <si>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</si>
  <si>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</si>
  <si>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</si>
  <si>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</si>
  <si>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</si>
  <si>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</si>
  <si>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</si>
  <si>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</si>
  <si>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</si>
  <si>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</si>
  <si>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</si>
  <si>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</si>
  <si>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</si>
  <si>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</si>
  <si>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</si>
  <si>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</si>
  <si>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</si>
  <si>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</si>
  <si>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</si>
  <si>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</si>
  <si>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</si>
  <si>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</si>
  <si>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</si>
  <si>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</si>
  <si>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</si>
  <si>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</si>
  <si>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</si>
  <si>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</si>
  <si>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</si>
  <si>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</si>
  <si>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</si>
  <si>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</si>
  <si>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</si>
  <si>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</si>
  <si>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</si>
  <si>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</si>
  <si>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</si>
  <si>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</si>
  <si>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</si>
  <si>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</si>
  <si>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</si>
  <si>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</si>
  <si>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</si>
  <si>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</si>
  <si>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</si>
  <si>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</si>
  <si>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</si>
  <si>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</si>
  <si>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</si>
  <si>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</si>
  <si>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</si>
  <si>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</si>
  <si>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</si>
  <si>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</si>
  <si>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</si>
  <si>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</si>
  <si>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</si>
  <si>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</si>
  <si>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</si>
  <si>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</si>
  <si>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</si>
  <si>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</si>
  <si>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</si>
  <si>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</si>
  <si>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</si>
  <si>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</si>
  <si>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</si>
  <si>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</si>
  <si>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</si>
  <si>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</si>
  <si>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</si>
  <si>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</si>
  <si>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</si>
  <si>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</si>
  <si>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</si>
  <si>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</si>
  <si>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</si>
  <si>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</si>
  <si>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</si>
  <si>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</si>
  <si>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</si>
  <si>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</si>
  <si>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</si>
  <si>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</si>
  <si>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</si>
  <si>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</si>
  <si>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</si>
  <si>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</si>
  <si>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</si>
  <si>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</si>
  <si>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</si>
  <si>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</si>
  <si>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</si>
  <si>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</si>
  <si>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</si>
  <si>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</si>
  <si>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</si>
  <si>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</si>
  <si>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</si>
  <si>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</si>
  <si>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</si>
  <si>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</si>
  <si>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</si>
  <si>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</si>
  <si>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</si>
  <si>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</si>
  <si>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</si>
  <si>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</si>
  <si>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</si>
  <si>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</si>
  <si>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</si>
  <si>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</si>
  <si>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</si>
  <si>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</si>
  <si>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</si>
  <si>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</si>
  <si>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</si>
  <si>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</si>
  <si>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</si>
  <si>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</si>
  <si>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</si>
  <si>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</si>
  <si>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</si>
  <si>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</si>
  <si>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</si>
  <si>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</si>
  <si>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</si>
  <si>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</si>
  <si>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</si>
  <si>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</si>
  <si>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</si>
  <si>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</si>
  <si>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</si>
  <si>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</si>
  <si>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</si>
  <si>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</si>
  <si>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</si>
  <si>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</si>
  <si>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</si>
  <si>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</si>
  <si>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</si>
  <si>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</si>
  <si>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</si>
  <si>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</si>
  <si>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</si>
  <si>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</si>
  <si>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</si>
  <si>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</si>
  <si>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</si>
  <si>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</si>
  <si>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</si>
  <si>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</si>
  <si>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</si>
  <si>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</si>
  <si>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</si>
  <si>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</si>
  <si>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</si>
  <si>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</si>
  <si>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</si>
  <si>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</si>
  <si>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</si>
  <si>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</si>
  <si>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</si>
  <si>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</si>
  <si>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</si>
  <si>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</si>
  <si>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</si>
  <si>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</si>
  <si>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</si>
  <si>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</si>
  <si>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</si>
  <si>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</si>
  <si>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</si>
  <si>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</si>
  <si>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</si>
  <si>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</si>
  <si>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</si>
  <si>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</si>
  <si>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</si>
  <si>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</si>
  <si>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</si>
  <si>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</si>
  <si>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</si>
  <si>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</si>
  <si>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</si>
  <si>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</si>
  <si>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</si>
  <si>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</si>
  <si>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</si>
  <si>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</si>
  <si>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</si>
  <si>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</si>
  <si>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</si>
  <si>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</si>
  <si>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</si>
  <si>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</si>
  <si>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</si>
  <si>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</si>
  <si>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</si>
  <si>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</si>
  <si>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</si>
  <si>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</si>
  <si>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</si>
  <si>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</si>
  <si>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</si>
  <si>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</si>
  <si>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</si>
  <si>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</si>
  <si>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</si>
  <si>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</si>
  <si>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</si>
  <si>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</si>
  <si>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</si>
  <si>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</si>
  <si>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</si>
  <si>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</si>
  <si>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</si>
  <si>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</si>
  <si>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</si>
  <si>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</si>
  <si>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</si>
  <si>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</si>
  <si>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</si>
  <si>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</si>
  <si>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</si>
  <si>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</si>
  <si>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</si>
  <si>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</si>
  <si>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</si>
  <si>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</si>
  <si>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</si>
  <si>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</si>
  <si>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</si>
  <si>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</si>
  <si>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</si>
  <si>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</si>
  <si>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</si>
  <si>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</si>
  <si>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</si>
  <si>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</si>
  <si>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</si>
  <si>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</si>
  <si>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</si>
  <si>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</si>
  <si>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</si>
  <si>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</si>
  <si>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</si>
  <si>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</si>
  <si>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</si>
  <si>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</si>
  <si>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</si>
  <si>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</si>
  <si>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</si>
  <si>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</si>
  <si>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</si>
  <si>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</si>
  <si>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</si>
  <si>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</si>
  <si>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</si>
  <si>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</si>
  <si>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</si>
  <si>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</si>
  <si>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</si>
  <si>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</si>
  <si>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</si>
  <si>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</si>
  <si>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</si>
  <si>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</si>
  <si>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</si>
  <si>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</si>
  <si>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</si>
  <si>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</si>
  <si>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</si>
  <si>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</si>
  <si>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</si>
  <si>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</si>
  <si>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</si>
  <si>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</si>
  <si>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</si>
  <si>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</si>
  <si>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</si>
  <si>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</si>
  <si>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</si>
  <si>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</si>
  <si>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</si>
  <si>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</si>
  <si>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</si>
  <si>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</si>
  <si>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</si>
  <si>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</si>
  <si>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</si>
  <si>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</si>
  <si>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</si>
  <si>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</si>
  <si>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</si>
  <si>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</si>
  <si>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</si>
  <si>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</si>
  <si>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</si>
  <si>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</si>
  <si>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</si>
  <si>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</si>
  <si>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</si>
  <si>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</si>
  <si>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</si>
  <si>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</si>
  <si>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</si>
  <si>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t>SDG</t>
  </si>
  <si>
    <t>SDG %</t>
  </si>
  <si>
    <t>Total Towards SDG</t>
  </si>
  <si>
    <t>Outcome 2</t>
  </si>
  <si>
    <t>Outcome 3</t>
  </si>
  <si>
    <t>Outcome 4</t>
  </si>
  <si>
    <t>Total Outcome Budget Towards SDGs</t>
  </si>
  <si>
    <t>TOTAL</t>
  </si>
  <si>
    <t>For PBSO Use</t>
  </si>
  <si>
    <t>Tableau 1 - Budget du projet PBF par résultat, produit et activité</t>
  </si>
  <si>
    <t>Nombre de resultat/ produit</t>
  </si>
  <si>
    <t xml:space="preserve">RESULTAT 1: </t>
  </si>
  <si>
    <t>Produit 1.1:</t>
  </si>
  <si>
    <t>Activite 1.1.1:</t>
  </si>
  <si>
    <t>Activite 1.1.2:</t>
  </si>
  <si>
    <t>Activite 1.1.3:</t>
  </si>
  <si>
    <t>Activite 1.1.4</t>
  </si>
  <si>
    <t>Produit 1.2:</t>
  </si>
  <si>
    <t>Activite 1.2.1</t>
  </si>
  <si>
    <t>Activite 1.2.2</t>
  </si>
  <si>
    <t>Activite 1.2.3</t>
  </si>
  <si>
    <t>Activite 1.2.4</t>
  </si>
  <si>
    <t>Produit 1.3:</t>
  </si>
  <si>
    <t>Activite 1.3.1</t>
  </si>
  <si>
    <t>Activite 1.3.2</t>
  </si>
  <si>
    <t>Activite 1.3.3</t>
  </si>
  <si>
    <t>Activite 1.3.4</t>
  </si>
  <si>
    <t>Produit 1.4:</t>
  </si>
  <si>
    <t>Activite 1.4.1</t>
  </si>
  <si>
    <t>Activite 1.4.2</t>
  </si>
  <si>
    <t>Activite 1.4.3</t>
  </si>
  <si>
    <t>Activite 1.4.4</t>
  </si>
  <si>
    <t>Activite 1.4.5</t>
  </si>
  <si>
    <t>Activite 1.4.6</t>
  </si>
  <si>
    <t>Activite 1.4.7</t>
  </si>
  <si>
    <t>Activite 1.4.8</t>
  </si>
  <si>
    <t xml:space="preserve">RESULTAT 2: </t>
  </si>
  <si>
    <t>Produit 2.1</t>
  </si>
  <si>
    <t>Activite 2.1.1</t>
  </si>
  <si>
    <t>Activite 2.1.2</t>
  </si>
  <si>
    <t>Activite 2.1.3</t>
  </si>
  <si>
    <t>Activite 2.1.4</t>
  </si>
  <si>
    <t>Produit 2.2</t>
  </si>
  <si>
    <t>Activite 2.2.1</t>
  </si>
  <si>
    <t>Activite' 2.2.2</t>
  </si>
  <si>
    <t>Activite 2.2.3</t>
  </si>
  <si>
    <t>Formulation du resultat/ produit/activite</t>
  </si>
  <si>
    <t xml:space="preserve">Pourcentage du budget pour chaque produit ou activite reserve pour action directe sur égalité des sexes et autonomisation des femmes (GEWE) (cas echeant) </t>
  </si>
  <si>
    <t>Produit total</t>
  </si>
  <si>
    <t>Sous-budget total du projet</t>
  </si>
  <si>
    <t>Coûts indirects (7%):</t>
  </si>
  <si>
    <t>Répartition des tranches basée sur la performance</t>
  </si>
  <si>
    <t>Première tranche</t>
  </si>
  <si>
    <t>Deuxième tranche</t>
  </si>
  <si>
    <t>Troisième tranche (le cas échéant)</t>
  </si>
  <si>
    <t>% alloué à GEWE</t>
  </si>
  <si>
    <t>% alloué à S&amp;E</t>
  </si>
  <si>
    <t>Totaux</t>
  </si>
  <si>
    <t>RESULTAT 1</t>
  </si>
  <si>
    <t>Produit 1.1</t>
  </si>
  <si>
    <t>Total pour produit 1.1 (du tableau 1)</t>
  </si>
  <si>
    <t>1. Personnel et autres employés</t>
  </si>
  <si>
    <t>2. Fournitures, produits de base, matériels</t>
  </si>
  <si>
    <t>3. Équipement, véhicules et mobilier (compte tenu de la dépréciation)</t>
  </si>
  <si>
    <t>4. Services contractuels</t>
  </si>
  <si>
    <t>5. Frais de déplacement</t>
  </si>
  <si>
    <t>6. Transferts et subventions aux homologues</t>
  </si>
  <si>
    <t>7. Frais généraux de fonctionnement et autres coûts directs</t>
  </si>
  <si>
    <t>Produit 1.2</t>
  </si>
  <si>
    <t>Total pour produit 1.2 (du tableau 1)</t>
  </si>
  <si>
    <t>Produit 1.3</t>
  </si>
  <si>
    <t>Total pour produit 1.3 (du tableau 1)</t>
  </si>
  <si>
    <t>Produit 1.4</t>
  </si>
  <si>
    <t>Total pour produit 1.4 (du tableau 1)</t>
  </si>
  <si>
    <t>RESULTAT 2</t>
  </si>
  <si>
    <t>Total pour produit 2.1 (du tableau 1)</t>
  </si>
  <si>
    <t>Total pour produit 2.2 (du tableau 1)</t>
  </si>
  <si>
    <t>Annex 1 : Guide de MPTFO sur les catégories de frais de l’ONU</t>
  </si>
  <si>
    <r>
      <rPr>
        <b/>
        <sz val="11"/>
        <color theme="1"/>
        <rFont val="Calibri"/>
        <family val="2"/>
        <scheme val="minor"/>
      </rPr>
      <t>2. Provisions, produits de base, matériaux :</t>
    </r>
    <r>
      <rPr>
        <sz val="11"/>
        <color theme="1"/>
        <rFont val="Calibri"/>
        <family val="2"/>
        <scheme val="minor"/>
      </rPr>
      <t xml:space="preserve"> inclus tout frais directs et indirects (ex : cargaison, transports, livraison, distribution) associés à l’approvisionnement des provisions, produits de base et les matériaux. Les fournitures de bureaux seront désignées comme « fonctionnement général ».</t>
    </r>
  </si>
  <si>
    <r>
      <t xml:space="preserve">3. L’équipement, véhicules et fournitures incluant leur perte de valeur : </t>
    </r>
    <r>
      <rPr>
        <sz val="11"/>
        <color theme="1"/>
        <rFont val="Calibri"/>
        <family val="2"/>
        <scheme val="minor"/>
      </rPr>
      <t>pour ceux déclarant sur UNSAS ou UNSAS de base modifié (ex : les dépenses directes), cela se rapporterait à tous les coûts de mise en service. Pour ceux qui font les normes des donateurs selon les normes IPSAS , cela équivaudrait à une dépréciation par période.</t>
    </r>
  </si>
  <si>
    <r>
      <rPr>
        <b/>
        <sz val="11"/>
        <color theme="1"/>
        <rFont val="Calibri"/>
        <family val="2"/>
        <scheme val="minor"/>
      </rPr>
      <t>5. Déplacements :</t>
    </r>
    <r>
      <rPr>
        <sz val="11"/>
        <color theme="1"/>
        <rFont val="Calibri"/>
        <family val="2"/>
        <scheme val="minor"/>
      </rPr>
      <t xml:space="preserve"> comprend les déplacements du personnel et des autres agents payés par l’organisation directement liée au projet.</t>
    </r>
  </si>
  <si>
    <r>
      <t>7. Frais généraux de fonctionnement et autres coûts directs :</t>
    </r>
    <r>
      <rPr>
        <sz val="11"/>
        <color theme="1"/>
        <rFont val="Calibri"/>
        <family val="2"/>
        <scheme val="minor"/>
      </rPr>
      <t xml:space="preserve"> inclut tous les frais généraux de fonctionnement d’un bureau. Les exemples comprennent les télécommunications, les loyers, les charges financières et d’autres coûts qui ne peuvent pas être associés à d’autres catégories de dépenses.</t>
    </r>
  </si>
  <si>
    <r>
      <t xml:space="preserve">Note: Le PBF n'accepte pas les projets avec moins de 5% pour le S&amp;E et moins 15% pour le GEWE. Ces chiffres apparaîtront </t>
    </r>
    <r>
      <rPr>
        <sz val="11"/>
        <color rgb="FFFF0000"/>
        <rFont val="Calibri"/>
        <family val="2"/>
        <scheme val="minor"/>
      </rPr>
      <t>en</t>
    </r>
    <r>
      <rPr>
        <sz val="11"/>
        <color theme="1"/>
        <rFont val="Calibri"/>
        <family val="2"/>
        <scheme val="minor"/>
      </rPr>
      <t xml:space="preserve"> </t>
    </r>
    <r>
      <rPr>
        <sz val="11"/>
        <color rgb="FFFF0000"/>
        <rFont val="Calibri"/>
        <family val="2"/>
        <scheme val="minor"/>
      </rPr>
      <t>rouge</t>
    </r>
    <r>
      <rPr>
        <sz val="11"/>
        <color theme="1"/>
        <rFont val="Calibri"/>
        <family val="2"/>
        <scheme val="minor"/>
      </rPr>
      <t xml:space="preserve"> si ce seuil minimum n'est pas atteint.</t>
    </r>
  </si>
  <si>
    <t>Tableau 2 - Répartition des produits par catégories de budget de l’ONU</t>
  </si>
  <si>
    <r>
      <t xml:space="preserve">1. Frais d’équipe et dépenses du personnel : </t>
    </r>
    <r>
      <rPr>
        <sz val="11"/>
        <color theme="1"/>
        <rFont val="Calibri"/>
        <family val="2"/>
        <scheme val="minor"/>
      </rPr>
      <t>inclus tout frais liés aux dépenses de l’équipe, comprenant les salaires, les ajustements et les droits de l’équipe</t>
    </r>
    <r>
      <rPr>
        <b/>
        <sz val="11"/>
        <color theme="1"/>
        <rFont val="Calibri"/>
        <family val="2"/>
        <scheme val="minor"/>
      </rPr>
      <t>.</t>
    </r>
  </si>
  <si>
    <r>
      <t xml:space="preserve">4. Services contractuels : </t>
    </r>
    <r>
      <rPr>
        <sz val="11"/>
        <color theme="1"/>
        <rFont val="Calibri"/>
        <family val="2"/>
        <scheme val="minor"/>
      </rPr>
      <t>services sous-traités par une organisation qui suit le processus normal d'approvisionnement . Dans la terminologie IPSAS, cela serait similaire aux transactions d'échange. Cela pourrait inclure contrats passés avec des ONG s’ils ressemblent davantage à des marchés de services qu’à un transfert de subvention.</t>
    </r>
  </si>
  <si>
    <r>
      <t xml:space="preserve">6. Transferts et subventions aux homologues : </t>
    </r>
    <r>
      <rPr>
        <sz val="11"/>
        <color theme="1"/>
        <rFont val="Calibri"/>
        <family val="2"/>
        <scheme val="minor"/>
      </rPr>
      <t>comprend les transferts aux homologues nationaux et tout autre transfert effectué à un partenaire de mise-en-oeuvre (par exemple une ONG) qui ne ressemble pas à un contrat de service commercial comme ci-dessus. En termes IPSAS, cela ressemblerait davantage à des transactions sans échange.</t>
    </r>
  </si>
  <si>
    <t>7% Indirect Costs</t>
  </si>
  <si>
    <t xml:space="preserve">Sub-Total </t>
  </si>
  <si>
    <t>Niveau de depense/ engagement actuel 
(a remplir au moment des rapports de projet)</t>
  </si>
  <si>
    <r>
      <t xml:space="preserve">$ alloué à GEWE </t>
    </r>
    <r>
      <rPr>
        <sz val="11"/>
        <color theme="1"/>
        <rFont val="Calibri"/>
        <family val="2"/>
        <scheme val="minor"/>
      </rPr>
      <t>(inclut coûts indirects)</t>
    </r>
  </si>
  <si>
    <r>
      <t xml:space="preserve">$ alloué à S&amp;E </t>
    </r>
    <r>
      <rPr>
        <sz val="11"/>
        <color theme="1"/>
        <rFont val="Calibri"/>
        <family val="2"/>
        <scheme val="minor"/>
      </rPr>
      <t>(inclut coûts indirects)</t>
    </r>
  </si>
  <si>
    <t>Total des dépenses</t>
  </si>
  <si>
    <t>Taux d'exécution</t>
  </si>
  <si>
    <t>Third Tranche:</t>
  </si>
  <si>
    <t>Annex D - PBF Project Budget</t>
  </si>
  <si>
    <r>
      <rPr>
        <b/>
        <u/>
        <sz val="18"/>
        <color theme="1"/>
        <rFont val="Calibri"/>
        <family val="2"/>
        <scheme val="minor"/>
      </rPr>
      <t>Instructions</t>
    </r>
    <r>
      <rPr>
        <b/>
        <sz val="28"/>
        <color theme="1"/>
        <rFont val="Calibri"/>
        <family val="2"/>
        <scheme val="minor"/>
      </rPr>
      <t xml:space="preserve">
</t>
    </r>
    <r>
      <rPr>
        <b/>
        <sz val="12"/>
        <color theme="1"/>
        <rFont val="Calibri"/>
        <family val="2"/>
        <scheme val="minor"/>
      </rPr>
      <t xml:space="preserve">1. Ne remplissez que les cellules blanches. Les cellules grises sont verrouillées et / ou contiennent des formules de feuille de calcul.
2. Remplissez les feuilles 1 et 2.
</t>
    </r>
    <r>
      <rPr>
        <sz val="12"/>
        <color theme="1"/>
        <rFont val="Calibri"/>
        <family val="2"/>
        <scheme val="minor"/>
      </rPr>
      <t xml:space="preserve">a) Premièrement, préparez un </t>
    </r>
    <r>
      <rPr>
        <b/>
        <sz val="12"/>
        <color theme="1"/>
        <rFont val="Calibri"/>
        <family val="2"/>
        <scheme val="minor"/>
      </rPr>
      <t xml:space="preserve">budget organisé par activité / produit / résultat dans la feuille 1. </t>
    </r>
    <r>
      <rPr>
        <sz val="12"/>
        <color theme="1"/>
        <rFont val="Calibri"/>
        <family val="2"/>
        <scheme val="minor"/>
      </rPr>
      <t>(Les montants des activités peuvent être estimations indicatives.)</t>
    </r>
    <r>
      <rPr>
        <b/>
        <sz val="12"/>
        <color theme="1"/>
        <rFont val="Calibri"/>
        <family val="2"/>
        <scheme val="minor"/>
      </rPr>
      <t xml:space="preserve">
</t>
    </r>
    <r>
      <rPr>
        <sz val="12"/>
        <color theme="1"/>
        <rFont val="Calibri"/>
        <family val="2"/>
        <scheme val="minor"/>
      </rPr>
      <t>b) Ensuite, divisez chaque budget</t>
    </r>
    <r>
      <rPr>
        <b/>
        <sz val="12"/>
        <color theme="1"/>
        <rFont val="Calibri"/>
        <family val="2"/>
        <scheme val="minor"/>
      </rPr>
      <t xml:space="preserve"> en fonction des catégories de budget des Nations Unies dans la feuille 2.
3. N'utilisez pas les feuilles 4 ou 5,</t>
    </r>
    <r>
      <rPr>
        <sz val="12"/>
        <color theme="1"/>
        <rFont val="Calibri"/>
        <family val="2"/>
        <scheme val="minor"/>
      </rPr>
      <t xml:space="preserve"> qui sont destinées au MPTF et au PBSO.</t>
    </r>
    <r>
      <rPr>
        <b/>
        <sz val="12"/>
        <color theme="1"/>
        <rFont val="Calibri"/>
        <family val="2"/>
        <scheme val="minor"/>
      </rPr>
      <t xml:space="preserve">
</t>
    </r>
    <r>
      <rPr>
        <sz val="12"/>
        <color theme="1"/>
        <rFont val="Calibri"/>
        <family val="2"/>
        <scheme val="minor"/>
      </rPr>
      <t xml:space="preserve">4. Laissez  en blanc toutes les organisations / résultats / réalisations / activités qui ne sont pas nécessaires. </t>
    </r>
    <r>
      <rPr>
        <b/>
        <sz val="12"/>
        <color theme="1"/>
        <rFont val="Calibri"/>
        <family val="2"/>
        <scheme val="minor"/>
      </rPr>
      <t xml:space="preserve">NE PAS supprimer les cellules.
</t>
    </r>
    <r>
      <rPr>
        <sz val="14"/>
        <color theme="1"/>
        <rFont val="Calibri"/>
        <family val="2"/>
        <scheme val="minor"/>
      </rPr>
      <t xml:space="preserve">
</t>
    </r>
    <r>
      <rPr>
        <i/>
        <sz val="14"/>
        <color theme="1"/>
        <rFont val="Calibri"/>
        <family val="2"/>
        <scheme val="minor"/>
      </rPr>
      <t>Pour la feuille 1</t>
    </r>
    <r>
      <rPr>
        <b/>
        <sz val="14"/>
        <color theme="1"/>
        <rFont val="Calibri"/>
        <family val="2"/>
        <scheme val="minor"/>
      </rPr>
      <t xml:space="preserve">
</t>
    </r>
    <r>
      <rPr>
        <sz val="12"/>
        <color theme="1"/>
        <rFont val="Calibri"/>
        <family val="2"/>
        <scheme val="minor"/>
      </rPr>
      <t xml:space="preserve">1. Assurez-vous d’inclure </t>
    </r>
    <r>
      <rPr>
        <b/>
        <sz val="12"/>
        <color theme="1"/>
        <rFont val="Calibri"/>
        <family val="2"/>
        <scheme val="minor"/>
      </rPr>
      <t xml:space="preserve">% en faveur de l’égalité des sexes et de l’autonomisation des femmes (GEWE) et une justification
2. Ne pas ajuster les montants des tranches </t>
    </r>
    <r>
      <rPr>
        <sz val="12"/>
        <color theme="1"/>
        <rFont val="Calibri"/>
        <family val="2"/>
        <scheme val="minor"/>
      </rPr>
      <t xml:space="preserve">sans consulter PBSO.
</t>
    </r>
    <r>
      <rPr>
        <sz val="14"/>
        <color theme="1"/>
        <rFont val="Calibri"/>
        <family val="2"/>
        <scheme val="minor"/>
      </rPr>
      <t xml:space="preserve">
</t>
    </r>
    <r>
      <rPr>
        <i/>
        <sz val="14"/>
        <color theme="1"/>
        <rFont val="Calibri"/>
        <family val="2"/>
        <scheme val="minor"/>
      </rPr>
      <t>Pour la feuille 2</t>
    </r>
    <r>
      <rPr>
        <b/>
        <sz val="14"/>
        <color theme="1"/>
        <rFont val="Calibri"/>
        <family val="2"/>
        <scheme val="minor"/>
      </rPr>
      <t xml:space="preserve">
</t>
    </r>
    <r>
      <rPr>
        <sz val="12"/>
        <color theme="1"/>
        <rFont val="Calibri"/>
        <family val="2"/>
        <scheme val="minor"/>
      </rPr>
      <t xml:space="preserve">1. Divisez chaque budget en fonction des catégories de budget des Nations Unies </t>
    </r>
    <r>
      <rPr>
        <b/>
        <sz val="12"/>
        <color theme="1"/>
        <rFont val="Calibri"/>
        <family val="2"/>
        <scheme val="minor"/>
      </rPr>
      <t xml:space="preserve">
2. </t>
    </r>
    <r>
      <rPr>
        <sz val="12"/>
        <color theme="1"/>
        <rFont val="Calibri"/>
        <family val="2"/>
        <scheme val="minor"/>
      </rPr>
      <t xml:space="preserve"> À titre de référence, les totaux des produits ont été transférés du tableau 1. </t>
    </r>
    <r>
      <rPr>
        <b/>
        <sz val="12"/>
        <color theme="1"/>
        <rFont val="Calibri"/>
        <family val="2"/>
        <scheme val="minor"/>
      </rPr>
      <t>Les totaux des produits doivent correspondre et seront sinon affichés en</t>
    </r>
    <r>
      <rPr>
        <sz val="12"/>
        <color theme="1"/>
        <rFont val="Calibri"/>
        <family val="2"/>
        <scheme val="minor"/>
      </rPr>
      <t xml:space="preserve"> </t>
    </r>
    <r>
      <rPr>
        <b/>
        <sz val="12"/>
        <color rgb="FFFF0000"/>
        <rFont val="Calibri"/>
        <family val="2"/>
        <scheme val="minor"/>
      </rPr>
      <t>rouge</t>
    </r>
    <r>
      <rPr>
        <sz val="12"/>
        <color theme="1"/>
        <rFont val="Calibri"/>
        <family val="2"/>
        <scheme val="minor"/>
      </rPr>
      <t>.</t>
    </r>
  </si>
  <si>
    <r>
      <t>Justification du montant à GEWE</t>
    </r>
    <r>
      <rPr>
        <sz val="12"/>
        <color theme="1"/>
        <rFont val="Calibri"/>
        <family val="2"/>
        <scheme val="minor"/>
      </rPr>
      <t xml:space="preserve"> (par exemple, la formation comprend une session sur l'égalité des sexes, des efforts spécifiques déployés pour assurer une représentation égale des femmes et des hommes, etc.)</t>
    </r>
  </si>
  <si>
    <r>
      <t>Notes quelconque le cas echeant</t>
    </r>
    <r>
      <rPr>
        <sz val="12"/>
        <color theme="1"/>
        <rFont val="Calibri"/>
        <family val="2"/>
        <scheme val="minor"/>
      </rPr>
      <t xml:space="preserve"> (e.g sur types des entrants ou justification du budget)</t>
    </r>
  </si>
  <si>
    <t>Recrutement du staff du Secrétariat</t>
  </si>
  <si>
    <t>La coordination, le suivi &amp; évaluation et le rapportage des résultats du portefeuille du PBF sont assurés par le Secrétariat PBF</t>
  </si>
  <si>
    <t>Produit  1.1 : Le Secrétariat PBF est mis en place et fonctionnel</t>
  </si>
  <si>
    <t>Fonctionnement  du Secrétariat (l'entretien du bureau, équipements, eau et électricité, vehicule etc.)</t>
  </si>
  <si>
    <t>Soutien et participation aux événements liés à la consolidation de la paix (Journée Internationale de la Paix) et autres manifestations organisées par les associations locales</t>
  </si>
  <si>
    <t>Le cadre stratégique et technique pour l’identification de projets de consolidation de la paix ayant un effet catalytique est mis en place, en complémentarité avec d’autres plan stratégiques (UNDAFs, PRSP, Stratégies régionales, etc..)</t>
  </si>
  <si>
    <t>Elaboration d’une cartographie des acteurs (UN, Gouvernement, SCOs, PTF) dans le domaine de la consolidation de la paix qui est mise à jour régulièrement et identification des gaps et points d’entrées programmatiques pour les projets du PBF</t>
  </si>
  <si>
    <t>Elaboration, facilitation de la coordination et la mise à jour périodique de l'analyse des conflits en étroite collaboration avec le SNU, le Gouvernement, la Société Civile et les PTF</t>
  </si>
  <si>
    <t>Renforcement des capacités des agences récipiendaires et des partenaires (OSC, ONG, Gouvernement) en matière d’approches sensibles aux conflits, consolidation de la paix et programmation sensible au genre, à l'autonomisation des femmes et des jeunes</t>
  </si>
  <si>
    <t>Etudes spécifiques sur l'analyse des conflits en fonction d'événements conjonturels observés</t>
  </si>
  <si>
    <t xml:space="preserve">Des mécanismes de coordination entre les projets et les partenaires clés sont mise en place pour assurer la réalisation des résultats stratégiques du portefeuille PBF et la cohérence/synergies entre les projets et les activités. </t>
  </si>
  <si>
    <t>Appui au rôle de coordination du RC dans le cadre de la programmation en consolidation de la paix , en étroite collaboration avec le Conseiller en Paix et Développement (PDA) et ou le Strategic Planner dans le bureau du RC</t>
  </si>
  <si>
    <t>Appui au mécanisme de coordination stratégique( COCS ), synergie du portefeuille PBF entre les agences onusiennes, les ONGs récipiendaires et le Gouvernement (Primature)-réunions mensuelles-</t>
  </si>
  <si>
    <t>Appui à la tenue des réunions de coordination technique/ synergie (Comités Techniques de Suivi de la mise en oeuvre) des projets entre les Agences du SNU, les OSC, ONG et les Ministères.</t>
  </si>
  <si>
    <t>Organisation ou participation, le cas échéant des réunions régionales dans le cadre des projets transfrontaliers et s’assurer de la coordination avec les autres pays impliquées</t>
  </si>
  <si>
    <t>Le suivi et évaluation du portefeuille du PBF est assuré</t>
  </si>
  <si>
    <t>Activite 1.4.9</t>
  </si>
  <si>
    <t>Documentation, analyse, publication et dissémination des leçons apprises dans le cadre de la mise en œuvre du portefeuille des projets PBF (ateliers, mini-retraite, plateformes adéquates, etc…)</t>
  </si>
  <si>
    <t>Enquêtes initiales de perception projets PRF</t>
  </si>
  <si>
    <t>Enquêtes finales de perception projets PRF</t>
  </si>
  <si>
    <t>Effectuer des missions régulières sur le terrain pour le suivi des projets PBF et produire des rapports de mission  à partager avec le RCO et PBSO</t>
  </si>
  <si>
    <t xml:space="preserve">Appui à la mise en place d'un mécanisme de suivi communautaire et de communication systématique sur les projets PBF à travers des échanges entre les communautés bénéficiaires, les Comités de Pilotage et le Secrétariat PBF. </t>
  </si>
  <si>
    <t>Ebaucher le rapport annuel stratégique de consolidation de la paix à travers un processus consultatif, et le soumettre au Gouvernement (Primature) et, subséquemment au Bureau pour la Consolidation de la Paix à New York, pour le 1er décembre de chaque année au plus tard</t>
  </si>
  <si>
    <t>Organisation des missions de supervision inter-agences élargies au siège et appuyer les missions de suivi du PBSO (le cas échéant).</t>
  </si>
  <si>
    <t>Liaison régulière avec PBSO par rapport à la mise en œuvre des projets PBF, l’évolution du contexte socio-politique et les processus de planification au sein de UNCT et du Gouvernement en lien avec les activités du PBF</t>
  </si>
  <si>
    <t>Le Secrétariat et les Comités de Pilotage des projets et le Bureau du Coordonnateur Résident du Système des Nations Unies sont appuyés afin d’assurer leur rôle d’orientation stratégique, de l’endossement des projets PBF et de suivi et évaluation du portefeuille,</t>
  </si>
  <si>
    <t>Les capacités des Comités de Pilotage (y compris au niveau technique) et des autres partenaires pertinents sont renforcées pour assurer la supervision et le suivi &amp; évaluation des projets du PBF.</t>
  </si>
  <si>
    <t xml:space="preserve">Organisation de réunions régulières des Comités de Pilotage (y compris au niveau technique) des projets pour examiner et évaluer les propositions progrès de la mise en œuvre des projets; leur suivi et évaluation, le progrès de la mise en œuvre de l’ensemble du portefeuille PBF </t>
  </si>
  <si>
    <t>Entreprendre des examens et de contrôle-qualité des documents relatifs au PBF (y compris des documents de projet et des rapports y relatifs) avant toute soumission aux Comités de Pilotage, et Bureau pour la Consolidation de la Paix, afin d’aider les RUNOs à renforcer la qualité des produits, en ligne avec les notes d’orientation du PBF. S’assurer que les questions transversales importantes pour le PBF (telles que le genre) soient prises en compte</t>
  </si>
  <si>
    <t>Faciliter l’organisation de missions de monitoring par les entités nationales (Primature et ministères clés) pour la revue de la mise en œuvre du portefeuille du PBF, tel que requis</t>
  </si>
  <si>
    <t xml:space="preserve">Fournir un appui-conseil au management des Nations Unies, à la Primature et aux différents Comités de Pilotage des projets, sur des questions relatives à la consolidation de la paix et s’assurer que les projets financés par le PBF intègrent les meilleures pratiques relatives à la consolidation de la paix sur ces questions. </t>
  </si>
  <si>
    <t>Le plaidoyer, la communication et le partenariat/création de réseaux sont assurées pour promouvoir une meilleure compréhension et connaissance du portefeuille PBF et de ses résultats  par les autorités nationales, la société civile, les bailleurs de fonds et le grand public</t>
  </si>
  <si>
    <t>Accompagnement des partenaires de mise en œuvre des projets du portefeuille du PBF et les autres partenaires clés de consolidation de la paix pour une meilleure comprehension et appropriation des orientations du PBF, y compris les questions de genre et les demandes en matière de rapportage</t>
  </si>
  <si>
    <t xml:space="preserve">Elaboration et mise en œuvre d'un plan de communication intégré afin de promouvoir la visibilité des activités du PBF dans le pays </t>
  </si>
  <si>
    <t>Développement et mise en œuvre d’une stratégie de mobilisation de ressources pour la pérennisation des programmes projets du PBF (Assurer les effets catalytiques des projets PBF)</t>
  </si>
  <si>
    <t>Chauffeur NPSA 2</t>
  </si>
  <si>
    <t xml:space="preserve">Renforcement des capacités du personnel du Secretariat.  </t>
  </si>
  <si>
    <t>Coordonnateur National - NOC</t>
  </si>
  <si>
    <t>Chargé de Suivi Evaluation VNU international</t>
  </si>
  <si>
    <r>
      <rPr>
        <u/>
        <sz val="12"/>
        <color theme="1"/>
        <rFont val="Calibri"/>
        <family val="2"/>
        <scheme val="minor"/>
      </rPr>
      <t xml:space="preserve">Evaluation finale indépendante du Projet Secrétariat  </t>
    </r>
    <r>
      <rPr>
        <u/>
        <sz val="12"/>
        <color rgb="FF00B0F0"/>
        <rFont val="Calibri"/>
        <family val="2"/>
        <scheme val="minor"/>
      </rPr>
      <t xml:space="preserve"> </t>
    </r>
    <r>
      <rPr>
        <sz val="12"/>
        <color rgb="FF00B0F0"/>
        <rFont val="Calibri"/>
        <family val="2"/>
        <scheme val="minor"/>
      </rPr>
      <t>Appui à l’évaluation du portefeuille PBF</t>
    </r>
    <r>
      <rPr>
        <sz val="12"/>
        <color theme="1"/>
        <rFont val="Calibri"/>
        <family val="2"/>
        <scheme val="minor"/>
      </rPr>
      <t xml:space="preserve"> </t>
    </r>
  </si>
  <si>
    <t>Mettre en place un mécanisme de suivi du portefeuille (installation d’un logiciel, collecte et analyse des données)</t>
  </si>
  <si>
    <t>Activite 1.4.10</t>
  </si>
  <si>
    <t>Quatrieme tranche</t>
  </si>
  <si>
    <t>Cinquieme tranche</t>
  </si>
  <si>
    <t>Sixieme tranche</t>
  </si>
  <si>
    <t>Fourth tranche</t>
  </si>
  <si>
    <t>fifth tranche</t>
  </si>
  <si>
    <t>sixth tranche</t>
  </si>
  <si>
    <t>Septième tranche</t>
  </si>
  <si>
    <t>Huitième tranche</t>
  </si>
  <si>
    <t>Seventh</t>
  </si>
  <si>
    <t>Eighth</t>
  </si>
  <si>
    <t>pour la prise en compte du genre dans l'organisation de ces évenements</t>
  </si>
  <si>
    <t>Analyste Communiocation FT NOA</t>
  </si>
  <si>
    <t>Total 2020-2023</t>
  </si>
  <si>
    <t>Depense au 30 Septembre 2023</t>
  </si>
  <si>
    <t>Solde au 30 Septembre 2023</t>
  </si>
  <si>
    <t>30%</t>
  </si>
  <si>
    <t>Dans le cadre de sa mission fera la promotion du genre</t>
  </si>
  <si>
    <t>Des thematiques liées à la promotion du genre seront inclues</t>
  </si>
  <si>
    <t xml:space="preserve">pour la prise en compte du genre dans les achats </t>
  </si>
  <si>
    <t>Pour la prise en charge des femmes participantes à cette activité et dans l'echantillon des bénéficiaires et faire la promotion du genre</t>
  </si>
  <si>
    <t>Pour la prise en charge des femmes participantes à cette activité en mettant l'accent sur la promotion du genre</t>
  </si>
  <si>
    <t>Organisation recipiendiaire  (budget en USD) PNUD 2020-2021</t>
  </si>
  <si>
    <t>Organisation recipiendiaire (budget en USD) PNUD 2022</t>
  </si>
  <si>
    <t>Organisation recipiendiaire  (budget en USD)  PNUD 2023</t>
  </si>
  <si>
    <t>Organisation recipiendiaire  (budget en USD) PNUD 2024-2025</t>
  </si>
  <si>
    <t>Pour la prise en charge des activités du RC et ou de la PDA lié à la promotion du genre</t>
  </si>
  <si>
    <t>Ce comité devra prendre en compte des sujets lié à la promotion du genre tel que la répresentativité des femmes dans les mécanismes de gouvernance des projets.</t>
  </si>
  <si>
    <t>Ces comités devront prendre en compte des sujets et les analyses lié à la promotion du genre assortit de récommandation pour renforcer ou pour promouvoir la prsie en compte du genre.</t>
  </si>
  <si>
    <t>cette documentation et analyse prendront en compte les dynamiques et promotion du genre et a la desaggregation par sexe</t>
  </si>
  <si>
    <t>Analyse de la dynamiques du genre, a la desaggregation par sexe et à la promotion du genre lors des entretiens et de la selection de l'echantillon de bénéficiaires</t>
  </si>
  <si>
    <t xml:space="preserve">Prise en compte de la dynamiques du genre, de la desaggregation par sexe et de la participation des femmes lors de la mis en place du mécanisme </t>
  </si>
  <si>
    <t>L'élaboration de ce rapport prendra en compte l'analyse des dynamiques et promotion du genre, à la desaggregation par sexe et l'implication des femmes à ce processus</t>
  </si>
  <si>
    <t xml:space="preserve">Ce mécanisme prendra en compte l'analyse des dynamiques et promotion du genre, à la desaggregation par sexe et l'implication des femmes </t>
  </si>
  <si>
    <t>Analyse de la dynamiques du genre, a la desaggregation par sexe et à la promotion du genre lors des entretiens et de la selection de l'echantillon de bénéficiaires lors de ces missions</t>
  </si>
  <si>
    <t>Ces missions prendront en compte l'analyse des dynamiques et promotion du genre, à la desaggregation par sexe et l'implication des femmes à ce processus</t>
  </si>
  <si>
    <t>Cette strategie prendra en compte la mobilisation des ressources pour soutenir les initiatives de promotion du genre</t>
  </si>
  <si>
    <t xml:space="preserve">Les outils de communications à concevoir mettront l'accent sur la promotion du genre et la visibilité des actions du PBF en matiere d'égalité des sexes </t>
  </si>
  <si>
    <t>Dans le cadre de l'appui apporté aux missions du PBF, il contribuera à la promotion du genre</t>
  </si>
  <si>
    <t>Organisation recipiendiaire  (budget en USD)  PNUD 2026</t>
  </si>
  <si>
    <t>Total budget decembre 2025</t>
  </si>
  <si>
    <t>Neuvème tranche</t>
  </si>
  <si>
    <t>Total budget de  2020 à decembre 2025</t>
  </si>
  <si>
    <t>Budget USD PNUD 2026</t>
  </si>
  <si>
    <t>Total Global</t>
  </si>
  <si>
    <t>Annexe D - Budget du Projet Appui à la Coordination des Projets PBF 2020-2026</t>
  </si>
  <si>
    <t>Assistant Administratif et Financier  NPSA 6</t>
  </si>
  <si>
    <t>Nigth</t>
  </si>
  <si>
    <t>Rapport Financier semestriel - Budget du projet PBF- Projet Appui à la Coordination des Projets PBF 2020-2026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</si>
</sst>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quot;$&quot;* #,##0.00_);_(&quot;$&quot;* \(#,##0.00\);_(&quot;$&quot;* &quot;-&quot;??_);_(@_)"/>
  </numFmts>
  <fonts count="29"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sz val="11"/>
      <color rgb="FFFF0000"/>
      <name val="Calibri"/>
      <family val="2"/>
      <scheme val="minor"/>
    </font>
    <font>
      <b/>
      <sz val="12"/>
      <color rgb="FFFF0000"/>
      <name val="Calibri"/>
      <family val="2"/>
      <scheme val="minor"/>
    </font>
    <font>
      <b/>
      <sz val="28"/>
      <color theme="1"/>
      <name val="Calibri"/>
      <family val="2"/>
      <scheme val="minor"/>
    </font>
    <font>
      <b/>
      <sz val="20"/>
      <color theme="1"/>
      <name val="Calibri"/>
      <family val="2"/>
      <scheme val="minor"/>
    </font>
    <font>
      <b/>
      <sz val="36"/>
      <color theme="1"/>
      <name val="Calibri"/>
      <family val="2"/>
      <scheme val="minor"/>
    </font>
    <font>
      <sz val="9"/>
      <color theme="1"/>
      <name val="Calibri"/>
      <family val="2"/>
      <scheme val="minor"/>
    </font>
    <font>
      <sz val="11"/>
      <name val="Calibri"/>
      <family val="2"/>
      <scheme val="minor"/>
    </font>
    <font>
      <b/>
      <sz val="24"/>
      <color rgb="FF00B0F0"/>
      <name val="Calibri"/>
      <family val="2"/>
      <scheme val="minor"/>
    </font>
    <font>
      <b/>
      <u/>
      <sz val="18"/>
      <color theme="1"/>
      <name val="Calibri"/>
      <family val="2"/>
      <scheme val="minor"/>
    </font>
    <font>
      <sz val="14"/>
      <color theme="1"/>
      <name val="Calibri"/>
      <family val="2"/>
      <scheme val="minor"/>
    </font>
    <font>
      <i/>
      <sz val="14"/>
      <color theme="1"/>
      <name val="Calibri"/>
      <family val="2"/>
      <scheme val="minor"/>
    </font>
    <font>
      <b/>
      <sz val="14"/>
      <color theme="1"/>
      <name val="Calibri"/>
      <family val="2"/>
      <scheme val="minor"/>
    </font>
    <font>
      <b/>
      <u/>
      <sz val="14"/>
      <color theme="1"/>
      <name val="Calibri"/>
      <family val="2"/>
      <scheme val="minor"/>
    </font>
    <font>
      <u/>
      <sz val="12"/>
      <color theme="1"/>
      <name val="Calibri"/>
      <family val="2"/>
      <scheme val="minor"/>
    </font>
    <font>
      <u/>
      <sz val="12"/>
      <color rgb="FF00B0F0"/>
      <name val="Calibri"/>
      <family val="2"/>
      <scheme val="minor"/>
    </font>
    <font>
      <sz val="12"/>
      <color rgb="FF00B0F0"/>
      <name val="Calibri"/>
      <family val="2"/>
      <scheme val="minor"/>
    </font>
    <font>
      <sz val="12"/>
      <color rgb="FFFF0000"/>
      <name val="Calibri"/>
      <family val="2"/>
      <scheme val="minor"/>
    </font>
    <font>
      <sz val="12"/>
      <name val="Calibri"/>
      <family val="2"/>
      <scheme val="minor"/>
    </font>
    <font>
      <sz val="10"/>
      <name val="Calibri"/>
      <family val="2"/>
      <scheme val="minor"/>
    </font>
    <font>
      <b/>
      <sz val="10"/>
      <color theme="1"/>
      <name val="Calibri"/>
      <family val="2"/>
      <scheme val="minor"/>
    </font>
    <font>
      <sz val="8"/>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rgb="FFFFFF00"/>
        <bgColor indexed="64"/>
      </patternFill>
    </fill>
    <fill>
      <patternFill patternType="solid">
        <fgColor rgb="FF00FFCC"/>
        <bgColor indexed="64"/>
      </patternFill>
    </fill>
    <fill>
      <patternFill patternType="solid">
        <fgColor rgb="FF00B0F0"/>
        <bgColor indexed="64"/>
      </patternFill>
    </fill>
  </fills>
  <borders count="6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thin">
        <color indexed="64"/>
      </left>
      <right/>
      <top/>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s>
  <cellStyleXfs count="3">
    <xf numFmtId="0" fontId="0" fillId="0" borderId="0"/>
    <xf numFmtId="164" fontId="4" fillId="0" borderId="0" applyFont="0" applyFill="0" applyBorder="0" applyAlignment="0" applyProtection="0"/>
    <xf numFmtId="9" fontId="4" fillId="0" borderId="0" applyFont="0" applyFill="0" applyBorder="0" applyAlignment="0" applyProtection="0"/>
  </cellStyleXfs>
  <cellXfs count="322">
    <xf numFmtId="0" fontId="0" fillId="0" borderId="0" xfId="0"/>
    <xf numFmtId="0" fontId="5" fillId="0" borderId="0" xfId="0" applyFont="1" applyAlignment="1">
      <alignment vertical="center" wrapText="1"/>
    </xf>
    <xf numFmtId="0" fontId="5" fillId="0" borderId="0" xfId="0" applyFont="1" applyAlignment="1" applyProtection="1">
      <alignment vertical="center" wrapText="1"/>
      <protection locked="0"/>
    </xf>
    <xf numFmtId="0" fontId="2" fillId="3" borderId="0" xfId="0" applyFont="1" applyFill="1" applyAlignment="1">
      <alignment vertical="center" wrapText="1"/>
    </xf>
    <xf numFmtId="0" fontId="5" fillId="3" borderId="0" xfId="0" applyFont="1" applyFill="1" applyAlignment="1" applyProtection="1">
      <alignment vertical="center" wrapText="1"/>
      <protection locked="0"/>
    </xf>
    <xf numFmtId="0" fontId="2" fillId="3" borderId="0" xfId="0" applyFont="1" applyFill="1" applyAlignment="1" applyProtection="1">
      <alignment vertical="center" wrapText="1"/>
      <protection locked="0"/>
    </xf>
    <xf numFmtId="0" fontId="5" fillId="3" borderId="0" xfId="0" applyFont="1" applyFill="1" applyAlignment="1">
      <alignment vertical="center" wrapText="1"/>
    </xf>
    <xf numFmtId="164" fontId="5" fillId="3" borderId="3" xfId="1" applyFont="1" applyFill="1" applyBorder="1" applyAlignment="1" applyProtection="1">
      <alignment horizontal="center" vertical="center" wrapText="1"/>
      <protection locked="0"/>
    </xf>
    <xf numFmtId="164" fontId="2" fillId="2" borderId="3" xfId="1" applyFont="1" applyFill="1" applyBorder="1" applyAlignment="1" applyProtection="1">
      <alignment horizontal="center" vertical="center" wrapText="1"/>
    </xf>
    <xf numFmtId="0" fontId="7" fillId="2" borderId="7" xfId="0" applyFont="1" applyFill="1" applyBorder="1" applyAlignment="1">
      <alignment vertical="center" wrapText="1"/>
    </xf>
    <xf numFmtId="164" fontId="2" fillId="2" borderId="5" xfId="1" applyFont="1" applyFill="1" applyBorder="1" applyAlignment="1" applyProtection="1">
      <alignment horizontal="center" vertical="center" wrapText="1"/>
    </xf>
    <xf numFmtId="164" fontId="5" fillId="3" borderId="0" xfId="1" applyFont="1" applyFill="1" applyBorder="1" applyAlignment="1" applyProtection="1">
      <alignment vertical="center" wrapText="1"/>
      <protection locked="0"/>
    </xf>
    <xf numFmtId="164" fontId="2" fillId="2" borderId="3" xfId="1" applyFont="1" applyFill="1" applyBorder="1" applyAlignment="1">
      <alignment vertical="center" wrapText="1"/>
    </xf>
    <xf numFmtId="0" fontId="2" fillId="2" borderId="7" xfId="0" applyFont="1" applyFill="1" applyBorder="1" applyAlignment="1">
      <alignment vertical="center" wrapText="1"/>
    </xf>
    <xf numFmtId="0" fontId="2" fillId="2" borderId="11" xfId="0" applyFont="1" applyFill="1" applyBorder="1" applyAlignment="1">
      <alignment vertical="center" wrapText="1"/>
    </xf>
    <xf numFmtId="0" fontId="7" fillId="2" borderId="7" xfId="0" applyFont="1" applyFill="1" applyBorder="1" applyAlignment="1" applyProtection="1">
      <alignment vertical="center" wrapText="1"/>
      <protection locked="0"/>
    </xf>
    <xf numFmtId="164" fontId="2" fillId="3" borderId="0" xfId="0" applyNumberFormat="1" applyFont="1" applyFill="1" applyAlignment="1">
      <alignment vertical="center" wrapText="1"/>
    </xf>
    <xf numFmtId="0" fontId="12" fillId="0" borderId="0" xfId="0" applyFont="1" applyAlignment="1">
      <alignment wrapText="1"/>
    </xf>
    <xf numFmtId="0" fontId="0" fillId="0" borderId="0" xfId="0" applyAlignment="1">
      <alignment wrapText="1"/>
    </xf>
    <xf numFmtId="0" fontId="0" fillId="3" borderId="0" xfId="0" applyFill="1" applyAlignment="1">
      <alignment wrapText="1"/>
    </xf>
    <xf numFmtId="0" fontId="0" fillId="0" borderId="0" xfId="0" applyAlignment="1">
      <alignment horizontal="center" wrapText="1"/>
    </xf>
    <xf numFmtId="0" fontId="2" fillId="3" borderId="0" xfId="0" applyFont="1" applyFill="1" applyAlignment="1">
      <alignment horizontal="left" wrapText="1"/>
    </xf>
    <xf numFmtId="164" fontId="2" fillId="0" borderId="0" xfId="1" applyFont="1" applyFill="1" applyBorder="1" applyAlignment="1" applyProtection="1">
      <alignment vertical="center" wrapText="1"/>
    </xf>
    <xf numFmtId="164" fontId="2" fillId="0" borderId="0" xfId="1" applyFont="1" applyFill="1" applyBorder="1" applyAlignment="1" applyProtection="1">
      <alignment horizontal="center" vertical="center" wrapText="1"/>
    </xf>
    <xf numFmtId="0" fontId="6" fillId="2" borderId="3" xfId="0" applyFont="1" applyFill="1" applyBorder="1" applyAlignment="1">
      <alignment vertical="center" wrapText="1"/>
    </xf>
    <xf numFmtId="0" fontId="6" fillId="2" borderId="3" xfId="0" applyFont="1" applyFill="1" applyBorder="1" applyAlignment="1" applyProtection="1">
      <alignment vertical="center" wrapText="1"/>
      <protection locked="0"/>
    </xf>
    <xf numFmtId="0" fontId="5" fillId="0" borderId="0" xfId="0" applyFont="1" applyAlignment="1">
      <alignment wrapText="1"/>
    </xf>
    <xf numFmtId="0" fontId="5" fillId="3" borderId="0" xfId="0" applyFont="1" applyFill="1" applyAlignment="1">
      <alignment wrapText="1"/>
    </xf>
    <xf numFmtId="164" fontId="2" fillId="4" borderId="3" xfId="1" applyFont="1" applyFill="1" applyBorder="1" applyAlignment="1" applyProtection="1">
      <alignment wrapText="1"/>
    </xf>
    <xf numFmtId="164" fontId="2" fillId="2" borderId="3" xfId="0" applyNumberFormat="1" applyFont="1" applyFill="1" applyBorder="1" applyAlignment="1">
      <alignment wrapText="1"/>
    </xf>
    <xf numFmtId="0" fontId="6" fillId="2" borderId="36" xfId="0" applyFont="1" applyFill="1" applyBorder="1" applyAlignment="1">
      <alignment vertical="center" wrapText="1"/>
    </xf>
    <xf numFmtId="164" fontId="2" fillId="2" borderId="36" xfId="0" applyNumberFormat="1" applyFont="1" applyFill="1" applyBorder="1" applyAlignment="1">
      <alignment wrapText="1"/>
    </xf>
    <xf numFmtId="0" fontId="2" fillId="2" borderId="12" xfId="0" applyFont="1" applyFill="1" applyBorder="1" applyAlignment="1">
      <alignment horizontal="left" wrapText="1"/>
    </xf>
    <xf numFmtId="164" fontId="2" fillId="2" borderId="12" xfId="0" applyNumberFormat="1" applyFont="1" applyFill="1" applyBorder="1" applyAlignment="1">
      <alignment horizontal="center" wrapText="1"/>
    </xf>
    <xf numFmtId="164" fontId="2" fillId="2" borderId="12" xfId="0" applyNumberFormat="1" applyFont="1" applyFill="1" applyBorder="1" applyAlignment="1">
      <alignment wrapText="1"/>
    </xf>
    <xf numFmtId="164" fontId="2" fillId="4" borderId="3" xfId="1" applyFont="1" applyFill="1" applyBorder="1" applyAlignment="1">
      <alignment wrapText="1"/>
    </xf>
    <xf numFmtId="164" fontId="2" fillId="3" borderId="4" xfId="1" applyFont="1" applyFill="1" applyBorder="1" applyAlignment="1" applyProtection="1">
      <alignment wrapText="1"/>
    </xf>
    <xf numFmtId="164" fontId="2" fillId="3" borderId="1" xfId="1" applyFont="1" applyFill="1" applyBorder="1" applyAlignment="1">
      <alignment wrapText="1"/>
    </xf>
    <xf numFmtId="164" fontId="2" fillId="3" borderId="2" xfId="0" applyNumberFormat="1" applyFont="1" applyFill="1" applyBorder="1" applyAlignment="1">
      <alignment wrapText="1"/>
    </xf>
    <xf numFmtId="164" fontId="2" fillId="3" borderId="1" xfId="1" applyFont="1" applyFill="1" applyBorder="1" applyAlignment="1" applyProtection="1">
      <alignment wrapText="1"/>
    </xf>
    <xf numFmtId="164" fontId="2" fillId="2" borderId="35" xfId="0" applyNumberFormat="1" applyFont="1" applyFill="1" applyBorder="1" applyAlignment="1">
      <alignment wrapText="1"/>
    </xf>
    <xf numFmtId="0" fontId="2" fillId="2" borderId="10" xfId="0" applyFont="1" applyFill="1" applyBorder="1" applyAlignment="1">
      <alignment horizontal="center" wrapText="1"/>
    </xf>
    <xf numFmtId="164" fontId="5" fillId="2" borderId="36" xfId="0" applyNumberFormat="1" applyFont="1" applyFill="1" applyBorder="1" applyAlignment="1">
      <alignment wrapText="1"/>
    </xf>
    <xf numFmtId="164" fontId="5" fillId="2" borderId="12" xfId="0" applyNumberFormat="1" applyFont="1" applyFill="1" applyBorder="1" applyAlignment="1">
      <alignment wrapText="1"/>
    </xf>
    <xf numFmtId="0" fontId="5" fillId="0" borderId="0" xfId="0" applyFont="1"/>
    <xf numFmtId="0" fontId="13" fillId="0" borderId="0" xfId="0" applyFont="1"/>
    <xf numFmtId="49" fontId="0" fillId="0" borderId="0" xfId="0" applyNumberFormat="1"/>
    <xf numFmtId="0" fontId="13" fillId="0" borderId="0" xfId="0" applyFont="1" applyAlignment="1">
      <alignment vertical="center"/>
    </xf>
    <xf numFmtId="49" fontId="14" fillId="0" borderId="0" xfId="0" applyNumberFormat="1" applyFont="1" applyAlignment="1">
      <alignment horizontal="left"/>
    </xf>
    <xf numFmtId="49" fontId="14" fillId="0" borderId="0" xfId="0" applyNumberFormat="1" applyFont="1" applyAlignment="1">
      <alignment horizontal="left" wrapText="1"/>
    </xf>
    <xf numFmtId="0" fontId="3" fillId="2" borderId="9" xfId="0" applyFont="1" applyFill="1" applyBorder="1"/>
    <xf numFmtId="0" fontId="3" fillId="2" borderId="7" xfId="0" applyFont="1" applyFill="1" applyBorder="1"/>
    <xf numFmtId="0" fontId="3" fillId="2" borderId="3" xfId="0" applyFont="1" applyFill="1" applyBorder="1"/>
    <xf numFmtId="0" fontId="3" fillId="2" borderId="8" xfId="0" applyFont="1" applyFill="1" applyBorder="1"/>
    <xf numFmtId="0" fontId="0" fillId="2" borderId="7" xfId="0" applyFill="1" applyBorder="1" applyAlignment="1">
      <alignment vertical="center" wrapText="1"/>
    </xf>
    <xf numFmtId="9" fontId="0" fillId="2" borderId="3" xfId="2" applyFont="1" applyFill="1" applyBorder="1" applyAlignment="1">
      <alignment vertical="center"/>
    </xf>
    <xf numFmtId="164" fontId="0" fillId="2" borderId="8" xfId="0" applyNumberFormat="1" applyFill="1" applyBorder="1" applyAlignment="1">
      <alignment vertical="center"/>
    </xf>
    <xf numFmtId="0" fontId="0" fillId="2" borderId="7" xfId="0" applyFill="1" applyBorder="1" applyAlignment="1">
      <alignment wrapText="1"/>
    </xf>
    <xf numFmtId="0" fontId="0" fillId="2" borderId="7" xfId="0" applyFill="1" applyBorder="1"/>
    <xf numFmtId="0" fontId="0" fillId="2" borderId="11" xfId="0" applyFill="1" applyBorder="1"/>
    <xf numFmtId="164" fontId="0" fillId="2" borderId="13" xfId="0" applyNumberFormat="1" applyFill="1" applyBorder="1" applyAlignment="1">
      <alignment vertical="center"/>
    </xf>
    <xf numFmtId="164" fontId="5" fillId="0" borderId="36" xfId="0" applyNumberFormat="1" applyFont="1" applyBorder="1" applyAlignment="1" applyProtection="1">
      <alignment wrapText="1"/>
      <protection locked="0"/>
    </xf>
    <xf numFmtId="164" fontId="5" fillId="3" borderId="36" xfId="1" applyFont="1" applyFill="1" applyBorder="1" applyAlignment="1" applyProtection="1">
      <alignment horizontal="center" vertical="center" wrapText="1"/>
      <protection locked="0"/>
    </xf>
    <xf numFmtId="164" fontId="5" fillId="0" borderId="3" xfId="0" applyNumberFormat="1" applyFont="1" applyBorder="1" applyAlignment="1" applyProtection="1">
      <alignment wrapText="1"/>
      <protection locked="0"/>
    </xf>
    <xf numFmtId="0" fontId="2" fillId="6" borderId="3" xfId="0" applyFont="1" applyFill="1" applyBorder="1" applyAlignment="1">
      <alignment vertical="center" wrapText="1"/>
    </xf>
    <xf numFmtId="0" fontId="2" fillId="2" borderId="3" xfId="0" applyFont="1" applyFill="1" applyBorder="1" applyAlignment="1">
      <alignment vertical="center" wrapText="1"/>
    </xf>
    <xf numFmtId="0" fontId="2" fillId="2" borderId="7" xfId="0" applyFont="1" applyFill="1" applyBorder="1" applyAlignment="1">
      <alignment horizontal="center" vertical="center" wrapText="1"/>
    </xf>
    <xf numFmtId="0" fontId="2" fillId="2" borderId="3" xfId="0" applyFont="1" applyFill="1" applyBorder="1" applyAlignment="1">
      <alignment horizontal="center" vertical="center" wrapText="1"/>
    </xf>
    <xf numFmtId="164" fontId="2" fillId="2" borderId="12" xfId="1" applyFont="1" applyFill="1" applyBorder="1" applyAlignment="1" applyProtection="1">
      <alignment vertical="center" wrapText="1"/>
    </xf>
    <xf numFmtId="9" fontId="2" fillId="2" borderId="13" xfId="2" applyFont="1" applyFill="1" applyBorder="1" applyAlignment="1" applyProtection="1">
      <alignment vertical="center" wrapText="1"/>
    </xf>
    <xf numFmtId="0" fontId="3" fillId="2" borderId="2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0" fillId="2" borderId="7" xfId="0" applyFill="1" applyBorder="1" applyAlignment="1">
      <alignment vertical="top" wrapText="1"/>
    </xf>
    <xf numFmtId="0" fontId="0" fillId="2" borderId="7" xfId="0" applyFill="1" applyBorder="1" applyAlignment="1">
      <alignment vertical="top"/>
    </xf>
    <xf numFmtId="0" fontId="0" fillId="2" borderId="11" xfId="0" applyFill="1" applyBorder="1" applyAlignment="1">
      <alignment vertical="top"/>
    </xf>
    <xf numFmtId="0" fontId="5" fillId="2" borderId="7" xfId="0" applyFont="1" applyFill="1" applyBorder="1" applyAlignment="1">
      <alignment vertical="center" wrapText="1"/>
    </xf>
    <xf numFmtId="0" fontId="2" fillId="2" borderId="36" xfId="0" applyFont="1" applyFill="1" applyBorder="1" applyAlignment="1">
      <alignment vertical="center" wrapText="1"/>
    </xf>
    <xf numFmtId="0" fontId="2" fillId="2" borderId="32" xfId="0" applyFont="1" applyFill="1" applyBorder="1" applyAlignment="1">
      <alignment vertical="center" wrapText="1"/>
    </xf>
    <xf numFmtId="164" fontId="2" fillId="2" borderId="4" xfId="0" applyNumberFormat="1" applyFont="1" applyFill="1" applyBorder="1" applyAlignment="1">
      <alignment wrapText="1"/>
    </xf>
    <xf numFmtId="164" fontId="2" fillId="3" borderId="1" xfId="0" applyNumberFormat="1" applyFont="1" applyFill="1" applyBorder="1" applyAlignment="1">
      <alignment wrapText="1"/>
    </xf>
    <xf numFmtId="164" fontId="5" fillId="2" borderId="3" xfId="0" applyNumberFormat="1" applyFont="1" applyFill="1" applyBorder="1" applyAlignment="1">
      <alignment wrapText="1"/>
    </xf>
    <xf numFmtId="164" fontId="5" fillId="2" borderId="3" xfId="1" applyFont="1" applyFill="1" applyBorder="1" applyAlignment="1">
      <alignment wrapText="1"/>
    </xf>
    <xf numFmtId="0" fontId="2" fillId="2" borderId="30" xfId="0" applyFont="1" applyFill="1" applyBorder="1" applyAlignment="1">
      <alignment wrapText="1"/>
    </xf>
    <xf numFmtId="164" fontId="2" fillId="2" borderId="31" xfId="0" applyNumberFormat="1" applyFont="1" applyFill="1" applyBorder="1" applyAlignment="1">
      <alignment wrapText="1"/>
    </xf>
    <xf numFmtId="9" fontId="2" fillId="3" borderId="8" xfId="2" applyFont="1" applyFill="1" applyBorder="1" applyAlignment="1" applyProtection="1">
      <alignment vertical="center" wrapText="1"/>
      <protection locked="0"/>
    </xf>
    <xf numFmtId="9" fontId="2" fillId="3" borderId="29" xfId="2" applyFont="1" applyFill="1" applyBorder="1" applyAlignment="1" applyProtection="1">
      <alignment vertical="center" wrapText="1"/>
      <protection locked="0"/>
    </xf>
    <xf numFmtId="9" fontId="2" fillId="3" borderId="29" xfId="2" applyFont="1" applyFill="1" applyBorder="1" applyAlignment="1" applyProtection="1">
      <alignment horizontal="right" vertical="center" wrapText="1"/>
      <protection locked="0"/>
    </xf>
    <xf numFmtId="9" fontId="0" fillId="0" borderId="0" xfId="2" applyFont="1"/>
    <xf numFmtId="164" fontId="2" fillId="4" borderId="5" xfId="1" applyFont="1" applyFill="1" applyBorder="1" applyAlignment="1" applyProtection="1">
      <alignment wrapText="1"/>
    </xf>
    <xf numFmtId="164" fontId="2" fillId="4" borderId="5" xfId="1" applyFont="1" applyFill="1" applyBorder="1" applyAlignment="1">
      <alignment wrapText="1"/>
    </xf>
    <xf numFmtId="164" fontId="2" fillId="2" borderId="5" xfId="0" applyNumberFormat="1" applyFont="1" applyFill="1" applyBorder="1" applyAlignment="1">
      <alignment wrapText="1"/>
    </xf>
    <xf numFmtId="0" fontId="5" fillId="0" borderId="4" xfId="0" applyFont="1" applyBorder="1" applyAlignment="1">
      <alignment wrapText="1"/>
    </xf>
    <xf numFmtId="0" fontId="5" fillId="3" borderId="1" xfId="0" applyFont="1" applyFill="1" applyBorder="1" applyAlignment="1">
      <alignment wrapText="1"/>
    </xf>
    <xf numFmtId="0" fontId="5" fillId="0" borderId="2" xfId="0" applyFont="1" applyBorder="1" applyAlignment="1">
      <alignment wrapText="1"/>
    </xf>
    <xf numFmtId="0" fontId="7" fillId="2" borderId="48" xfId="0" applyFont="1" applyFill="1" applyBorder="1" applyAlignment="1">
      <alignment vertical="center" wrapText="1"/>
    </xf>
    <xf numFmtId="0" fontId="7" fillId="2" borderId="48" xfId="0" applyFont="1" applyFill="1" applyBorder="1" applyAlignment="1" applyProtection="1">
      <alignment vertical="center" wrapText="1"/>
      <protection locked="0"/>
    </xf>
    <xf numFmtId="0" fontId="3" fillId="2" borderId="21" xfId="0" applyFont="1" applyFill="1" applyBorder="1" applyAlignment="1">
      <alignment wrapText="1"/>
    </xf>
    <xf numFmtId="0" fontId="0" fillId="2" borderId="21" xfId="0" applyFill="1" applyBorder="1" applyAlignment="1">
      <alignment wrapText="1"/>
    </xf>
    <xf numFmtId="0" fontId="3" fillId="2" borderId="22" xfId="0" applyFont="1" applyFill="1" applyBorder="1" applyAlignment="1">
      <alignment wrapText="1"/>
    </xf>
    <xf numFmtId="0" fontId="3" fillId="2" borderId="6" xfId="0" applyFont="1" applyFill="1" applyBorder="1" applyAlignment="1">
      <alignment horizontal="center" vertical="center"/>
    </xf>
    <xf numFmtId="0" fontId="3" fillId="2" borderId="21" xfId="0" applyFont="1" applyFill="1" applyBorder="1" applyAlignment="1">
      <alignment vertical="center" wrapText="1"/>
    </xf>
    <xf numFmtId="164" fontId="5" fillId="2" borderId="7" xfId="1" applyFont="1" applyFill="1" applyBorder="1" applyAlignment="1" applyProtection="1">
      <alignment wrapText="1"/>
    </xf>
    <xf numFmtId="164" fontId="2" fillId="2" borderId="3" xfId="1" applyFont="1" applyFill="1" applyBorder="1" applyAlignment="1">
      <alignment wrapText="1"/>
    </xf>
    <xf numFmtId="164" fontId="2" fillId="2" borderId="11" xfId="1" applyFont="1" applyFill="1" applyBorder="1" applyAlignment="1" applyProtection="1">
      <alignment wrapText="1"/>
    </xf>
    <xf numFmtId="164" fontId="2" fillId="2" borderId="12" xfId="1" applyFont="1" applyFill="1" applyBorder="1" applyAlignment="1">
      <alignment wrapText="1"/>
    </xf>
    <xf numFmtId="0" fontId="7" fillId="2" borderId="32" xfId="0" applyFont="1" applyFill="1" applyBorder="1" applyAlignment="1">
      <alignment vertical="center" wrapText="1"/>
    </xf>
    <xf numFmtId="164" fontId="5" fillId="2" borderId="5" xfId="0" applyNumberFormat="1" applyFont="1" applyFill="1" applyBorder="1" applyAlignment="1">
      <alignment wrapText="1"/>
    </xf>
    <xf numFmtId="164" fontId="5" fillId="2" borderId="26" xfId="1" applyFont="1" applyFill="1" applyBorder="1" applyAlignment="1" applyProtection="1">
      <alignment wrapText="1"/>
    </xf>
    <xf numFmtId="164" fontId="5" fillId="2" borderId="28" xfId="1" applyFont="1" applyFill="1" applyBorder="1" applyAlignment="1">
      <alignment wrapText="1"/>
    </xf>
    <xf numFmtId="164" fontId="2" fillId="3" borderId="0" xfId="1" applyFont="1" applyFill="1" applyBorder="1" applyAlignment="1" applyProtection="1">
      <alignment vertical="center" wrapText="1"/>
      <protection locked="0"/>
    </xf>
    <xf numFmtId="164" fontId="5" fillId="0" borderId="0" xfId="1" applyFont="1" applyFill="1" applyBorder="1" applyAlignment="1" applyProtection="1">
      <alignment vertical="center" wrapText="1"/>
      <protection locked="0"/>
    </xf>
    <xf numFmtId="164" fontId="0" fillId="0" borderId="0" xfId="1" applyFont="1" applyBorder="1" applyAlignment="1">
      <alignment wrapText="1"/>
    </xf>
    <xf numFmtId="164" fontId="2" fillId="3" borderId="0" xfId="1" applyFont="1" applyFill="1" applyBorder="1" applyAlignment="1">
      <alignment vertical="center" wrapText="1"/>
    </xf>
    <xf numFmtId="164" fontId="2" fillId="3" borderId="0" xfId="1" applyFont="1" applyFill="1" applyBorder="1" applyAlignment="1" applyProtection="1">
      <alignment horizontal="center" vertical="center" wrapText="1"/>
    </xf>
    <xf numFmtId="164" fontId="2" fillId="3" borderId="0" xfId="1" applyFont="1" applyFill="1" applyBorder="1" applyAlignment="1" applyProtection="1">
      <alignment horizontal="right" vertical="center" wrapText="1"/>
      <protection locked="0"/>
    </xf>
    <xf numFmtId="164" fontId="2" fillId="3" borderId="0" xfId="1" applyFont="1" applyFill="1" applyBorder="1" applyAlignment="1" applyProtection="1">
      <alignment vertical="center" wrapText="1"/>
    </xf>
    <xf numFmtId="164" fontId="2" fillId="0" borderId="0" xfId="1" applyFont="1" applyFill="1" applyBorder="1" applyAlignment="1">
      <alignment vertical="center" wrapText="1"/>
    </xf>
    <xf numFmtId="164" fontId="0" fillId="0" borderId="0" xfId="1" applyFont="1" applyFill="1" applyBorder="1" applyAlignment="1">
      <alignment wrapText="1"/>
    </xf>
    <xf numFmtId="164" fontId="11" fillId="3" borderId="0" xfId="1" applyFont="1" applyFill="1" applyBorder="1" applyAlignment="1">
      <alignment horizontal="left" wrapText="1"/>
    </xf>
    <xf numFmtId="0" fontId="1" fillId="2" borderId="7" xfId="0" applyFont="1" applyFill="1" applyBorder="1" applyAlignment="1">
      <alignment vertical="center" wrapText="1"/>
    </xf>
    <xf numFmtId="164" fontId="0" fillId="2" borderId="15" xfId="1" applyFont="1" applyFill="1" applyBorder="1" applyAlignment="1">
      <alignment vertical="center" wrapText="1"/>
    </xf>
    <xf numFmtId="9" fontId="0" fillId="2" borderId="13" xfId="2" applyFont="1" applyFill="1" applyBorder="1" applyAlignment="1">
      <alignment wrapText="1"/>
    </xf>
    <xf numFmtId="0" fontId="5" fillId="2" borderId="3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10" fillId="7" borderId="6" xfId="0" applyFont="1" applyFill="1" applyBorder="1" applyAlignment="1">
      <alignment vertical="top" wrapText="1"/>
    </xf>
    <xf numFmtId="164" fontId="0" fillId="0" borderId="0" xfId="1" applyFont="1" applyFill="1" applyBorder="1" applyAlignment="1">
      <alignment vertical="center" wrapText="1"/>
    </xf>
    <xf numFmtId="9" fontId="0" fillId="0" borderId="0" xfId="2" applyFont="1" applyFill="1" applyBorder="1" applyAlignment="1">
      <alignment wrapText="1"/>
    </xf>
    <xf numFmtId="164" fontId="2" fillId="2" borderId="3" xfId="1" applyFont="1" applyFill="1" applyBorder="1" applyAlignment="1" applyProtection="1">
      <alignment horizontal="center" vertical="center" wrapText="1"/>
      <protection locked="0"/>
    </xf>
    <xf numFmtId="0" fontId="7" fillId="2" borderId="49" xfId="0" applyFont="1" applyFill="1" applyBorder="1" applyAlignment="1">
      <alignment vertical="center" wrapText="1"/>
    </xf>
    <xf numFmtId="164" fontId="11" fillId="0" borderId="0" xfId="1" applyFont="1" applyFill="1" applyBorder="1" applyAlignment="1">
      <alignment horizontal="left" wrapText="1"/>
    </xf>
    <xf numFmtId="164" fontId="2" fillId="0" borderId="3" xfId="1" applyFont="1" applyFill="1" applyBorder="1" applyAlignment="1" applyProtection="1">
      <alignment horizontal="center" vertical="center" wrapText="1"/>
    </xf>
    <xf numFmtId="164" fontId="2" fillId="0" borderId="0" xfId="1" applyFont="1" applyFill="1" applyBorder="1" applyAlignment="1" applyProtection="1">
      <alignment vertical="center" wrapText="1"/>
      <protection locked="0"/>
    </xf>
    <xf numFmtId="164" fontId="2" fillId="0" borderId="0" xfId="1" applyFont="1" applyFill="1" applyBorder="1" applyAlignment="1" applyProtection="1">
      <alignment horizontal="right" vertical="center" wrapText="1"/>
      <protection locked="0"/>
    </xf>
    <xf numFmtId="0" fontId="2" fillId="8" borderId="3" xfId="0" applyFont="1" applyFill="1" applyBorder="1" applyAlignment="1">
      <alignment horizontal="center" vertical="center" wrapText="1"/>
    </xf>
    <xf numFmtId="0" fontId="1" fillId="3" borderId="3" xfId="0" applyFont="1" applyFill="1" applyBorder="1" applyAlignment="1" applyProtection="1">
      <alignment vertical="center" wrapText="1"/>
      <protection locked="0"/>
    </xf>
    <xf numFmtId="49" fontId="1" fillId="3" borderId="3" xfId="0" applyNumberFormat="1" applyFont="1" applyFill="1" applyBorder="1" applyAlignment="1" applyProtection="1">
      <alignment horizontal="left" vertical="top" wrapText="1"/>
      <protection locked="0"/>
    </xf>
    <xf numFmtId="164" fontId="1" fillId="3" borderId="3" xfId="1" applyFont="1" applyFill="1" applyBorder="1" applyAlignment="1" applyProtection="1">
      <alignment horizontal="left" vertical="top" wrapText="1"/>
      <protection locked="0"/>
    </xf>
    <xf numFmtId="9" fontId="1" fillId="0" borderId="3" xfId="2" applyFont="1" applyBorder="1" applyAlignment="1" applyProtection="1">
      <alignment horizontal="center" vertical="center" wrapText="1"/>
      <protection locked="0"/>
    </xf>
    <xf numFmtId="164" fontId="1" fillId="0" borderId="3" xfId="1" applyFont="1" applyBorder="1" applyAlignment="1" applyProtection="1">
      <alignment horizontal="center" vertical="center" wrapText="1"/>
      <protection locked="0"/>
    </xf>
    <xf numFmtId="164" fontId="1" fillId="0" borderId="3" xfId="1" applyFont="1" applyFill="1" applyBorder="1" applyAlignment="1" applyProtection="1">
      <alignment horizontal="center" vertical="center" wrapText="1"/>
      <protection locked="0"/>
    </xf>
    <xf numFmtId="49" fontId="1" fillId="0" borderId="3" xfId="1" applyNumberFormat="1" applyFont="1" applyBorder="1" applyAlignment="1" applyProtection="1">
      <alignment horizontal="left" wrapText="1"/>
      <protection locked="0"/>
    </xf>
    <xf numFmtId="0" fontId="1" fillId="0" borderId="3" xfId="0" applyFont="1" applyBorder="1" applyAlignment="1" applyProtection="1">
      <alignment horizontal="left" vertical="top" wrapText="1"/>
      <protection locked="0"/>
    </xf>
    <xf numFmtId="164" fontId="1" fillId="3" borderId="3" xfId="1" applyFont="1" applyFill="1" applyBorder="1" applyAlignment="1" applyProtection="1">
      <alignment horizontal="center" vertical="center" wrapText="1"/>
      <protection locked="0"/>
    </xf>
    <xf numFmtId="49" fontId="1" fillId="3" borderId="3" xfId="1" applyNumberFormat="1" applyFont="1" applyFill="1" applyBorder="1" applyAlignment="1" applyProtection="1">
      <alignment horizontal="left" wrapText="1"/>
      <protection locked="0"/>
    </xf>
    <xf numFmtId="0" fontId="1" fillId="0" borderId="0" xfId="0" applyFont="1" applyAlignment="1">
      <alignment wrapText="1"/>
    </xf>
    <xf numFmtId="0" fontId="1" fillId="3" borderId="0" xfId="0" applyFont="1" applyFill="1" applyAlignment="1" applyProtection="1">
      <alignment vertical="center" wrapText="1"/>
      <protection locked="0"/>
    </xf>
    <xf numFmtId="0" fontId="1" fillId="3" borderId="0" xfId="0" applyFont="1" applyFill="1" applyAlignment="1" applyProtection="1">
      <alignment horizontal="left" vertical="top" wrapText="1"/>
      <protection locked="0"/>
    </xf>
    <xf numFmtId="164" fontId="1" fillId="3" borderId="0" xfId="1" applyFont="1" applyFill="1" applyBorder="1" applyAlignment="1" applyProtection="1">
      <alignment horizontal="center" vertical="center" wrapText="1"/>
      <protection locked="0"/>
    </xf>
    <xf numFmtId="164" fontId="1" fillId="0" borderId="0" xfId="1" applyFont="1" applyFill="1" applyBorder="1" applyAlignment="1" applyProtection="1">
      <alignment horizontal="center" vertical="center" wrapText="1"/>
      <protection locked="0"/>
    </xf>
    <xf numFmtId="0" fontId="1" fillId="3" borderId="3" xfId="0" applyFont="1" applyFill="1" applyBorder="1" applyAlignment="1">
      <alignment vertical="center" wrapText="1"/>
    </xf>
    <xf numFmtId="0" fontId="1" fillId="6" borderId="4" xfId="0" applyFont="1" applyFill="1" applyBorder="1" applyAlignment="1">
      <alignment vertical="center" wrapText="1"/>
    </xf>
    <xf numFmtId="9" fontId="1" fillId="0" borderId="2" xfId="2" applyFont="1" applyBorder="1" applyAlignment="1" applyProtection="1">
      <alignment horizontal="center" vertical="center" wrapText="1"/>
      <protection locked="0"/>
    </xf>
    <xf numFmtId="9" fontId="1" fillId="3" borderId="2" xfId="2" applyFont="1" applyFill="1" applyBorder="1" applyAlignment="1" applyProtection="1">
      <alignment horizontal="center" vertical="center" wrapText="1"/>
      <protection locked="0"/>
    </xf>
    <xf numFmtId="164" fontId="2" fillId="2" borderId="36" xfId="1" applyFont="1" applyFill="1" applyBorder="1" applyAlignment="1" applyProtection="1">
      <alignment horizontal="center" vertical="center" wrapText="1"/>
    </xf>
    <xf numFmtId="0" fontId="1" fillId="3" borderId="3" xfId="0" applyFont="1" applyFill="1" applyBorder="1" applyAlignment="1">
      <alignment horizontal="left" vertical="center" wrapText="1"/>
    </xf>
    <xf numFmtId="164" fontId="2" fillId="2" borderId="5" xfId="1" applyFont="1" applyFill="1" applyBorder="1" applyAlignment="1">
      <alignment vertical="center" wrapText="1"/>
    </xf>
    <xf numFmtId="0" fontId="2" fillId="2" borderId="2"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9" borderId="3" xfId="0" applyFont="1" applyFill="1" applyBorder="1" applyAlignment="1" applyProtection="1">
      <alignment horizontal="center" vertical="center" wrapText="1"/>
      <protection locked="0"/>
    </xf>
    <xf numFmtId="49" fontId="1" fillId="9" borderId="3" xfId="0" applyNumberFormat="1" applyFont="1" applyFill="1" applyBorder="1" applyAlignment="1" applyProtection="1">
      <alignment horizontal="left" vertical="top" wrapText="1"/>
      <protection locked="0"/>
    </xf>
    <xf numFmtId="164" fontId="1" fillId="9" borderId="3" xfId="1" applyFont="1" applyFill="1" applyBorder="1" applyAlignment="1" applyProtection="1">
      <alignment horizontal="center" vertical="center" wrapText="1"/>
      <protection locked="0"/>
    </xf>
    <xf numFmtId="164" fontId="2" fillId="9" borderId="3" xfId="1" applyFont="1" applyFill="1" applyBorder="1" applyAlignment="1" applyProtection="1">
      <alignment horizontal="center" vertical="center" wrapText="1"/>
    </xf>
    <xf numFmtId="164" fontId="2" fillId="9" borderId="5" xfId="1" applyFont="1" applyFill="1" applyBorder="1" applyAlignment="1" applyProtection="1">
      <alignment horizontal="center" vertical="center" wrapText="1"/>
    </xf>
    <xf numFmtId="164" fontId="2" fillId="9" borderId="36" xfId="1" applyFont="1" applyFill="1" applyBorder="1" applyAlignment="1" applyProtection="1">
      <alignment horizontal="center" vertical="center" wrapText="1"/>
    </xf>
    <xf numFmtId="164" fontId="2" fillId="9" borderId="3" xfId="1" applyFont="1" applyFill="1" applyBorder="1" applyAlignment="1" applyProtection="1">
      <alignment horizontal="center" vertical="center" wrapText="1"/>
      <protection locked="0"/>
    </xf>
    <xf numFmtId="164" fontId="5" fillId="9" borderId="3" xfId="0" applyNumberFormat="1" applyFont="1" applyFill="1" applyBorder="1" applyAlignment="1">
      <alignment vertical="center" wrapText="1"/>
    </xf>
    <xf numFmtId="164" fontId="2" fillId="9" borderId="12" xfId="1" applyFont="1" applyFill="1" applyBorder="1" applyAlignment="1" applyProtection="1">
      <alignment vertical="center" wrapText="1"/>
    </xf>
    <xf numFmtId="164" fontId="2" fillId="9" borderId="4" xfId="1" applyFont="1" applyFill="1" applyBorder="1" applyAlignment="1" applyProtection="1">
      <alignment vertical="center" wrapText="1"/>
    </xf>
    <xf numFmtId="164" fontId="2" fillId="9" borderId="37" xfId="1" applyFont="1" applyFill="1" applyBorder="1" applyAlignment="1" applyProtection="1">
      <alignment vertical="center" wrapText="1"/>
    </xf>
    <xf numFmtId="9" fontId="2" fillId="2" borderId="2" xfId="2" applyFont="1" applyFill="1" applyBorder="1" applyAlignment="1">
      <alignment vertical="center" wrapText="1"/>
    </xf>
    <xf numFmtId="164" fontId="2" fillId="2" borderId="8" xfId="2" applyNumberFormat="1" applyFont="1" applyFill="1" applyBorder="1" applyAlignment="1">
      <alignment vertical="center" wrapText="1"/>
    </xf>
    <xf numFmtId="164" fontId="2" fillId="2" borderId="29" xfId="2" applyNumberFormat="1" applyFont="1" applyFill="1" applyBorder="1" applyAlignment="1">
      <alignment vertical="center" wrapText="1"/>
    </xf>
    <xf numFmtId="0" fontId="2" fillId="2" borderId="9"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35" xfId="0" applyFont="1" applyFill="1" applyBorder="1" applyAlignment="1">
      <alignment horizontal="center" vertical="center" wrapText="1"/>
    </xf>
    <xf numFmtId="164" fontId="2" fillId="2" borderId="3" xfId="0" applyNumberFormat="1" applyFont="1" applyFill="1" applyBorder="1" applyAlignment="1">
      <alignment vertical="center" wrapText="1"/>
    </xf>
    <xf numFmtId="0" fontId="0" fillId="2" borderId="3" xfId="0" applyFill="1" applyBorder="1" applyAlignment="1">
      <alignment wrapText="1"/>
    </xf>
    <xf numFmtId="0" fontId="2" fillId="2" borderId="36" xfId="0" applyFont="1" applyFill="1" applyBorder="1" applyAlignment="1">
      <alignment horizontal="center" vertical="top" wrapText="1"/>
    </xf>
    <xf numFmtId="164" fontId="24" fillId="0" borderId="3" xfId="1" applyFont="1" applyFill="1" applyBorder="1" applyAlignment="1" applyProtection="1">
      <alignment horizontal="center" vertical="center" wrapText="1"/>
      <protection locked="0"/>
    </xf>
    <xf numFmtId="164" fontId="25" fillId="3" borderId="3" xfId="1" applyFont="1" applyFill="1" applyBorder="1" applyAlignment="1" applyProtection="1">
      <alignment horizontal="left" vertical="top" wrapText="1"/>
      <protection locked="0"/>
    </xf>
    <xf numFmtId="164" fontId="25" fillId="0" borderId="3" xfId="1" applyFont="1" applyFill="1" applyBorder="1" applyAlignment="1" applyProtection="1">
      <alignment horizontal="center" vertical="center" wrapText="1"/>
      <protection locked="0"/>
    </xf>
    <xf numFmtId="164" fontId="26" fillId="0" borderId="3" xfId="1" applyFont="1" applyFill="1" applyBorder="1" applyAlignment="1" applyProtection="1">
      <alignment horizontal="center" vertical="center" wrapText="1"/>
      <protection locked="0"/>
    </xf>
    <xf numFmtId="0" fontId="27" fillId="2" borderId="36" xfId="0" applyFont="1" applyFill="1" applyBorder="1" applyAlignment="1">
      <alignment horizontal="center" vertical="top" wrapText="1"/>
    </xf>
    <xf numFmtId="0" fontId="15" fillId="0" borderId="0" xfId="0" applyFont="1" applyAlignment="1">
      <alignment horizontal="left" vertical="top" wrapText="1"/>
    </xf>
    <xf numFmtId="164" fontId="2" fillId="0" borderId="0" xfId="0" applyNumberFormat="1" applyFont="1" applyAlignment="1">
      <alignment vertical="center" wrapText="1"/>
    </xf>
    <xf numFmtId="164" fontId="2" fillId="0" borderId="4" xfId="1" applyFont="1" applyFill="1" applyBorder="1" applyAlignment="1" applyProtection="1">
      <alignment vertical="center" wrapText="1"/>
    </xf>
    <xf numFmtId="164" fontId="2" fillId="10" borderId="36" xfId="1" applyFont="1" applyFill="1" applyBorder="1" applyAlignment="1" applyProtection="1">
      <alignment horizontal="center" vertical="center" wrapText="1"/>
    </xf>
    <xf numFmtId="0" fontId="2" fillId="10" borderId="3" xfId="0" applyFont="1" applyFill="1" applyBorder="1" applyAlignment="1">
      <alignment horizontal="center" vertical="center" wrapText="1"/>
    </xf>
    <xf numFmtId="0" fontId="2" fillId="9" borderId="6" xfId="0" applyFont="1" applyFill="1" applyBorder="1" applyAlignment="1" applyProtection="1">
      <alignment horizontal="center" vertical="center" wrapText="1"/>
      <protection locked="0"/>
    </xf>
    <xf numFmtId="0" fontId="2" fillId="9" borderId="24" xfId="0" applyFont="1" applyFill="1" applyBorder="1" applyAlignment="1" applyProtection="1">
      <alignment horizontal="center" vertical="center" wrapText="1"/>
      <protection locked="0"/>
    </xf>
    <xf numFmtId="0" fontId="2" fillId="11" borderId="3" xfId="0" applyFont="1" applyFill="1" applyBorder="1" applyAlignment="1">
      <alignment horizontal="center" vertical="center" wrapText="1"/>
    </xf>
    <xf numFmtId="0" fontId="2" fillId="0" borderId="3" xfId="0" applyFont="1" applyBorder="1" applyAlignment="1">
      <alignment horizontal="center" vertical="center" wrapText="1"/>
    </xf>
    <xf numFmtId="164" fontId="1" fillId="11" borderId="3" xfId="1" applyFont="1" applyFill="1" applyBorder="1" applyAlignment="1" applyProtection="1">
      <alignment horizontal="center" vertical="center" wrapText="1"/>
    </xf>
    <xf numFmtId="164" fontId="2" fillId="11" borderId="3" xfId="1" applyFont="1" applyFill="1" applyBorder="1" applyAlignment="1" applyProtection="1">
      <alignment horizontal="center" vertical="center" wrapText="1"/>
    </xf>
    <xf numFmtId="164" fontId="2" fillId="11" borderId="5" xfId="1" applyFont="1" applyFill="1" applyBorder="1" applyAlignment="1" applyProtection="1">
      <alignment horizontal="center" vertical="center" wrapText="1"/>
    </xf>
    <xf numFmtId="164" fontId="2" fillId="11" borderId="36" xfId="1" applyFont="1" applyFill="1" applyBorder="1" applyAlignment="1" applyProtection="1">
      <alignment horizontal="center" vertical="center" wrapText="1"/>
    </xf>
    <xf numFmtId="0" fontId="2" fillId="11" borderId="5" xfId="0" applyFont="1" applyFill="1" applyBorder="1" applyAlignment="1">
      <alignment horizontal="center" vertical="center" wrapText="1"/>
    </xf>
    <xf numFmtId="0" fontId="2" fillId="10" borderId="5" xfId="0" applyFont="1" applyFill="1" applyBorder="1" applyAlignment="1">
      <alignment horizontal="center" vertical="center" wrapText="1"/>
    </xf>
    <xf numFmtId="0" fontId="5" fillId="2" borderId="26" xfId="0" applyFont="1" applyFill="1" applyBorder="1" applyAlignment="1">
      <alignment vertical="center" wrapText="1"/>
    </xf>
    <xf numFmtId="164" fontId="2" fillId="11" borderId="4" xfId="1" applyFont="1" applyFill="1" applyBorder="1" applyAlignment="1" applyProtection="1">
      <alignment vertical="center" wrapText="1"/>
    </xf>
    <xf numFmtId="164" fontId="2" fillId="11" borderId="12" xfId="1" applyFont="1" applyFill="1" applyBorder="1" applyAlignment="1" applyProtection="1">
      <alignment vertical="center" wrapText="1"/>
    </xf>
    <xf numFmtId="164" fontId="2" fillId="10" borderId="4" xfId="1" applyFont="1" applyFill="1" applyBorder="1" applyAlignment="1" applyProtection="1">
      <alignment vertical="center" wrapText="1"/>
    </xf>
    <xf numFmtId="164" fontId="2" fillId="10" borderId="37" xfId="1" applyFont="1" applyFill="1" applyBorder="1" applyAlignment="1" applyProtection="1">
      <alignment vertical="center" wrapText="1"/>
    </xf>
    <xf numFmtId="164" fontId="5" fillId="11" borderId="3" xfId="0" applyNumberFormat="1" applyFont="1" applyFill="1" applyBorder="1" applyAlignment="1">
      <alignment vertical="center" wrapText="1"/>
    </xf>
    <xf numFmtId="164" fontId="5" fillId="10" borderId="28" xfId="0" applyNumberFormat="1" applyFont="1" applyFill="1" applyBorder="1" applyAlignment="1">
      <alignment vertical="center" wrapText="1"/>
    </xf>
    <xf numFmtId="164" fontId="2" fillId="10" borderId="12" xfId="1" applyFont="1" applyFill="1" applyBorder="1" applyAlignment="1" applyProtection="1">
      <alignment vertical="center" wrapText="1"/>
    </xf>
    <xf numFmtId="164" fontId="1" fillId="10" borderId="3" xfId="1" applyFont="1" applyFill="1" applyBorder="1" applyAlignment="1" applyProtection="1">
      <alignment horizontal="center" vertical="center" wrapText="1"/>
    </xf>
    <xf numFmtId="164" fontId="2" fillId="10" borderId="3" xfId="1" applyFont="1" applyFill="1" applyBorder="1" applyAlignment="1" applyProtection="1">
      <alignment horizontal="center" vertical="center" wrapText="1"/>
    </xf>
    <xf numFmtId="164" fontId="1" fillId="10" borderId="2" xfId="1" applyFont="1" applyFill="1" applyBorder="1" applyAlignment="1" applyProtection="1">
      <alignment horizontal="center" vertical="center" wrapText="1"/>
    </xf>
    <xf numFmtId="164" fontId="2" fillId="10" borderId="5" xfId="1" applyFont="1" applyFill="1" applyBorder="1" applyAlignment="1" applyProtection="1">
      <alignment horizontal="center" vertical="center" wrapText="1"/>
    </xf>
    <xf numFmtId="0" fontId="3" fillId="0" borderId="0" xfId="0" applyFont="1" applyAlignment="1">
      <alignment horizontal="center" vertical="center" wrapText="1"/>
    </xf>
    <xf numFmtId="164" fontId="2" fillId="0" borderId="0" xfId="2" applyNumberFormat="1" applyFont="1" applyFill="1" applyBorder="1" applyAlignment="1" applyProtection="1">
      <alignment wrapText="1"/>
    </xf>
    <xf numFmtId="164" fontId="2" fillId="11" borderId="37" xfId="1" applyFont="1" applyFill="1" applyBorder="1" applyAlignment="1" applyProtection="1">
      <alignment vertical="center" wrapText="1"/>
    </xf>
    <xf numFmtId="0" fontId="0" fillId="9" borderId="0" xfId="0" applyFill="1" applyAlignment="1">
      <alignment wrapText="1"/>
    </xf>
    <xf numFmtId="0" fontId="0" fillId="9" borderId="0" xfId="0" applyFill="1" applyAlignment="1">
      <alignment horizontal="center" wrapText="1"/>
    </xf>
    <xf numFmtId="164" fontId="1" fillId="9" borderId="3" xfId="1" applyFont="1" applyFill="1" applyBorder="1" applyAlignment="1" applyProtection="1">
      <alignment horizontal="left" vertical="center" wrapText="1"/>
      <protection locked="0"/>
    </xf>
    <xf numFmtId="164" fontId="1" fillId="9" borderId="0" xfId="1" applyFont="1" applyFill="1" applyBorder="1" applyAlignment="1" applyProtection="1">
      <alignment horizontal="center" vertical="center" wrapText="1"/>
      <protection locked="0"/>
    </xf>
    <xf numFmtId="164" fontId="5" fillId="9" borderId="0" xfId="1" applyFont="1" applyFill="1" applyBorder="1" applyAlignment="1" applyProtection="1">
      <alignment vertical="center" wrapText="1"/>
      <protection locked="0"/>
    </xf>
    <xf numFmtId="164" fontId="2" fillId="9" borderId="5" xfId="1" applyFont="1" applyFill="1" applyBorder="1" applyAlignment="1" applyProtection="1">
      <alignment horizontal="center" vertical="center" wrapText="1"/>
      <protection locked="0"/>
    </xf>
    <xf numFmtId="0" fontId="2" fillId="9" borderId="5" xfId="0" applyFont="1" applyFill="1" applyBorder="1" applyAlignment="1" applyProtection="1">
      <alignment horizontal="center" vertical="center" wrapText="1"/>
      <protection locked="0"/>
    </xf>
    <xf numFmtId="164" fontId="5" fillId="9" borderId="28" xfId="0" applyNumberFormat="1" applyFont="1" applyFill="1" applyBorder="1" applyAlignment="1">
      <alignment vertical="center" wrapText="1"/>
    </xf>
    <xf numFmtId="164" fontId="2" fillId="9" borderId="12" xfId="0" applyNumberFormat="1" applyFont="1" applyFill="1" applyBorder="1" applyAlignment="1">
      <alignment vertical="center" wrapText="1"/>
    </xf>
    <xf numFmtId="164" fontId="2" fillId="9" borderId="0" xfId="0" applyNumberFormat="1" applyFont="1" applyFill="1" applyAlignment="1">
      <alignment vertical="center" wrapText="1"/>
    </xf>
    <xf numFmtId="164" fontId="2" fillId="9" borderId="3" xfId="1" applyFont="1" applyFill="1" applyBorder="1" applyAlignment="1" applyProtection="1">
      <alignment vertical="center" wrapText="1"/>
    </xf>
    <xf numFmtId="164" fontId="2" fillId="9" borderId="5" xfId="1" applyFont="1" applyFill="1" applyBorder="1" applyAlignment="1" applyProtection="1">
      <alignment vertical="center" wrapText="1"/>
    </xf>
    <xf numFmtId="164" fontId="5" fillId="0" borderId="0" xfId="0" applyNumberFormat="1" applyFont="1" applyAlignment="1" applyProtection="1">
      <alignment vertical="center" wrapText="1"/>
      <protection locked="0"/>
    </xf>
    <xf numFmtId="164" fontId="2" fillId="2" borderId="28" xfId="0" applyNumberFormat="1" applyFont="1" applyFill="1" applyBorder="1" applyAlignment="1">
      <alignment vertical="center" wrapText="1"/>
    </xf>
    <xf numFmtId="0" fontId="2" fillId="0" borderId="0" xfId="0" applyFont="1" applyAlignment="1">
      <alignment vertical="center" wrapText="1"/>
    </xf>
    <xf numFmtId="9" fontId="2" fillId="0" borderId="0" xfId="2" applyFont="1" applyFill="1" applyBorder="1" applyAlignment="1" applyProtection="1">
      <alignment vertical="center" wrapText="1"/>
    </xf>
    <xf numFmtId="0" fontId="3" fillId="2" borderId="11" xfId="0" applyFont="1" applyFill="1" applyBorder="1" applyAlignment="1">
      <alignment horizontal="left" vertical="center" wrapText="1"/>
    </xf>
    <xf numFmtId="0" fontId="19" fillId="0" borderId="0" xfId="0" applyFont="1" applyAlignment="1">
      <alignment horizontal="left" wrapText="1"/>
    </xf>
    <xf numFmtId="0" fontId="27" fillId="2" borderId="41" xfId="0" applyFont="1" applyFill="1" applyBorder="1" applyAlignment="1">
      <alignment horizontal="center" vertical="top" wrapText="1"/>
    </xf>
    <xf numFmtId="164" fontId="5" fillId="2" borderId="41" xfId="0" applyNumberFormat="1" applyFont="1" applyFill="1" applyBorder="1" applyAlignment="1">
      <alignment wrapText="1"/>
    </xf>
    <xf numFmtId="164" fontId="5" fillId="2" borderId="37" xfId="0" applyNumberFormat="1" applyFont="1" applyFill="1" applyBorder="1" applyAlignment="1">
      <alignment wrapText="1"/>
    </xf>
    <xf numFmtId="0" fontId="2" fillId="2" borderId="41" xfId="0" applyFont="1" applyFill="1" applyBorder="1" applyAlignment="1">
      <alignment horizontal="center" vertical="center" wrapText="1"/>
    </xf>
    <xf numFmtId="164" fontId="2" fillId="2" borderId="4" xfId="1" applyFont="1" applyFill="1" applyBorder="1" applyAlignment="1">
      <alignment vertical="center" wrapText="1"/>
    </xf>
    <xf numFmtId="164" fontId="2" fillId="2" borderId="37" xfId="1" applyFont="1" applyFill="1" applyBorder="1" applyAlignment="1">
      <alignment vertical="center" wrapText="1"/>
    </xf>
    <xf numFmtId="0" fontId="2" fillId="2" borderId="30" xfId="0" applyFont="1" applyFill="1" applyBorder="1" applyAlignment="1">
      <alignment vertical="center" wrapText="1"/>
    </xf>
    <xf numFmtId="164" fontId="3" fillId="2" borderId="31" xfId="0" applyNumberFormat="1" applyFont="1" applyFill="1" applyBorder="1"/>
    <xf numFmtId="164" fontId="3" fillId="2" borderId="57" xfId="0" applyNumberFormat="1" applyFont="1" applyFill="1" applyBorder="1"/>
    <xf numFmtId="164" fontId="3" fillId="2" borderId="58" xfId="0" applyNumberFormat="1" applyFont="1" applyFill="1" applyBorder="1"/>
    <xf numFmtId="9" fontId="2" fillId="2" borderId="3" xfId="2" applyFont="1" applyFill="1" applyBorder="1" applyAlignment="1">
      <alignment vertical="center" wrapText="1"/>
    </xf>
    <xf numFmtId="164" fontId="2" fillId="2" borderId="28" xfId="1" applyFont="1" applyFill="1" applyBorder="1" applyAlignment="1">
      <alignment wrapText="1"/>
    </xf>
    <xf numFmtId="10" fontId="2" fillId="2" borderId="3" xfId="2" applyNumberFormat="1" applyFont="1" applyFill="1" applyBorder="1" applyAlignment="1" applyProtection="1">
      <alignment horizontal="right" vertical="center" wrapText="1"/>
    </xf>
    <xf numFmtId="10" fontId="2" fillId="2" borderId="8" xfId="2" applyNumberFormat="1" applyFont="1" applyFill="1" applyBorder="1" applyAlignment="1" applyProtection="1">
      <alignment horizontal="right" vertical="center" wrapText="1"/>
    </xf>
    <xf numFmtId="164" fontId="2" fillId="2" borderId="3" xfId="2" applyNumberFormat="1" applyFont="1" applyFill="1" applyBorder="1" applyAlignment="1" applyProtection="1">
      <alignment horizontal="center" vertical="center" wrapText="1"/>
    </xf>
    <xf numFmtId="164" fontId="2" fillId="2" borderId="8" xfId="2" applyNumberFormat="1" applyFont="1" applyFill="1" applyBorder="1" applyAlignment="1" applyProtection="1">
      <alignment horizontal="center" vertical="center" wrapText="1"/>
    </xf>
    <xf numFmtId="10" fontId="2" fillId="2" borderId="12" xfId="2" applyNumberFormat="1" applyFont="1" applyFill="1" applyBorder="1" applyAlignment="1" applyProtection="1">
      <alignment horizontal="right" vertical="center" wrapText="1"/>
    </xf>
    <xf numFmtId="10" fontId="2" fillId="2" borderId="13" xfId="2" applyNumberFormat="1" applyFont="1" applyFill="1" applyBorder="1" applyAlignment="1" applyProtection="1">
      <alignment horizontal="right"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164" fontId="1" fillId="3" borderId="5" xfId="1" applyFont="1" applyFill="1" applyBorder="1" applyAlignment="1" applyProtection="1">
      <alignment horizontal="center" vertical="center" wrapText="1"/>
      <protection locked="0"/>
    </xf>
    <xf numFmtId="164" fontId="1" fillId="3" borderId="59" xfId="1" applyFont="1" applyFill="1" applyBorder="1" applyAlignment="1" applyProtection="1">
      <alignment horizontal="center" vertical="center" wrapText="1"/>
      <protection locked="0"/>
    </xf>
    <xf numFmtId="164" fontId="1" fillId="3" borderId="36" xfId="1" applyFont="1" applyFill="1" applyBorder="1" applyAlignment="1" applyProtection="1">
      <alignment horizontal="center" vertical="center" wrapText="1"/>
      <protection locked="0"/>
    </xf>
    <xf numFmtId="0" fontId="0" fillId="5" borderId="10" xfId="0" applyFill="1" applyBorder="1" applyAlignment="1">
      <alignment horizontal="center" vertical="center" wrapText="1"/>
    </xf>
    <xf numFmtId="0" fontId="0" fillId="5" borderId="0" xfId="0" applyFill="1" applyAlignment="1">
      <alignment horizontal="center" vertical="center" wrapText="1"/>
    </xf>
    <xf numFmtId="0" fontId="15" fillId="0" borderId="0" xfId="0" applyFont="1" applyAlignment="1">
      <alignment horizontal="left" vertical="top" wrapText="1"/>
    </xf>
    <xf numFmtId="0" fontId="2" fillId="0" borderId="0" xfId="0" applyFont="1" applyAlignment="1">
      <alignment horizontal="center" vertical="center" wrapText="1"/>
    </xf>
    <xf numFmtId="0" fontId="2" fillId="2" borderId="26" xfId="0" applyFont="1" applyFill="1" applyBorder="1" applyAlignment="1">
      <alignment horizontal="center" vertical="center" wrapText="1"/>
    </xf>
    <xf numFmtId="0" fontId="2" fillId="2" borderId="52"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3" borderId="50" xfId="0" applyFont="1" applyFill="1" applyBorder="1" applyAlignment="1" applyProtection="1">
      <alignment horizontal="left" vertical="top" wrapText="1"/>
      <protection locked="0"/>
    </xf>
    <xf numFmtId="0" fontId="2" fillId="3" borderId="6" xfId="0" applyFont="1" applyFill="1" applyBorder="1" applyAlignment="1" applyProtection="1">
      <alignment horizontal="left" vertical="top" wrapText="1"/>
      <protection locked="0"/>
    </xf>
    <xf numFmtId="49" fontId="2" fillId="3" borderId="6" xfId="0" applyNumberFormat="1" applyFont="1" applyFill="1" applyBorder="1" applyAlignment="1" applyProtection="1">
      <alignment horizontal="left" vertical="top" wrapText="1"/>
      <protection locked="0"/>
    </xf>
    <xf numFmtId="49" fontId="2" fillId="3" borderId="22" xfId="0" applyNumberFormat="1" applyFont="1" applyFill="1" applyBorder="1" applyAlignment="1" applyProtection="1">
      <alignment horizontal="left" vertical="top" wrapText="1"/>
      <protection locked="0"/>
    </xf>
    <xf numFmtId="164" fontId="2" fillId="3" borderId="6" xfId="1" applyFont="1" applyFill="1" applyBorder="1" applyAlignment="1" applyProtection="1">
      <alignment horizontal="left" vertical="top" wrapText="1"/>
      <protection locked="0"/>
    </xf>
    <xf numFmtId="0" fontId="20" fillId="0" borderId="0" xfId="0" applyFont="1" applyAlignment="1">
      <alignment horizontal="left" wrapText="1"/>
    </xf>
    <xf numFmtId="49" fontId="2" fillId="3" borderId="50" xfId="0" applyNumberFormat="1" applyFont="1" applyFill="1" applyBorder="1" applyAlignment="1" applyProtection="1">
      <alignment horizontal="left" vertical="top" wrapText="1"/>
      <protection locked="0"/>
    </xf>
    <xf numFmtId="0" fontId="1" fillId="3" borderId="50" xfId="0" applyFont="1" applyFill="1" applyBorder="1" applyAlignment="1" applyProtection="1">
      <alignment horizontal="left" vertical="top" wrapText="1"/>
      <protection locked="0"/>
    </xf>
    <xf numFmtId="0" fontId="1" fillId="3" borderId="6" xfId="0" applyFont="1" applyFill="1" applyBorder="1" applyAlignment="1" applyProtection="1">
      <alignment horizontal="left" vertical="top" wrapText="1"/>
      <protection locked="0"/>
    </xf>
    <xf numFmtId="164" fontId="1" fillId="3" borderId="6" xfId="1" applyFont="1" applyFill="1" applyBorder="1" applyAlignment="1" applyProtection="1">
      <alignment horizontal="left" vertical="top" wrapText="1"/>
      <protection locked="0"/>
    </xf>
    <xf numFmtId="0" fontId="1" fillId="6" borderId="37" xfId="0" applyFont="1" applyFill="1" applyBorder="1" applyAlignment="1">
      <alignment horizontal="left" vertical="center" wrapText="1"/>
    </xf>
    <xf numFmtId="0" fontId="1" fillId="6" borderId="51" xfId="0" applyFont="1" applyFill="1" applyBorder="1" applyAlignment="1">
      <alignment horizontal="left" vertical="center" wrapText="1"/>
    </xf>
    <xf numFmtId="0" fontId="1" fillId="6" borderId="41" xfId="0" applyFont="1" applyFill="1" applyBorder="1" applyAlignment="1">
      <alignment horizontal="left" vertical="center" wrapText="1"/>
    </xf>
    <xf numFmtId="0" fontId="2" fillId="4" borderId="49" xfId="0" applyFont="1" applyFill="1" applyBorder="1" applyAlignment="1">
      <alignment horizontal="center" vertical="center" wrapText="1"/>
    </xf>
    <xf numFmtId="0" fontId="2" fillId="4" borderId="46" xfId="0" applyFont="1" applyFill="1" applyBorder="1" applyAlignment="1">
      <alignment horizontal="center" vertical="center" wrapText="1"/>
    </xf>
    <xf numFmtId="164" fontId="2" fillId="2" borderId="28" xfId="0" applyNumberFormat="1" applyFont="1" applyFill="1" applyBorder="1" applyAlignment="1">
      <alignment horizontal="center" vertical="center" wrapText="1"/>
    </xf>
    <xf numFmtId="164" fontId="2" fillId="2" borderId="15" xfId="0" applyNumberFormat="1" applyFont="1" applyFill="1" applyBorder="1" applyAlignment="1">
      <alignment horizontal="center" vertical="center" wrapText="1"/>
    </xf>
    <xf numFmtId="0" fontId="2" fillId="2" borderId="24" xfId="0" applyFont="1" applyFill="1" applyBorder="1" applyAlignment="1">
      <alignment horizontal="center" wrapText="1"/>
    </xf>
    <xf numFmtId="0" fontId="2" fillId="2" borderId="25" xfId="0" applyFont="1" applyFill="1" applyBorder="1" applyAlignment="1">
      <alignment horizontal="center" wrapText="1"/>
    </xf>
    <xf numFmtId="0" fontId="2" fillId="2" borderId="20" xfId="0" applyFont="1" applyFill="1" applyBorder="1" applyAlignment="1">
      <alignment horizontal="center" wrapText="1"/>
    </xf>
    <xf numFmtId="0" fontId="2" fillId="2" borderId="4"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19" fillId="0" borderId="46" xfId="0" applyFont="1" applyBorder="1" applyAlignment="1">
      <alignment horizontal="left" wrapText="1"/>
    </xf>
    <xf numFmtId="0" fontId="2" fillId="2" borderId="41" xfId="0" applyFont="1" applyFill="1" applyBorder="1" applyAlignment="1">
      <alignment horizontal="left" wrapText="1"/>
    </xf>
    <xf numFmtId="0" fontId="2" fillId="2" borderId="46" xfId="0" applyFont="1" applyFill="1" applyBorder="1" applyAlignment="1">
      <alignment horizontal="left" wrapText="1"/>
    </xf>
    <xf numFmtId="0" fontId="2" fillId="2" borderId="47" xfId="0" applyFont="1" applyFill="1" applyBorder="1" applyAlignment="1">
      <alignment horizontal="left" wrapText="1"/>
    </xf>
    <xf numFmtId="164" fontId="3" fillId="2" borderId="4" xfId="0" applyNumberFormat="1" applyFont="1" applyFill="1" applyBorder="1" applyAlignment="1">
      <alignment horizontal="center"/>
    </xf>
    <xf numFmtId="164" fontId="3" fillId="2" borderId="33" xfId="0" applyNumberFormat="1" applyFont="1" applyFill="1" applyBorder="1" applyAlignment="1">
      <alignment horizontal="center"/>
    </xf>
    <xf numFmtId="164" fontId="3" fillId="2" borderId="41" xfId="0" applyNumberFormat="1" applyFont="1" applyFill="1" applyBorder="1" applyAlignment="1">
      <alignment horizontal="center"/>
    </xf>
    <xf numFmtId="164" fontId="3" fillId="2" borderId="42" xfId="0" applyNumberFormat="1" applyFont="1" applyFill="1" applyBorder="1" applyAlignment="1">
      <alignment horizontal="center"/>
    </xf>
    <xf numFmtId="0" fontId="3" fillId="2" borderId="38" xfId="0" applyFont="1" applyFill="1" applyBorder="1" applyAlignment="1">
      <alignment horizontal="left"/>
    </xf>
    <xf numFmtId="0" fontId="3" fillId="2" borderId="39" xfId="0" applyFont="1" applyFill="1" applyBorder="1" applyAlignment="1">
      <alignment horizontal="left"/>
    </xf>
    <xf numFmtId="0" fontId="3" fillId="2" borderId="40" xfId="0" applyFont="1" applyFill="1" applyBorder="1" applyAlignment="1">
      <alignment horizontal="left"/>
    </xf>
    <xf numFmtId="49" fontId="0" fillId="2" borderId="43" xfId="0" applyNumberFormat="1" applyFill="1" applyBorder="1" applyAlignment="1">
      <alignment horizontal="center" wrapText="1"/>
    </xf>
    <xf numFmtId="49" fontId="0" fillId="2" borderId="44" xfId="0" applyNumberFormat="1" applyFill="1" applyBorder="1" applyAlignment="1">
      <alignment horizontal="center" wrapText="1"/>
    </xf>
    <xf numFmtId="49" fontId="0" fillId="2" borderId="45" xfId="0" applyNumberFormat="1" applyFill="1" applyBorder="1" applyAlignment="1">
      <alignment horizontal="center" wrapText="1"/>
    </xf>
    <xf numFmtId="0" fontId="0" fillId="2" borderId="43" xfId="0" applyFill="1" applyBorder="1" applyAlignment="1">
      <alignment horizontal="center" wrapText="1"/>
    </xf>
    <xf numFmtId="0" fontId="0" fillId="2" borderId="44" xfId="0" applyFill="1" applyBorder="1" applyAlignment="1">
      <alignment horizontal="center" wrapText="1"/>
    </xf>
    <xf numFmtId="0" fontId="0" fillId="2" borderId="45" xfId="0" applyFill="1" applyBorder="1" applyAlignment="1">
      <alignment horizontal="center" wrapText="1"/>
    </xf>
    <xf numFmtId="0" fontId="3" fillId="7" borderId="16" xfId="0" applyFont="1" applyFill="1" applyBorder="1" applyAlignment="1">
      <alignment horizontal="center" vertical="center"/>
    </xf>
    <xf numFmtId="0" fontId="3" fillId="7" borderId="14" xfId="0" applyFont="1" applyFill="1" applyBorder="1" applyAlignment="1">
      <alignment horizontal="center" vertical="center"/>
    </xf>
    <xf numFmtId="0" fontId="3" fillId="7" borderId="17" xfId="0" applyFont="1" applyFill="1" applyBorder="1" applyAlignment="1">
      <alignment horizontal="center" vertical="center"/>
    </xf>
    <xf numFmtId="0" fontId="3" fillId="7" borderId="18" xfId="0" applyFont="1" applyFill="1" applyBorder="1" applyAlignment="1">
      <alignment horizontal="center" vertical="center"/>
    </xf>
    <xf numFmtId="0" fontId="3" fillId="7" borderId="23" xfId="0" applyFont="1" applyFill="1" applyBorder="1" applyAlignment="1">
      <alignment horizontal="center" vertical="center"/>
    </xf>
    <xf numFmtId="0" fontId="3" fillId="7" borderId="19" xfId="0" applyFont="1" applyFill="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wrapText="1"/>
    </xf>
    <xf numFmtId="0" fontId="2" fillId="2" borderId="56" xfId="0" applyFont="1" applyFill="1" applyBorder="1" applyAlignment="1">
      <alignment horizontal="center" vertical="center" wrapText="1"/>
    </xf>
    <xf numFmtId="0" fontId="2" fillId="2" borderId="55" xfId="0" applyFont="1" applyFill="1" applyBorder="1" applyAlignment="1">
      <alignment horizontal="center" vertical="center" wrapText="1"/>
    </xf>
    <xf numFmtId="0" fontId="2" fillId="7" borderId="16" xfId="0" applyFont="1" applyFill="1" applyBorder="1" applyAlignment="1">
      <alignment horizontal="center" vertical="center"/>
    </xf>
    <xf numFmtId="0" fontId="2" fillId="7" borderId="14" xfId="0" applyFont="1" applyFill="1" applyBorder="1" applyAlignment="1">
      <alignment horizontal="center" vertical="center"/>
    </xf>
    <xf numFmtId="0" fontId="2" fillId="7" borderId="17" xfId="0" applyFont="1" applyFill="1" applyBorder="1" applyAlignment="1">
      <alignment horizontal="center" vertical="center"/>
    </xf>
    <xf numFmtId="0" fontId="2" fillId="7" borderId="18" xfId="0" applyFont="1" applyFill="1" applyBorder="1" applyAlignment="1">
      <alignment horizontal="center" vertical="center"/>
    </xf>
    <xf numFmtId="0" fontId="2" fillId="7" borderId="23" xfId="0" applyFont="1" applyFill="1" applyBorder="1" applyAlignment="1">
      <alignment horizontal="center" vertical="center"/>
    </xf>
    <xf numFmtId="0" fontId="2" fillId="7" borderId="19" xfId="0" applyFont="1" applyFill="1" applyBorder="1" applyAlignment="1">
      <alignment horizontal="center" vertical="center"/>
    </xf>
  </cellXfs>
  <cellStyles count="3">
    <cellStyle name="Monétaire" xfId="1" builtinId="4"/>
    <cellStyle name="Normal" xfId="0" builtinId="0"/>
    <cellStyle name="Pourcentage" xfId="2" builtinId="5"/>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AA4BF502-4CA2-4E31-9936-6BF849E90593}"/>
  </tableStyles>
  <colors>
    <mruColors>
      <color rgb="FF00FFCC"/>
      <color rgb="FF00FFFF"/>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Joachim Ouedraogo" id="{2E721CC7-1284-47E3-AB46-760B1B989CB3}" userId="S::joachim.ouedraogo@undp.org::c71a921c-9271-4bec-ab6d-322f19f0a85c" providerId="AD"/>
</personList>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38" dT="2023-10-24T15:32:55.59" personId="{2E721CC7-1284-47E3-AB46-760B1B989CB3}" id="{A22DEAE2-A802-4D88-98A3-CCD346041CEC}">
    <text>Revoir en hausse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1210C-0291-4E6D-849A-B84CDBBE00DB}">
  <sheetPr>
    <tabColor theme="4" tint="0.79998168889431442"/>
  </sheetPr>
  <dimension ref="B2:E3"/>
  <sheetViews>
    <sheetView showGridLines="0" zoomScale="80" zoomScaleNormal="80" workbookViewId="0"/>
  </sheetViews>
  <sheetFormatPr baseColWidth="10" defaultColWidth="8.81640625" defaultRowHeight="14.5" x14ac:dyDescent="0.35"/>
  <cols>
    <col min="2" max="2" width="133.453125" customWidth="1"/>
  </cols>
  <sheetData>
    <row r="2" spans="2:5" ht="36.75" customHeight="1" thickBot="1" x14ac:dyDescent="0.4">
      <c r="B2" s="259" t="s">
        <v>452</v>
      </c>
      <c r="C2" s="259"/>
      <c r="D2" s="259"/>
      <c r="E2" s="259"/>
    </row>
    <row r="3" spans="2:5" ht="361.5" customHeight="1" thickBot="1" x14ac:dyDescent="0.4">
      <c r="B3" s="126" t="s">
        <v>453</v>
      </c>
    </row>
  </sheetData>
  <mergeCells count="1">
    <mergeCell ref="B2:E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T701"/>
  <sheetViews>
    <sheetView showGridLines="0" showZeros="0" tabSelected="1" zoomScale="55" zoomScaleNormal="55" workbookViewId="0">
      <pane ySplit="5" topLeftCell="A66" activePane="bottomLeft" state="frozen"/>
      <selection pane="bottomLeft" activeCell="Q80" sqref="Q80"/>
    </sheetView>
  </sheetViews>
  <sheetFormatPr baseColWidth="10" defaultColWidth="9.1796875" defaultRowHeight="14.5" x14ac:dyDescent="0.35"/>
  <cols>
    <col min="1" max="1" width="4.1796875" style="18" customWidth="1"/>
    <col min="2" max="2" width="15" style="18" customWidth="1"/>
    <col min="3" max="3" width="48.81640625" style="18" customWidth="1"/>
    <col min="4" max="4" width="19.1796875" style="215" customWidth="1"/>
    <col min="5" max="5" width="16.81640625" style="215" customWidth="1"/>
    <col min="6" max="6" width="17.54296875" style="215" customWidth="1"/>
    <col min="7" max="7" width="15.90625" style="215" hidden="1" customWidth="1"/>
    <col min="8" max="8" width="16.36328125" style="215" hidden="1" customWidth="1"/>
    <col min="9" max="9" width="13.1796875" style="215" hidden="1" customWidth="1"/>
    <col min="10" max="10" width="17.453125" style="215" customWidth="1"/>
    <col min="11" max="13" width="18.81640625" style="18" customWidth="1"/>
    <col min="14" max="14" width="21.1796875" style="18" customWidth="1"/>
    <col min="15" max="15" width="19.1796875" style="111" customWidth="1"/>
    <col min="16" max="16" width="22.81640625" style="117" customWidth="1"/>
    <col min="17" max="17" width="21.1796875" style="18" customWidth="1"/>
    <col min="18" max="18" width="9.1796875" style="18"/>
    <col min="19" max="19" width="0.453125" style="18" customWidth="1"/>
    <col min="20" max="20" width="9.1796875" style="18" hidden="1" customWidth="1"/>
    <col min="21" max="16384" width="9.1796875" style="18"/>
  </cols>
  <sheetData>
    <row r="1" spans="2:17" x14ac:dyDescent="0.35">
      <c r="D1" s="18"/>
      <c r="E1" s="18"/>
      <c r="F1" s="18"/>
      <c r="G1" s="18"/>
      <c r="H1" s="18"/>
      <c r="I1" s="18"/>
      <c r="J1" s="18"/>
      <c r="O1" s="117"/>
    </row>
    <row r="2" spans="2:17" ht="29.25" customHeight="1" x14ac:dyDescent="0.35">
      <c r="B2" s="259" t="s">
        <v>545</v>
      </c>
      <c r="C2" s="259"/>
      <c r="D2" s="259"/>
      <c r="E2" s="259"/>
      <c r="F2" s="259"/>
      <c r="G2" s="259"/>
      <c r="H2" s="259"/>
      <c r="I2" s="259"/>
      <c r="J2" s="259"/>
      <c r="K2" s="259"/>
      <c r="L2" s="259"/>
      <c r="M2" s="259"/>
      <c r="N2" s="259"/>
      <c r="O2" s="259"/>
      <c r="P2" s="259"/>
      <c r="Q2" s="259"/>
    </row>
    <row r="3" spans="2:17" ht="24" customHeight="1" x14ac:dyDescent="0.6">
      <c r="B3" s="271" t="s">
        <v>366</v>
      </c>
      <c r="C3" s="271"/>
      <c r="D3" s="271"/>
      <c r="E3" s="271"/>
      <c r="F3" s="271"/>
      <c r="G3" s="271"/>
      <c r="H3" s="271"/>
      <c r="I3" s="271"/>
      <c r="J3" s="271"/>
      <c r="K3" s="271"/>
      <c r="L3" s="271"/>
      <c r="M3" s="271"/>
      <c r="N3" s="271"/>
      <c r="O3" s="118"/>
      <c r="P3" s="131"/>
    </row>
    <row r="4" spans="2:17" ht="6.75" customHeight="1" thickBot="1" x14ac:dyDescent="0.4">
      <c r="D4" s="216"/>
      <c r="E4" s="216"/>
      <c r="F4" s="216"/>
      <c r="G4" s="216"/>
      <c r="H4" s="216"/>
      <c r="I4" s="216"/>
      <c r="J4" s="216"/>
      <c r="K4" s="20"/>
      <c r="L4" s="20"/>
      <c r="M4" s="20"/>
      <c r="O4" s="117"/>
      <c r="Q4" s="19"/>
    </row>
    <row r="5" spans="2:17" ht="138" customHeight="1" thickBot="1" x14ac:dyDescent="0.4">
      <c r="B5" s="67" t="s">
        <v>367</v>
      </c>
      <c r="C5" s="67" t="s">
        <v>403</v>
      </c>
      <c r="D5" s="190" t="s">
        <v>519</v>
      </c>
      <c r="E5" s="190" t="s">
        <v>520</v>
      </c>
      <c r="F5" s="191" t="s">
        <v>521</v>
      </c>
      <c r="G5" s="160" t="s">
        <v>510</v>
      </c>
      <c r="H5" s="160" t="s">
        <v>511</v>
      </c>
      <c r="I5" s="160" t="s">
        <v>512</v>
      </c>
      <c r="J5" s="160" t="s">
        <v>522</v>
      </c>
      <c r="K5" s="192" t="s">
        <v>539</v>
      </c>
      <c r="L5" s="189" t="s">
        <v>540</v>
      </c>
      <c r="M5" s="67" t="s">
        <v>541</v>
      </c>
      <c r="N5" s="67" t="s">
        <v>404</v>
      </c>
      <c r="O5" s="67" t="s">
        <v>446</v>
      </c>
      <c r="P5" s="135" t="s">
        <v>454</v>
      </c>
      <c r="Q5" s="67" t="s">
        <v>455</v>
      </c>
    </row>
    <row r="6" spans="2:17" ht="16" thickBot="1" x14ac:dyDescent="0.4">
      <c r="B6" s="64" t="s">
        <v>368</v>
      </c>
      <c r="C6" s="268" t="s">
        <v>457</v>
      </c>
      <c r="D6" s="268"/>
      <c r="E6" s="268"/>
      <c r="F6" s="268"/>
      <c r="G6" s="269"/>
      <c r="H6" s="269"/>
      <c r="I6" s="269"/>
      <c r="J6" s="268"/>
      <c r="K6" s="268"/>
      <c r="L6" s="268"/>
      <c r="M6" s="268"/>
      <c r="N6" s="268"/>
      <c r="O6" s="270"/>
      <c r="P6" s="270"/>
      <c r="Q6" s="268"/>
    </row>
    <row r="7" spans="2:17" ht="19.25" customHeight="1" thickBot="1" x14ac:dyDescent="0.4">
      <c r="B7" s="64" t="s">
        <v>369</v>
      </c>
      <c r="C7" s="272" t="s">
        <v>458</v>
      </c>
      <c r="D7" s="272"/>
      <c r="E7" s="272"/>
      <c r="F7" s="272"/>
      <c r="G7" s="272"/>
      <c r="H7" s="272"/>
      <c r="I7" s="272"/>
      <c r="J7" s="272"/>
      <c r="K7" s="268"/>
      <c r="L7" s="268"/>
      <c r="M7" s="268"/>
      <c r="N7" s="268"/>
      <c r="O7" s="270"/>
      <c r="P7" s="270"/>
      <c r="Q7" s="268"/>
    </row>
    <row r="8" spans="2:17" ht="15.5" x14ac:dyDescent="0.35">
      <c r="B8" s="276" t="s">
        <v>370</v>
      </c>
      <c r="C8" s="151" t="s">
        <v>456</v>
      </c>
      <c r="D8" s="162">
        <v>0</v>
      </c>
      <c r="E8" s="162">
        <v>0</v>
      </c>
      <c r="F8" s="162">
        <v>1500</v>
      </c>
      <c r="G8" s="162">
        <f t="shared" ref="G8:G17" si="0">SUM(D8:F8)</f>
        <v>1500</v>
      </c>
      <c r="H8" s="217">
        <v>850</v>
      </c>
      <c r="I8" s="217">
        <f t="shared" ref="I8:I17" si="1">G8-H8</f>
        <v>650</v>
      </c>
      <c r="J8" s="161"/>
      <c r="K8" s="194">
        <f>+D8+E8+F8+J8</f>
        <v>1500</v>
      </c>
      <c r="L8" s="208">
        <v>0</v>
      </c>
      <c r="M8" s="8">
        <f>+K8+L8</f>
        <v>1500</v>
      </c>
      <c r="N8" s="139" t="s">
        <v>513</v>
      </c>
      <c r="O8" s="138">
        <v>1500</v>
      </c>
      <c r="P8" s="138"/>
      <c r="Q8" s="137"/>
    </row>
    <row r="9" spans="2:17" ht="21" customHeight="1" x14ac:dyDescent="0.35">
      <c r="B9" s="277"/>
      <c r="C9" s="143" t="s">
        <v>493</v>
      </c>
      <c r="D9" s="162">
        <v>125000</v>
      </c>
      <c r="E9" s="162">
        <v>69468</v>
      </c>
      <c r="F9" s="162">
        <f>12*8102.52</f>
        <v>97230.24</v>
      </c>
      <c r="G9" s="162">
        <f t="shared" si="0"/>
        <v>291698.24</v>
      </c>
      <c r="H9" s="217">
        <v>249518.27000000002</v>
      </c>
      <c r="I9" s="217">
        <f t="shared" si="1"/>
        <v>42179.969999999972</v>
      </c>
      <c r="J9" s="162">
        <f>24*9000</f>
        <v>216000</v>
      </c>
      <c r="K9" s="194">
        <f t="shared" ref="K9:K16" si="2">+D9+E9+F9+J9</f>
        <v>507698.24</v>
      </c>
      <c r="L9" s="208">
        <f>10071.18*9</f>
        <v>90640.62</v>
      </c>
      <c r="M9" s="8">
        <f t="shared" ref="M9:M16" si="3">+K9+L9</f>
        <v>598338.86</v>
      </c>
      <c r="N9" s="139">
        <v>0.35</v>
      </c>
      <c r="O9" s="254">
        <v>1361559.31</v>
      </c>
      <c r="P9" s="181" t="s">
        <v>514</v>
      </c>
      <c r="Q9" s="137"/>
    </row>
    <row r="10" spans="2:17" ht="35.5" customHeight="1" x14ac:dyDescent="0.35">
      <c r="B10" s="277"/>
      <c r="C10" s="143" t="s">
        <v>494</v>
      </c>
      <c r="D10" s="162">
        <v>54000</v>
      </c>
      <c r="E10" s="162">
        <v>36000</v>
      </c>
      <c r="F10" s="162">
        <f>12*3000</f>
        <v>36000</v>
      </c>
      <c r="G10" s="162">
        <f t="shared" si="0"/>
        <v>126000</v>
      </c>
      <c r="H10" s="217">
        <v>117000</v>
      </c>
      <c r="I10" s="217">
        <f t="shared" si="1"/>
        <v>9000</v>
      </c>
      <c r="J10" s="162">
        <f>24*4050+7200</f>
        <v>104400</v>
      </c>
      <c r="K10" s="194">
        <f>+D10+E10+F10+J10</f>
        <v>230400</v>
      </c>
      <c r="L10" s="208">
        <f>5000*9</f>
        <v>45000</v>
      </c>
      <c r="M10" s="8">
        <f>+K10+L10</f>
        <v>275400</v>
      </c>
      <c r="N10" s="139">
        <v>0.35</v>
      </c>
      <c r="O10" s="255"/>
      <c r="P10" s="181" t="s">
        <v>514</v>
      </c>
      <c r="Q10" s="137"/>
    </row>
    <row r="11" spans="2:17" ht="25.25" customHeight="1" x14ac:dyDescent="0.35">
      <c r="B11" s="277"/>
      <c r="C11" s="143" t="s">
        <v>509</v>
      </c>
      <c r="D11" s="162">
        <v>22230</v>
      </c>
      <c r="E11" s="162">
        <v>12000</v>
      </c>
      <c r="F11" s="162">
        <f>12*4804</f>
        <v>57648</v>
      </c>
      <c r="G11" s="162">
        <f t="shared" si="0"/>
        <v>91878</v>
      </c>
      <c r="H11" s="217">
        <v>39034</v>
      </c>
      <c r="I11" s="217">
        <f t="shared" si="1"/>
        <v>52844</v>
      </c>
      <c r="J11" s="162">
        <f>24*5350</f>
        <v>128400</v>
      </c>
      <c r="K11" s="194">
        <f t="shared" si="2"/>
        <v>220278</v>
      </c>
      <c r="L11" s="208">
        <f>6088.46*9</f>
        <v>54796.14</v>
      </c>
      <c r="M11" s="8">
        <f t="shared" si="3"/>
        <v>275074.14</v>
      </c>
      <c r="N11" s="139">
        <v>0.35</v>
      </c>
      <c r="O11" s="255"/>
      <c r="P11" s="181" t="s">
        <v>514</v>
      </c>
      <c r="Q11" s="137"/>
    </row>
    <row r="12" spans="2:17" ht="31.25" customHeight="1" x14ac:dyDescent="0.35">
      <c r="B12" s="277"/>
      <c r="C12" s="143" t="s">
        <v>543</v>
      </c>
      <c r="D12" s="162">
        <v>26100</v>
      </c>
      <c r="E12" s="162">
        <v>18000</v>
      </c>
      <c r="F12" s="162">
        <f>12*1373</f>
        <v>16476</v>
      </c>
      <c r="G12" s="162">
        <f t="shared" si="0"/>
        <v>60576</v>
      </c>
      <c r="H12" s="217">
        <v>56484</v>
      </c>
      <c r="I12" s="217">
        <f t="shared" si="1"/>
        <v>4092</v>
      </c>
      <c r="J12" s="162">
        <f>24*1700+3000</f>
        <v>43800</v>
      </c>
      <c r="K12" s="194">
        <f t="shared" si="2"/>
        <v>104376</v>
      </c>
      <c r="L12" s="208">
        <f>1767.92*9</f>
        <v>15911.28</v>
      </c>
      <c r="M12" s="8">
        <f t="shared" si="3"/>
        <v>120287.28</v>
      </c>
      <c r="N12" s="139">
        <v>0.2</v>
      </c>
      <c r="O12" s="255"/>
      <c r="P12" s="181" t="s">
        <v>535</v>
      </c>
      <c r="Q12" s="137"/>
    </row>
    <row r="13" spans="2:17" ht="30" customHeight="1" x14ac:dyDescent="0.35">
      <c r="B13" s="278"/>
      <c r="C13" s="143" t="s">
        <v>491</v>
      </c>
      <c r="D13" s="162">
        <v>8100</v>
      </c>
      <c r="E13" s="162">
        <v>6000</v>
      </c>
      <c r="F13" s="162">
        <f>12*688</f>
        <v>8256</v>
      </c>
      <c r="G13" s="162">
        <f t="shared" si="0"/>
        <v>22356</v>
      </c>
      <c r="H13" s="217">
        <v>20129</v>
      </c>
      <c r="I13" s="217">
        <f t="shared" si="1"/>
        <v>2227</v>
      </c>
      <c r="J13" s="162">
        <f>24*880+1400</f>
        <v>22520</v>
      </c>
      <c r="K13" s="194">
        <f t="shared" si="2"/>
        <v>44876</v>
      </c>
      <c r="L13" s="208">
        <f>935*9</f>
        <v>8415</v>
      </c>
      <c r="M13" s="8">
        <f t="shared" si="3"/>
        <v>53291</v>
      </c>
      <c r="N13" s="139">
        <v>0.2</v>
      </c>
      <c r="O13" s="256"/>
      <c r="P13" s="181" t="s">
        <v>535</v>
      </c>
      <c r="Q13" s="142"/>
    </row>
    <row r="14" spans="2:17" ht="39.65" customHeight="1" x14ac:dyDescent="0.35">
      <c r="B14" s="152" t="s">
        <v>371</v>
      </c>
      <c r="C14" s="151" t="s">
        <v>492</v>
      </c>
      <c r="D14" s="162">
        <v>20000</v>
      </c>
      <c r="E14" s="162">
        <v>17000</v>
      </c>
      <c r="F14" s="162">
        <f>10000*4+5000</f>
        <v>45000</v>
      </c>
      <c r="G14" s="162">
        <f t="shared" si="0"/>
        <v>82000</v>
      </c>
      <c r="H14" s="217">
        <v>42726.44</v>
      </c>
      <c r="I14" s="217">
        <f t="shared" si="1"/>
        <v>39273.56</v>
      </c>
      <c r="J14" s="162">
        <v>1000</v>
      </c>
      <c r="K14" s="194">
        <f t="shared" si="2"/>
        <v>83000</v>
      </c>
      <c r="L14" s="208">
        <v>0</v>
      </c>
      <c r="M14" s="8">
        <f t="shared" si="3"/>
        <v>83000</v>
      </c>
      <c r="N14" s="139">
        <v>0.3</v>
      </c>
      <c r="O14" s="140">
        <v>61950</v>
      </c>
      <c r="P14" s="182" t="s">
        <v>515</v>
      </c>
      <c r="Q14" s="142"/>
    </row>
    <row r="15" spans="2:17" ht="46.5" x14ac:dyDescent="0.35">
      <c r="B15" s="152" t="s">
        <v>372</v>
      </c>
      <c r="C15" s="151" t="s">
        <v>459</v>
      </c>
      <c r="D15" s="162">
        <v>25000</v>
      </c>
      <c r="E15" s="162">
        <v>75000</v>
      </c>
      <c r="F15" s="162">
        <f>70000</f>
        <v>70000</v>
      </c>
      <c r="G15" s="162">
        <f t="shared" si="0"/>
        <v>170000</v>
      </c>
      <c r="H15" s="217">
        <v>148585.09</v>
      </c>
      <c r="I15" s="217">
        <f t="shared" si="1"/>
        <v>21414.910000000003</v>
      </c>
      <c r="J15" s="162">
        <f>25000*2</f>
        <v>50000</v>
      </c>
      <c r="K15" s="194">
        <f t="shared" si="2"/>
        <v>220000</v>
      </c>
      <c r="L15" s="208">
        <v>15000</v>
      </c>
      <c r="M15" s="8">
        <f t="shared" si="3"/>
        <v>235000</v>
      </c>
      <c r="N15" s="139">
        <v>0.2</v>
      </c>
      <c r="O15" s="140">
        <v>206883.26</v>
      </c>
      <c r="P15" s="141" t="s">
        <v>516</v>
      </c>
      <c r="Q15" s="142"/>
    </row>
    <row r="16" spans="2:17" ht="62" x14ac:dyDescent="0.35">
      <c r="B16" s="152" t="s">
        <v>373</v>
      </c>
      <c r="C16" s="151" t="s">
        <v>460</v>
      </c>
      <c r="D16" s="162">
        <v>14500</v>
      </c>
      <c r="E16" s="162">
        <v>8000</v>
      </c>
      <c r="F16" s="162">
        <f>10000</f>
        <v>10000</v>
      </c>
      <c r="G16" s="162">
        <f t="shared" si="0"/>
        <v>32500</v>
      </c>
      <c r="H16" s="217">
        <v>18000</v>
      </c>
      <c r="I16" s="217">
        <f t="shared" si="1"/>
        <v>14500</v>
      </c>
      <c r="J16" s="162">
        <f>5000*2</f>
        <v>10000</v>
      </c>
      <c r="K16" s="194">
        <f t="shared" si="2"/>
        <v>42500</v>
      </c>
      <c r="L16" s="208">
        <v>5000</v>
      </c>
      <c r="M16" s="8">
        <f t="shared" si="3"/>
        <v>47500</v>
      </c>
      <c r="N16" s="139">
        <v>0.3</v>
      </c>
      <c r="O16" s="140">
        <v>35000</v>
      </c>
      <c r="P16" s="141" t="s">
        <v>508</v>
      </c>
      <c r="Q16" s="142"/>
    </row>
    <row r="17" spans="1:17" ht="16" thickBot="1" x14ac:dyDescent="0.4">
      <c r="A17" s="19"/>
      <c r="B17" s="146"/>
      <c r="C17" s="65" t="s">
        <v>405</v>
      </c>
      <c r="D17" s="163">
        <f t="shared" ref="D17:F17" si="4">SUM(D8:D16)</f>
        <v>294930</v>
      </c>
      <c r="E17" s="163">
        <f t="shared" si="4"/>
        <v>241468</v>
      </c>
      <c r="F17" s="163">
        <f t="shared" si="4"/>
        <v>342110.24</v>
      </c>
      <c r="G17" s="166">
        <f t="shared" si="0"/>
        <v>878508.24</v>
      </c>
      <c r="H17" s="217">
        <v>692326.79999999993</v>
      </c>
      <c r="I17" s="217">
        <f t="shared" si="1"/>
        <v>186181.44000000006</v>
      </c>
      <c r="J17" s="163">
        <f>SUM(J8:J16)</f>
        <v>576120</v>
      </c>
      <c r="K17" s="195">
        <f>SUM(K8:K16)</f>
        <v>1454628.24</v>
      </c>
      <c r="L17" s="209">
        <f>SUM(L8:L16)</f>
        <v>234763.04</v>
      </c>
      <c r="M17" s="8">
        <f>SUM(M9:M16)</f>
        <v>1687891.28</v>
      </c>
      <c r="N17" s="8">
        <f>(M8*N8)+(M9*N9)+(M10*N10)+(M11*N11)+(M12*N12)+(M13*N13)+(M14*N14)+(M15*N15)+(M16*N16)</f>
        <v>523400.20600000006</v>
      </c>
      <c r="O17" s="8">
        <f>O8+O9+O14+O15+O16</f>
        <v>1666892.57</v>
      </c>
      <c r="P17" s="132"/>
      <c r="Q17" s="145"/>
    </row>
    <row r="18" spans="1:17" ht="16" thickBot="1" x14ac:dyDescent="0.4">
      <c r="A18" s="19"/>
      <c r="B18" s="64" t="s">
        <v>374</v>
      </c>
      <c r="C18" s="266" t="s">
        <v>461</v>
      </c>
      <c r="D18" s="266"/>
      <c r="E18" s="266"/>
      <c r="F18" s="266"/>
      <c r="G18" s="266"/>
      <c r="H18" s="266"/>
      <c r="I18" s="266"/>
      <c r="J18" s="266"/>
      <c r="K18" s="266"/>
      <c r="L18" s="266"/>
      <c r="M18" s="266"/>
      <c r="N18" s="267"/>
      <c r="O18" s="270"/>
      <c r="P18" s="270"/>
      <c r="Q18" s="267"/>
    </row>
    <row r="19" spans="1:17" ht="92.4" customHeight="1" x14ac:dyDescent="0.35">
      <c r="A19" s="19"/>
      <c r="B19" s="152" t="s">
        <v>375</v>
      </c>
      <c r="C19" s="136" t="s">
        <v>462</v>
      </c>
      <c r="D19" s="162">
        <v>0</v>
      </c>
      <c r="E19" s="162">
        <v>25000</v>
      </c>
      <c r="F19" s="162">
        <v>0</v>
      </c>
      <c r="G19" s="162">
        <f>SUM(D19:F19)</f>
        <v>25000</v>
      </c>
      <c r="H19" s="162">
        <v>20744.84</v>
      </c>
      <c r="I19" s="162">
        <f>G19-H19</f>
        <v>4255.16</v>
      </c>
      <c r="J19" s="162"/>
      <c r="K19" s="194">
        <f t="shared" ref="K19:K22" si="5">+D19+E19+F19+J19</f>
        <v>25000</v>
      </c>
      <c r="L19" s="208">
        <v>0</v>
      </c>
      <c r="M19" s="8">
        <f t="shared" ref="M19:M22" si="6">+K19+L19</f>
        <v>25000</v>
      </c>
      <c r="N19" s="139">
        <v>0.3</v>
      </c>
      <c r="O19" s="140">
        <v>15978.66</v>
      </c>
      <c r="P19" s="141" t="s">
        <v>517</v>
      </c>
      <c r="Q19" s="142"/>
    </row>
    <row r="20" spans="1:17" ht="66.650000000000006" customHeight="1" x14ac:dyDescent="0.35">
      <c r="A20" s="19"/>
      <c r="B20" s="152" t="s">
        <v>376</v>
      </c>
      <c r="C20" s="136" t="s">
        <v>463</v>
      </c>
      <c r="D20" s="162">
        <v>15000</v>
      </c>
      <c r="E20" s="162">
        <v>0</v>
      </c>
      <c r="F20" s="162">
        <v>10000</v>
      </c>
      <c r="G20" s="162">
        <f>SUM(D20:F20)</f>
        <v>25000</v>
      </c>
      <c r="H20" s="162">
        <v>6780</v>
      </c>
      <c r="I20" s="162">
        <f>G20-H20</f>
        <v>18220</v>
      </c>
      <c r="J20" s="162">
        <v>32000</v>
      </c>
      <c r="K20" s="194">
        <f t="shared" si="5"/>
        <v>57000</v>
      </c>
      <c r="L20" s="208">
        <v>0</v>
      </c>
      <c r="M20" s="8">
        <f t="shared" si="6"/>
        <v>57000</v>
      </c>
      <c r="N20" s="139">
        <v>0.3</v>
      </c>
      <c r="O20" s="140">
        <v>34879.75</v>
      </c>
      <c r="P20" s="141" t="s">
        <v>517</v>
      </c>
      <c r="Q20" s="142"/>
    </row>
    <row r="21" spans="1:17" ht="93" x14ac:dyDescent="0.35">
      <c r="A21" s="19"/>
      <c r="B21" s="152" t="s">
        <v>377</v>
      </c>
      <c r="C21" s="136" t="s">
        <v>464</v>
      </c>
      <c r="D21" s="162">
        <v>10000</v>
      </c>
      <c r="E21" s="162">
        <v>25000</v>
      </c>
      <c r="F21" s="162">
        <v>15000</v>
      </c>
      <c r="G21" s="162">
        <f>SUM(D21:F21)</f>
        <v>50000</v>
      </c>
      <c r="H21" s="162">
        <v>32850</v>
      </c>
      <c r="I21" s="162">
        <f>G21-H21</f>
        <v>17150</v>
      </c>
      <c r="J21" s="162">
        <f>10000*2</f>
        <v>20000</v>
      </c>
      <c r="K21" s="194">
        <f t="shared" si="5"/>
        <v>70000</v>
      </c>
      <c r="L21" s="208">
        <f>15000-4696.45+328.75-23.01+1.61-0.12+0.01</f>
        <v>10610.789999999999</v>
      </c>
      <c r="M21" s="8">
        <f t="shared" si="6"/>
        <v>80610.789999999994</v>
      </c>
      <c r="N21" s="139">
        <v>0.4</v>
      </c>
      <c r="O21" s="140">
        <v>41974.55</v>
      </c>
      <c r="P21" s="182" t="s">
        <v>518</v>
      </c>
      <c r="Q21" s="142"/>
    </row>
    <row r="22" spans="1:17" ht="55.25" customHeight="1" x14ac:dyDescent="0.35">
      <c r="A22" s="19"/>
      <c r="B22" s="152" t="s">
        <v>378</v>
      </c>
      <c r="C22" s="136" t="s">
        <v>465</v>
      </c>
      <c r="D22" s="162">
        <v>10000</v>
      </c>
      <c r="E22" s="162">
        <v>0</v>
      </c>
      <c r="F22" s="162">
        <v>0</v>
      </c>
      <c r="G22" s="162">
        <f>SUM(D22:F22)</f>
        <v>10000</v>
      </c>
      <c r="H22" s="162">
        <v>3600.98</v>
      </c>
      <c r="I22" s="162">
        <f>G22-H22</f>
        <v>6399.02</v>
      </c>
      <c r="J22" s="162"/>
      <c r="K22" s="194">
        <f t="shared" si="5"/>
        <v>10000</v>
      </c>
      <c r="L22" s="208">
        <v>0</v>
      </c>
      <c r="M22" s="8">
        <f t="shared" si="6"/>
        <v>10000</v>
      </c>
      <c r="N22" s="139">
        <v>0.3</v>
      </c>
      <c r="O22" s="140">
        <v>4300</v>
      </c>
      <c r="P22" s="141" t="s">
        <v>517</v>
      </c>
      <c r="Q22" s="142"/>
    </row>
    <row r="23" spans="1:17" ht="16" thickBot="1" x14ac:dyDescent="0.4">
      <c r="A23" s="19"/>
      <c r="B23" s="146"/>
      <c r="C23" s="65" t="s">
        <v>405</v>
      </c>
      <c r="D23" s="164">
        <f>SUM(D19:D22)</f>
        <v>35000</v>
      </c>
      <c r="E23" s="164">
        <f>SUM(E19:E22)</f>
        <v>50000</v>
      </c>
      <c r="F23" s="164">
        <f>SUM(F19:F22)</f>
        <v>25000</v>
      </c>
      <c r="G23" s="166">
        <f>SUM(D23:F23)</f>
        <v>110000</v>
      </c>
      <c r="H23" s="164">
        <v>63975.82</v>
      </c>
      <c r="I23" s="162">
        <f>G23-H23</f>
        <v>46024.18</v>
      </c>
      <c r="J23" s="164">
        <f>SUM(J19:J22)</f>
        <v>52000</v>
      </c>
      <c r="K23" s="196">
        <f>SUM(K19:K22)</f>
        <v>162000</v>
      </c>
      <c r="L23" s="211">
        <f>SUM(L19:L22)</f>
        <v>10610.789999999999</v>
      </c>
      <c r="M23" s="10">
        <f>SUM(M19:M22)</f>
        <v>172610.78999999998</v>
      </c>
      <c r="N23" s="8">
        <f>(M19*N19)+(M20*N20)+(M21*N21)+(M22*N22)</f>
        <v>59844.315999999999</v>
      </c>
      <c r="O23" s="8">
        <f>SUM(O19:O22)</f>
        <v>97132.96</v>
      </c>
      <c r="P23" s="132"/>
      <c r="Q23" s="145"/>
    </row>
    <row r="24" spans="1:17" ht="16" thickBot="1" x14ac:dyDescent="0.4">
      <c r="A24" s="19"/>
      <c r="B24" s="64" t="s">
        <v>379</v>
      </c>
      <c r="C24" s="266" t="s">
        <v>466</v>
      </c>
      <c r="D24" s="266"/>
      <c r="E24" s="273"/>
      <c r="F24" s="273"/>
      <c r="G24" s="273"/>
      <c r="H24" s="273"/>
      <c r="I24" s="273"/>
      <c r="J24" s="273"/>
      <c r="K24" s="273"/>
      <c r="L24" s="273"/>
      <c r="M24" s="273"/>
      <c r="N24" s="274"/>
      <c r="O24" s="275"/>
      <c r="P24" s="275"/>
      <c r="Q24" s="274"/>
    </row>
    <row r="25" spans="1:17" ht="77.5" x14ac:dyDescent="0.35">
      <c r="A25" s="19"/>
      <c r="B25" s="152" t="s">
        <v>380</v>
      </c>
      <c r="C25" s="136" t="s">
        <v>467</v>
      </c>
      <c r="D25" s="162">
        <v>0</v>
      </c>
      <c r="E25" s="162">
        <v>17000</v>
      </c>
      <c r="F25" s="162">
        <v>10000</v>
      </c>
      <c r="G25" s="162">
        <f>SUM(D25:F25)</f>
        <v>27000</v>
      </c>
      <c r="H25" s="162">
        <v>15750</v>
      </c>
      <c r="I25" s="162">
        <f>G25-H25</f>
        <v>11250</v>
      </c>
      <c r="J25" s="162">
        <v>9000</v>
      </c>
      <c r="K25" s="194">
        <f t="shared" ref="K25:K28" si="7">+D25+E25+F25+J25</f>
        <v>36000</v>
      </c>
      <c r="L25" s="208">
        <v>5000</v>
      </c>
      <c r="M25" s="8">
        <f t="shared" ref="M25:M28" si="8">+K25+L25</f>
        <v>41000</v>
      </c>
      <c r="N25" s="139">
        <v>0.3</v>
      </c>
      <c r="O25" s="140">
        <v>35652.449999999997</v>
      </c>
      <c r="P25" s="182" t="s">
        <v>523</v>
      </c>
      <c r="Q25" s="142"/>
    </row>
    <row r="26" spans="1:17" ht="77.400000000000006" customHeight="1" x14ac:dyDescent="0.35">
      <c r="A26" s="19"/>
      <c r="B26" s="152" t="s">
        <v>381</v>
      </c>
      <c r="C26" s="136" t="s">
        <v>468</v>
      </c>
      <c r="D26" s="162">
        <v>2000</v>
      </c>
      <c r="E26" s="162">
        <v>3000</v>
      </c>
      <c r="F26" s="162">
        <v>5000</v>
      </c>
      <c r="G26" s="162">
        <f>SUM(D26:F26)</f>
        <v>10000</v>
      </c>
      <c r="H26" s="162">
        <v>5500</v>
      </c>
      <c r="I26" s="162">
        <f>G26-H26</f>
        <v>4500</v>
      </c>
      <c r="J26" s="162">
        <f>10000*2</f>
        <v>20000</v>
      </c>
      <c r="K26" s="194">
        <f t="shared" si="7"/>
        <v>30000</v>
      </c>
      <c r="L26" s="208">
        <v>10000</v>
      </c>
      <c r="M26" s="8">
        <f t="shared" si="8"/>
        <v>40000</v>
      </c>
      <c r="N26" s="139">
        <v>0.3</v>
      </c>
      <c r="O26" s="140">
        <v>21177.59</v>
      </c>
      <c r="P26" s="183" t="s">
        <v>524</v>
      </c>
      <c r="Q26" s="142"/>
    </row>
    <row r="27" spans="1:17" ht="74.400000000000006" customHeight="1" x14ac:dyDescent="0.35">
      <c r="A27" s="19"/>
      <c r="B27" s="152" t="s">
        <v>382</v>
      </c>
      <c r="C27" s="136" t="s">
        <v>469</v>
      </c>
      <c r="D27" s="162">
        <v>4800</v>
      </c>
      <c r="E27" s="162">
        <v>5000</v>
      </c>
      <c r="F27" s="162">
        <v>5000</v>
      </c>
      <c r="G27" s="162">
        <f>SUM(D27:F27)</f>
        <v>14800</v>
      </c>
      <c r="H27" s="162">
        <v>9830</v>
      </c>
      <c r="I27" s="162">
        <f>G27-H27</f>
        <v>4970</v>
      </c>
      <c r="J27" s="162">
        <v>6000</v>
      </c>
      <c r="K27" s="194">
        <f t="shared" si="7"/>
        <v>20800</v>
      </c>
      <c r="L27" s="208">
        <v>0</v>
      </c>
      <c r="M27" s="8">
        <f t="shared" si="8"/>
        <v>20800</v>
      </c>
      <c r="N27" s="139">
        <v>0.2</v>
      </c>
      <c r="O27" s="140">
        <v>17733.09</v>
      </c>
      <c r="P27" s="183" t="s">
        <v>525</v>
      </c>
      <c r="Q27" s="142"/>
    </row>
    <row r="28" spans="1:17" ht="68.400000000000006" customHeight="1" x14ac:dyDescent="0.35">
      <c r="A28" s="19"/>
      <c r="B28" s="152" t="s">
        <v>383</v>
      </c>
      <c r="C28" s="136" t="s">
        <v>470</v>
      </c>
      <c r="D28" s="162">
        <v>15000</v>
      </c>
      <c r="E28" s="162">
        <v>20000</v>
      </c>
      <c r="F28" s="162">
        <v>15000</v>
      </c>
      <c r="G28" s="162">
        <f>SUM(D28:F28)</f>
        <v>50000</v>
      </c>
      <c r="H28" s="162">
        <v>35200</v>
      </c>
      <c r="I28" s="162">
        <f>G28-H28</f>
        <v>14800</v>
      </c>
      <c r="J28" s="162">
        <f>10200</f>
        <v>10200</v>
      </c>
      <c r="K28" s="194">
        <f t="shared" si="7"/>
        <v>60200</v>
      </c>
      <c r="L28" s="208">
        <v>5000</v>
      </c>
      <c r="M28" s="8">
        <f t="shared" si="8"/>
        <v>65200</v>
      </c>
      <c r="N28" s="139">
        <v>0.2</v>
      </c>
      <c r="O28" s="140">
        <v>45457.23</v>
      </c>
      <c r="P28" s="183" t="s">
        <v>525</v>
      </c>
      <c r="Q28" s="142"/>
    </row>
    <row r="29" spans="1:17" ht="16" thickBot="1" x14ac:dyDescent="0.4">
      <c r="B29" s="146"/>
      <c r="C29" s="65" t="s">
        <v>405</v>
      </c>
      <c r="D29" s="164">
        <f>SUM(D25:D28)</f>
        <v>21800</v>
      </c>
      <c r="E29" s="164">
        <f>SUM(E25:E28)</f>
        <v>45000</v>
      </c>
      <c r="F29" s="164">
        <f>SUM(F25:F28)</f>
        <v>35000</v>
      </c>
      <c r="G29" s="166">
        <f>SUM(D29:F29)</f>
        <v>101800</v>
      </c>
      <c r="H29" s="164">
        <v>66280</v>
      </c>
      <c r="I29" s="162">
        <f>G29-H29</f>
        <v>35520</v>
      </c>
      <c r="J29" s="164">
        <f>SUM(J25:J28)</f>
        <v>45200</v>
      </c>
      <c r="K29" s="196">
        <f>SUM(K25:K28)</f>
        <v>147000</v>
      </c>
      <c r="L29" s="211">
        <f>SUM(L25:L28)</f>
        <v>20000</v>
      </c>
      <c r="M29" s="10">
        <f>SUM(M25:M28)</f>
        <v>167000</v>
      </c>
      <c r="N29" s="8">
        <f>(M25*N25)+(M26*N26)+(M27*N27)+(M28*N28)</f>
        <v>41500</v>
      </c>
      <c r="O29" s="8">
        <f>SUM(O25:O28)</f>
        <v>120020.35999999999</v>
      </c>
      <c r="P29" s="132"/>
      <c r="Q29" s="145"/>
    </row>
    <row r="30" spans="1:17" ht="16" thickBot="1" x14ac:dyDescent="0.4">
      <c r="B30" s="64" t="s">
        <v>384</v>
      </c>
      <c r="C30" s="266" t="s">
        <v>471</v>
      </c>
      <c r="D30" s="266"/>
      <c r="E30" s="266"/>
      <c r="F30" s="266"/>
      <c r="G30" s="266"/>
      <c r="H30" s="266"/>
      <c r="I30" s="266"/>
      <c r="J30" s="266"/>
      <c r="K30" s="266"/>
      <c r="L30" s="266"/>
      <c r="M30" s="266"/>
      <c r="N30" s="267"/>
      <c r="O30" s="267"/>
      <c r="P30" s="267"/>
      <c r="Q30" s="267"/>
    </row>
    <row r="31" spans="1:17" ht="83.4" customHeight="1" x14ac:dyDescent="0.35">
      <c r="B31" s="152" t="s">
        <v>385</v>
      </c>
      <c r="C31" s="151" t="s">
        <v>473</v>
      </c>
      <c r="D31" s="162">
        <v>10000</v>
      </c>
      <c r="E31" s="162">
        <v>10000</v>
      </c>
      <c r="F31" s="162"/>
      <c r="G31" s="162">
        <f t="shared" ref="G31:G41" si="9">SUM(D31:F31)</f>
        <v>20000</v>
      </c>
      <c r="H31" s="162">
        <v>10950</v>
      </c>
      <c r="I31" s="162">
        <f t="shared" ref="I31:I41" si="10">G31-H31</f>
        <v>9050</v>
      </c>
      <c r="J31" s="162">
        <v>0</v>
      </c>
      <c r="K31" s="194">
        <f t="shared" ref="K31:K40" si="11">+D31+E31+F31+J31</f>
        <v>20000</v>
      </c>
      <c r="L31" s="210">
        <v>0</v>
      </c>
      <c r="M31" s="8">
        <f t="shared" ref="M31:M40" si="12">+K31+L31</f>
        <v>20000</v>
      </c>
      <c r="N31" s="153">
        <v>0.3</v>
      </c>
      <c r="O31" s="140">
        <v>14070</v>
      </c>
      <c r="P31" s="182" t="s">
        <v>526</v>
      </c>
      <c r="Q31" s="142"/>
    </row>
    <row r="32" spans="1:17" ht="15.5" x14ac:dyDescent="0.35">
      <c r="B32" s="152" t="s">
        <v>386</v>
      </c>
      <c r="C32" s="151" t="s">
        <v>474</v>
      </c>
      <c r="D32" s="162">
        <v>50000</v>
      </c>
      <c r="E32" s="162">
        <v>0</v>
      </c>
      <c r="F32" s="162">
        <v>0</v>
      </c>
      <c r="G32" s="162">
        <f t="shared" si="9"/>
        <v>50000</v>
      </c>
      <c r="H32" s="162">
        <v>50000</v>
      </c>
      <c r="I32" s="162">
        <f t="shared" si="10"/>
        <v>0</v>
      </c>
      <c r="J32" s="162">
        <v>0</v>
      </c>
      <c r="K32" s="194">
        <f t="shared" si="11"/>
        <v>50000</v>
      </c>
      <c r="L32" s="210">
        <v>0</v>
      </c>
      <c r="M32" s="8">
        <f>+K32+L32</f>
        <v>50000</v>
      </c>
      <c r="N32" s="153">
        <v>0.3</v>
      </c>
      <c r="O32" s="140">
        <v>50000</v>
      </c>
      <c r="P32" s="180"/>
      <c r="Q32" s="142"/>
    </row>
    <row r="33" spans="1:17" ht="15.5" x14ac:dyDescent="0.35">
      <c r="B33" s="152" t="s">
        <v>387</v>
      </c>
      <c r="C33" s="151" t="s">
        <v>475</v>
      </c>
      <c r="D33" s="162">
        <v>50000</v>
      </c>
      <c r="E33" s="162">
        <v>0</v>
      </c>
      <c r="F33" s="162">
        <v>0</v>
      </c>
      <c r="G33" s="162">
        <f t="shared" si="9"/>
        <v>50000</v>
      </c>
      <c r="H33" s="162">
        <v>41943.57</v>
      </c>
      <c r="I33" s="162">
        <f t="shared" si="10"/>
        <v>8056.43</v>
      </c>
      <c r="J33" s="162">
        <v>0</v>
      </c>
      <c r="K33" s="194">
        <f t="shared" si="11"/>
        <v>50000</v>
      </c>
      <c r="L33" s="210">
        <v>0</v>
      </c>
      <c r="M33" s="8">
        <f t="shared" si="12"/>
        <v>50000</v>
      </c>
      <c r="N33" s="153">
        <v>0.3</v>
      </c>
      <c r="O33" s="140">
        <v>10056.43</v>
      </c>
      <c r="P33" s="180"/>
      <c r="Q33" s="142"/>
    </row>
    <row r="34" spans="1:17" ht="46.5" x14ac:dyDescent="0.35">
      <c r="B34" s="152" t="s">
        <v>388</v>
      </c>
      <c r="C34" s="151" t="s">
        <v>495</v>
      </c>
      <c r="D34" s="162">
        <v>30000</v>
      </c>
      <c r="E34" s="162">
        <v>0</v>
      </c>
      <c r="F34" s="162">
        <v>25000</v>
      </c>
      <c r="G34" s="162">
        <f t="shared" si="9"/>
        <v>55000</v>
      </c>
      <c r="H34" s="162">
        <v>3585.93</v>
      </c>
      <c r="I34" s="162">
        <f t="shared" si="10"/>
        <v>51414.07</v>
      </c>
      <c r="J34" s="162">
        <v>0</v>
      </c>
      <c r="K34" s="194">
        <f t="shared" si="11"/>
        <v>55000</v>
      </c>
      <c r="L34" s="210">
        <v>0</v>
      </c>
      <c r="M34" s="8">
        <f t="shared" si="12"/>
        <v>55000</v>
      </c>
      <c r="N34" s="153">
        <v>0.3</v>
      </c>
      <c r="O34" s="140">
        <v>129611.79</v>
      </c>
      <c r="P34" s="180"/>
      <c r="Q34" s="142"/>
    </row>
    <row r="35" spans="1:17" ht="64.25" customHeight="1" x14ac:dyDescent="0.35">
      <c r="B35" s="152" t="s">
        <v>389</v>
      </c>
      <c r="C35" s="151" t="s">
        <v>476</v>
      </c>
      <c r="D35" s="162">
        <v>35000</v>
      </c>
      <c r="E35" s="162">
        <v>60000</v>
      </c>
      <c r="F35" s="162">
        <f>4*10000</f>
        <v>40000</v>
      </c>
      <c r="G35" s="162">
        <f t="shared" si="9"/>
        <v>135000</v>
      </c>
      <c r="H35" s="162">
        <v>98134.07</v>
      </c>
      <c r="I35" s="162">
        <f t="shared" si="10"/>
        <v>36865.929999999993</v>
      </c>
      <c r="J35" s="162">
        <f>10000*2</f>
        <v>20000</v>
      </c>
      <c r="K35" s="194">
        <f t="shared" si="11"/>
        <v>155000</v>
      </c>
      <c r="L35" s="210">
        <v>15000</v>
      </c>
      <c r="M35" s="8">
        <f t="shared" si="12"/>
        <v>170000</v>
      </c>
      <c r="N35" s="153">
        <v>0.4</v>
      </c>
      <c r="O35" s="140">
        <v>157131.96</v>
      </c>
      <c r="P35" s="182" t="s">
        <v>527</v>
      </c>
      <c r="Q35" s="142"/>
    </row>
    <row r="36" spans="1:17" ht="96" customHeight="1" x14ac:dyDescent="0.35">
      <c r="A36" s="19"/>
      <c r="B36" s="152" t="s">
        <v>390</v>
      </c>
      <c r="C36" s="151" t="s">
        <v>477</v>
      </c>
      <c r="D36" s="162">
        <v>10000</v>
      </c>
      <c r="E36" s="162">
        <v>20000</v>
      </c>
      <c r="F36" s="162">
        <v>25000</v>
      </c>
      <c r="G36" s="162">
        <f t="shared" si="9"/>
        <v>55000</v>
      </c>
      <c r="H36" s="162">
        <v>32750</v>
      </c>
      <c r="I36" s="162">
        <f t="shared" si="10"/>
        <v>22250</v>
      </c>
      <c r="J36" s="162">
        <v>0</v>
      </c>
      <c r="K36" s="194">
        <f t="shared" si="11"/>
        <v>55000</v>
      </c>
      <c r="L36" s="210">
        <v>0</v>
      </c>
      <c r="M36" s="8">
        <f t="shared" si="12"/>
        <v>55000</v>
      </c>
      <c r="N36" s="153">
        <v>0.3</v>
      </c>
      <c r="O36" s="140">
        <v>19915.310000000001</v>
      </c>
      <c r="P36" s="182" t="s">
        <v>528</v>
      </c>
      <c r="Q36" s="142"/>
    </row>
    <row r="37" spans="1:17" s="19" customFormat="1" ht="103.75" customHeight="1" x14ac:dyDescent="0.35">
      <c r="A37" s="18"/>
      <c r="B37" s="152" t="s">
        <v>391</v>
      </c>
      <c r="C37" s="156" t="s">
        <v>478</v>
      </c>
      <c r="D37" s="162">
        <v>8000</v>
      </c>
      <c r="E37" s="162">
        <v>6000</v>
      </c>
      <c r="F37" s="162">
        <v>0</v>
      </c>
      <c r="G37" s="162">
        <f t="shared" si="9"/>
        <v>14000</v>
      </c>
      <c r="H37" s="162">
        <v>11800</v>
      </c>
      <c r="I37" s="162">
        <f t="shared" si="10"/>
        <v>2200</v>
      </c>
      <c r="J37" s="162">
        <f>5000*2</f>
        <v>10000</v>
      </c>
      <c r="K37" s="194">
        <f t="shared" si="11"/>
        <v>24000</v>
      </c>
      <c r="L37" s="210">
        <v>0</v>
      </c>
      <c r="M37" s="8">
        <f t="shared" si="12"/>
        <v>24000</v>
      </c>
      <c r="N37" s="154">
        <v>0.3</v>
      </c>
      <c r="O37" s="144">
        <v>17300.189999999999</v>
      </c>
      <c r="P37" s="182" t="s">
        <v>529</v>
      </c>
      <c r="Q37" s="145"/>
    </row>
    <row r="38" spans="1:17" s="19" customFormat="1" ht="59.4" customHeight="1" x14ac:dyDescent="0.35">
      <c r="A38" s="18"/>
      <c r="B38" s="152" t="s">
        <v>392</v>
      </c>
      <c r="C38" s="156" t="s">
        <v>496</v>
      </c>
      <c r="D38" s="162"/>
      <c r="E38" s="162"/>
      <c r="F38" s="162">
        <v>60000</v>
      </c>
      <c r="G38" s="162">
        <f t="shared" si="9"/>
        <v>60000</v>
      </c>
      <c r="H38" s="162"/>
      <c r="I38" s="162">
        <f t="shared" si="10"/>
        <v>60000</v>
      </c>
      <c r="J38" s="162">
        <f>40000</f>
        <v>40000</v>
      </c>
      <c r="K38" s="194">
        <f t="shared" si="11"/>
        <v>100000</v>
      </c>
      <c r="L38" s="210">
        <v>0</v>
      </c>
      <c r="M38" s="8">
        <f t="shared" si="12"/>
        <v>100000</v>
      </c>
      <c r="N38" s="154">
        <v>0.3</v>
      </c>
      <c r="O38" s="144">
        <v>42800</v>
      </c>
      <c r="P38" s="182" t="s">
        <v>530</v>
      </c>
      <c r="Q38" s="144"/>
    </row>
    <row r="39" spans="1:17" s="19" customFormat="1" ht="77.5" x14ac:dyDescent="0.35">
      <c r="A39" s="18"/>
      <c r="B39" s="152" t="s">
        <v>472</v>
      </c>
      <c r="C39" s="151" t="s">
        <v>480</v>
      </c>
      <c r="D39" s="162">
        <v>0</v>
      </c>
      <c r="E39" s="162">
        <v>0</v>
      </c>
      <c r="F39" s="162">
        <v>0</v>
      </c>
      <c r="G39" s="162">
        <f t="shared" si="9"/>
        <v>0</v>
      </c>
      <c r="H39" s="162"/>
      <c r="I39" s="162">
        <f t="shared" si="10"/>
        <v>0</v>
      </c>
      <c r="J39" s="162">
        <v>0</v>
      </c>
      <c r="K39" s="194">
        <f t="shared" si="11"/>
        <v>0</v>
      </c>
      <c r="L39" s="210">
        <v>0</v>
      </c>
      <c r="M39" s="8">
        <f t="shared" si="12"/>
        <v>0</v>
      </c>
      <c r="N39" s="154">
        <v>0</v>
      </c>
      <c r="O39" s="144"/>
      <c r="P39" s="180"/>
      <c r="Q39" s="145"/>
    </row>
    <row r="40" spans="1:17" ht="66" customHeight="1" x14ac:dyDescent="0.35">
      <c r="B40" s="152" t="s">
        <v>497</v>
      </c>
      <c r="C40" s="151" t="s">
        <v>479</v>
      </c>
      <c r="D40" s="162">
        <v>7000</v>
      </c>
      <c r="E40" s="162">
        <v>10000</v>
      </c>
      <c r="F40" s="162">
        <v>10000</v>
      </c>
      <c r="G40" s="162">
        <f t="shared" si="9"/>
        <v>27000</v>
      </c>
      <c r="H40" s="162">
        <v>15500</v>
      </c>
      <c r="I40" s="162">
        <f t="shared" si="10"/>
        <v>11500</v>
      </c>
      <c r="J40" s="162">
        <v>3500</v>
      </c>
      <c r="K40" s="194">
        <f t="shared" si="11"/>
        <v>30500</v>
      </c>
      <c r="L40" s="210">
        <v>0</v>
      </c>
      <c r="M40" s="8">
        <f t="shared" si="12"/>
        <v>30500</v>
      </c>
      <c r="N40" s="154">
        <v>0.3</v>
      </c>
      <c r="O40" s="144">
        <v>27544.6</v>
      </c>
      <c r="P40" s="182" t="s">
        <v>531</v>
      </c>
      <c r="Q40" s="145"/>
    </row>
    <row r="41" spans="1:17" ht="15.5" x14ac:dyDescent="0.35">
      <c r="B41" s="146"/>
      <c r="C41" s="76" t="s">
        <v>405</v>
      </c>
      <c r="D41" s="165">
        <f>SUM(D31:D40)</f>
        <v>200000</v>
      </c>
      <c r="E41" s="165">
        <f>SUM(E31:E40)</f>
        <v>106000</v>
      </c>
      <c r="F41" s="165">
        <f>SUM(F31:F40)</f>
        <v>160000</v>
      </c>
      <c r="G41" s="166">
        <f t="shared" si="9"/>
        <v>466000</v>
      </c>
      <c r="H41" s="165">
        <v>264663.57</v>
      </c>
      <c r="I41" s="162">
        <f t="shared" si="10"/>
        <v>201336.43</v>
      </c>
      <c r="J41" s="165">
        <f>SUM(J31:J40)</f>
        <v>73500</v>
      </c>
      <c r="K41" s="197">
        <f>SUM(K31:K40)</f>
        <v>539500</v>
      </c>
      <c r="L41" s="188">
        <f>SUM(L31:L40)</f>
        <v>15000</v>
      </c>
      <c r="M41" s="155">
        <f>SUM(M31:M40)</f>
        <v>554500</v>
      </c>
      <c r="N41" s="8">
        <f>(M31*N31)+(M32*N32)+(M33*N33)+(M34*N34)+(M35*N35)+(M36*N36)+(M37*N37)+(M38*N38)+(M39*N39)+(M40*N40)</f>
        <v>183350</v>
      </c>
      <c r="O41" s="8">
        <f>SUM(O31:O40)</f>
        <v>468430.27999999991</v>
      </c>
      <c r="P41" s="132"/>
      <c r="Q41" s="145"/>
    </row>
    <row r="42" spans="1:17" ht="16" thickBot="1" x14ac:dyDescent="0.4">
      <c r="B42" s="147"/>
      <c r="C42" s="148"/>
      <c r="D42" s="218"/>
      <c r="E42" s="218"/>
      <c r="F42" s="218"/>
      <c r="G42" s="218"/>
      <c r="H42" s="218"/>
      <c r="I42" s="218"/>
      <c r="J42" s="218"/>
      <c r="K42" s="149"/>
      <c r="L42" s="149"/>
      <c r="M42" s="150"/>
      <c r="N42" s="149"/>
      <c r="O42" s="149"/>
      <c r="P42" s="150"/>
      <c r="Q42" s="149"/>
    </row>
    <row r="43" spans="1:17" ht="16" thickBot="1" x14ac:dyDescent="0.4">
      <c r="B43" s="65" t="s">
        <v>393</v>
      </c>
      <c r="C43" s="267" t="s">
        <v>481</v>
      </c>
      <c r="D43" s="267"/>
      <c r="E43" s="267"/>
      <c r="F43" s="267"/>
      <c r="G43" s="267"/>
      <c r="H43" s="267"/>
      <c r="I43" s="267"/>
      <c r="J43" s="267"/>
      <c r="K43" s="267"/>
      <c r="L43" s="267"/>
      <c r="M43" s="267"/>
      <c r="N43" s="267"/>
      <c r="O43" s="270"/>
      <c r="P43" s="270"/>
      <c r="Q43" s="267"/>
    </row>
    <row r="44" spans="1:17" ht="16" thickBot="1" x14ac:dyDescent="0.4">
      <c r="B44" s="64" t="s">
        <v>394</v>
      </c>
      <c r="C44" s="266" t="s">
        <v>482</v>
      </c>
      <c r="D44" s="266"/>
      <c r="E44" s="266"/>
      <c r="F44" s="266"/>
      <c r="G44" s="266"/>
      <c r="H44" s="266"/>
      <c r="I44" s="266"/>
      <c r="J44" s="266"/>
      <c r="K44" s="266"/>
      <c r="L44" s="266"/>
      <c r="M44" s="266"/>
      <c r="N44" s="267"/>
      <c r="O44" s="270"/>
      <c r="P44" s="270"/>
      <c r="Q44" s="267"/>
    </row>
    <row r="45" spans="1:17" ht="69.650000000000006" customHeight="1" x14ac:dyDescent="0.35">
      <c r="B45" s="152" t="s">
        <v>395</v>
      </c>
      <c r="C45" s="151" t="s">
        <v>483</v>
      </c>
      <c r="D45" s="162">
        <v>3000</v>
      </c>
      <c r="E45" s="162">
        <v>0</v>
      </c>
      <c r="F45" s="162">
        <v>2000</v>
      </c>
      <c r="G45" s="162">
        <f>SUM(D45:F45)</f>
        <v>5000</v>
      </c>
      <c r="H45" s="162">
        <v>3000</v>
      </c>
      <c r="I45" s="162">
        <f>G45-H45</f>
        <v>2000</v>
      </c>
      <c r="J45" s="162">
        <f>2500*2</f>
        <v>5000</v>
      </c>
      <c r="K45" s="194">
        <f t="shared" ref="K45:K48" si="13">+D45+E45+F45+J45</f>
        <v>10000</v>
      </c>
      <c r="L45" s="208">
        <v>0</v>
      </c>
      <c r="M45" s="8">
        <f t="shared" ref="M45:M48" si="14">+K45+L45</f>
        <v>10000</v>
      </c>
      <c r="N45" s="139">
        <v>0.3</v>
      </c>
      <c r="O45" s="140">
        <v>8500.5</v>
      </c>
      <c r="P45" s="183" t="s">
        <v>525</v>
      </c>
      <c r="Q45" s="142"/>
    </row>
    <row r="46" spans="1:17" ht="69.650000000000006" customHeight="1" x14ac:dyDescent="0.35">
      <c r="B46" s="152" t="s">
        <v>396</v>
      </c>
      <c r="C46" s="151" t="s">
        <v>484</v>
      </c>
      <c r="D46" s="162">
        <v>0</v>
      </c>
      <c r="E46" s="162">
        <v>0</v>
      </c>
      <c r="F46" s="162">
        <v>0</v>
      </c>
      <c r="G46" s="162">
        <f>SUM(D46:F46)</f>
        <v>0</v>
      </c>
      <c r="H46" s="162"/>
      <c r="I46" s="162">
        <f>G46-H46</f>
        <v>0</v>
      </c>
      <c r="J46" s="162"/>
      <c r="K46" s="194">
        <f t="shared" si="13"/>
        <v>0</v>
      </c>
      <c r="L46" s="208">
        <v>0</v>
      </c>
      <c r="M46" s="8">
        <f t="shared" si="14"/>
        <v>0</v>
      </c>
      <c r="N46" s="139">
        <v>0</v>
      </c>
      <c r="O46" s="140"/>
      <c r="P46" s="141"/>
      <c r="Q46" s="142"/>
    </row>
    <row r="47" spans="1:17" ht="87" customHeight="1" x14ac:dyDescent="0.35">
      <c r="B47" s="152" t="s">
        <v>397</v>
      </c>
      <c r="C47" s="151" t="s">
        <v>485</v>
      </c>
      <c r="D47" s="162">
        <v>3500</v>
      </c>
      <c r="E47" s="162">
        <v>10000</v>
      </c>
      <c r="F47" s="162">
        <f>3000+7000</f>
        <v>10000</v>
      </c>
      <c r="G47" s="162">
        <f>SUM(D47:F47)</f>
        <v>23500</v>
      </c>
      <c r="H47" s="162">
        <v>19260</v>
      </c>
      <c r="I47" s="162">
        <f>G47-H47</f>
        <v>4240</v>
      </c>
      <c r="J47" s="162">
        <f>10760</f>
        <v>10760</v>
      </c>
      <c r="K47" s="194">
        <f t="shared" si="13"/>
        <v>34260</v>
      </c>
      <c r="L47" s="208">
        <v>0</v>
      </c>
      <c r="M47" s="8">
        <f t="shared" si="14"/>
        <v>34260</v>
      </c>
      <c r="N47" s="139">
        <v>0.3</v>
      </c>
      <c r="O47" s="140">
        <v>20750</v>
      </c>
      <c r="P47" s="182" t="s">
        <v>532</v>
      </c>
      <c r="Q47" s="142"/>
    </row>
    <row r="48" spans="1:17" ht="105" customHeight="1" x14ac:dyDescent="0.35">
      <c r="B48" s="152" t="s">
        <v>398</v>
      </c>
      <c r="C48" s="151" t="s">
        <v>486</v>
      </c>
      <c r="D48" s="162">
        <v>0</v>
      </c>
      <c r="E48" s="162">
        <v>0</v>
      </c>
      <c r="F48" s="162">
        <v>0</v>
      </c>
      <c r="G48" s="162">
        <f>SUM(D48:F48)</f>
        <v>0</v>
      </c>
      <c r="H48" s="162"/>
      <c r="I48" s="162">
        <f>G48-H48</f>
        <v>0</v>
      </c>
      <c r="J48" s="162"/>
      <c r="K48" s="194">
        <f t="shared" si="13"/>
        <v>0</v>
      </c>
      <c r="L48" s="208">
        <v>0</v>
      </c>
      <c r="M48" s="8">
        <f t="shared" si="14"/>
        <v>0</v>
      </c>
      <c r="N48" s="139">
        <v>0</v>
      </c>
      <c r="O48" s="140"/>
      <c r="P48" s="141"/>
      <c r="Q48" s="142"/>
    </row>
    <row r="49" spans="1:17" s="19" customFormat="1" ht="23.4" customHeight="1" thickBot="1" x14ac:dyDescent="0.4">
      <c r="A49" s="18"/>
      <c r="B49" s="146"/>
      <c r="C49" s="65" t="s">
        <v>405</v>
      </c>
      <c r="D49" s="163">
        <f>SUM(D45:D48)</f>
        <v>6500</v>
      </c>
      <c r="E49" s="163">
        <f>SUM(E45:E48)</f>
        <v>10000</v>
      </c>
      <c r="F49" s="163">
        <f>SUM(F45:F48)</f>
        <v>12000</v>
      </c>
      <c r="G49" s="166">
        <f>SUM(D49:F49)</f>
        <v>28500</v>
      </c>
      <c r="H49" s="163">
        <f>SUM(H45:H48)</f>
        <v>22260</v>
      </c>
      <c r="I49" s="162">
        <f>G49-H49</f>
        <v>6240</v>
      </c>
      <c r="J49" s="163">
        <f>SUM(J45:J48)</f>
        <v>15760</v>
      </c>
      <c r="K49" s="195">
        <f>SUM(K45:K48)</f>
        <v>44260</v>
      </c>
      <c r="L49" s="209">
        <f>SUM(L45:L48)</f>
        <v>0</v>
      </c>
      <c r="M49" s="8">
        <f>SUM(M45:M48)</f>
        <v>44260</v>
      </c>
      <c r="N49" s="8">
        <f>(M45*N45)+(M46*N46)+(M47*N47)+(M48*N48)</f>
        <v>13278</v>
      </c>
      <c r="O49" s="8">
        <f>SUM(O45:O48)</f>
        <v>29250.5</v>
      </c>
      <c r="P49" s="132"/>
      <c r="Q49" s="145"/>
    </row>
    <row r="50" spans="1:17" ht="16" thickBot="1" x14ac:dyDescent="0.4">
      <c r="B50" s="64" t="s">
        <v>399</v>
      </c>
      <c r="C50" s="266" t="s">
        <v>487</v>
      </c>
      <c r="D50" s="266"/>
      <c r="E50" s="273"/>
      <c r="F50" s="273"/>
      <c r="G50" s="273"/>
      <c r="H50" s="273"/>
      <c r="I50" s="273"/>
      <c r="J50" s="273"/>
      <c r="K50" s="273"/>
      <c r="L50" s="273"/>
      <c r="M50" s="273"/>
      <c r="N50" s="274"/>
      <c r="O50" s="275"/>
      <c r="P50" s="275"/>
      <c r="Q50" s="274"/>
    </row>
    <row r="51" spans="1:17" ht="95.4" customHeight="1" x14ac:dyDescent="0.35">
      <c r="B51" s="152" t="s">
        <v>400</v>
      </c>
      <c r="C51" s="151" t="s">
        <v>488</v>
      </c>
      <c r="D51" s="162"/>
      <c r="E51" s="162"/>
      <c r="F51" s="162"/>
      <c r="G51" s="162">
        <f>SUM(D51:F51)</f>
        <v>0</v>
      </c>
      <c r="H51" s="162"/>
      <c r="I51" s="162">
        <f>G51-H51</f>
        <v>0</v>
      </c>
      <c r="J51" s="162"/>
      <c r="K51" s="194">
        <f t="shared" ref="K51:K53" si="15">+D51+E51+F51+J51</f>
        <v>0</v>
      </c>
      <c r="L51" s="208">
        <v>0</v>
      </c>
      <c r="M51" s="8">
        <f t="shared" ref="M51:M53" si="16">+K51+L51</f>
        <v>0</v>
      </c>
      <c r="N51" s="139">
        <v>0</v>
      </c>
      <c r="O51" s="140"/>
      <c r="P51" s="141"/>
      <c r="Q51" s="142"/>
    </row>
    <row r="52" spans="1:17" ht="57" customHeight="1" x14ac:dyDescent="0.35">
      <c r="B52" s="152" t="s">
        <v>401</v>
      </c>
      <c r="C52" s="151" t="s">
        <v>489</v>
      </c>
      <c r="D52" s="162">
        <v>11500</v>
      </c>
      <c r="E52" s="162">
        <v>25000</v>
      </c>
      <c r="F52" s="162">
        <f>50000</f>
        <v>50000</v>
      </c>
      <c r="G52" s="162">
        <f>SUM(D52:F52)</f>
        <v>86500</v>
      </c>
      <c r="H52" s="162">
        <v>36000</v>
      </c>
      <c r="I52" s="162">
        <f>G52-H52</f>
        <v>50500</v>
      </c>
      <c r="J52" s="162">
        <v>0</v>
      </c>
      <c r="K52" s="194">
        <f t="shared" si="15"/>
        <v>86500</v>
      </c>
      <c r="L52" s="208">
        <v>0</v>
      </c>
      <c r="M52" s="8">
        <f t="shared" si="16"/>
        <v>86500</v>
      </c>
      <c r="N52" s="139">
        <v>0.3</v>
      </c>
      <c r="O52" s="140">
        <v>77833.25</v>
      </c>
      <c r="P52" s="183" t="s">
        <v>534</v>
      </c>
      <c r="Q52" s="142"/>
    </row>
    <row r="53" spans="1:17" ht="69.650000000000006" customHeight="1" x14ac:dyDescent="0.35">
      <c r="B53" s="152" t="s">
        <v>402</v>
      </c>
      <c r="C53" s="151" t="s">
        <v>490</v>
      </c>
      <c r="D53" s="162">
        <v>7000</v>
      </c>
      <c r="E53" s="162">
        <v>0</v>
      </c>
      <c r="F53" s="162">
        <v>0</v>
      </c>
      <c r="G53" s="162">
        <f>SUM(D53:F53)</f>
        <v>7000</v>
      </c>
      <c r="H53" s="162">
        <v>6850</v>
      </c>
      <c r="I53" s="162">
        <f t="shared" ref="I53:I54" si="17">G53-H53</f>
        <v>150</v>
      </c>
      <c r="J53" s="162">
        <v>10000</v>
      </c>
      <c r="K53" s="194">
        <f t="shared" si="15"/>
        <v>17000</v>
      </c>
      <c r="L53" s="208">
        <v>0</v>
      </c>
      <c r="M53" s="8">
        <f t="shared" si="16"/>
        <v>17000</v>
      </c>
      <c r="N53" s="139">
        <v>0.3</v>
      </c>
      <c r="O53" s="140">
        <v>15295.8</v>
      </c>
      <c r="P53" s="183" t="s">
        <v>533</v>
      </c>
      <c r="Q53" s="142"/>
    </row>
    <row r="54" spans="1:17" ht="15.5" x14ac:dyDescent="0.35">
      <c r="B54" s="146"/>
      <c r="C54" s="65" t="s">
        <v>405</v>
      </c>
      <c r="D54" s="163">
        <f>SUM(D51:D53)</f>
        <v>18500</v>
      </c>
      <c r="E54" s="163">
        <f>SUM(E51:E53)</f>
        <v>25000</v>
      </c>
      <c r="F54" s="163">
        <f>SUM(F51:F53)</f>
        <v>50000</v>
      </c>
      <c r="G54" s="166">
        <f>SUM(D54:F54)</f>
        <v>93500</v>
      </c>
      <c r="H54" s="163">
        <v>42850</v>
      </c>
      <c r="I54" s="166">
        <f t="shared" si="17"/>
        <v>50650</v>
      </c>
      <c r="J54" s="163">
        <f>SUM(J51:J53)</f>
        <v>10000</v>
      </c>
      <c r="K54" s="195">
        <f>SUM(K51:K53)</f>
        <v>103500</v>
      </c>
      <c r="L54" s="209">
        <f>SUM(L51:L53)</f>
        <v>0</v>
      </c>
      <c r="M54" s="8">
        <f>SUM(M51:M53)</f>
        <v>103500</v>
      </c>
      <c r="N54" s="8">
        <f>(M51*N51)+(M52*N52)+(M53*N53)</f>
        <v>31050</v>
      </c>
      <c r="O54" s="8">
        <f>SUM(O51:O53)</f>
        <v>93129.05</v>
      </c>
      <c r="P54" s="132"/>
      <c r="Q54" s="145"/>
    </row>
    <row r="55" spans="1:17" ht="12" customHeight="1" x14ac:dyDescent="0.35">
      <c r="B55" s="3"/>
      <c r="C55" s="4"/>
      <c r="D55" s="219"/>
      <c r="E55" s="219"/>
      <c r="F55" s="219"/>
      <c r="G55" s="219"/>
      <c r="H55" s="219"/>
      <c r="I55" s="219"/>
      <c r="J55" s="219"/>
      <c r="K55" s="11"/>
      <c r="L55" s="11"/>
      <c r="M55" s="110"/>
      <c r="N55" s="11"/>
      <c r="O55" s="11"/>
      <c r="P55" s="110"/>
      <c r="Q55" s="4"/>
    </row>
    <row r="56" spans="1:17" ht="22.75" customHeight="1" x14ac:dyDescent="0.35">
      <c r="B56" s="3"/>
      <c r="C56" s="279" t="s">
        <v>414</v>
      </c>
      <c r="D56" s="280"/>
      <c r="E56" s="280"/>
      <c r="F56" s="280"/>
      <c r="G56" s="280"/>
      <c r="H56" s="280"/>
      <c r="I56" s="280"/>
      <c r="J56" s="280"/>
      <c r="K56" s="280"/>
      <c r="L56" s="280"/>
      <c r="M56" s="280"/>
      <c r="N56" s="5"/>
      <c r="O56" s="109"/>
      <c r="P56" s="133"/>
      <c r="Q56" s="5"/>
    </row>
    <row r="57" spans="1:17" ht="65.25" customHeight="1" thickBot="1" x14ac:dyDescent="0.4">
      <c r="B57" s="3"/>
      <c r="C57" s="122"/>
      <c r="D57" s="220" t="str">
        <f>D5</f>
        <v>Organisation recipiendiaire  (budget en USD) PNUD 2020-2021</v>
      </c>
      <c r="E57" s="220" t="str">
        <f>E5</f>
        <v>Organisation recipiendiaire (budget en USD) PNUD 2022</v>
      </c>
      <c r="F57" s="220" t="str">
        <f>F5</f>
        <v>Organisation recipiendiaire  (budget en USD)  PNUD 2023</v>
      </c>
      <c r="G57" s="221" t="s">
        <v>510</v>
      </c>
      <c r="H57" s="220" t="s">
        <v>511</v>
      </c>
      <c r="I57" s="221" t="s">
        <v>512</v>
      </c>
      <c r="J57" s="220" t="str">
        <f>J5</f>
        <v>Organisation recipiendiaire  (budget en USD) PNUD 2024-2025</v>
      </c>
      <c r="K57" s="198" t="s">
        <v>537</v>
      </c>
      <c r="L57" s="199" t="s">
        <v>536</v>
      </c>
      <c r="M57" s="123" t="s">
        <v>11</v>
      </c>
      <c r="N57" s="4"/>
      <c r="O57" s="11"/>
      <c r="P57" s="110"/>
      <c r="Q57" s="5"/>
    </row>
    <row r="58" spans="1:17" ht="31.25" customHeight="1" thickBot="1" x14ac:dyDescent="0.4">
      <c r="B58" s="6"/>
      <c r="C58" s="200" t="s">
        <v>406</v>
      </c>
      <c r="D58" s="222">
        <f>SUM(D17,D23,D29,D41,D49,D54)</f>
        <v>576730</v>
      </c>
      <c r="E58" s="222">
        <f>SUM(E17,E23,E29,E41,E49,E54)</f>
        <v>477468</v>
      </c>
      <c r="F58" s="222">
        <f>SUM(F17,F23,F29,F41,F49,F54)</f>
        <v>624110.24</v>
      </c>
      <c r="G58" s="222">
        <f>SUM(D58:F58)</f>
        <v>1678308.24</v>
      </c>
      <c r="H58" s="222">
        <f>SUM(H17,H23,H29,H41,H49,H54)</f>
        <v>1152356.19</v>
      </c>
      <c r="I58" s="222">
        <f>G58-H58</f>
        <v>525952.05000000005</v>
      </c>
      <c r="J58" s="222">
        <f>SUM(J17,J23,J29,J41,J49,J54)</f>
        <v>772580</v>
      </c>
      <c r="K58" s="194">
        <f t="shared" ref="K58" si="18">+D58+E58+F58+J58</f>
        <v>2450888.2400000002</v>
      </c>
      <c r="L58" s="206">
        <f>SUM(L17,L23,L29,L41,L49,L54)</f>
        <v>280373.83</v>
      </c>
      <c r="M58" s="228">
        <f>+K58+L58</f>
        <v>2731262.0700000003</v>
      </c>
      <c r="N58" s="4"/>
      <c r="O58" s="11"/>
      <c r="P58" s="110"/>
      <c r="Q58" s="6"/>
    </row>
    <row r="59" spans="1:17" ht="31.25" customHeight="1" x14ac:dyDescent="0.35">
      <c r="B59" s="2"/>
      <c r="C59" s="119" t="s">
        <v>407</v>
      </c>
      <c r="D59" s="167">
        <f>D58*0.07</f>
        <v>40371.100000000006</v>
      </c>
      <c r="E59" s="167">
        <f>E58*0.07</f>
        <v>33422.76</v>
      </c>
      <c r="F59" s="167">
        <f>F58*0.07</f>
        <v>43687.716800000002</v>
      </c>
      <c r="G59" s="167">
        <f>SUM(D59:F59)</f>
        <v>117481.57680000001</v>
      </c>
      <c r="H59" s="167">
        <f>H58*0.07</f>
        <v>80664.933300000004</v>
      </c>
      <c r="I59" s="167">
        <f>I58*0.07</f>
        <v>36816.643500000006</v>
      </c>
      <c r="J59" s="167">
        <f>J58*0.07</f>
        <v>54080.600000000006</v>
      </c>
      <c r="K59" s="205">
        <f>+K58*7%</f>
        <v>171562.17680000004</v>
      </c>
      <c r="L59" s="206">
        <f>+L58*7%</f>
        <v>19626.168100000003</v>
      </c>
      <c r="M59" s="177">
        <f>K59+L59</f>
        <v>191188.34490000005</v>
      </c>
      <c r="N59" s="2"/>
      <c r="O59" s="110"/>
      <c r="P59" s="110"/>
      <c r="Q59" s="1"/>
    </row>
    <row r="60" spans="1:17" ht="31.25" customHeight="1" thickBot="1" x14ac:dyDescent="0.4">
      <c r="B60" s="2"/>
      <c r="C60" s="14" t="s">
        <v>11</v>
      </c>
      <c r="D60" s="168">
        <f>SUM(D58:D59)</f>
        <v>617101.1</v>
      </c>
      <c r="E60" s="168">
        <f>SUM(E58:E59)</f>
        <v>510890.76</v>
      </c>
      <c r="F60" s="168">
        <f>SUM(F58:F59)</f>
        <v>667797.95680000004</v>
      </c>
      <c r="G60" s="223">
        <f>SUM(D60:F60)</f>
        <v>1795789.8167999999</v>
      </c>
      <c r="H60" s="168">
        <f>SUM(H58:H59)</f>
        <v>1233021.1232999999</v>
      </c>
      <c r="I60" s="168">
        <f>G60-H60</f>
        <v>562768.69350000005</v>
      </c>
      <c r="J60" s="168">
        <f>SUM(J58:J59)</f>
        <v>826660.6</v>
      </c>
      <c r="K60" s="202">
        <f>SUM(K58:K59)</f>
        <v>2622450.4168000002</v>
      </c>
      <c r="L60" s="207">
        <f>SUM(L58:L59)</f>
        <v>299999.99810000003</v>
      </c>
      <c r="M60" s="68">
        <f>K60+L60</f>
        <v>2922450.4149000002</v>
      </c>
      <c r="N60" s="227"/>
      <c r="O60" s="110"/>
      <c r="P60" s="110"/>
      <c r="Q60" s="1"/>
    </row>
    <row r="61" spans="1:17" s="19" customFormat="1" ht="19.75" customHeight="1" thickBot="1" x14ac:dyDescent="0.4">
      <c r="B61" s="4"/>
      <c r="D61" s="3"/>
      <c r="E61" s="224"/>
      <c r="F61" s="224"/>
      <c r="G61" s="224"/>
      <c r="H61" s="224"/>
      <c r="I61" s="224"/>
      <c r="J61" s="224"/>
      <c r="K61" s="16"/>
      <c r="L61" s="16"/>
      <c r="M61" s="186"/>
      <c r="N61" s="16"/>
      <c r="O61" s="112"/>
      <c r="P61" s="116"/>
      <c r="Q61" s="5"/>
    </row>
    <row r="62" spans="1:17" ht="24.65" customHeight="1" thickBot="1" x14ac:dyDescent="0.4">
      <c r="B62" s="1"/>
      <c r="C62" s="261" t="s">
        <v>408</v>
      </c>
      <c r="D62" s="262"/>
      <c r="E62" s="263"/>
      <c r="F62" s="264"/>
      <c r="G62" s="264"/>
      <c r="H62" s="264"/>
      <c r="I62" s="264"/>
      <c r="J62" s="264"/>
      <c r="K62" s="264"/>
      <c r="L62" s="264"/>
      <c r="M62" s="264"/>
      <c r="N62" s="265"/>
      <c r="O62" s="113"/>
      <c r="P62" s="23"/>
      <c r="Q62" s="1"/>
    </row>
    <row r="63" spans="1:17" ht="65.25" customHeight="1" thickBot="1" x14ac:dyDescent="0.4">
      <c r="B63" s="1"/>
      <c r="C63" s="66"/>
      <c r="D63" s="190" t="s">
        <v>519</v>
      </c>
      <c r="E63" s="190" t="s">
        <v>520</v>
      </c>
      <c r="F63" s="191" t="s">
        <v>521</v>
      </c>
      <c r="G63" s="160" t="s">
        <v>510</v>
      </c>
      <c r="H63" s="160" t="s">
        <v>511</v>
      </c>
      <c r="I63" s="160" t="s">
        <v>512</v>
      </c>
      <c r="J63" s="160" t="s">
        <v>522</v>
      </c>
      <c r="K63" s="192" t="s">
        <v>537</v>
      </c>
      <c r="L63" s="189" t="s">
        <v>536</v>
      </c>
      <c r="M63" s="193" t="s">
        <v>11</v>
      </c>
      <c r="N63" s="124" t="s">
        <v>9</v>
      </c>
      <c r="O63" s="113"/>
      <c r="P63" s="23"/>
      <c r="Q63" s="1"/>
    </row>
    <row r="64" spans="1:17" ht="21" customHeight="1" x14ac:dyDescent="0.35">
      <c r="B64" s="1"/>
      <c r="C64" s="13" t="s">
        <v>409</v>
      </c>
      <c r="D64" s="225">
        <f>D60*N64</f>
        <v>431970.76999999996</v>
      </c>
      <c r="E64" s="225"/>
      <c r="F64" s="169"/>
      <c r="G64" s="169">
        <f t="shared" ref="G64:G71" si="19">SUM(D64:F64)</f>
        <v>431970.76999999996</v>
      </c>
      <c r="H64" s="169"/>
      <c r="I64" s="169"/>
      <c r="J64" s="169"/>
      <c r="K64" s="201">
        <f>G64</f>
        <v>431970.76999999996</v>
      </c>
      <c r="L64" s="203"/>
      <c r="M64" s="187">
        <f>+K64+L64</f>
        <v>431970.76999999996</v>
      </c>
      <c r="N64" s="84">
        <v>0.7</v>
      </c>
      <c r="O64" s="109"/>
      <c r="P64" s="133"/>
      <c r="Q64" s="1"/>
    </row>
    <row r="65" spans="2:16" ht="21" customHeight="1" x14ac:dyDescent="0.35">
      <c r="B65" s="260"/>
      <c r="C65" s="77" t="s">
        <v>410</v>
      </c>
      <c r="D65" s="225">
        <f>D60*N65</f>
        <v>185130.33</v>
      </c>
      <c r="E65" s="225"/>
      <c r="F65" s="169"/>
      <c r="G65" s="169">
        <f t="shared" si="19"/>
        <v>185130.33</v>
      </c>
      <c r="H65" s="169"/>
      <c r="I65" s="169"/>
      <c r="J65" s="169"/>
      <c r="K65" s="201">
        <f t="shared" ref="K65:K69" si="20">G65</f>
        <v>185130.33</v>
      </c>
      <c r="L65" s="204"/>
      <c r="M65" s="187">
        <f t="shared" ref="M65:M72" si="21">+K65+L65</f>
        <v>185130.33</v>
      </c>
      <c r="N65" s="85">
        <v>0.3</v>
      </c>
      <c r="O65" s="109"/>
      <c r="P65" s="133"/>
    </row>
    <row r="66" spans="2:16" ht="21" customHeight="1" x14ac:dyDescent="0.35">
      <c r="B66" s="260"/>
      <c r="C66" s="77" t="s">
        <v>411</v>
      </c>
      <c r="D66" s="225"/>
      <c r="E66" s="225">
        <f>$E$60*N64</f>
        <v>357623.53200000001</v>
      </c>
      <c r="F66" s="169"/>
      <c r="G66" s="169">
        <f t="shared" si="19"/>
        <v>357623.53200000001</v>
      </c>
      <c r="H66" s="169"/>
      <c r="I66" s="169"/>
      <c r="J66" s="169"/>
      <c r="K66" s="201">
        <f t="shared" si="20"/>
        <v>357623.53200000001</v>
      </c>
      <c r="L66" s="204"/>
      <c r="M66" s="187">
        <f t="shared" si="21"/>
        <v>357623.53200000001</v>
      </c>
      <c r="N66" s="86">
        <v>0.7</v>
      </c>
      <c r="O66" s="114"/>
      <c r="P66" s="134"/>
    </row>
    <row r="67" spans="2:16" ht="21" customHeight="1" x14ac:dyDescent="0.35">
      <c r="B67" s="260"/>
      <c r="C67" s="77" t="s">
        <v>498</v>
      </c>
      <c r="D67" s="226"/>
      <c r="E67" s="226">
        <f>$E$60*N65</f>
        <v>153267.228</v>
      </c>
      <c r="F67" s="170"/>
      <c r="G67" s="169">
        <f t="shared" si="19"/>
        <v>153267.228</v>
      </c>
      <c r="H67" s="170"/>
      <c r="I67" s="170"/>
      <c r="J67" s="170"/>
      <c r="K67" s="201">
        <f t="shared" si="20"/>
        <v>153267.228</v>
      </c>
      <c r="L67" s="204"/>
      <c r="M67" s="187">
        <f t="shared" si="21"/>
        <v>153267.228</v>
      </c>
      <c r="N67" s="86">
        <v>0.3</v>
      </c>
      <c r="O67" s="114"/>
      <c r="P67" s="134"/>
    </row>
    <row r="68" spans="2:16" ht="21" customHeight="1" x14ac:dyDescent="0.35">
      <c r="B68" s="260"/>
      <c r="C68" s="77" t="s">
        <v>499</v>
      </c>
      <c r="D68" s="226"/>
      <c r="E68" s="226"/>
      <c r="F68" s="170">
        <f>$F$60*N64</f>
        <v>467458.56975999998</v>
      </c>
      <c r="G68" s="169">
        <f t="shared" si="19"/>
        <v>467458.56975999998</v>
      </c>
      <c r="H68" s="170"/>
      <c r="I68" s="170"/>
      <c r="J68" s="170"/>
      <c r="K68" s="201">
        <f t="shared" si="20"/>
        <v>467458.56975999998</v>
      </c>
      <c r="L68" s="204"/>
      <c r="M68" s="187">
        <f t="shared" si="21"/>
        <v>467458.56975999998</v>
      </c>
      <c r="N68" s="86">
        <v>0.7</v>
      </c>
      <c r="O68" s="114"/>
      <c r="P68" s="134"/>
    </row>
    <row r="69" spans="2:16" ht="21" customHeight="1" x14ac:dyDescent="0.35">
      <c r="B69" s="260"/>
      <c r="C69" s="77" t="s">
        <v>500</v>
      </c>
      <c r="D69" s="226"/>
      <c r="E69" s="226"/>
      <c r="F69" s="170">
        <f>$F$60*N65</f>
        <v>200339.38704</v>
      </c>
      <c r="G69" s="169">
        <f t="shared" si="19"/>
        <v>200339.38704</v>
      </c>
      <c r="H69" s="170"/>
      <c r="I69" s="170"/>
      <c r="J69" s="170"/>
      <c r="K69" s="201">
        <f t="shared" si="20"/>
        <v>200339.38704</v>
      </c>
      <c r="L69" s="204"/>
      <c r="M69" s="187">
        <f t="shared" si="21"/>
        <v>200339.38704</v>
      </c>
      <c r="N69" s="86">
        <v>0.3</v>
      </c>
      <c r="O69" s="114"/>
      <c r="P69" s="134"/>
    </row>
    <row r="70" spans="2:16" ht="21" customHeight="1" x14ac:dyDescent="0.35">
      <c r="B70" s="260"/>
      <c r="C70" s="77" t="s">
        <v>504</v>
      </c>
      <c r="D70" s="226"/>
      <c r="E70" s="226"/>
      <c r="F70" s="170"/>
      <c r="G70" s="169">
        <f t="shared" si="19"/>
        <v>0</v>
      </c>
      <c r="H70" s="170"/>
      <c r="I70" s="170"/>
      <c r="J70" s="169">
        <f>$J$60*N70</f>
        <v>578662.41999999993</v>
      </c>
      <c r="K70" s="201">
        <f>J70</f>
        <v>578662.41999999993</v>
      </c>
      <c r="L70" s="204"/>
      <c r="M70" s="187">
        <f t="shared" si="21"/>
        <v>578662.41999999993</v>
      </c>
      <c r="N70" s="86">
        <v>0.7</v>
      </c>
      <c r="O70" s="114"/>
      <c r="P70" s="134"/>
    </row>
    <row r="71" spans="2:16" ht="21" customHeight="1" x14ac:dyDescent="0.35">
      <c r="B71" s="260"/>
      <c r="C71" s="77" t="s">
        <v>505</v>
      </c>
      <c r="D71" s="226"/>
      <c r="E71" s="226"/>
      <c r="F71" s="170"/>
      <c r="G71" s="169">
        <f t="shared" si="19"/>
        <v>0</v>
      </c>
      <c r="H71" s="170"/>
      <c r="I71" s="170"/>
      <c r="J71" s="169">
        <f>$J$60*N71</f>
        <v>247998.18</v>
      </c>
      <c r="K71" s="201">
        <f>J71</f>
        <v>247998.18</v>
      </c>
      <c r="L71" s="204"/>
      <c r="M71" s="187">
        <f t="shared" si="21"/>
        <v>247998.18</v>
      </c>
      <c r="N71" s="86">
        <v>0.3</v>
      </c>
      <c r="O71" s="114"/>
      <c r="P71" s="134"/>
    </row>
    <row r="72" spans="2:16" ht="21" customHeight="1" x14ac:dyDescent="0.35">
      <c r="B72" s="260"/>
      <c r="C72" s="77" t="s">
        <v>538</v>
      </c>
      <c r="D72" s="226"/>
      <c r="E72" s="226"/>
      <c r="F72" s="170"/>
      <c r="G72" s="169"/>
      <c r="H72" s="170"/>
      <c r="I72" s="170"/>
      <c r="J72" s="170"/>
      <c r="K72" s="214"/>
      <c r="L72" s="204">
        <v>300000</v>
      </c>
      <c r="M72" s="187">
        <f t="shared" si="21"/>
        <v>300000</v>
      </c>
      <c r="N72" s="86">
        <v>1</v>
      </c>
      <c r="O72" s="114"/>
      <c r="P72" s="134"/>
    </row>
    <row r="73" spans="2:16" ht="21" customHeight="1" thickBot="1" x14ac:dyDescent="0.4">
      <c r="B73" s="260"/>
      <c r="C73" s="14" t="s">
        <v>11</v>
      </c>
      <c r="D73" s="168">
        <f>SUM(D64:D66)</f>
        <v>617101.1</v>
      </c>
      <c r="E73" s="168">
        <f>SUM(E64:E69)</f>
        <v>510890.76</v>
      </c>
      <c r="F73" s="168">
        <f>SUM(F68:F69)</f>
        <v>667797.95680000004</v>
      </c>
      <c r="G73" s="169">
        <f>SUM(D73:F73)</f>
        <v>1795789.8167999999</v>
      </c>
      <c r="H73" s="168"/>
      <c r="I73" s="168"/>
      <c r="J73" s="168">
        <f>SUM(J70:J71)</f>
        <v>826660.59999999986</v>
      </c>
      <c r="K73" s="202">
        <f>G73+J73</f>
        <v>2622450.4167999998</v>
      </c>
      <c r="L73" s="202">
        <f>SUM(L72)</f>
        <v>300000</v>
      </c>
      <c r="M73" s="202">
        <f>SUM(M64:M72)</f>
        <v>2922450.4167999998</v>
      </c>
      <c r="N73" s="69">
        <v>1</v>
      </c>
      <c r="O73" s="115"/>
      <c r="P73" s="22"/>
    </row>
    <row r="74" spans="2:16" ht="21" customHeight="1" x14ac:dyDescent="0.35">
      <c r="B74" s="260"/>
      <c r="C74" s="229"/>
      <c r="D74" s="22"/>
      <c r="E74" s="22"/>
      <c r="F74" s="22"/>
      <c r="G74" s="22"/>
      <c r="H74" s="22"/>
      <c r="I74" s="22"/>
      <c r="J74" s="22"/>
      <c r="K74" s="22"/>
      <c r="L74" s="22"/>
      <c r="M74" s="22"/>
      <c r="N74" s="230"/>
      <c r="O74" s="22"/>
      <c r="P74" s="22"/>
    </row>
    <row r="75" spans="2:16" ht="21" customHeight="1" x14ac:dyDescent="0.35">
      <c r="B75" s="260"/>
      <c r="C75" s="229"/>
      <c r="D75" s="22"/>
      <c r="E75" s="22"/>
      <c r="F75" s="22"/>
      <c r="G75" s="22"/>
      <c r="H75" s="22"/>
      <c r="I75" s="22"/>
      <c r="J75" s="22"/>
      <c r="K75" s="22"/>
      <c r="L75" s="22"/>
      <c r="M75" s="22"/>
      <c r="N75" s="230"/>
      <c r="O75" s="22"/>
      <c r="P75" s="22"/>
    </row>
    <row r="76" spans="2:16" ht="17.399999999999999" customHeight="1" thickBot="1" x14ac:dyDescent="0.4">
      <c r="B76" s="260"/>
      <c r="C76" s="229"/>
      <c r="D76" s="186"/>
      <c r="E76" s="22"/>
      <c r="F76" s="22"/>
      <c r="G76" s="22"/>
      <c r="H76" s="22"/>
      <c r="I76" s="22"/>
      <c r="J76" s="22"/>
      <c r="K76" s="22"/>
      <c r="L76" s="22"/>
      <c r="M76" s="186"/>
      <c r="N76" s="186"/>
      <c r="O76" s="116"/>
      <c r="P76" s="116"/>
    </row>
    <row r="77" spans="2:16" ht="36" customHeight="1" x14ac:dyDescent="0.35">
      <c r="B77" s="260"/>
      <c r="C77" s="70" t="s">
        <v>447</v>
      </c>
      <c r="D77" s="281">
        <f>(N17+N23+N29+N41+N49+N54)*1.07</f>
        <v>912092.09854000015</v>
      </c>
      <c r="E77" s="281"/>
      <c r="F77" s="281"/>
      <c r="G77" s="281"/>
      <c r="H77" s="281"/>
      <c r="I77" s="281"/>
      <c r="J77" s="282"/>
      <c r="K77" s="22"/>
      <c r="L77" s="22"/>
      <c r="N77" s="177" t="s">
        <v>449</v>
      </c>
      <c r="O77" s="120">
        <f>O17+O23+O29+O41+O49+O54</f>
        <v>2474855.7199999997</v>
      </c>
      <c r="P77" s="127"/>
    </row>
    <row r="78" spans="2:16" ht="33.75" customHeight="1" thickBot="1" x14ac:dyDescent="0.4">
      <c r="B78" s="260"/>
      <c r="C78" s="71" t="s">
        <v>412</v>
      </c>
      <c r="D78" s="245">
        <f>+D77/M73</f>
        <v>0.31209839978695519</v>
      </c>
      <c r="E78" s="245"/>
      <c r="F78" s="245"/>
      <c r="G78" s="245"/>
      <c r="H78" s="245"/>
      <c r="I78" s="245"/>
      <c r="J78" s="246"/>
      <c r="K78" s="22"/>
      <c r="L78" s="22"/>
      <c r="N78" s="178" t="s">
        <v>450</v>
      </c>
      <c r="O78" s="121">
        <f>O77/M73</f>
        <v>0.84684267208539898</v>
      </c>
      <c r="P78" s="128"/>
    </row>
    <row r="79" spans="2:16" ht="13.25" customHeight="1" x14ac:dyDescent="0.35">
      <c r="B79" s="260"/>
      <c r="C79" s="251"/>
      <c r="D79" s="252"/>
      <c r="E79" s="252"/>
      <c r="F79" s="252"/>
      <c r="G79" s="252"/>
      <c r="H79" s="252"/>
      <c r="I79" s="252"/>
      <c r="J79" s="253"/>
      <c r="K79" s="212"/>
      <c r="L79" s="212"/>
      <c r="M79" s="212"/>
      <c r="O79" s="117"/>
    </row>
    <row r="80" spans="2:16" ht="35.25" customHeight="1" x14ac:dyDescent="0.35">
      <c r="B80" s="260"/>
      <c r="C80" s="71" t="s">
        <v>448</v>
      </c>
      <c r="D80" s="247">
        <f>(+M32+M33+M34+M38+M40)*1.07</f>
        <v>305485</v>
      </c>
      <c r="E80" s="247"/>
      <c r="F80" s="247"/>
      <c r="G80" s="247"/>
      <c r="H80" s="247"/>
      <c r="I80" s="247"/>
      <c r="J80" s="248"/>
      <c r="K80" s="213"/>
      <c r="L80" s="213"/>
      <c r="M80" s="213"/>
    </row>
    <row r="81" spans="2:15" ht="29.25" customHeight="1" thickBot="1" x14ac:dyDescent="0.4">
      <c r="B81" s="260"/>
      <c r="C81" s="231" t="s">
        <v>413</v>
      </c>
      <c r="D81" s="249">
        <f>+D80/M73</f>
        <v>0.10453043043737843</v>
      </c>
      <c r="E81" s="249"/>
      <c r="F81" s="249"/>
      <c r="G81" s="249"/>
      <c r="H81" s="249"/>
      <c r="I81" s="249"/>
      <c r="J81" s="250"/>
      <c r="K81" s="213"/>
      <c r="L81" s="213"/>
      <c r="M81" s="213"/>
    </row>
    <row r="82" spans="2:15" ht="36" customHeight="1" x14ac:dyDescent="0.35">
      <c r="B82" s="260"/>
      <c r="C82" s="257" t="s">
        <v>439</v>
      </c>
      <c r="D82" s="258"/>
      <c r="E82" s="258"/>
      <c r="F82" s="258"/>
      <c r="G82" s="258"/>
      <c r="H82" s="258"/>
      <c r="I82" s="258"/>
      <c r="J82" s="258"/>
      <c r="K82" s="213"/>
      <c r="L82" s="213"/>
      <c r="M82" s="213"/>
      <c r="O82" s="117"/>
    </row>
    <row r="83" spans="2:15" ht="65.25" customHeight="1" x14ac:dyDescent="0.35">
      <c r="B83" s="260"/>
      <c r="D83" s="18"/>
      <c r="E83" s="18"/>
      <c r="F83" s="18"/>
      <c r="G83" s="18"/>
      <c r="H83" s="18"/>
      <c r="I83" s="18"/>
      <c r="J83" s="18"/>
      <c r="O83" s="117"/>
    </row>
    <row r="84" spans="2:15" x14ac:dyDescent="0.35">
      <c r="D84" s="18"/>
      <c r="E84" s="18"/>
      <c r="F84" s="18"/>
      <c r="G84" s="18"/>
      <c r="H84" s="18"/>
      <c r="I84" s="18"/>
      <c r="J84" s="18"/>
      <c r="O84" s="117"/>
    </row>
    <row r="85" spans="2:15" x14ac:dyDescent="0.35">
      <c r="D85" s="18"/>
      <c r="E85" s="18"/>
      <c r="F85" s="18"/>
      <c r="G85" s="18"/>
      <c r="H85" s="18"/>
      <c r="I85" s="18"/>
      <c r="J85" s="18"/>
      <c r="O85" s="117"/>
    </row>
    <row r="86" spans="2:15" x14ac:dyDescent="0.35">
      <c r="D86" s="18"/>
      <c r="E86" s="18"/>
      <c r="F86" s="18"/>
      <c r="G86" s="18"/>
      <c r="H86" s="18"/>
      <c r="I86" s="18"/>
      <c r="J86" s="18"/>
      <c r="O86" s="117"/>
    </row>
    <row r="87" spans="2:15" x14ac:dyDescent="0.35">
      <c r="D87" s="18"/>
      <c r="E87" s="18"/>
      <c r="F87" s="18"/>
      <c r="G87" s="18"/>
      <c r="H87" s="18"/>
      <c r="I87" s="18"/>
      <c r="J87" s="18"/>
      <c r="O87" s="117"/>
    </row>
    <row r="88" spans="2:15" x14ac:dyDescent="0.35">
      <c r="D88" s="18"/>
      <c r="E88" s="18"/>
      <c r="F88" s="18"/>
      <c r="G88" s="18"/>
      <c r="H88" s="18"/>
      <c r="I88" s="18"/>
      <c r="J88" s="18"/>
      <c r="O88" s="117"/>
    </row>
    <row r="89" spans="2:15" x14ac:dyDescent="0.35">
      <c r="D89" s="18"/>
      <c r="E89" s="18"/>
      <c r="F89" s="18"/>
      <c r="G89" s="18"/>
      <c r="H89" s="18"/>
      <c r="I89" s="18"/>
      <c r="J89" s="18"/>
      <c r="O89" s="117"/>
    </row>
    <row r="90" spans="2:15" x14ac:dyDescent="0.35">
      <c r="D90" s="18"/>
      <c r="E90" s="18"/>
      <c r="F90" s="18"/>
      <c r="G90" s="18"/>
      <c r="H90" s="18"/>
      <c r="I90" s="18"/>
      <c r="J90" s="18"/>
      <c r="O90" s="117"/>
    </row>
    <row r="91" spans="2:15" x14ac:dyDescent="0.35">
      <c r="D91" s="18"/>
      <c r="E91" s="18"/>
      <c r="F91" s="18"/>
      <c r="G91" s="18"/>
      <c r="H91" s="18"/>
      <c r="I91" s="18"/>
      <c r="J91" s="18"/>
      <c r="O91" s="117"/>
    </row>
    <row r="92" spans="2:15" x14ac:dyDescent="0.35">
      <c r="D92" s="18"/>
      <c r="E92" s="18"/>
      <c r="F92" s="18"/>
      <c r="G92" s="18"/>
      <c r="H92" s="18"/>
      <c r="I92" s="18"/>
      <c r="J92" s="18"/>
      <c r="O92" s="117"/>
    </row>
    <row r="93" spans="2:15" x14ac:dyDescent="0.35">
      <c r="D93" s="18"/>
      <c r="E93" s="18"/>
      <c r="F93" s="18"/>
      <c r="G93" s="18"/>
      <c r="H93" s="18"/>
      <c r="I93" s="18"/>
      <c r="J93" s="18"/>
      <c r="O93" s="117"/>
    </row>
    <row r="94" spans="2:15" x14ac:dyDescent="0.35">
      <c r="D94" s="18"/>
      <c r="E94" s="18"/>
      <c r="F94" s="18"/>
      <c r="G94" s="18"/>
      <c r="H94" s="18"/>
      <c r="I94" s="18"/>
      <c r="J94" s="18"/>
      <c r="O94" s="117"/>
    </row>
    <row r="95" spans="2:15" x14ac:dyDescent="0.35">
      <c r="D95" s="18"/>
      <c r="E95" s="18"/>
      <c r="F95" s="18"/>
      <c r="G95" s="18"/>
      <c r="H95" s="18"/>
      <c r="I95" s="18"/>
      <c r="J95" s="18"/>
      <c r="O95" s="117"/>
    </row>
    <row r="96" spans="2:15" x14ac:dyDescent="0.35">
      <c r="D96" s="18"/>
      <c r="E96" s="18"/>
      <c r="F96" s="18"/>
      <c r="G96" s="18"/>
      <c r="H96" s="18"/>
      <c r="I96" s="18"/>
      <c r="J96" s="18"/>
      <c r="O96" s="117"/>
    </row>
    <row r="97" spans="15:16" s="18" customFormat="1" x14ac:dyDescent="0.35">
      <c r="O97" s="117"/>
      <c r="P97" s="117"/>
    </row>
    <row r="98" spans="15:16" s="18" customFormat="1" x14ac:dyDescent="0.35">
      <c r="O98" s="117"/>
      <c r="P98" s="117"/>
    </row>
    <row r="99" spans="15:16" s="18" customFormat="1" x14ac:dyDescent="0.35">
      <c r="O99" s="117"/>
      <c r="P99" s="117"/>
    </row>
    <row r="100" spans="15:16" s="18" customFormat="1" x14ac:dyDescent="0.35">
      <c r="O100" s="117"/>
      <c r="P100" s="117"/>
    </row>
    <row r="101" spans="15:16" s="18" customFormat="1" x14ac:dyDescent="0.35">
      <c r="O101" s="117"/>
      <c r="P101" s="117"/>
    </row>
    <row r="102" spans="15:16" s="18" customFormat="1" x14ac:dyDescent="0.35">
      <c r="O102" s="117"/>
      <c r="P102" s="117"/>
    </row>
    <row r="103" spans="15:16" s="18" customFormat="1" x14ac:dyDescent="0.35">
      <c r="O103" s="117"/>
      <c r="P103" s="117"/>
    </row>
    <row r="104" spans="15:16" s="18" customFormat="1" x14ac:dyDescent="0.35">
      <c r="O104" s="117"/>
      <c r="P104" s="117"/>
    </row>
    <row r="105" spans="15:16" s="18" customFormat="1" x14ac:dyDescent="0.35">
      <c r="O105" s="117"/>
      <c r="P105" s="117"/>
    </row>
    <row r="106" spans="15:16" s="18" customFormat="1" x14ac:dyDescent="0.35">
      <c r="O106" s="117"/>
      <c r="P106" s="117"/>
    </row>
    <row r="107" spans="15:16" s="18" customFormat="1" x14ac:dyDescent="0.35">
      <c r="O107" s="117"/>
      <c r="P107" s="117"/>
    </row>
    <row r="108" spans="15:16" s="18" customFormat="1" x14ac:dyDescent="0.35">
      <c r="O108" s="117"/>
      <c r="P108" s="117"/>
    </row>
    <row r="109" spans="15:16" s="18" customFormat="1" x14ac:dyDescent="0.35">
      <c r="O109" s="117"/>
      <c r="P109" s="117"/>
    </row>
    <row r="110" spans="15:16" s="18" customFormat="1" x14ac:dyDescent="0.35">
      <c r="O110" s="117"/>
      <c r="P110" s="117"/>
    </row>
    <row r="111" spans="15:16" s="18" customFormat="1" x14ac:dyDescent="0.35">
      <c r="O111" s="117"/>
      <c r="P111" s="117"/>
    </row>
    <row r="112" spans="15:16" s="18" customFormat="1" x14ac:dyDescent="0.35">
      <c r="O112" s="117"/>
      <c r="P112" s="117"/>
    </row>
    <row r="113" spans="15:16" s="18" customFormat="1" x14ac:dyDescent="0.35">
      <c r="O113" s="117"/>
      <c r="P113" s="117"/>
    </row>
    <row r="114" spans="15:16" s="18" customFormat="1" x14ac:dyDescent="0.35">
      <c r="O114" s="117"/>
      <c r="P114" s="117"/>
    </row>
    <row r="115" spans="15:16" s="18" customFormat="1" x14ac:dyDescent="0.35">
      <c r="O115" s="117"/>
      <c r="P115" s="117"/>
    </row>
    <row r="116" spans="15:16" s="18" customFormat="1" x14ac:dyDescent="0.35">
      <c r="O116" s="117"/>
      <c r="P116" s="117"/>
    </row>
    <row r="117" spans="15:16" s="18" customFormat="1" x14ac:dyDescent="0.35">
      <c r="O117" s="117"/>
      <c r="P117" s="117"/>
    </row>
    <row r="118" spans="15:16" s="18" customFormat="1" x14ac:dyDescent="0.35">
      <c r="O118" s="117"/>
      <c r="P118" s="117"/>
    </row>
    <row r="119" spans="15:16" s="18" customFormat="1" x14ac:dyDescent="0.35">
      <c r="O119" s="117"/>
      <c r="P119" s="117"/>
    </row>
    <row r="120" spans="15:16" s="18" customFormat="1" x14ac:dyDescent="0.35">
      <c r="O120" s="117"/>
      <c r="P120" s="117"/>
    </row>
    <row r="121" spans="15:16" s="18" customFormat="1" x14ac:dyDescent="0.35">
      <c r="O121" s="117"/>
      <c r="P121" s="117"/>
    </row>
    <row r="122" spans="15:16" s="18" customFormat="1" x14ac:dyDescent="0.35">
      <c r="O122" s="117"/>
      <c r="P122" s="117"/>
    </row>
    <row r="123" spans="15:16" s="18" customFormat="1" x14ac:dyDescent="0.35">
      <c r="O123" s="117"/>
      <c r="P123" s="117"/>
    </row>
    <row r="124" spans="15:16" s="18" customFormat="1" x14ac:dyDescent="0.35">
      <c r="O124" s="117"/>
      <c r="P124" s="117"/>
    </row>
    <row r="125" spans="15:16" s="18" customFormat="1" x14ac:dyDescent="0.35">
      <c r="O125" s="117"/>
      <c r="P125" s="117"/>
    </row>
    <row r="126" spans="15:16" s="18" customFormat="1" x14ac:dyDescent="0.35">
      <c r="O126" s="117"/>
      <c r="P126" s="117"/>
    </row>
    <row r="127" spans="15:16" s="18" customFormat="1" x14ac:dyDescent="0.35">
      <c r="O127" s="117"/>
      <c r="P127" s="117"/>
    </row>
    <row r="128" spans="15:16" s="18" customFormat="1" x14ac:dyDescent="0.35">
      <c r="O128" s="117"/>
      <c r="P128" s="117"/>
    </row>
    <row r="129" spans="15:16" s="18" customFormat="1" x14ac:dyDescent="0.35">
      <c r="O129" s="117"/>
      <c r="P129" s="117"/>
    </row>
    <row r="130" spans="15:16" s="18" customFormat="1" x14ac:dyDescent="0.35">
      <c r="O130" s="117"/>
      <c r="P130" s="117"/>
    </row>
    <row r="131" spans="15:16" s="18" customFormat="1" x14ac:dyDescent="0.35">
      <c r="O131" s="117"/>
      <c r="P131" s="117"/>
    </row>
    <row r="132" spans="15:16" s="18" customFormat="1" x14ac:dyDescent="0.35">
      <c r="O132" s="117"/>
      <c r="P132" s="117"/>
    </row>
    <row r="133" spans="15:16" s="18" customFormat="1" x14ac:dyDescent="0.35">
      <c r="O133" s="117"/>
      <c r="P133" s="117"/>
    </row>
    <row r="134" spans="15:16" s="18" customFormat="1" x14ac:dyDescent="0.35">
      <c r="O134" s="117"/>
      <c r="P134" s="117"/>
    </row>
    <row r="135" spans="15:16" s="18" customFormat="1" x14ac:dyDescent="0.35">
      <c r="O135" s="117"/>
      <c r="P135" s="117"/>
    </row>
    <row r="136" spans="15:16" s="18" customFormat="1" x14ac:dyDescent="0.35">
      <c r="O136" s="117"/>
      <c r="P136" s="117"/>
    </row>
    <row r="137" spans="15:16" s="18" customFormat="1" x14ac:dyDescent="0.35">
      <c r="O137" s="117"/>
      <c r="P137" s="117"/>
    </row>
    <row r="138" spans="15:16" s="18" customFormat="1" x14ac:dyDescent="0.35">
      <c r="O138" s="117"/>
      <c r="P138" s="117"/>
    </row>
    <row r="139" spans="15:16" s="18" customFormat="1" x14ac:dyDescent="0.35">
      <c r="O139" s="117"/>
      <c r="P139" s="117"/>
    </row>
    <row r="140" spans="15:16" s="18" customFormat="1" x14ac:dyDescent="0.35">
      <c r="O140" s="117"/>
      <c r="P140" s="117"/>
    </row>
    <row r="141" spans="15:16" s="18" customFormat="1" x14ac:dyDescent="0.35">
      <c r="O141" s="117"/>
      <c r="P141" s="117"/>
    </row>
    <row r="142" spans="15:16" s="18" customFormat="1" x14ac:dyDescent="0.35">
      <c r="O142" s="117"/>
      <c r="P142" s="117"/>
    </row>
    <row r="143" spans="15:16" s="18" customFormat="1" x14ac:dyDescent="0.35">
      <c r="O143" s="117"/>
      <c r="P143" s="117"/>
    </row>
    <row r="144" spans="15:16" s="18" customFormat="1" x14ac:dyDescent="0.35">
      <c r="O144" s="117"/>
      <c r="P144" s="117"/>
    </row>
    <row r="145" spans="15:16" s="18" customFormat="1" x14ac:dyDescent="0.35">
      <c r="O145" s="117"/>
      <c r="P145" s="117"/>
    </row>
    <row r="146" spans="15:16" s="18" customFormat="1" x14ac:dyDescent="0.35">
      <c r="O146" s="117"/>
      <c r="P146" s="117"/>
    </row>
    <row r="147" spans="15:16" s="18" customFormat="1" x14ac:dyDescent="0.35">
      <c r="O147" s="117"/>
      <c r="P147" s="117"/>
    </row>
    <row r="148" spans="15:16" s="18" customFormat="1" x14ac:dyDescent="0.35">
      <c r="O148" s="117"/>
      <c r="P148" s="117"/>
    </row>
    <row r="149" spans="15:16" s="18" customFormat="1" x14ac:dyDescent="0.35">
      <c r="O149" s="117"/>
      <c r="P149" s="117"/>
    </row>
    <row r="150" spans="15:16" s="18" customFormat="1" x14ac:dyDescent="0.35">
      <c r="O150" s="117"/>
      <c r="P150" s="117"/>
    </row>
    <row r="151" spans="15:16" s="18" customFormat="1" x14ac:dyDescent="0.35">
      <c r="O151" s="117"/>
      <c r="P151" s="117"/>
    </row>
    <row r="152" spans="15:16" s="18" customFormat="1" x14ac:dyDescent="0.35">
      <c r="O152" s="117"/>
      <c r="P152" s="117"/>
    </row>
    <row r="153" spans="15:16" s="18" customFormat="1" x14ac:dyDescent="0.35">
      <c r="O153" s="117"/>
      <c r="P153" s="117"/>
    </row>
    <row r="154" spans="15:16" s="18" customFormat="1" x14ac:dyDescent="0.35">
      <c r="O154" s="117"/>
      <c r="P154" s="117"/>
    </row>
    <row r="155" spans="15:16" s="18" customFormat="1" x14ac:dyDescent="0.35">
      <c r="O155" s="117"/>
      <c r="P155" s="117"/>
    </row>
    <row r="156" spans="15:16" s="18" customFormat="1" x14ac:dyDescent="0.35">
      <c r="O156" s="117"/>
      <c r="P156" s="117"/>
    </row>
    <row r="157" spans="15:16" s="18" customFormat="1" x14ac:dyDescent="0.35">
      <c r="O157" s="117"/>
      <c r="P157" s="117"/>
    </row>
    <row r="158" spans="15:16" s="18" customFormat="1" x14ac:dyDescent="0.35">
      <c r="O158" s="117"/>
      <c r="P158" s="117"/>
    </row>
    <row r="159" spans="15:16" s="18" customFormat="1" x14ac:dyDescent="0.35">
      <c r="O159" s="117"/>
      <c r="P159" s="117"/>
    </row>
    <row r="160" spans="15:16" s="18" customFormat="1" x14ac:dyDescent="0.35">
      <c r="O160" s="117"/>
      <c r="P160" s="117"/>
    </row>
    <row r="161" spans="15:16" s="18" customFormat="1" x14ac:dyDescent="0.35">
      <c r="O161" s="117"/>
      <c r="P161" s="117"/>
    </row>
    <row r="162" spans="15:16" s="18" customFormat="1" x14ac:dyDescent="0.35">
      <c r="O162" s="117"/>
      <c r="P162" s="117"/>
    </row>
    <row r="163" spans="15:16" s="18" customFormat="1" x14ac:dyDescent="0.35">
      <c r="O163" s="117"/>
      <c r="P163" s="117"/>
    </row>
    <row r="164" spans="15:16" s="18" customFormat="1" x14ac:dyDescent="0.35">
      <c r="O164" s="117"/>
      <c r="P164" s="117"/>
    </row>
    <row r="165" spans="15:16" s="18" customFormat="1" x14ac:dyDescent="0.35">
      <c r="O165" s="117"/>
      <c r="P165" s="117"/>
    </row>
    <row r="166" spans="15:16" s="18" customFormat="1" x14ac:dyDescent="0.35">
      <c r="O166" s="117"/>
      <c r="P166" s="117"/>
    </row>
    <row r="167" spans="15:16" s="18" customFormat="1" x14ac:dyDescent="0.35">
      <c r="O167" s="117"/>
      <c r="P167" s="117"/>
    </row>
    <row r="168" spans="15:16" s="18" customFormat="1" x14ac:dyDescent="0.35">
      <c r="O168" s="117"/>
      <c r="P168" s="117"/>
    </row>
    <row r="169" spans="15:16" s="18" customFormat="1" x14ac:dyDescent="0.35">
      <c r="O169" s="117"/>
      <c r="P169" s="117"/>
    </row>
    <row r="170" spans="15:16" s="18" customFormat="1" x14ac:dyDescent="0.35">
      <c r="O170" s="117"/>
      <c r="P170" s="117"/>
    </row>
    <row r="171" spans="15:16" s="18" customFormat="1" x14ac:dyDescent="0.35">
      <c r="O171" s="117"/>
      <c r="P171" s="117"/>
    </row>
    <row r="172" spans="15:16" s="18" customFormat="1" x14ac:dyDescent="0.35">
      <c r="O172" s="117"/>
      <c r="P172" s="117"/>
    </row>
    <row r="173" spans="15:16" s="18" customFormat="1" x14ac:dyDescent="0.35">
      <c r="O173" s="117"/>
      <c r="P173" s="117"/>
    </row>
    <row r="174" spans="15:16" s="18" customFormat="1" x14ac:dyDescent="0.35">
      <c r="O174" s="117"/>
      <c r="P174" s="117"/>
    </row>
    <row r="175" spans="15:16" s="18" customFormat="1" x14ac:dyDescent="0.35">
      <c r="O175" s="117"/>
      <c r="P175" s="117"/>
    </row>
    <row r="176" spans="15:16" s="18" customFormat="1" x14ac:dyDescent="0.35">
      <c r="O176" s="117"/>
      <c r="P176" s="117"/>
    </row>
    <row r="177" spans="15:16" s="18" customFormat="1" x14ac:dyDescent="0.35">
      <c r="O177" s="117"/>
      <c r="P177" s="117"/>
    </row>
    <row r="178" spans="15:16" s="18" customFormat="1" x14ac:dyDescent="0.35">
      <c r="O178" s="117"/>
      <c r="P178" s="117"/>
    </row>
    <row r="179" spans="15:16" s="18" customFormat="1" x14ac:dyDescent="0.35">
      <c r="O179" s="117"/>
      <c r="P179" s="117"/>
    </row>
    <row r="180" spans="15:16" s="18" customFormat="1" x14ac:dyDescent="0.35">
      <c r="O180" s="117"/>
      <c r="P180" s="117"/>
    </row>
    <row r="181" spans="15:16" s="18" customFormat="1" x14ac:dyDescent="0.35">
      <c r="O181" s="117"/>
      <c r="P181" s="117"/>
    </row>
    <row r="182" spans="15:16" s="18" customFormat="1" x14ac:dyDescent="0.35">
      <c r="O182" s="117"/>
      <c r="P182" s="117"/>
    </row>
    <row r="183" spans="15:16" s="18" customFormat="1" x14ac:dyDescent="0.35">
      <c r="O183" s="117"/>
      <c r="P183" s="117"/>
    </row>
    <row r="184" spans="15:16" s="18" customFormat="1" x14ac:dyDescent="0.35">
      <c r="O184" s="117"/>
      <c r="P184" s="117"/>
    </row>
    <row r="185" spans="15:16" s="18" customFormat="1" x14ac:dyDescent="0.35">
      <c r="O185" s="117"/>
      <c r="P185" s="117"/>
    </row>
    <row r="186" spans="15:16" s="18" customFormat="1" x14ac:dyDescent="0.35">
      <c r="O186" s="117"/>
      <c r="P186" s="117"/>
    </row>
    <row r="187" spans="15:16" s="18" customFormat="1" x14ac:dyDescent="0.35">
      <c r="O187" s="117"/>
      <c r="P187" s="117"/>
    </row>
    <row r="188" spans="15:16" s="18" customFormat="1" x14ac:dyDescent="0.35">
      <c r="O188" s="117"/>
      <c r="P188" s="117"/>
    </row>
    <row r="189" spans="15:16" s="18" customFormat="1" x14ac:dyDescent="0.35">
      <c r="O189" s="117"/>
      <c r="P189" s="117"/>
    </row>
    <row r="190" spans="15:16" s="18" customFormat="1" x14ac:dyDescent="0.35">
      <c r="O190" s="117"/>
      <c r="P190" s="117"/>
    </row>
    <row r="191" spans="15:16" s="18" customFormat="1" x14ac:dyDescent="0.35">
      <c r="O191" s="117"/>
      <c r="P191" s="117"/>
    </row>
    <row r="192" spans="15:16" s="18" customFormat="1" x14ac:dyDescent="0.35">
      <c r="O192" s="117"/>
      <c r="P192" s="117"/>
    </row>
    <row r="193" spans="15:16" s="18" customFormat="1" x14ac:dyDescent="0.35">
      <c r="O193" s="117"/>
      <c r="P193" s="117"/>
    </row>
    <row r="194" spans="15:16" s="18" customFormat="1" x14ac:dyDescent="0.35">
      <c r="O194" s="117"/>
      <c r="P194" s="117"/>
    </row>
    <row r="195" spans="15:16" s="18" customFormat="1" x14ac:dyDescent="0.35">
      <c r="O195" s="117"/>
      <c r="P195" s="117"/>
    </row>
    <row r="196" spans="15:16" s="18" customFormat="1" x14ac:dyDescent="0.35">
      <c r="O196" s="117"/>
      <c r="P196" s="117"/>
    </row>
    <row r="197" spans="15:16" s="18" customFormat="1" x14ac:dyDescent="0.35">
      <c r="O197" s="117"/>
      <c r="P197" s="117"/>
    </row>
    <row r="198" spans="15:16" s="18" customFormat="1" x14ac:dyDescent="0.35">
      <c r="O198" s="117"/>
      <c r="P198" s="117"/>
    </row>
    <row r="199" spans="15:16" s="18" customFormat="1" x14ac:dyDescent="0.35">
      <c r="O199" s="117"/>
      <c r="P199" s="117"/>
    </row>
    <row r="200" spans="15:16" s="18" customFormat="1" x14ac:dyDescent="0.35">
      <c r="O200" s="117"/>
      <c r="P200" s="117"/>
    </row>
    <row r="201" spans="15:16" s="18" customFormat="1" x14ac:dyDescent="0.35">
      <c r="O201" s="117"/>
      <c r="P201" s="117"/>
    </row>
    <row r="202" spans="15:16" s="18" customFormat="1" x14ac:dyDescent="0.35">
      <c r="O202" s="117"/>
      <c r="P202" s="117"/>
    </row>
    <row r="203" spans="15:16" s="18" customFormat="1" x14ac:dyDescent="0.35">
      <c r="O203" s="117"/>
      <c r="P203" s="117"/>
    </row>
    <row r="204" spans="15:16" s="18" customFormat="1" x14ac:dyDescent="0.35">
      <c r="O204" s="117"/>
      <c r="P204" s="117"/>
    </row>
    <row r="205" spans="15:16" s="18" customFormat="1" x14ac:dyDescent="0.35">
      <c r="O205" s="117"/>
      <c r="P205" s="117"/>
    </row>
    <row r="206" spans="15:16" s="18" customFormat="1" x14ac:dyDescent="0.35">
      <c r="O206" s="117"/>
      <c r="P206" s="117"/>
    </row>
    <row r="207" spans="15:16" s="18" customFormat="1" x14ac:dyDescent="0.35">
      <c r="O207" s="117"/>
      <c r="P207" s="117"/>
    </row>
    <row r="208" spans="15:16" s="18" customFormat="1" x14ac:dyDescent="0.35">
      <c r="O208" s="117"/>
      <c r="P208" s="117"/>
    </row>
    <row r="209" spans="15:16" s="18" customFormat="1" x14ac:dyDescent="0.35">
      <c r="O209" s="117"/>
      <c r="P209" s="117"/>
    </row>
    <row r="210" spans="15:16" s="18" customFormat="1" x14ac:dyDescent="0.35">
      <c r="O210" s="117"/>
      <c r="P210" s="117"/>
    </row>
    <row r="211" spans="15:16" s="18" customFormat="1" x14ac:dyDescent="0.35">
      <c r="O211" s="117"/>
      <c r="P211" s="117"/>
    </row>
    <row r="212" spans="15:16" s="18" customFormat="1" x14ac:dyDescent="0.35">
      <c r="O212" s="117"/>
      <c r="P212" s="117"/>
    </row>
    <row r="213" spans="15:16" s="18" customFormat="1" x14ac:dyDescent="0.35">
      <c r="O213" s="117"/>
      <c r="P213" s="117"/>
    </row>
    <row r="214" spans="15:16" s="18" customFormat="1" x14ac:dyDescent="0.35">
      <c r="O214" s="117"/>
      <c r="P214" s="117"/>
    </row>
    <row r="215" spans="15:16" s="18" customFormat="1" x14ac:dyDescent="0.35">
      <c r="O215" s="117"/>
      <c r="P215" s="117"/>
    </row>
    <row r="216" spans="15:16" s="18" customFormat="1" x14ac:dyDescent="0.35">
      <c r="O216" s="117"/>
      <c r="P216" s="117"/>
    </row>
    <row r="217" spans="15:16" s="18" customFormat="1" x14ac:dyDescent="0.35">
      <c r="O217" s="117"/>
      <c r="P217" s="117"/>
    </row>
    <row r="218" spans="15:16" s="18" customFormat="1" x14ac:dyDescent="0.35">
      <c r="O218" s="117"/>
      <c r="P218" s="117"/>
    </row>
    <row r="219" spans="15:16" s="18" customFormat="1" x14ac:dyDescent="0.35">
      <c r="O219" s="117"/>
      <c r="P219" s="117"/>
    </row>
    <row r="220" spans="15:16" s="18" customFormat="1" x14ac:dyDescent="0.35">
      <c r="O220" s="117"/>
      <c r="P220" s="117"/>
    </row>
    <row r="221" spans="15:16" s="18" customFormat="1" x14ac:dyDescent="0.35">
      <c r="O221" s="117"/>
      <c r="P221" s="117"/>
    </row>
    <row r="222" spans="15:16" s="18" customFormat="1" x14ac:dyDescent="0.35">
      <c r="O222" s="117"/>
      <c r="P222" s="117"/>
    </row>
    <row r="223" spans="15:16" s="18" customFormat="1" x14ac:dyDescent="0.35">
      <c r="O223" s="117"/>
      <c r="P223" s="117"/>
    </row>
    <row r="224" spans="15:16" s="18" customFormat="1" x14ac:dyDescent="0.35">
      <c r="O224" s="117"/>
      <c r="P224" s="117"/>
    </row>
    <row r="225" spans="15:16" s="18" customFormat="1" x14ac:dyDescent="0.35">
      <c r="O225" s="117"/>
      <c r="P225" s="117"/>
    </row>
    <row r="226" spans="15:16" s="18" customFormat="1" x14ac:dyDescent="0.35">
      <c r="O226" s="117"/>
      <c r="P226" s="117"/>
    </row>
    <row r="227" spans="15:16" s="18" customFormat="1" x14ac:dyDescent="0.35">
      <c r="O227" s="117"/>
      <c r="P227" s="117"/>
    </row>
    <row r="228" spans="15:16" s="18" customFormat="1" x14ac:dyDescent="0.35">
      <c r="O228" s="117"/>
      <c r="P228" s="117"/>
    </row>
    <row r="229" spans="15:16" s="18" customFormat="1" x14ac:dyDescent="0.35">
      <c r="O229" s="117"/>
      <c r="P229" s="117"/>
    </row>
    <row r="230" spans="15:16" s="18" customFormat="1" x14ac:dyDescent="0.35">
      <c r="O230" s="117"/>
      <c r="P230" s="117"/>
    </row>
    <row r="231" spans="15:16" s="18" customFormat="1" x14ac:dyDescent="0.35">
      <c r="O231" s="117"/>
      <c r="P231" s="117"/>
    </row>
    <row r="232" spans="15:16" s="18" customFormat="1" x14ac:dyDescent="0.35">
      <c r="O232" s="117"/>
      <c r="P232" s="117"/>
    </row>
    <row r="233" spans="15:16" s="18" customFormat="1" x14ac:dyDescent="0.35">
      <c r="O233" s="117"/>
      <c r="P233" s="117"/>
    </row>
    <row r="234" spans="15:16" s="18" customFormat="1" x14ac:dyDescent="0.35">
      <c r="O234" s="117"/>
      <c r="P234" s="117"/>
    </row>
    <row r="235" spans="15:16" s="18" customFormat="1" x14ac:dyDescent="0.35">
      <c r="O235" s="117"/>
      <c r="P235" s="117"/>
    </row>
    <row r="236" spans="15:16" s="18" customFormat="1" x14ac:dyDescent="0.35">
      <c r="O236" s="117"/>
      <c r="P236" s="117"/>
    </row>
    <row r="237" spans="15:16" s="18" customFormat="1" x14ac:dyDescent="0.35">
      <c r="O237" s="117"/>
      <c r="P237" s="117"/>
    </row>
    <row r="238" spans="15:16" s="18" customFormat="1" x14ac:dyDescent="0.35">
      <c r="O238" s="117"/>
      <c r="P238" s="117"/>
    </row>
    <row r="239" spans="15:16" s="18" customFormat="1" x14ac:dyDescent="0.35">
      <c r="O239" s="117"/>
      <c r="P239" s="117"/>
    </row>
    <row r="240" spans="15:16" s="18" customFormat="1" x14ac:dyDescent="0.35">
      <c r="O240" s="117"/>
      <c r="P240" s="117"/>
    </row>
    <row r="241" spans="15:16" s="18" customFormat="1" x14ac:dyDescent="0.35">
      <c r="O241" s="117"/>
      <c r="P241" s="117"/>
    </row>
    <row r="242" spans="15:16" s="18" customFormat="1" x14ac:dyDescent="0.35">
      <c r="O242" s="117"/>
      <c r="P242" s="117"/>
    </row>
    <row r="243" spans="15:16" s="18" customFormat="1" x14ac:dyDescent="0.35">
      <c r="O243" s="117"/>
      <c r="P243" s="117"/>
    </row>
    <row r="244" spans="15:16" s="18" customFormat="1" x14ac:dyDescent="0.35">
      <c r="O244" s="117"/>
      <c r="P244" s="117"/>
    </row>
    <row r="245" spans="15:16" s="18" customFormat="1" x14ac:dyDescent="0.35">
      <c r="O245" s="117"/>
      <c r="P245" s="117"/>
    </row>
    <row r="246" spans="15:16" s="18" customFormat="1" x14ac:dyDescent="0.35">
      <c r="O246" s="117"/>
      <c r="P246" s="117"/>
    </row>
    <row r="247" spans="15:16" s="18" customFormat="1" x14ac:dyDescent="0.35">
      <c r="O247" s="117"/>
      <c r="P247" s="117"/>
    </row>
    <row r="248" spans="15:16" s="18" customFormat="1" x14ac:dyDescent="0.35">
      <c r="O248" s="117"/>
      <c r="P248" s="117"/>
    </row>
    <row r="249" spans="15:16" s="18" customFormat="1" x14ac:dyDescent="0.35">
      <c r="O249" s="117"/>
      <c r="P249" s="117"/>
    </row>
    <row r="250" spans="15:16" s="18" customFormat="1" x14ac:dyDescent="0.35">
      <c r="O250" s="117"/>
      <c r="P250" s="117"/>
    </row>
    <row r="251" spans="15:16" s="18" customFormat="1" x14ac:dyDescent="0.35">
      <c r="O251" s="117"/>
      <c r="P251" s="117"/>
    </row>
    <row r="252" spans="15:16" s="18" customFormat="1" x14ac:dyDescent="0.35">
      <c r="O252" s="117"/>
      <c r="P252" s="117"/>
    </row>
    <row r="253" spans="15:16" s="18" customFormat="1" x14ac:dyDescent="0.35">
      <c r="O253" s="117"/>
      <c r="P253" s="117"/>
    </row>
    <row r="254" spans="15:16" s="18" customFormat="1" x14ac:dyDescent="0.35">
      <c r="O254" s="117"/>
      <c r="P254" s="117"/>
    </row>
    <row r="255" spans="15:16" s="18" customFormat="1" x14ac:dyDescent="0.35">
      <c r="O255" s="117"/>
      <c r="P255" s="117"/>
    </row>
    <row r="256" spans="15:16" s="18" customFormat="1" x14ac:dyDescent="0.35">
      <c r="O256" s="117"/>
      <c r="P256" s="117"/>
    </row>
    <row r="257" spans="15:16" s="18" customFormat="1" x14ac:dyDescent="0.35">
      <c r="O257" s="117"/>
      <c r="P257" s="117"/>
    </row>
    <row r="258" spans="15:16" s="18" customFormat="1" x14ac:dyDescent="0.35">
      <c r="O258" s="117"/>
      <c r="P258" s="117"/>
    </row>
    <row r="259" spans="15:16" s="18" customFormat="1" x14ac:dyDescent="0.35">
      <c r="O259" s="117"/>
      <c r="P259" s="117"/>
    </row>
    <row r="260" spans="15:16" s="18" customFormat="1" x14ac:dyDescent="0.35">
      <c r="O260" s="117"/>
      <c r="P260" s="117"/>
    </row>
    <row r="261" spans="15:16" s="18" customFormat="1" x14ac:dyDescent="0.35">
      <c r="O261" s="117"/>
      <c r="P261" s="117"/>
    </row>
    <row r="262" spans="15:16" s="18" customFormat="1" x14ac:dyDescent="0.35">
      <c r="O262" s="117"/>
      <c r="P262" s="117"/>
    </row>
    <row r="263" spans="15:16" s="18" customFormat="1" x14ac:dyDescent="0.35">
      <c r="O263" s="117"/>
      <c r="P263" s="117"/>
    </row>
    <row r="264" spans="15:16" s="18" customFormat="1" x14ac:dyDescent="0.35">
      <c r="O264" s="117"/>
      <c r="P264" s="117"/>
    </row>
    <row r="265" spans="15:16" s="18" customFormat="1" x14ac:dyDescent="0.35">
      <c r="O265" s="117"/>
      <c r="P265" s="117"/>
    </row>
    <row r="266" spans="15:16" s="18" customFormat="1" x14ac:dyDescent="0.35">
      <c r="O266" s="117"/>
      <c r="P266" s="117"/>
    </row>
    <row r="267" spans="15:16" s="18" customFormat="1" x14ac:dyDescent="0.35">
      <c r="O267" s="117"/>
      <c r="P267" s="117"/>
    </row>
    <row r="268" spans="15:16" s="18" customFormat="1" x14ac:dyDescent="0.35">
      <c r="O268" s="117"/>
      <c r="P268" s="117"/>
    </row>
    <row r="269" spans="15:16" s="18" customFormat="1" x14ac:dyDescent="0.35">
      <c r="O269" s="117"/>
      <c r="P269" s="117"/>
    </row>
    <row r="270" spans="15:16" s="18" customFormat="1" x14ac:dyDescent="0.35">
      <c r="O270" s="117"/>
      <c r="P270" s="117"/>
    </row>
    <row r="271" spans="15:16" s="18" customFormat="1" x14ac:dyDescent="0.35">
      <c r="O271" s="117"/>
      <c r="P271" s="117"/>
    </row>
    <row r="272" spans="15:16" s="18" customFormat="1" x14ac:dyDescent="0.35">
      <c r="O272" s="117"/>
      <c r="P272" s="117"/>
    </row>
    <row r="273" spans="15:16" s="18" customFormat="1" x14ac:dyDescent="0.35">
      <c r="O273" s="117"/>
      <c r="P273" s="117"/>
    </row>
    <row r="274" spans="15:16" s="18" customFormat="1" x14ac:dyDescent="0.35">
      <c r="O274" s="117"/>
      <c r="P274" s="117"/>
    </row>
    <row r="275" spans="15:16" s="18" customFormat="1" x14ac:dyDescent="0.35">
      <c r="O275" s="117"/>
      <c r="P275" s="117"/>
    </row>
    <row r="276" spans="15:16" s="18" customFormat="1" x14ac:dyDescent="0.35">
      <c r="O276" s="117"/>
      <c r="P276" s="117"/>
    </row>
    <row r="277" spans="15:16" s="18" customFormat="1" x14ac:dyDescent="0.35">
      <c r="O277" s="117"/>
      <c r="P277" s="117"/>
    </row>
    <row r="278" spans="15:16" s="18" customFormat="1" x14ac:dyDescent="0.35">
      <c r="O278" s="117"/>
      <c r="P278" s="117"/>
    </row>
    <row r="279" spans="15:16" s="18" customFormat="1" x14ac:dyDescent="0.35">
      <c r="O279" s="117"/>
      <c r="P279" s="117"/>
    </row>
    <row r="280" spans="15:16" s="18" customFormat="1" x14ac:dyDescent="0.35">
      <c r="O280" s="117"/>
      <c r="P280" s="117"/>
    </row>
    <row r="281" spans="15:16" s="18" customFormat="1" x14ac:dyDescent="0.35">
      <c r="O281" s="117"/>
      <c r="P281" s="117"/>
    </row>
    <row r="282" spans="15:16" s="18" customFormat="1" x14ac:dyDescent="0.35">
      <c r="O282" s="117"/>
      <c r="P282" s="117"/>
    </row>
    <row r="283" spans="15:16" s="18" customFormat="1" x14ac:dyDescent="0.35">
      <c r="O283" s="117"/>
      <c r="P283" s="117"/>
    </row>
    <row r="284" spans="15:16" s="18" customFormat="1" x14ac:dyDescent="0.35">
      <c r="O284" s="117"/>
      <c r="P284" s="117"/>
    </row>
    <row r="285" spans="15:16" s="18" customFormat="1" x14ac:dyDescent="0.35">
      <c r="O285" s="117"/>
      <c r="P285" s="117"/>
    </row>
    <row r="286" spans="15:16" s="18" customFormat="1" x14ac:dyDescent="0.35">
      <c r="O286" s="117"/>
      <c r="P286" s="117"/>
    </row>
    <row r="287" spans="15:16" s="18" customFormat="1" x14ac:dyDescent="0.35">
      <c r="O287" s="117"/>
      <c r="P287" s="117"/>
    </row>
    <row r="288" spans="15:16" s="18" customFormat="1" x14ac:dyDescent="0.35">
      <c r="O288" s="117"/>
      <c r="P288" s="117"/>
    </row>
    <row r="289" spans="15:16" s="18" customFormat="1" x14ac:dyDescent="0.35">
      <c r="O289" s="117"/>
      <c r="P289" s="117"/>
    </row>
    <row r="290" spans="15:16" s="18" customFormat="1" x14ac:dyDescent="0.35">
      <c r="O290" s="117"/>
      <c r="P290" s="117"/>
    </row>
    <row r="291" spans="15:16" s="18" customFormat="1" x14ac:dyDescent="0.35">
      <c r="O291" s="117"/>
      <c r="P291" s="117"/>
    </row>
    <row r="292" spans="15:16" s="18" customFormat="1" x14ac:dyDescent="0.35">
      <c r="O292" s="117"/>
      <c r="P292" s="117"/>
    </row>
    <row r="293" spans="15:16" s="18" customFormat="1" x14ac:dyDescent="0.35">
      <c r="O293" s="117"/>
      <c r="P293" s="117"/>
    </row>
    <row r="294" spans="15:16" s="18" customFormat="1" x14ac:dyDescent="0.35">
      <c r="O294" s="117"/>
      <c r="P294" s="117"/>
    </row>
    <row r="295" spans="15:16" s="18" customFormat="1" x14ac:dyDescent="0.35">
      <c r="O295" s="117"/>
      <c r="P295" s="117"/>
    </row>
    <row r="296" spans="15:16" s="18" customFormat="1" x14ac:dyDescent="0.35">
      <c r="O296" s="117"/>
      <c r="P296" s="117"/>
    </row>
    <row r="297" spans="15:16" s="18" customFormat="1" x14ac:dyDescent="0.35">
      <c r="O297" s="117"/>
      <c r="P297" s="117"/>
    </row>
    <row r="298" spans="15:16" s="18" customFormat="1" x14ac:dyDescent="0.35">
      <c r="O298" s="117"/>
      <c r="P298" s="117"/>
    </row>
    <row r="299" spans="15:16" s="18" customFormat="1" x14ac:dyDescent="0.35">
      <c r="O299" s="117"/>
      <c r="P299" s="117"/>
    </row>
    <row r="300" spans="15:16" s="18" customFormat="1" x14ac:dyDescent="0.35">
      <c r="O300" s="117"/>
      <c r="P300" s="117"/>
    </row>
    <row r="301" spans="15:16" s="18" customFormat="1" x14ac:dyDescent="0.35">
      <c r="O301" s="117"/>
      <c r="P301" s="117"/>
    </row>
    <row r="302" spans="15:16" s="18" customFormat="1" x14ac:dyDescent="0.35">
      <c r="O302" s="117"/>
      <c r="P302" s="117"/>
    </row>
    <row r="303" spans="15:16" s="18" customFormat="1" x14ac:dyDescent="0.35">
      <c r="O303" s="117"/>
      <c r="P303" s="117"/>
    </row>
    <row r="304" spans="15:16" s="18" customFormat="1" x14ac:dyDescent="0.35">
      <c r="O304" s="117"/>
      <c r="P304" s="117"/>
    </row>
    <row r="305" spans="15:16" s="18" customFormat="1" x14ac:dyDescent="0.35">
      <c r="O305" s="117"/>
      <c r="P305" s="117"/>
    </row>
    <row r="306" spans="15:16" s="18" customFormat="1" x14ac:dyDescent="0.35">
      <c r="O306" s="117"/>
      <c r="P306" s="117"/>
    </row>
    <row r="307" spans="15:16" s="18" customFormat="1" x14ac:dyDescent="0.35">
      <c r="O307" s="117"/>
      <c r="P307" s="117"/>
    </row>
    <row r="308" spans="15:16" s="18" customFormat="1" x14ac:dyDescent="0.35">
      <c r="O308" s="117"/>
      <c r="P308" s="117"/>
    </row>
    <row r="309" spans="15:16" s="18" customFormat="1" x14ac:dyDescent="0.35">
      <c r="O309" s="117"/>
      <c r="P309" s="117"/>
    </row>
    <row r="310" spans="15:16" s="18" customFormat="1" x14ac:dyDescent="0.35">
      <c r="O310" s="117"/>
      <c r="P310" s="117"/>
    </row>
    <row r="311" spans="15:16" s="18" customFormat="1" x14ac:dyDescent="0.35">
      <c r="O311" s="117"/>
      <c r="P311" s="117"/>
    </row>
    <row r="312" spans="15:16" s="18" customFormat="1" x14ac:dyDescent="0.35">
      <c r="O312" s="117"/>
      <c r="P312" s="117"/>
    </row>
    <row r="313" spans="15:16" s="18" customFormat="1" x14ac:dyDescent="0.35">
      <c r="O313" s="117"/>
      <c r="P313" s="117"/>
    </row>
    <row r="314" spans="15:16" s="18" customFormat="1" x14ac:dyDescent="0.35">
      <c r="O314" s="117"/>
      <c r="P314" s="117"/>
    </row>
    <row r="315" spans="15:16" s="18" customFormat="1" x14ac:dyDescent="0.35">
      <c r="O315" s="117"/>
      <c r="P315" s="117"/>
    </row>
    <row r="316" spans="15:16" s="18" customFormat="1" x14ac:dyDescent="0.35">
      <c r="O316" s="117"/>
      <c r="P316" s="117"/>
    </row>
    <row r="317" spans="15:16" s="18" customFormat="1" x14ac:dyDescent="0.35">
      <c r="O317" s="117"/>
      <c r="P317" s="117"/>
    </row>
    <row r="318" spans="15:16" s="18" customFormat="1" x14ac:dyDescent="0.35">
      <c r="O318" s="117"/>
      <c r="P318" s="117"/>
    </row>
    <row r="319" spans="15:16" s="18" customFormat="1" x14ac:dyDescent="0.35">
      <c r="O319" s="117"/>
      <c r="P319" s="117"/>
    </row>
    <row r="320" spans="15:16" s="18" customFormat="1" x14ac:dyDescent="0.35">
      <c r="O320" s="117"/>
      <c r="P320" s="117"/>
    </row>
    <row r="321" spans="15:16" s="18" customFormat="1" x14ac:dyDescent="0.35">
      <c r="O321" s="117"/>
      <c r="P321" s="117"/>
    </row>
    <row r="322" spans="15:16" s="18" customFormat="1" x14ac:dyDescent="0.35">
      <c r="O322" s="117"/>
      <c r="P322" s="117"/>
    </row>
    <row r="323" spans="15:16" s="18" customFormat="1" x14ac:dyDescent="0.35">
      <c r="O323" s="117"/>
      <c r="P323" s="117"/>
    </row>
    <row r="324" spans="15:16" s="18" customFormat="1" x14ac:dyDescent="0.35">
      <c r="O324" s="117"/>
      <c r="P324" s="117"/>
    </row>
    <row r="325" spans="15:16" s="18" customFormat="1" x14ac:dyDescent="0.35">
      <c r="O325" s="117"/>
      <c r="P325" s="117"/>
    </row>
    <row r="326" spans="15:16" s="18" customFormat="1" x14ac:dyDescent="0.35">
      <c r="O326" s="117"/>
      <c r="P326" s="117"/>
    </row>
    <row r="327" spans="15:16" s="18" customFormat="1" x14ac:dyDescent="0.35">
      <c r="O327" s="117"/>
      <c r="P327" s="117"/>
    </row>
    <row r="328" spans="15:16" s="18" customFormat="1" x14ac:dyDescent="0.35">
      <c r="O328" s="117"/>
      <c r="P328" s="117"/>
    </row>
    <row r="329" spans="15:16" s="18" customFormat="1" x14ac:dyDescent="0.35">
      <c r="O329" s="117"/>
      <c r="P329" s="117"/>
    </row>
    <row r="330" spans="15:16" s="18" customFormat="1" x14ac:dyDescent="0.35">
      <c r="O330" s="117"/>
      <c r="P330" s="117"/>
    </row>
    <row r="331" spans="15:16" s="18" customFormat="1" x14ac:dyDescent="0.35">
      <c r="O331" s="117"/>
      <c r="P331" s="117"/>
    </row>
    <row r="332" spans="15:16" s="18" customFormat="1" x14ac:dyDescent="0.35">
      <c r="O332" s="117"/>
      <c r="P332" s="117"/>
    </row>
    <row r="333" spans="15:16" s="18" customFormat="1" x14ac:dyDescent="0.35">
      <c r="O333" s="117"/>
      <c r="P333" s="117"/>
    </row>
    <row r="334" spans="15:16" s="18" customFormat="1" x14ac:dyDescent="0.35">
      <c r="O334" s="117"/>
      <c r="P334" s="117"/>
    </row>
    <row r="335" spans="15:16" s="18" customFormat="1" x14ac:dyDescent="0.35">
      <c r="O335" s="117"/>
      <c r="P335" s="117"/>
    </row>
    <row r="336" spans="15:16" s="18" customFormat="1" x14ac:dyDescent="0.35">
      <c r="O336" s="117"/>
      <c r="P336" s="117"/>
    </row>
    <row r="337" spans="15:16" s="18" customFormat="1" x14ac:dyDescent="0.35">
      <c r="O337" s="117"/>
      <c r="P337" s="117"/>
    </row>
    <row r="338" spans="15:16" s="18" customFormat="1" x14ac:dyDescent="0.35">
      <c r="O338" s="117"/>
      <c r="P338" s="117"/>
    </row>
    <row r="339" spans="15:16" s="18" customFormat="1" x14ac:dyDescent="0.35">
      <c r="O339" s="117"/>
      <c r="P339" s="117"/>
    </row>
    <row r="340" spans="15:16" s="18" customFormat="1" x14ac:dyDescent="0.35">
      <c r="O340" s="117"/>
      <c r="P340" s="117"/>
    </row>
    <row r="341" spans="15:16" s="18" customFormat="1" x14ac:dyDescent="0.35">
      <c r="O341" s="117"/>
      <c r="P341" s="117"/>
    </row>
    <row r="342" spans="15:16" s="18" customFormat="1" x14ac:dyDescent="0.35">
      <c r="O342" s="117"/>
      <c r="P342" s="117"/>
    </row>
    <row r="343" spans="15:16" s="18" customFormat="1" x14ac:dyDescent="0.35">
      <c r="O343" s="117"/>
      <c r="P343" s="117"/>
    </row>
    <row r="344" spans="15:16" s="18" customFormat="1" x14ac:dyDescent="0.35">
      <c r="O344" s="117"/>
      <c r="P344" s="117"/>
    </row>
    <row r="345" spans="15:16" s="18" customFormat="1" x14ac:dyDescent="0.35">
      <c r="O345" s="117"/>
      <c r="P345" s="117"/>
    </row>
    <row r="346" spans="15:16" s="18" customFormat="1" x14ac:dyDescent="0.35">
      <c r="O346" s="117"/>
      <c r="P346" s="117"/>
    </row>
    <row r="347" spans="15:16" s="18" customFormat="1" x14ac:dyDescent="0.35">
      <c r="O347" s="117"/>
      <c r="P347" s="117"/>
    </row>
    <row r="348" spans="15:16" s="18" customFormat="1" x14ac:dyDescent="0.35">
      <c r="O348" s="117"/>
      <c r="P348" s="117"/>
    </row>
    <row r="349" spans="15:16" s="18" customFormat="1" x14ac:dyDescent="0.35">
      <c r="O349" s="117"/>
      <c r="P349" s="117"/>
    </row>
    <row r="350" spans="15:16" s="18" customFormat="1" x14ac:dyDescent="0.35">
      <c r="O350" s="117"/>
      <c r="P350" s="117"/>
    </row>
    <row r="351" spans="15:16" s="18" customFormat="1" x14ac:dyDescent="0.35">
      <c r="O351" s="117"/>
      <c r="P351" s="117"/>
    </row>
    <row r="352" spans="15:16" s="18" customFormat="1" x14ac:dyDescent="0.35">
      <c r="O352" s="117"/>
      <c r="P352" s="117"/>
    </row>
    <row r="353" spans="15:16" s="18" customFormat="1" x14ac:dyDescent="0.35">
      <c r="O353" s="117"/>
      <c r="P353" s="117"/>
    </row>
    <row r="354" spans="15:16" s="18" customFormat="1" x14ac:dyDescent="0.35">
      <c r="O354" s="117"/>
      <c r="P354" s="117"/>
    </row>
    <row r="355" spans="15:16" s="18" customFormat="1" x14ac:dyDescent="0.35">
      <c r="O355" s="117"/>
      <c r="P355" s="117"/>
    </row>
    <row r="356" spans="15:16" s="18" customFormat="1" x14ac:dyDescent="0.35">
      <c r="O356" s="117"/>
      <c r="P356" s="117"/>
    </row>
    <row r="357" spans="15:16" s="18" customFormat="1" x14ac:dyDescent="0.35">
      <c r="O357" s="117"/>
      <c r="P357" s="117"/>
    </row>
    <row r="358" spans="15:16" s="18" customFormat="1" x14ac:dyDescent="0.35">
      <c r="O358" s="117"/>
      <c r="P358" s="117"/>
    </row>
    <row r="359" spans="15:16" s="18" customFormat="1" x14ac:dyDescent="0.35">
      <c r="O359" s="117"/>
      <c r="P359" s="117"/>
    </row>
    <row r="360" spans="15:16" s="18" customFormat="1" x14ac:dyDescent="0.35">
      <c r="O360" s="117"/>
      <c r="P360" s="117"/>
    </row>
    <row r="361" spans="15:16" s="18" customFormat="1" x14ac:dyDescent="0.35">
      <c r="O361" s="117"/>
      <c r="P361" s="117"/>
    </row>
    <row r="362" spans="15:16" s="18" customFormat="1" x14ac:dyDescent="0.35">
      <c r="O362" s="117"/>
      <c r="P362" s="117"/>
    </row>
    <row r="363" spans="15:16" s="18" customFormat="1" x14ac:dyDescent="0.35">
      <c r="O363" s="117"/>
      <c r="P363" s="117"/>
    </row>
    <row r="364" spans="15:16" s="18" customFormat="1" x14ac:dyDescent="0.35">
      <c r="O364" s="117"/>
      <c r="P364" s="117"/>
    </row>
    <row r="365" spans="15:16" s="18" customFormat="1" x14ac:dyDescent="0.35">
      <c r="O365" s="117"/>
      <c r="P365" s="117"/>
    </row>
    <row r="366" spans="15:16" s="18" customFormat="1" x14ac:dyDescent="0.35">
      <c r="O366" s="117"/>
      <c r="P366" s="117"/>
    </row>
    <row r="367" spans="15:16" s="18" customFormat="1" x14ac:dyDescent="0.35">
      <c r="O367" s="117"/>
      <c r="P367" s="117"/>
    </row>
    <row r="368" spans="15:16" s="18" customFormat="1" x14ac:dyDescent="0.35">
      <c r="O368" s="117"/>
      <c r="P368" s="117"/>
    </row>
    <row r="369" spans="15:16" s="18" customFormat="1" x14ac:dyDescent="0.35">
      <c r="O369" s="117"/>
      <c r="P369" s="117"/>
    </row>
    <row r="370" spans="15:16" s="18" customFormat="1" x14ac:dyDescent="0.35">
      <c r="O370" s="117"/>
      <c r="P370" s="117"/>
    </row>
    <row r="371" spans="15:16" s="18" customFormat="1" x14ac:dyDescent="0.35">
      <c r="O371" s="117"/>
      <c r="P371" s="117"/>
    </row>
    <row r="372" spans="15:16" s="18" customFormat="1" x14ac:dyDescent="0.35">
      <c r="O372" s="117"/>
      <c r="P372" s="117"/>
    </row>
    <row r="373" spans="15:16" s="18" customFormat="1" x14ac:dyDescent="0.35">
      <c r="O373" s="117"/>
      <c r="P373" s="117"/>
    </row>
    <row r="374" spans="15:16" s="18" customFormat="1" x14ac:dyDescent="0.35">
      <c r="O374" s="117"/>
      <c r="P374" s="117"/>
    </row>
    <row r="375" spans="15:16" s="18" customFormat="1" x14ac:dyDescent="0.35">
      <c r="O375" s="117"/>
      <c r="P375" s="117"/>
    </row>
    <row r="376" spans="15:16" s="18" customFormat="1" x14ac:dyDescent="0.35">
      <c r="O376" s="117"/>
      <c r="P376" s="117"/>
    </row>
    <row r="377" spans="15:16" s="18" customFormat="1" x14ac:dyDescent="0.35">
      <c r="O377" s="117"/>
      <c r="P377" s="117"/>
    </row>
    <row r="378" spans="15:16" s="18" customFormat="1" x14ac:dyDescent="0.35">
      <c r="O378" s="117"/>
      <c r="P378" s="117"/>
    </row>
    <row r="379" spans="15:16" s="18" customFormat="1" x14ac:dyDescent="0.35">
      <c r="O379" s="117"/>
      <c r="P379" s="117"/>
    </row>
    <row r="380" spans="15:16" s="18" customFormat="1" x14ac:dyDescent="0.35">
      <c r="O380" s="117"/>
      <c r="P380" s="117"/>
    </row>
    <row r="381" spans="15:16" s="18" customFormat="1" x14ac:dyDescent="0.35">
      <c r="O381" s="117"/>
      <c r="P381" s="117"/>
    </row>
    <row r="382" spans="15:16" s="18" customFormat="1" x14ac:dyDescent="0.35">
      <c r="O382" s="117"/>
      <c r="P382" s="117"/>
    </row>
    <row r="383" spans="15:16" s="18" customFormat="1" x14ac:dyDescent="0.35">
      <c r="O383" s="117"/>
      <c r="P383" s="117"/>
    </row>
    <row r="384" spans="15:16" s="18" customFormat="1" x14ac:dyDescent="0.35">
      <c r="O384" s="117"/>
      <c r="P384" s="117"/>
    </row>
    <row r="385" spans="15:16" s="18" customFormat="1" x14ac:dyDescent="0.35">
      <c r="O385" s="117"/>
      <c r="P385" s="117"/>
    </row>
    <row r="386" spans="15:16" s="18" customFormat="1" x14ac:dyDescent="0.35">
      <c r="O386" s="117"/>
      <c r="P386" s="117"/>
    </row>
    <row r="387" spans="15:16" s="18" customFormat="1" x14ac:dyDescent="0.35">
      <c r="O387" s="117"/>
      <c r="P387" s="117"/>
    </row>
    <row r="388" spans="15:16" s="18" customFormat="1" x14ac:dyDescent="0.35">
      <c r="O388" s="117"/>
      <c r="P388" s="117"/>
    </row>
    <row r="389" spans="15:16" s="18" customFormat="1" x14ac:dyDescent="0.35">
      <c r="O389" s="117"/>
      <c r="P389" s="117"/>
    </row>
    <row r="390" spans="15:16" s="18" customFormat="1" x14ac:dyDescent="0.35">
      <c r="O390" s="117"/>
      <c r="P390" s="117"/>
    </row>
    <row r="391" spans="15:16" s="18" customFormat="1" x14ac:dyDescent="0.35">
      <c r="O391" s="117"/>
      <c r="P391" s="117"/>
    </row>
    <row r="392" spans="15:16" s="18" customFormat="1" x14ac:dyDescent="0.35">
      <c r="O392" s="117"/>
      <c r="P392" s="117"/>
    </row>
    <row r="393" spans="15:16" s="18" customFormat="1" x14ac:dyDescent="0.35">
      <c r="O393" s="117"/>
      <c r="P393" s="117"/>
    </row>
    <row r="394" spans="15:16" s="18" customFormat="1" x14ac:dyDescent="0.35">
      <c r="O394" s="117"/>
      <c r="P394" s="117"/>
    </row>
    <row r="395" spans="15:16" s="18" customFormat="1" x14ac:dyDescent="0.35">
      <c r="O395" s="117"/>
      <c r="P395" s="117"/>
    </row>
    <row r="396" spans="15:16" s="18" customFormat="1" x14ac:dyDescent="0.35">
      <c r="O396" s="117"/>
      <c r="P396" s="117"/>
    </row>
    <row r="397" spans="15:16" s="18" customFormat="1" x14ac:dyDescent="0.35">
      <c r="O397" s="117"/>
      <c r="P397" s="117"/>
    </row>
    <row r="398" spans="15:16" s="18" customFormat="1" x14ac:dyDescent="0.35">
      <c r="O398" s="117"/>
      <c r="P398" s="117"/>
    </row>
    <row r="399" spans="15:16" s="18" customFormat="1" x14ac:dyDescent="0.35">
      <c r="O399" s="117"/>
      <c r="P399" s="117"/>
    </row>
    <row r="400" spans="15:16" s="18" customFormat="1" x14ac:dyDescent="0.35">
      <c r="O400" s="117"/>
      <c r="P400" s="117"/>
    </row>
    <row r="401" spans="15:16" s="18" customFormat="1" x14ac:dyDescent="0.35">
      <c r="O401" s="117"/>
      <c r="P401" s="117"/>
    </row>
    <row r="402" spans="15:16" s="18" customFormat="1" x14ac:dyDescent="0.35">
      <c r="O402" s="117"/>
      <c r="P402" s="117"/>
    </row>
    <row r="403" spans="15:16" s="18" customFormat="1" x14ac:dyDescent="0.35">
      <c r="O403" s="117"/>
      <c r="P403" s="117"/>
    </row>
    <row r="404" spans="15:16" s="18" customFormat="1" x14ac:dyDescent="0.35">
      <c r="O404" s="117"/>
      <c r="P404" s="117"/>
    </row>
    <row r="405" spans="15:16" s="18" customFormat="1" x14ac:dyDescent="0.35">
      <c r="O405" s="117"/>
      <c r="P405" s="117"/>
    </row>
    <row r="406" spans="15:16" s="18" customFormat="1" x14ac:dyDescent="0.35">
      <c r="O406" s="117"/>
      <c r="P406" s="117"/>
    </row>
    <row r="407" spans="15:16" s="18" customFormat="1" x14ac:dyDescent="0.35">
      <c r="O407" s="117"/>
      <c r="P407" s="117"/>
    </row>
    <row r="408" spans="15:16" s="18" customFormat="1" x14ac:dyDescent="0.35">
      <c r="O408" s="117"/>
      <c r="P408" s="117"/>
    </row>
    <row r="409" spans="15:16" s="18" customFormat="1" x14ac:dyDescent="0.35">
      <c r="O409" s="117"/>
      <c r="P409" s="117"/>
    </row>
    <row r="410" spans="15:16" s="18" customFormat="1" x14ac:dyDescent="0.35">
      <c r="O410" s="117"/>
      <c r="P410" s="117"/>
    </row>
    <row r="411" spans="15:16" s="18" customFormat="1" x14ac:dyDescent="0.35">
      <c r="O411" s="117"/>
      <c r="P411" s="117"/>
    </row>
    <row r="412" spans="15:16" s="18" customFormat="1" x14ac:dyDescent="0.35">
      <c r="O412" s="117"/>
      <c r="P412" s="117"/>
    </row>
    <row r="413" spans="15:16" s="18" customFormat="1" x14ac:dyDescent="0.35">
      <c r="O413" s="117"/>
      <c r="P413" s="117"/>
    </row>
    <row r="414" spans="15:16" s="18" customFormat="1" x14ac:dyDescent="0.35">
      <c r="O414" s="117"/>
      <c r="P414" s="117"/>
    </row>
    <row r="415" spans="15:16" s="18" customFormat="1" x14ac:dyDescent="0.35">
      <c r="O415" s="117"/>
      <c r="P415" s="117"/>
    </row>
    <row r="416" spans="15:16" s="18" customFormat="1" x14ac:dyDescent="0.35">
      <c r="O416" s="117"/>
      <c r="P416" s="117"/>
    </row>
    <row r="417" spans="15:16" s="18" customFormat="1" x14ac:dyDescent="0.35">
      <c r="O417" s="117"/>
      <c r="P417" s="117"/>
    </row>
    <row r="418" spans="15:16" s="18" customFormat="1" x14ac:dyDescent="0.35">
      <c r="O418" s="117"/>
      <c r="P418" s="117"/>
    </row>
    <row r="419" spans="15:16" s="18" customFormat="1" x14ac:dyDescent="0.35">
      <c r="O419" s="117"/>
      <c r="P419" s="117"/>
    </row>
    <row r="420" spans="15:16" s="18" customFormat="1" x14ac:dyDescent="0.35">
      <c r="O420" s="117"/>
      <c r="P420" s="117"/>
    </row>
    <row r="421" spans="15:16" s="18" customFormat="1" x14ac:dyDescent="0.35">
      <c r="O421" s="117"/>
      <c r="P421" s="117"/>
    </row>
    <row r="422" spans="15:16" s="18" customFormat="1" x14ac:dyDescent="0.35">
      <c r="O422" s="117"/>
      <c r="P422" s="117"/>
    </row>
    <row r="423" spans="15:16" s="18" customFormat="1" x14ac:dyDescent="0.35">
      <c r="O423" s="117"/>
      <c r="P423" s="117"/>
    </row>
    <row r="424" spans="15:16" s="18" customFormat="1" x14ac:dyDescent="0.35">
      <c r="O424" s="117"/>
      <c r="P424" s="117"/>
    </row>
    <row r="425" spans="15:16" s="18" customFormat="1" x14ac:dyDescent="0.35">
      <c r="O425" s="117"/>
      <c r="P425" s="117"/>
    </row>
    <row r="426" spans="15:16" s="18" customFormat="1" x14ac:dyDescent="0.35">
      <c r="O426" s="117"/>
      <c r="P426" s="117"/>
    </row>
    <row r="427" spans="15:16" s="18" customFormat="1" x14ac:dyDescent="0.35">
      <c r="O427" s="117"/>
      <c r="P427" s="117"/>
    </row>
    <row r="428" spans="15:16" s="18" customFormat="1" x14ac:dyDescent="0.35">
      <c r="O428" s="117"/>
      <c r="P428" s="117"/>
    </row>
    <row r="429" spans="15:16" s="18" customFormat="1" x14ac:dyDescent="0.35">
      <c r="O429" s="117"/>
      <c r="P429" s="117"/>
    </row>
    <row r="430" spans="15:16" s="18" customFormat="1" x14ac:dyDescent="0.35">
      <c r="O430" s="117"/>
      <c r="P430" s="117"/>
    </row>
    <row r="431" spans="15:16" s="18" customFormat="1" x14ac:dyDescent="0.35">
      <c r="O431" s="117"/>
      <c r="P431" s="117"/>
    </row>
    <row r="432" spans="15:16" s="18" customFormat="1" x14ac:dyDescent="0.35">
      <c r="O432" s="117"/>
      <c r="P432" s="117"/>
    </row>
    <row r="433" spans="15:16" s="18" customFormat="1" x14ac:dyDescent="0.35">
      <c r="O433" s="117"/>
      <c r="P433" s="117"/>
    </row>
    <row r="434" spans="15:16" s="18" customFormat="1" x14ac:dyDescent="0.35">
      <c r="O434" s="117"/>
      <c r="P434" s="117"/>
    </row>
    <row r="435" spans="15:16" s="18" customFormat="1" x14ac:dyDescent="0.35">
      <c r="O435" s="117"/>
      <c r="P435" s="117"/>
    </row>
    <row r="436" spans="15:16" s="18" customFormat="1" x14ac:dyDescent="0.35">
      <c r="O436" s="117"/>
      <c r="P436" s="117"/>
    </row>
    <row r="437" spans="15:16" s="18" customFormat="1" x14ac:dyDescent="0.35">
      <c r="O437" s="117"/>
      <c r="P437" s="117"/>
    </row>
    <row r="438" spans="15:16" s="18" customFormat="1" x14ac:dyDescent="0.35">
      <c r="O438" s="117"/>
      <c r="P438" s="117"/>
    </row>
    <row r="439" spans="15:16" s="18" customFormat="1" x14ac:dyDescent="0.35">
      <c r="O439" s="117"/>
      <c r="P439" s="117"/>
    </row>
    <row r="440" spans="15:16" s="18" customFormat="1" x14ac:dyDescent="0.35">
      <c r="O440" s="117"/>
      <c r="P440" s="117"/>
    </row>
    <row r="441" spans="15:16" s="18" customFormat="1" x14ac:dyDescent="0.35">
      <c r="O441" s="117"/>
      <c r="P441" s="117"/>
    </row>
    <row r="442" spans="15:16" s="18" customFormat="1" x14ac:dyDescent="0.35">
      <c r="O442" s="117"/>
      <c r="P442" s="117"/>
    </row>
    <row r="443" spans="15:16" s="18" customFormat="1" x14ac:dyDescent="0.35">
      <c r="O443" s="117"/>
      <c r="P443" s="117"/>
    </row>
    <row r="444" spans="15:16" s="18" customFormat="1" x14ac:dyDescent="0.35">
      <c r="O444" s="117"/>
      <c r="P444" s="117"/>
    </row>
    <row r="445" spans="15:16" s="18" customFormat="1" x14ac:dyDescent="0.35">
      <c r="O445" s="117"/>
      <c r="P445" s="117"/>
    </row>
    <row r="446" spans="15:16" s="18" customFormat="1" x14ac:dyDescent="0.35">
      <c r="O446" s="117"/>
      <c r="P446" s="117"/>
    </row>
    <row r="447" spans="15:16" s="18" customFormat="1" x14ac:dyDescent="0.35">
      <c r="O447" s="117"/>
      <c r="P447" s="117"/>
    </row>
    <row r="448" spans="15:16" s="18" customFormat="1" x14ac:dyDescent="0.35">
      <c r="O448" s="117"/>
      <c r="P448" s="117"/>
    </row>
    <row r="449" spans="15:16" s="18" customFormat="1" x14ac:dyDescent="0.35">
      <c r="O449" s="117"/>
      <c r="P449" s="117"/>
    </row>
    <row r="450" spans="15:16" s="18" customFormat="1" x14ac:dyDescent="0.35">
      <c r="O450" s="117"/>
      <c r="P450" s="117"/>
    </row>
    <row r="451" spans="15:16" s="18" customFormat="1" x14ac:dyDescent="0.35">
      <c r="O451" s="117"/>
      <c r="P451" s="117"/>
    </row>
    <row r="452" spans="15:16" s="18" customFormat="1" x14ac:dyDescent="0.35">
      <c r="O452" s="117"/>
      <c r="P452" s="117"/>
    </row>
    <row r="453" spans="15:16" s="18" customFormat="1" x14ac:dyDescent="0.35">
      <c r="O453" s="117"/>
      <c r="P453" s="117"/>
    </row>
    <row r="454" spans="15:16" s="18" customFormat="1" x14ac:dyDescent="0.35">
      <c r="O454" s="117"/>
      <c r="P454" s="117"/>
    </row>
    <row r="455" spans="15:16" s="18" customFormat="1" x14ac:dyDescent="0.35">
      <c r="O455" s="117"/>
      <c r="P455" s="117"/>
    </row>
    <row r="456" spans="15:16" s="18" customFormat="1" x14ac:dyDescent="0.35">
      <c r="O456" s="117"/>
      <c r="P456" s="117"/>
    </row>
    <row r="457" spans="15:16" s="18" customFormat="1" x14ac:dyDescent="0.35">
      <c r="O457" s="117"/>
      <c r="P457" s="117"/>
    </row>
    <row r="458" spans="15:16" s="18" customFormat="1" x14ac:dyDescent="0.35">
      <c r="O458" s="117"/>
      <c r="P458" s="117"/>
    </row>
    <row r="459" spans="15:16" s="18" customFormat="1" x14ac:dyDescent="0.35">
      <c r="O459" s="117"/>
      <c r="P459" s="117"/>
    </row>
    <row r="460" spans="15:16" s="18" customFormat="1" x14ac:dyDescent="0.35">
      <c r="O460" s="117"/>
      <c r="P460" s="117"/>
    </row>
    <row r="461" spans="15:16" s="18" customFormat="1" x14ac:dyDescent="0.35">
      <c r="O461" s="117"/>
      <c r="P461" s="117"/>
    </row>
    <row r="462" spans="15:16" s="18" customFormat="1" x14ac:dyDescent="0.35">
      <c r="O462" s="117"/>
      <c r="P462" s="117"/>
    </row>
    <row r="463" spans="15:16" s="18" customFormat="1" x14ac:dyDescent="0.35">
      <c r="O463" s="117"/>
      <c r="P463" s="117"/>
    </row>
    <row r="464" spans="15:16" s="18" customFormat="1" x14ac:dyDescent="0.35">
      <c r="O464" s="117"/>
      <c r="P464" s="117"/>
    </row>
    <row r="465" spans="15:16" s="18" customFormat="1" x14ac:dyDescent="0.35">
      <c r="O465" s="117"/>
      <c r="P465" s="117"/>
    </row>
    <row r="466" spans="15:16" s="18" customFormat="1" x14ac:dyDescent="0.35">
      <c r="O466" s="117"/>
      <c r="P466" s="117"/>
    </row>
    <row r="467" spans="15:16" s="18" customFormat="1" x14ac:dyDescent="0.35">
      <c r="O467" s="117"/>
      <c r="P467" s="117"/>
    </row>
    <row r="468" spans="15:16" s="18" customFormat="1" x14ac:dyDescent="0.35">
      <c r="O468" s="117"/>
      <c r="P468" s="117"/>
    </row>
    <row r="469" spans="15:16" s="18" customFormat="1" x14ac:dyDescent="0.35">
      <c r="O469" s="117"/>
      <c r="P469" s="117"/>
    </row>
    <row r="470" spans="15:16" s="18" customFormat="1" x14ac:dyDescent="0.35">
      <c r="O470" s="117"/>
      <c r="P470" s="117"/>
    </row>
    <row r="471" spans="15:16" s="18" customFormat="1" x14ac:dyDescent="0.35">
      <c r="O471" s="117"/>
      <c r="P471" s="117"/>
    </row>
    <row r="472" spans="15:16" s="18" customFormat="1" x14ac:dyDescent="0.35">
      <c r="O472" s="117"/>
      <c r="P472" s="117"/>
    </row>
    <row r="473" spans="15:16" s="18" customFormat="1" x14ac:dyDescent="0.35">
      <c r="O473" s="117"/>
      <c r="P473" s="117"/>
    </row>
    <row r="474" spans="15:16" s="18" customFormat="1" x14ac:dyDescent="0.35">
      <c r="O474" s="117"/>
      <c r="P474" s="117"/>
    </row>
    <row r="475" spans="15:16" s="18" customFormat="1" x14ac:dyDescent="0.35">
      <c r="O475" s="117"/>
      <c r="P475" s="117"/>
    </row>
    <row r="476" spans="15:16" s="18" customFormat="1" x14ac:dyDescent="0.35">
      <c r="O476" s="117"/>
      <c r="P476" s="117"/>
    </row>
    <row r="477" spans="15:16" s="18" customFormat="1" x14ac:dyDescent="0.35">
      <c r="O477" s="117"/>
      <c r="P477" s="117"/>
    </row>
    <row r="478" spans="15:16" s="18" customFormat="1" x14ac:dyDescent="0.35">
      <c r="O478" s="117"/>
      <c r="P478" s="117"/>
    </row>
    <row r="479" spans="15:16" s="18" customFormat="1" x14ac:dyDescent="0.35">
      <c r="O479" s="117"/>
      <c r="P479" s="117"/>
    </row>
    <row r="480" spans="15:16" s="18" customFormat="1" x14ac:dyDescent="0.35">
      <c r="O480" s="117"/>
      <c r="P480" s="117"/>
    </row>
    <row r="481" spans="15:16" s="18" customFormat="1" x14ac:dyDescent="0.35">
      <c r="O481" s="117"/>
      <c r="P481" s="117"/>
    </row>
    <row r="482" spans="15:16" s="18" customFormat="1" x14ac:dyDescent="0.35">
      <c r="O482" s="117"/>
      <c r="P482" s="117"/>
    </row>
    <row r="483" spans="15:16" s="18" customFormat="1" x14ac:dyDescent="0.35">
      <c r="O483" s="117"/>
      <c r="P483" s="117"/>
    </row>
    <row r="484" spans="15:16" s="18" customFormat="1" x14ac:dyDescent="0.35">
      <c r="O484" s="117"/>
      <c r="P484" s="117"/>
    </row>
    <row r="485" spans="15:16" s="18" customFormat="1" x14ac:dyDescent="0.35">
      <c r="O485" s="117"/>
      <c r="P485" s="117"/>
    </row>
    <row r="486" spans="15:16" s="18" customFormat="1" x14ac:dyDescent="0.35">
      <c r="O486" s="117"/>
      <c r="P486" s="117"/>
    </row>
    <row r="487" spans="15:16" s="18" customFormat="1" x14ac:dyDescent="0.35">
      <c r="O487" s="117"/>
      <c r="P487" s="117"/>
    </row>
    <row r="488" spans="15:16" s="18" customFormat="1" x14ac:dyDescent="0.35">
      <c r="O488" s="117"/>
      <c r="P488" s="117"/>
    </row>
    <row r="489" spans="15:16" s="18" customFormat="1" x14ac:dyDescent="0.35">
      <c r="O489" s="117"/>
      <c r="P489" s="117"/>
    </row>
    <row r="490" spans="15:16" s="18" customFormat="1" x14ac:dyDescent="0.35">
      <c r="O490" s="117"/>
      <c r="P490" s="117"/>
    </row>
    <row r="491" spans="15:16" s="18" customFormat="1" x14ac:dyDescent="0.35">
      <c r="O491" s="117"/>
      <c r="P491" s="117"/>
    </row>
    <row r="492" spans="15:16" s="18" customFormat="1" x14ac:dyDescent="0.35">
      <c r="O492" s="117"/>
      <c r="P492" s="117"/>
    </row>
    <row r="493" spans="15:16" s="18" customFormat="1" x14ac:dyDescent="0.35">
      <c r="O493" s="117"/>
      <c r="P493" s="117"/>
    </row>
    <row r="494" spans="15:16" s="18" customFormat="1" x14ac:dyDescent="0.35">
      <c r="O494" s="117"/>
      <c r="P494" s="117"/>
    </row>
    <row r="495" spans="15:16" s="18" customFormat="1" x14ac:dyDescent="0.35">
      <c r="O495" s="117"/>
      <c r="P495" s="117"/>
    </row>
    <row r="496" spans="15:16" s="18" customFormat="1" x14ac:dyDescent="0.35">
      <c r="O496" s="117"/>
      <c r="P496" s="117"/>
    </row>
    <row r="497" spans="15:16" s="18" customFormat="1" x14ac:dyDescent="0.35">
      <c r="O497" s="117"/>
      <c r="P497" s="117"/>
    </row>
    <row r="498" spans="15:16" s="18" customFormat="1" x14ac:dyDescent="0.35">
      <c r="O498" s="117"/>
      <c r="P498" s="117"/>
    </row>
    <row r="499" spans="15:16" s="18" customFormat="1" x14ac:dyDescent="0.35">
      <c r="O499" s="117"/>
      <c r="P499" s="117"/>
    </row>
    <row r="500" spans="15:16" s="18" customFormat="1" x14ac:dyDescent="0.35">
      <c r="O500" s="117"/>
      <c r="P500" s="117"/>
    </row>
    <row r="501" spans="15:16" s="18" customFormat="1" x14ac:dyDescent="0.35">
      <c r="O501" s="117"/>
      <c r="P501" s="117"/>
    </row>
    <row r="502" spans="15:16" s="18" customFormat="1" x14ac:dyDescent="0.35">
      <c r="O502" s="117"/>
      <c r="P502" s="117"/>
    </row>
    <row r="503" spans="15:16" s="18" customFormat="1" x14ac:dyDescent="0.35">
      <c r="O503" s="117"/>
      <c r="P503" s="117"/>
    </row>
    <row r="504" spans="15:16" s="18" customFormat="1" x14ac:dyDescent="0.35">
      <c r="O504" s="117"/>
      <c r="P504" s="117"/>
    </row>
    <row r="505" spans="15:16" s="18" customFormat="1" x14ac:dyDescent="0.35">
      <c r="O505" s="117"/>
      <c r="P505" s="117"/>
    </row>
    <row r="506" spans="15:16" s="18" customFormat="1" x14ac:dyDescent="0.35">
      <c r="O506" s="117"/>
      <c r="P506" s="117"/>
    </row>
    <row r="507" spans="15:16" s="18" customFormat="1" x14ac:dyDescent="0.35">
      <c r="O507" s="117"/>
      <c r="P507" s="117"/>
    </row>
    <row r="508" spans="15:16" s="18" customFormat="1" x14ac:dyDescent="0.35">
      <c r="O508" s="117"/>
      <c r="P508" s="117"/>
    </row>
    <row r="509" spans="15:16" s="18" customFormat="1" x14ac:dyDescent="0.35">
      <c r="O509" s="117"/>
      <c r="P509" s="117"/>
    </row>
    <row r="510" spans="15:16" s="18" customFormat="1" x14ac:dyDescent="0.35">
      <c r="O510" s="117"/>
      <c r="P510" s="117"/>
    </row>
    <row r="511" spans="15:16" s="18" customFormat="1" x14ac:dyDescent="0.35">
      <c r="O511" s="117"/>
      <c r="P511" s="117"/>
    </row>
    <row r="512" spans="15:16" s="18" customFormat="1" x14ac:dyDescent="0.35">
      <c r="O512" s="117"/>
      <c r="P512" s="117"/>
    </row>
    <row r="513" spans="15:16" s="18" customFormat="1" x14ac:dyDescent="0.35">
      <c r="O513" s="117"/>
      <c r="P513" s="117"/>
    </row>
    <row r="514" spans="15:16" s="18" customFormat="1" x14ac:dyDescent="0.35">
      <c r="O514" s="117"/>
      <c r="P514" s="117"/>
    </row>
    <row r="515" spans="15:16" s="18" customFormat="1" x14ac:dyDescent="0.35">
      <c r="O515" s="117"/>
      <c r="P515" s="117"/>
    </row>
    <row r="516" spans="15:16" s="18" customFormat="1" x14ac:dyDescent="0.35">
      <c r="O516" s="117"/>
      <c r="P516" s="117"/>
    </row>
    <row r="517" spans="15:16" s="18" customFormat="1" x14ac:dyDescent="0.35">
      <c r="O517" s="117"/>
      <c r="P517" s="117"/>
    </row>
    <row r="518" spans="15:16" s="18" customFormat="1" x14ac:dyDescent="0.35">
      <c r="O518" s="117"/>
      <c r="P518" s="117"/>
    </row>
    <row r="519" spans="15:16" s="18" customFormat="1" x14ac:dyDescent="0.35">
      <c r="O519" s="117"/>
      <c r="P519" s="117"/>
    </row>
    <row r="520" spans="15:16" s="18" customFormat="1" x14ac:dyDescent="0.35">
      <c r="O520" s="117"/>
      <c r="P520" s="117"/>
    </row>
    <row r="521" spans="15:16" s="18" customFormat="1" x14ac:dyDescent="0.35">
      <c r="O521" s="117"/>
      <c r="P521" s="117"/>
    </row>
    <row r="522" spans="15:16" s="18" customFormat="1" x14ac:dyDescent="0.35">
      <c r="O522" s="117"/>
      <c r="P522" s="117"/>
    </row>
    <row r="523" spans="15:16" s="18" customFormat="1" x14ac:dyDescent="0.35">
      <c r="O523" s="117"/>
      <c r="P523" s="117"/>
    </row>
    <row r="524" spans="15:16" s="18" customFormat="1" x14ac:dyDescent="0.35">
      <c r="O524" s="117"/>
      <c r="P524" s="117"/>
    </row>
    <row r="525" spans="15:16" s="18" customFormat="1" x14ac:dyDescent="0.35">
      <c r="O525" s="117"/>
      <c r="P525" s="117"/>
    </row>
    <row r="526" spans="15:16" s="18" customFormat="1" x14ac:dyDescent="0.35">
      <c r="O526" s="117"/>
      <c r="P526" s="117"/>
    </row>
    <row r="527" spans="15:16" s="18" customFormat="1" x14ac:dyDescent="0.35">
      <c r="O527" s="117"/>
      <c r="P527" s="117"/>
    </row>
    <row r="528" spans="15:16" s="18" customFormat="1" x14ac:dyDescent="0.35">
      <c r="O528" s="117"/>
      <c r="P528" s="117"/>
    </row>
    <row r="529" spans="15:16" s="18" customFormat="1" x14ac:dyDescent="0.35">
      <c r="O529" s="117"/>
      <c r="P529" s="117"/>
    </row>
    <row r="530" spans="15:16" s="18" customFormat="1" x14ac:dyDescent="0.35">
      <c r="O530" s="117"/>
      <c r="P530" s="117"/>
    </row>
    <row r="531" spans="15:16" s="18" customFormat="1" x14ac:dyDescent="0.35">
      <c r="O531" s="117"/>
      <c r="P531" s="117"/>
    </row>
    <row r="532" spans="15:16" s="18" customFormat="1" x14ac:dyDescent="0.35">
      <c r="O532" s="117"/>
      <c r="P532" s="117"/>
    </row>
    <row r="533" spans="15:16" s="18" customFormat="1" x14ac:dyDescent="0.35">
      <c r="O533" s="117"/>
      <c r="P533" s="117"/>
    </row>
    <row r="534" spans="15:16" s="18" customFormat="1" x14ac:dyDescent="0.35">
      <c r="O534" s="117"/>
      <c r="P534" s="117"/>
    </row>
    <row r="535" spans="15:16" s="18" customFormat="1" x14ac:dyDescent="0.35">
      <c r="O535" s="117"/>
      <c r="P535" s="117"/>
    </row>
    <row r="536" spans="15:16" s="18" customFormat="1" x14ac:dyDescent="0.35">
      <c r="O536" s="117"/>
      <c r="P536" s="117"/>
    </row>
    <row r="537" spans="15:16" s="18" customFormat="1" x14ac:dyDescent="0.35">
      <c r="O537" s="117"/>
      <c r="P537" s="117"/>
    </row>
    <row r="538" spans="15:16" s="18" customFormat="1" x14ac:dyDescent="0.35">
      <c r="O538" s="117"/>
      <c r="P538" s="117"/>
    </row>
    <row r="539" spans="15:16" s="18" customFormat="1" x14ac:dyDescent="0.35">
      <c r="O539" s="117"/>
      <c r="P539" s="117"/>
    </row>
    <row r="540" spans="15:16" s="18" customFormat="1" x14ac:dyDescent="0.35">
      <c r="O540" s="117"/>
      <c r="P540" s="117"/>
    </row>
    <row r="541" spans="15:16" s="18" customFormat="1" x14ac:dyDescent="0.35">
      <c r="O541" s="117"/>
      <c r="P541" s="117"/>
    </row>
    <row r="542" spans="15:16" s="18" customFormat="1" x14ac:dyDescent="0.35">
      <c r="O542" s="117"/>
      <c r="P542" s="117"/>
    </row>
    <row r="543" spans="15:16" s="18" customFormat="1" x14ac:dyDescent="0.35">
      <c r="O543" s="117"/>
      <c r="P543" s="117"/>
    </row>
    <row r="544" spans="15:16" s="18" customFormat="1" x14ac:dyDescent="0.35">
      <c r="O544" s="117"/>
      <c r="P544" s="117"/>
    </row>
    <row r="545" spans="15:16" s="18" customFormat="1" x14ac:dyDescent="0.35">
      <c r="O545" s="117"/>
      <c r="P545" s="117"/>
    </row>
    <row r="546" spans="15:16" s="18" customFormat="1" x14ac:dyDescent="0.35">
      <c r="O546" s="117"/>
      <c r="P546" s="117"/>
    </row>
    <row r="547" spans="15:16" s="18" customFormat="1" x14ac:dyDescent="0.35">
      <c r="O547" s="117"/>
      <c r="P547" s="117"/>
    </row>
    <row r="548" spans="15:16" s="18" customFormat="1" x14ac:dyDescent="0.35">
      <c r="O548" s="117"/>
      <c r="P548" s="117"/>
    </row>
    <row r="549" spans="15:16" s="18" customFormat="1" x14ac:dyDescent="0.35">
      <c r="O549" s="117"/>
      <c r="P549" s="117"/>
    </row>
    <row r="550" spans="15:16" s="18" customFormat="1" x14ac:dyDescent="0.35">
      <c r="O550" s="117"/>
      <c r="P550" s="117"/>
    </row>
    <row r="551" spans="15:16" s="18" customFormat="1" x14ac:dyDescent="0.35">
      <c r="O551" s="117"/>
      <c r="P551" s="117"/>
    </row>
    <row r="552" spans="15:16" s="18" customFormat="1" x14ac:dyDescent="0.35">
      <c r="O552" s="117"/>
      <c r="P552" s="117"/>
    </row>
    <row r="553" spans="15:16" s="18" customFormat="1" x14ac:dyDescent="0.35">
      <c r="O553" s="117"/>
      <c r="P553" s="117"/>
    </row>
    <row r="554" spans="15:16" s="18" customFormat="1" x14ac:dyDescent="0.35">
      <c r="O554" s="117"/>
      <c r="P554" s="117"/>
    </row>
    <row r="555" spans="15:16" s="18" customFormat="1" x14ac:dyDescent="0.35">
      <c r="O555" s="117"/>
      <c r="P555" s="117"/>
    </row>
    <row r="556" spans="15:16" s="18" customFormat="1" x14ac:dyDescent="0.35">
      <c r="O556" s="117"/>
      <c r="P556" s="117"/>
    </row>
    <row r="557" spans="15:16" s="18" customFormat="1" x14ac:dyDescent="0.35">
      <c r="O557" s="117"/>
      <c r="P557" s="117"/>
    </row>
    <row r="558" spans="15:16" s="18" customFormat="1" x14ac:dyDescent="0.35">
      <c r="O558" s="117"/>
      <c r="P558" s="117"/>
    </row>
    <row r="559" spans="15:16" s="18" customFormat="1" x14ac:dyDescent="0.35">
      <c r="O559" s="117"/>
      <c r="P559" s="117"/>
    </row>
    <row r="560" spans="15:16" s="18" customFormat="1" x14ac:dyDescent="0.35">
      <c r="O560" s="117"/>
      <c r="P560" s="117"/>
    </row>
    <row r="561" spans="15:16" s="18" customFormat="1" x14ac:dyDescent="0.35">
      <c r="O561" s="117"/>
      <c r="P561" s="117"/>
    </row>
    <row r="562" spans="15:16" s="18" customFormat="1" x14ac:dyDescent="0.35">
      <c r="O562" s="117"/>
      <c r="P562" s="117"/>
    </row>
    <row r="563" spans="15:16" s="18" customFormat="1" x14ac:dyDescent="0.35">
      <c r="O563" s="117"/>
      <c r="P563" s="117"/>
    </row>
    <row r="564" spans="15:16" s="18" customFormat="1" x14ac:dyDescent="0.35">
      <c r="O564" s="117"/>
      <c r="P564" s="117"/>
    </row>
    <row r="565" spans="15:16" s="18" customFormat="1" x14ac:dyDescent="0.35">
      <c r="O565" s="117"/>
      <c r="P565" s="117"/>
    </row>
    <row r="566" spans="15:16" s="18" customFormat="1" x14ac:dyDescent="0.35">
      <c r="O566" s="117"/>
      <c r="P566" s="117"/>
    </row>
    <row r="567" spans="15:16" s="18" customFormat="1" x14ac:dyDescent="0.35">
      <c r="O567" s="117"/>
      <c r="P567" s="117"/>
    </row>
    <row r="568" spans="15:16" s="18" customFormat="1" x14ac:dyDescent="0.35">
      <c r="O568" s="117"/>
      <c r="P568" s="117"/>
    </row>
    <row r="569" spans="15:16" s="18" customFormat="1" x14ac:dyDescent="0.35">
      <c r="O569" s="117"/>
      <c r="P569" s="117"/>
    </row>
    <row r="570" spans="15:16" s="18" customFormat="1" x14ac:dyDescent="0.35">
      <c r="O570" s="117"/>
      <c r="P570" s="117"/>
    </row>
    <row r="571" spans="15:16" s="18" customFormat="1" x14ac:dyDescent="0.35">
      <c r="O571" s="117"/>
      <c r="P571" s="117"/>
    </row>
    <row r="572" spans="15:16" s="18" customFormat="1" x14ac:dyDescent="0.35">
      <c r="O572" s="117"/>
      <c r="P572" s="117"/>
    </row>
    <row r="573" spans="15:16" s="18" customFormat="1" x14ac:dyDescent="0.35">
      <c r="O573" s="117"/>
      <c r="P573" s="117"/>
    </row>
    <row r="574" spans="15:16" s="18" customFormat="1" x14ac:dyDescent="0.35">
      <c r="O574" s="117"/>
      <c r="P574" s="117"/>
    </row>
    <row r="575" spans="15:16" s="18" customFormat="1" x14ac:dyDescent="0.35">
      <c r="O575" s="117"/>
      <c r="P575" s="117"/>
    </row>
    <row r="576" spans="15:16" s="18" customFormat="1" x14ac:dyDescent="0.35">
      <c r="O576" s="117"/>
      <c r="P576" s="117"/>
    </row>
    <row r="577" spans="15:16" s="18" customFormat="1" x14ac:dyDescent="0.35">
      <c r="O577" s="117"/>
      <c r="P577" s="117"/>
    </row>
    <row r="578" spans="15:16" s="18" customFormat="1" x14ac:dyDescent="0.35">
      <c r="O578" s="117"/>
      <c r="P578" s="117"/>
    </row>
    <row r="579" spans="15:16" s="18" customFormat="1" x14ac:dyDescent="0.35">
      <c r="O579" s="117"/>
      <c r="P579" s="117"/>
    </row>
    <row r="580" spans="15:16" s="18" customFormat="1" x14ac:dyDescent="0.35">
      <c r="O580" s="117"/>
      <c r="P580" s="117"/>
    </row>
    <row r="581" spans="15:16" s="18" customFormat="1" x14ac:dyDescent="0.35">
      <c r="O581" s="117"/>
      <c r="P581" s="117"/>
    </row>
    <row r="582" spans="15:16" s="18" customFormat="1" x14ac:dyDescent="0.35">
      <c r="O582" s="117"/>
      <c r="P582" s="117"/>
    </row>
    <row r="583" spans="15:16" s="18" customFormat="1" x14ac:dyDescent="0.35">
      <c r="O583" s="117"/>
      <c r="P583" s="117"/>
    </row>
    <row r="584" spans="15:16" s="18" customFormat="1" x14ac:dyDescent="0.35">
      <c r="O584" s="117"/>
      <c r="P584" s="117"/>
    </row>
    <row r="585" spans="15:16" s="18" customFormat="1" x14ac:dyDescent="0.35">
      <c r="O585" s="117"/>
      <c r="P585" s="117"/>
    </row>
    <row r="586" spans="15:16" s="18" customFormat="1" x14ac:dyDescent="0.35">
      <c r="O586" s="117"/>
      <c r="P586" s="117"/>
    </row>
    <row r="587" spans="15:16" s="18" customFormat="1" x14ac:dyDescent="0.35">
      <c r="O587" s="117"/>
      <c r="P587" s="117"/>
    </row>
    <row r="588" spans="15:16" s="18" customFormat="1" x14ac:dyDescent="0.35">
      <c r="O588" s="117"/>
      <c r="P588" s="117"/>
    </row>
    <row r="589" spans="15:16" s="18" customFormat="1" x14ac:dyDescent="0.35">
      <c r="O589" s="117"/>
      <c r="P589" s="117"/>
    </row>
    <row r="590" spans="15:16" s="18" customFormat="1" x14ac:dyDescent="0.35">
      <c r="O590" s="117"/>
      <c r="P590" s="117"/>
    </row>
    <row r="591" spans="15:16" s="18" customFormat="1" x14ac:dyDescent="0.35">
      <c r="O591" s="117"/>
      <c r="P591" s="117"/>
    </row>
    <row r="592" spans="15:16" s="18" customFormat="1" x14ac:dyDescent="0.35">
      <c r="O592" s="117"/>
      <c r="P592" s="117"/>
    </row>
    <row r="593" spans="15:16" s="18" customFormat="1" x14ac:dyDescent="0.35">
      <c r="O593" s="117"/>
      <c r="P593" s="117"/>
    </row>
    <row r="594" spans="15:16" s="18" customFormat="1" x14ac:dyDescent="0.35">
      <c r="O594" s="117"/>
      <c r="P594" s="117"/>
    </row>
    <row r="595" spans="15:16" s="18" customFormat="1" x14ac:dyDescent="0.35">
      <c r="O595" s="117"/>
      <c r="P595" s="117"/>
    </row>
    <row r="596" spans="15:16" s="18" customFormat="1" x14ac:dyDescent="0.35">
      <c r="O596" s="117"/>
      <c r="P596" s="117"/>
    </row>
    <row r="597" spans="15:16" s="18" customFormat="1" x14ac:dyDescent="0.35">
      <c r="O597" s="117"/>
      <c r="P597" s="117"/>
    </row>
    <row r="598" spans="15:16" s="18" customFormat="1" x14ac:dyDescent="0.35">
      <c r="O598" s="117"/>
      <c r="P598" s="117"/>
    </row>
    <row r="599" spans="15:16" s="18" customFormat="1" x14ac:dyDescent="0.35">
      <c r="O599" s="117"/>
      <c r="P599" s="117"/>
    </row>
    <row r="600" spans="15:16" s="18" customFormat="1" x14ac:dyDescent="0.35">
      <c r="O600" s="117"/>
      <c r="P600" s="117"/>
    </row>
    <row r="601" spans="15:16" s="18" customFormat="1" x14ac:dyDescent="0.35">
      <c r="O601" s="117"/>
      <c r="P601" s="117"/>
    </row>
    <row r="602" spans="15:16" s="18" customFormat="1" x14ac:dyDescent="0.35">
      <c r="O602" s="117"/>
      <c r="P602" s="117"/>
    </row>
    <row r="603" spans="15:16" s="18" customFormat="1" x14ac:dyDescent="0.35">
      <c r="O603" s="117"/>
      <c r="P603" s="117"/>
    </row>
    <row r="604" spans="15:16" s="18" customFormat="1" x14ac:dyDescent="0.35">
      <c r="O604" s="117"/>
      <c r="P604" s="117"/>
    </row>
    <row r="605" spans="15:16" s="18" customFormat="1" x14ac:dyDescent="0.35">
      <c r="O605" s="117"/>
      <c r="P605" s="117"/>
    </row>
    <row r="606" spans="15:16" s="18" customFormat="1" x14ac:dyDescent="0.35">
      <c r="O606" s="117"/>
      <c r="P606" s="117"/>
    </row>
    <row r="607" spans="15:16" s="18" customFormat="1" x14ac:dyDescent="0.35">
      <c r="O607" s="117"/>
      <c r="P607" s="117"/>
    </row>
    <row r="608" spans="15:16" s="18" customFormat="1" x14ac:dyDescent="0.35">
      <c r="O608" s="117"/>
      <c r="P608" s="117"/>
    </row>
    <row r="609" spans="15:16" s="18" customFormat="1" x14ac:dyDescent="0.35">
      <c r="O609" s="117"/>
      <c r="P609" s="117"/>
    </row>
    <row r="610" spans="15:16" s="18" customFormat="1" x14ac:dyDescent="0.35">
      <c r="O610" s="117"/>
      <c r="P610" s="117"/>
    </row>
    <row r="611" spans="15:16" s="18" customFormat="1" x14ac:dyDescent="0.35">
      <c r="O611" s="117"/>
      <c r="P611" s="117"/>
    </row>
    <row r="612" spans="15:16" s="18" customFormat="1" x14ac:dyDescent="0.35">
      <c r="O612" s="117"/>
      <c r="P612" s="117"/>
    </row>
    <row r="613" spans="15:16" s="18" customFormat="1" x14ac:dyDescent="0.35">
      <c r="O613" s="117"/>
      <c r="P613" s="117"/>
    </row>
    <row r="614" spans="15:16" s="18" customFormat="1" x14ac:dyDescent="0.35">
      <c r="O614" s="117"/>
      <c r="P614" s="117"/>
    </row>
    <row r="615" spans="15:16" s="18" customFormat="1" x14ac:dyDescent="0.35">
      <c r="O615" s="117"/>
      <c r="P615" s="117"/>
    </row>
    <row r="616" spans="15:16" s="18" customFormat="1" x14ac:dyDescent="0.35">
      <c r="O616" s="117"/>
      <c r="P616" s="117"/>
    </row>
    <row r="617" spans="15:16" s="18" customFormat="1" x14ac:dyDescent="0.35">
      <c r="O617" s="117"/>
      <c r="P617" s="117"/>
    </row>
    <row r="618" spans="15:16" s="18" customFormat="1" x14ac:dyDescent="0.35">
      <c r="O618" s="117"/>
      <c r="P618" s="117"/>
    </row>
    <row r="619" spans="15:16" s="18" customFormat="1" x14ac:dyDescent="0.35">
      <c r="O619" s="117"/>
      <c r="P619" s="117"/>
    </row>
    <row r="620" spans="15:16" s="18" customFormat="1" x14ac:dyDescent="0.35">
      <c r="O620" s="117"/>
      <c r="P620" s="117"/>
    </row>
    <row r="621" spans="15:16" s="18" customFormat="1" x14ac:dyDescent="0.35">
      <c r="O621" s="117"/>
      <c r="P621" s="117"/>
    </row>
    <row r="622" spans="15:16" s="18" customFormat="1" x14ac:dyDescent="0.35">
      <c r="O622" s="117"/>
      <c r="P622" s="117"/>
    </row>
    <row r="623" spans="15:16" s="18" customFormat="1" x14ac:dyDescent="0.35">
      <c r="O623" s="117"/>
      <c r="P623" s="117"/>
    </row>
    <row r="624" spans="15:16" s="18" customFormat="1" x14ac:dyDescent="0.35">
      <c r="O624" s="117"/>
      <c r="P624" s="117"/>
    </row>
    <row r="625" spans="15:16" s="18" customFormat="1" x14ac:dyDescent="0.35">
      <c r="O625" s="117"/>
      <c r="P625" s="117"/>
    </row>
    <row r="626" spans="15:16" s="18" customFormat="1" x14ac:dyDescent="0.35">
      <c r="O626" s="117"/>
      <c r="P626" s="117"/>
    </row>
    <row r="627" spans="15:16" s="18" customFormat="1" x14ac:dyDescent="0.35">
      <c r="O627" s="117"/>
      <c r="P627" s="117"/>
    </row>
    <row r="628" spans="15:16" s="18" customFormat="1" x14ac:dyDescent="0.35">
      <c r="O628" s="117"/>
      <c r="P628" s="117"/>
    </row>
    <row r="629" spans="15:16" s="18" customFormat="1" x14ac:dyDescent="0.35">
      <c r="O629" s="117"/>
      <c r="P629" s="117"/>
    </row>
    <row r="630" spans="15:16" s="18" customFormat="1" x14ac:dyDescent="0.35">
      <c r="O630" s="117"/>
      <c r="P630" s="117"/>
    </row>
    <row r="631" spans="15:16" s="18" customFormat="1" x14ac:dyDescent="0.35">
      <c r="O631" s="117"/>
      <c r="P631" s="117"/>
    </row>
    <row r="632" spans="15:16" s="18" customFormat="1" x14ac:dyDescent="0.35">
      <c r="O632" s="117"/>
      <c r="P632" s="117"/>
    </row>
    <row r="633" spans="15:16" s="18" customFormat="1" x14ac:dyDescent="0.35">
      <c r="O633" s="117"/>
      <c r="P633" s="117"/>
    </row>
    <row r="634" spans="15:16" s="18" customFormat="1" x14ac:dyDescent="0.35">
      <c r="O634" s="117"/>
      <c r="P634" s="117"/>
    </row>
    <row r="635" spans="15:16" s="18" customFormat="1" x14ac:dyDescent="0.35">
      <c r="O635" s="117"/>
      <c r="P635" s="117"/>
    </row>
    <row r="636" spans="15:16" s="18" customFormat="1" x14ac:dyDescent="0.35">
      <c r="O636" s="117"/>
      <c r="P636" s="117"/>
    </row>
    <row r="637" spans="15:16" s="18" customFormat="1" x14ac:dyDescent="0.35">
      <c r="O637" s="117"/>
      <c r="P637" s="117"/>
    </row>
    <row r="638" spans="15:16" s="18" customFormat="1" x14ac:dyDescent="0.35">
      <c r="O638" s="117"/>
      <c r="P638" s="117"/>
    </row>
    <row r="639" spans="15:16" s="18" customFormat="1" x14ac:dyDescent="0.35">
      <c r="O639" s="117"/>
      <c r="P639" s="117"/>
    </row>
    <row r="640" spans="15:16" s="18" customFormat="1" x14ac:dyDescent="0.35">
      <c r="O640" s="117"/>
      <c r="P640" s="117"/>
    </row>
    <row r="641" spans="15:16" s="18" customFormat="1" x14ac:dyDescent="0.35">
      <c r="O641" s="117"/>
      <c r="P641" s="117"/>
    </row>
    <row r="642" spans="15:16" s="18" customFormat="1" x14ac:dyDescent="0.35">
      <c r="O642" s="117"/>
      <c r="P642" s="117"/>
    </row>
    <row r="643" spans="15:16" s="18" customFormat="1" x14ac:dyDescent="0.35">
      <c r="O643" s="117"/>
      <c r="P643" s="117"/>
    </row>
    <row r="644" spans="15:16" s="18" customFormat="1" x14ac:dyDescent="0.35">
      <c r="O644" s="117"/>
      <c r="P644" s="117"/>
    </row>
    <row r="645" spans="15:16" s="18" customFormat="1" x14ac:dyDescent="0.35">
      <c r="O645" s="117"/>
      <c r="P645" s="117"/>
    </row>
    <row r="646" spans="15:16" s="18" customFormat="1" x14ac:dyDescent="0.35">
      <c r="O646" s="117"/>
      <c r="P646" s="117"/>
    </row>
    <row r="647" spans="15:16" s="18" customFormat="1" x14ac:dyDescent="0.35">
      <c r="O647" s="117"/>
      <c r="P647" s="117"/>
    </row>
    <row r="648" spans="15:16" s="18" customFormat="1" x14ac:dyDescent="0.35">
      <c r="O648" s="117"/>
      <c r="P648" s="117"/>
    </row>
    <row r="649" spans="15:16" s="18" customFormat="1" x14ac:dyDescent="0.35">
      <c r="O649" s="117"/>
      <c r="P649" s="117"/>
    </row>
    <row r="650" spans="15:16" s="18" customFormat="1" x14ac:dyDescent="0.35">
      <c r="O650" s="117"/>
      <c r="P650" s="117"/>
    </row>
    <row r="651" spans="15:16" s="18" customFormat="1" x14ac:dyDescent="0.35">
      <c r="O651" s="117"/>
      <c r="P651" s="117"/>
    </row>
    <row r="652" spans="15:16" s="18" customFormat="1" x14ac:dyDescent="0.35">
      <c r="O652" s="117"/>
      <c r="P652" s="117"/>
    </row>
    <row r="653" spans="15:16" s="18" customFormat="1" x14ac:dyDescent="0.35">
      <c r="O653" s="117"/>
      <c r="P653" s="117"/>
    </row>
    <row r="654" spans="15:16" s="18" customFormat="1" x14ac:dyDescent="0.35">
      <c r="O654" s="117"/>
      <c r="P654" s="117"/>
    </row>
    <row r="655" spans="15:16" s="18" customFormat="1" x14ac:dyDescent="0.35">
      <c r="O655" s="117"/>
      <c r="P655" s="117"/>
    </row>
    <row r="656" spans="15:16" s="18" customFormat="1" x14ac:dyDescent="0.35">
      <c r="O656" s="117"/>
      <c r="P656" s="117"/>
    </row>
    <row r="657" spans="15:16" s="18" customFormat="1" x14ac:dyDescent="0.35">
      <c r="O657" s="117"/>
      <c r="P657" s="117"/>
    </row>
    <row r="658" spans="15:16" s="18" customFormat="1" x14ac:dyDescent="0.35">
      <c r="O658" s="117"/>
      <c r="P658" s="117"/>
    </row>
    <row r="659" spans="15:16" s="18" customFormat="1" x14ac:dyDescent="0.35">
      <c r="O659" s="117"/>
      <c r="P659" s="117"/>
    </row>
    <row r="660" spans="15:16" s="18" customFormat="1" x14ac:dyDescent="0.35">
      <c r="O660" s="117"/>
      <c r="P660" s="117"/>
    </row>
    <row r="661" spans="15:16" s="18" customFormat="1" x14ac:dyDescent="0.35">
      <c r="O661" s="117"/>
      <c r="P661" s="117"/>
    </row>
    <row r="662" spans="15:16" s="18" customFormat="1" x14ac:dyDescent="0.35">
      <c r="O662" s="117"/>
      <c r="P662" s="117"/>
    </row>
    <row r="663" spans="15:16" s="18" customFormat="1" x14ac:dyDescent="0.35">
      <c r="O663" s="117"/>
      <c r="P663" s="117"/>
    </row>
    <row r="664" spans="15:16" s="18" customFormat="1" x14ac:dyDescent="0.35">
      <c r="O664" s="117"/>
      <c r="P664" s="117"/>
    </row>
    <row r="665" spans="15:16" s="18" customFormat="1" x14ac:dyDescent="0.35">
      <c r="O665" s="117"/>
      <c r="P665" s="117"/>
    </row>
    <row r="666" spans="15:16" s="18" customFormat="1" x14ac:dyDescent="0.35">
      <c r="O666" s="117"/>
      <c r="P666" s="117"/>
    </row>
    <row r="667" spans="15:16" s="18" customFormat="1" x14ac:dyDescent="0.35">
      <c r="O667" s="117"/>
      <c r="P667" s="117"/>
    </row>
    <row r="668" spans="15:16" s="18" customFormat="1" x14ac:dyDescent="0.35">
      <c r="O668" s="117"/>
      <c r="P668" s="117"/>
    </row>
    <row r="669" spans="15:16" s="18" customFormat="1" x14ac:dyDescent="0.35">
      <c r="O669" s="117"/>
      <c r="P669" s="117"/>
    </row>
    <row r="670" spans="15:16" s="18" customFormat="1" x14ac:dyDescent="0.35">
      <c r="O670" s="117"/>
      <c r="P670" s="117"/>
    </row>
    <row r="671" spans="15:16" s="18" customFormat="1" x14ac:dyDescent="0.35">
      <c r="O671" s="117"/>
      <c r="P671" s="117"/>
    </row>
    <row r="672" spans="15:16" s="18" customFormat="1" x14ac:dyDescent="0.35">
      <c r="O672" s="117"/>
      <c r="P672" s="117"/>
    </row>
    <row r="673" spans="15:16" s="18" customFormat="1" x14ac:dyDescent="0.35">
      <c r="O673" s="117"/>
      <c r="P673" s="117"/>
    </row>
    <row r="674" spans="15:16" s="18" customFormat="1" x14ac:dyDescent="0.35">
      <c r="O674" s="117"/>
      <c r="P674" s="117"/>
    </row>
    <row r="675" spans="15:16" s="18" customFormat="1" x14ac:dyDescent="0.35">
      <c r="O675" s="117"/>
      <c r="P675" s="117"/>
    </row>
    <row r="676" spans="15:16" s="18" customFormat="1" x14ac:dyDescent="0.35">
      <c r="O676" s="117"/>
      <c r="P676" s="117"/>
    </row>
    <row r="677" spans="15:16" s="18" customFormat="1" x14ac:dyDescent="0.35">
      <c r="O677" s="117"/>
      <c r="P677" s="117"/>
    </row>
    <row r="678" spans="15:16" s="18" customFormat="1" x14ac:dyDescent="0.35">
      <c r="O678" s="117"/>
      <c r="P678" s="117"/>
    </row>
    <row r="679" spans="15:16" s="18" customFormat="1" x14ac:dyDescent="0.35">
      <c r="O679" s="117"/>
      <c r="P679" s="117"/>
    </row>
    <row r="680" spans="15:16" s="18" customFormat="1" x14ac:dyDescent="0.35">
      <c r="O680" s="117"/>
      <c r="P680" s="117"/>
    </row>
    <row r="681" spans="15:16" s="18" customFormat="1" x14ac:dyDescent="0.35">
      <c r="O681" s="117"/>
      <c r="P681" s="117"/>
    </row>
    <row r="682" spans="15:16" s="18" customFormat="1" x14ac:dyDescent="0.35">
      <c r="O682" s="117"/>
      <c r="P682" s="117"/>
    </row>
    <row r="683" spans="15:16" s="18" customFormat="1" x14ac:dyDescent="0.35">
      <c r="O683" s="117"/>
      <c r="P683" s="117"/>
    </row>
    <row r="684" spans="15:16" s="18" customFormat="1" x14ac:dyDescent="0.35">
      <c r="O684" s="117"/>
      <c r="P684" s="117"/>
    </row>
    <row r="685" spans="15:16" s="18" customFormat="1" x14ac:dyDescent="0.35">
      <c r="O685" s="117"/>
      <c r="P685" s="117"/>
    </row>
    <row r="686" spans="15:16" s="18" customFormat="1" x14ac:dyDescent="0.35">
      <c r="O686" s="117"/>
      <c r="P686" s="117"/>
    </row>
    <row r="687" spans="15:16" s="18" customFormat="1" x14ac:dyDescent="0.35">
      <c r="O687" s="117"/>
      <c r="P687" s="117"/>
    </row>
    <row r="688" spans="15:16" s="18" customFormat="1" x14ac:dyDescent="0.35">
      <c r="O688" s="117"/>
      <c r="P688" s="117"/>
    </row>
    <row r="689" spans="15:16" s="18" customFormat="1" x14ac:dyDescent="0.35">
      <c r="O689" s="117"/>
      <c r="P689" s="117"/>
    </row>
    <row r="690" spans="15:16" s="18" customFormat="1" x14ac:dyDescent="0.35">
      <c r="O690" s="117"/>
      <c r="P690" s="117"/>
    </row>
    <row r="691" spans="15:16" s="18" customFormat="1" x14ac:dyDescent="0.35">
      <c r="O691" s="117"/>
      <c r="P691" s="117"/>
    </row>
    <row r="692" spans="15:16" s="18" customFormat="1" x14ac:dyDescent="0.35">
      <c r="O692" s="117"/>
      <c r="P692" s="117"/>
    </row>
    <row r="693" spans="15:16" s="18" customFormat="1" x14ac:dyDescent="0.35">
      <c r="O693" s="117"/>
      <c r="P693" s="117"/>
    </row>
    <row r="694" spans="15:16" s="18" customFormat="1" x14ac:dyDescent="0.35">
      <c r="O694" s="117"/>
      <c r="P694" s="117"/>
    </row>
    <row r="695" spans="15:16" s="18" customFormat="1" x14ac:dyDescent="0.35">
      <c r="O695" s="117"/>
      <c r="P695" s="117"/>
    </row>
    <row r="696" spans="15:16" s="18" customFormat="1" x14ac:dyDescent="0.35">
      <c r="O696" s="117"/>
      <c r="P696" s="117"/>
    </row>
    <row r="697" spans="15:16" s="18" customFormat="1" x14ac:dyDescent="0.35">
      <c r="O697" s="117"/>
      <c r="P697" s="117"/>
    </row>
    <row r="698" spans="15:16" s="18" customFormat="1" x14ac:dyDescent="0.35">
      <c r="O698" s="117"/>
      <c r="P698" s="117"/>
    </row>
    <row r="699" spans="15:16" s="18" customFormat="1" x14ac:dyDescent="0.35">
      <c r="O699" s="117"/>
      <c r="P699" s="117"/>
    </row>
    <row r="700" spans="15:16" s="18" customFormat="1" x14ac:dyDescent="0.35">
      <c r="O700" s="117"/>
      <c r="P700" s="117"/>
    </row>
    <row r="701" spans="15:16" s="18" customFormat="1" x14ac:dyDescent="0.35">
      <c r="O701" s="117"/>
      <c r="P701" s="117"/>
    </row>
  </sheetData>
  <sheetProtection formatCells="0" formatColumns="0" formatRows="0"/>
  <mergeCells count="21">
    <mergeCell ref="C82:J82"/>
    <mergeCell ref="B2:Q2"/>
    <mergeCell ref="B65:B83"/>
    <mergeCell ref="C62:N62"/>
    <mergeCell ref="C30:Q30"/>
    <mergeCell ref="C6:Q6"/>
    <mergeCell ref="C43:Q43"/>
    <mergeCell ref="C44:Q44"/>
    <mergeCell ref="B3:N3"/>
    <mergeCell ref="C18:Q18"/>
    <mergeCell ref="C7:Q7"/>
    <mergeCell ref="C24:Q24"/>
    <mergeCell ref="B8:B13"/>
    <mergeCell ref="C50:Q50"/>
    <mergeCell ref="C56:M56"/>
    <mergeCell ref="D77:J77"/>
    <mergeCell ref="D78:J78"/>
    <mergeCell ref="D80:J80"/>
    <mergeCell ref="D81:J81"/>
    <mergeCell ref="C79:J79"/>
    <mergeCell ref="O9:O13"/>
  </mergeCells>
  <phoneticPr fontId="28" type="noConversion"/>
  <conditionalFormatting sqref="D78">
    <cfRule type="cellIs" dxfId="9" priority="2" operator="lessThan">
      <formula>0.15</formula>
    </cfRule>
  </conditionalFormatting>
  <conditionalFormatting sqref="D81">
    <cfRule type="cellIs" dxfId="8" priority="1" operator="lessThan">
      <formula>0.05</formula>
    </cfRule>
  </conditionalFormatting>
  <conditionalFormatting sqref="N73:P75">
    <cfRule type="cellIs" dxfId="7" priority="3" operator="greaterThan">
      <formula>1</formula>
    </cfRule>
  </conditionalFormatting>
  <dataValidations xWindow="431" yWindow="475" count="4">
    <dataValidation allowBlank="1" showInputMessage="1" showErrorMessage="1" prompt="Insert *text* description of Output here" sqref="C18 C24 C30 C44 C50 C7" xr:uid="{31AC9CA6-D499-4711-A99F-BECD0A64F3A8}"/>
    <dataValidation allowBlank="1" showInputMessage="1" showErrorMessage="1" prompt="Insert *text* description of Activity here" sqref="C19 C25 C45 C51 C8:C13" xr:uid="{E7A390F5-03DD-4A67-B842-17326B4F2DA4}"/>
    <dataValidation allowBlank="1" showInputMessage="1" showErrorMessage="1" prompt="Insert *text* description of Outcome here" sqref="C43:Q43 C6:Q6" xr:uid="{89ACADD6-F982-42D9-AC8D-CCF9750605B2}"/>
    <dataValidation allowBlank="1" showErrorMessage="1" prompt="% Towards Gender Equality and Women's Empowerment Must be Higher than 15%_x000a_" sqref="D78 D80 K80:M82" xr:uid="{8C6643DA-1D03-44FB-AC1F-C4CB706ED3AA}"/>
  </dataValidations>
  <pageMargins left="0.70866141732283472" right="1.6535433070866143" top="0.74803149606299213" bottom="0.74803149606299213" header="0.31496062992125984" footer="0.31496062992125984"/>
  <pageSetup scale="15" orientation="landscape" r:id="rId1"/>
  <rowBreaks count="2" manualBreakCount="2">
    <brk id="23" max="14" man="1"/>
    <brk id="50"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9B91-DE06-467F-8EA8-3D1E1CFD21DE}">
  <sheetPr>
    <tabColor theme="0"/>
  </sheetPr>
  <dimension ref="B1:I100"/>
  <sheetViews>
    <sheetView showGridLines="0" showZeros="0" view="pageBreakPreview" topLeftCell="C1" zoomScale="80" zoomScaleNormal="80" zoomScaleSheetLayoutView="80" workbookViewId="0">
      <pane ySplit="4" topLeftCell="A70" activePane="bottomLeft" state="frozen"/>
      <selection pane="bottomLeft" activeCell="H77" sqref="H77"/>
    </sheetView>
  </sheetViews>
  <sheetFormatPr baseColWidth="10" defaultColWidth="9.1796875" defaultRowHeight="15.5" x14ac:dyDescent="0.35"/>
  <cols>
    <col min="1" max="1" width="4.453125" style="26" customWidth="1"/>
    <col min="2" max="2" width="3.1796875" style="26" customWidth="1"/>
    <col min="3" max="3" width="51.453125" style="26" customWidth="1"/>
    <col min="4" max="4" width="32" style="27" customWidth="1"/>
    <col min="5" max="5" width="28.453125" style="27" customWidth="1"/>
    <col min="6" max="6" width="29.1796875" style="27" customWidth="1"/>
    <col min="7" max="7" width="42.453125" style="27" customWidth="1"/>
    <col min="8" max="8" width="28.7265625" style="27" customWidth="1"/>
    <col min="9" max="9" width="20.90625" style="26" customWidth="1"/>
    <col min="10" max="16384" width="9.1796875" style="26"/>
  </cols>
  <sheetData>
    <row r="1" spans="2:9" ht="33.75" customHeight="1" x14ac:dyDescent="1">
      <c r="C1" s="259" t="s">
        <v>542</v>
      </c>
      <c r="D1" s="259"/>
      <c r="E1" s="259"/>
      <c r="F1" s="259"/>
      <c r="G1" s="259"/>
      <c r="H1" s="185"/>
      <c r="I1" s="17"/>
    </row>
    <row r="2" spans="2:9" ht="25.5" customHeight="1" x14ac:dyDescent="0.45">
      <c r="C2" s="289" t="s">
        <v>440</v>
      </c>
      <c r="D2" s="289"/>
      <c r="E2" s="289"/>
      <c r="F2" s="289"/>
      <c r="G2" s="289"/>
      <c r="H2" s="232"/>
    </row>
    <row r="3" spans="2:9" ht="9.75" customHeight="1" x14ac:dyDescent="0.35">
      <c r="C3" s="21"/>
      <c r="D3" s="21"/>
      <c r="E3" s="21"/>
      <c r="F3" s="21"/>
      <c r="G3" s="21"/>
      <c r="H3" s="21"/>
    </row>
    <row r="4" spans="2:9" ht="52.5" customHeight="1" x14ac:dyDescent="0.35">
      <c r="C4" s="21"/>
      <c r="D4" s="129" t="str">
        <f>'1) Tableau budgétaire 1'!D5</f>
        <v>Organisation recipiendiaire  (budget en USD) PNUD 2020-2021</v>
      </c>
      <c r="E4" s="129" t="str">
        <f>'1) Tableau budgétaire 1'!E5</f>
        <v>Organisation recipiendiaire (budget en USD) PNUD 2022</v>
      </c>
      <c r="F4" s="129" t="str">
        <f>'1) Tableau budgétaire 1'!F5</f>
        <v>Organisation recipiendiaire  (budget en USD)  PNUD 2023</v>
      </c>
      <c r="G4" s="129" t="str">
        <f>'1) Tableau budgétaire 1'!J5</f>
        <v>Organisation recipiendiaire  (budget en USD) PNUD 2024-2025</v>
      </c>
      <c r="H4" s="129" t="str">
        <f>'1) Tableau budgétaire 1'!L5</f>
        <v>Budget USD PNUD 2026</v>
      </c>
      <c r="I4" s="123" t="s">
        <v>11</v>
      </c>
    </row>
    <row r="5" spans="2:9" ht="24" customHeight="1" x14ac:dyDescent="0.35">
      <c r="B5" s="286" t="s">
        <v>415</v>
      </c>
      <c r="C5" s="287"/>
      <c r="D5" s="287"/>
      <c r="E5" s="287"/>
      <c r="F5" s="287"/>
      <c r="G5" s="287"/>
      <c r="H5" s="287"/>
      <c r="I5" s="288"/>
    </row>
    <row r="6" spans="2:9" ht="22.5" customHeight="1" x14ac:dyDescent="0.35">
      <c r="C6" s="286" t="s">
        <v>416</v>
      </c>
      <c r="D6" s="287"/>
      <c r="E6" s="287"/>
      <c r="F6" s="287"/>
      <c r="G6" s="287"/>
      <c r="H6" s="287"/>
      <c r="I6" s="288"/>
    </row>
    <row r="7" spans="2:9" ht="24.75" customHeight="1" thickBot="1" x14ac:dyDescent="0.4">
      <c r="C7" s="32" t="s">
        <v>417</v>
      </c>
      <c r="D7" s="33">
        <f>'1) Tableau budgétaire 1'!D17</f>
        <v>294930</v>
      </c>
      <c r="E7" s="33">
        <f>'1) Tableau budgétaire 1'!E17</f>
        <v>241468</v>
      </c>
      <c r="F7" s="33">
        <f>'1) Tableau budgétaire 1'!F17</f>
        <v>342110.24</v>
      </c>
      <c r="G7" s="33">
        <f>'1) Tableau budgétaire 1'!J17</f>
        <v>576120</v>
      </c>
      <c r="H7" s="33">
        <f>+'1) Tableau budgétaire 1'!L17</f>
        <v>234763.04</v>
      </c>
      <c r="I7" s="34">
        <f>SUM(D7:H7)</f>
        <v>1689391.28</v>
      </c>
    </row>
    <row r="8" spans="2:9" ht="21.75" customHeight="1" x14ac:dyDescent="0.35">
      <c r="C8" s="30" t="s">
        <v>418</v>
      </c>
      <c r="D8" s="61">
        <v>125000</v>
      </c>
      <c r="E8" s="61">
        <v>141468</v>
      </c>
      <c r="F8" s="62">
        <v>97230.24</v>
      </c>
      <c r="G8" s="62">
        <v>215000</v>
      </c>
      <c r="H8" s="62">
        <f>+'1) Tableau budgétaire 1'!L9+'1) Tableau budgétaire 1'!L11</f>
        <v>145436.76</v>
      </c>
      <c r="I8" s="31">
        <f>SUM(D8:H8)</f>
        <v>724135</v>
      </c>
    </row>
    <row r="9" spans="2:9" x14ac:dyDescent="0.35">
      <c r="C9" s="24" t="s">
        <v>419</v>
      </c>
      <c r="D9" s="63">
        <v>45000</v>
      </c>
      <c r="E9" s="63">
        <v>30000</v>
      </c>
      <c r="F9" s="7">
        <v>3000</v>
      </c>
      <c r="G9" s="7">
        <v>10000</v>
      </c>
      <c r="H9" s="7"/>
      <c r="I9" s="31">
        <f t="shared" ref="I9:I14" si="0">SUM(D9:H9)</f>
        <v>88000</v>
      </c>
    </row>
    <row r="10" spans="2:9" ht="15.75" customHeight="1" x14ac:dyDescent="0.35">
      <c r="C10" s="24" t="s">
        <v>420</v>
      </c>
      <c r="D10" s="63">
        <v>45000</v>
      </c>
      <c r="E10" s="63">
        <v>16000</v>
      </c>
      <c r="F10" s="63">
        <v>5000</v>
      </c>
      <c r="G10" s="63">
        <v>30000</v>
      </c>
      <c r="H10" s="63"/>
      <c r="I10" s="31">
        <f t="shared" si="0"/>
        <v>96000</v>
      </c>
    </row>
    <row r="11" spans="2:9" x14ac:dyDescent="0.35">
      <c r="C11" s="25" t="s">
        <v>421</v>
      </c>
      <c r="D11" s="63">
        <v>34930</v>
      </c>
      <c r="E11" s="63">
        <v>14000</v>
      </c>
      <c r="F11" s="63">
        <v>118380</v>
      </c>
      <c r="G11" s="63">
        <f>90400-6979.44+69140.56</f>
        <v>152561.12</v>
      </c>
      <c r="H11" s="63">
        <f>+'1) Tableau budgétaire 1'!L10+'1) Tableau budgétaire 1'!L12+'1) Tableau budgétaire 1'!L13</f>
        <v>69326.28</v>
      </c>
      <c r="I11" s="31">
        <f t="shared" si="0"/>
        <v>389197.4</v>
      </c>
    </row>
    <row r="12" spans="2:9" x14ac:dyDescent="0.35">
      <c r="C12" s="24" t="s">
        <v>422</v>
      </c>
      <c r="D12" s="63">
        <v>14500</v>
      </c>
      <c r="E12" s="63">
        <v>20000</v>
      </c>
      <c r="F12" s="63">
        <f>45000</f>
        <v>45000</v>
      </c>
      <c r="G12" s="63">
        <v>60579.44</v>
      </c>
      <c r="H12" s="63">
        <f>+'1) Tableau budgétaire 1'!L16</f>
        <v>5000</v>
      </c>
      <c r="I12" s="31">
        <f t="shared" si="0"/>
        <v>145079.44</v>
      </c>
    </row>
    <row r="13" spans="2:9" ht="21.75" customHeight="1" x14ac:dyDescent="0.35">
      <c r="C13" s="24" t="s">
        <v>423</v>
      </c>
      <c r="D13" s="63"/>
      <c r="E13" s="63"/>
      <c r="F13" s="63"/>
      <c r="G13" s="63"/>
      <c r="H13" s="63"/>
      <c r="I13" s="31">
        <f t="shared" si="0"/>
        <v>0</v>
      </c>
    </row>
    <row r="14" spans="2:9" ht="36.75" customHeight="1" x14ac:dyDescent="0.35">
      <c r="C14" s="24" t="s">
        <v>424</v>
      </c>
      <c r="D14" s="63">
        <v>30500</v>
      </c>
      <c r="E14" s="63">
        <v>20000</v>
      </c>
      <c r="F14" s="63">
        <f>1500+65000+7000</f>
        <v>73500</v>
      </c>
      <c r="G14" s="63">
        <v>107979.44</v>
      </c>
      <c r="H14" s="63">
        <f>+'1) Tableau budgétaire 1'!L15</f>
        <v>15000</v>
      </c>
      <c r="I14" s="31">
        <f t="shared" si="0"/>
        <v>246979.44</v>
      </c>
    </row>
    <row r="15" spans="2:9" ht="15.75" customHeight="1" x14ac:dyDescent="0.35">
      <c r="C15" s="28" t="s">
        <v>14</v>
      </c>
      <c r="D15" s="35">
        <f>SUM(D8:D14)</f>
        <v>294930</v>
      </c>
      <c r="E15" s="35">
        <f>SUM(E8:E14)</f>
        <v>241468</v>
      </c>
      <c r="F15" s="35">
        <f>SUM(F8:F14)</f>
        <v>342110.24</v>
      </c>
      <c r="G15" s="35">
        <f>SUM(G8:G14)</f>
        <v>576120</v>
      </c>
      <c r="H15" s="35">
        <f>SUM(H8:H14)</f>
        <v>234763.04</v>
      </c>
      <c r="I15" s="78">
        <f>SUM(D15:H15)</f>
        <v>1689391.28</v>
      </c>
    </row>
    <row r="16" spans="2:9" s="27" customFormat="1" x14ac:dyDescent="0.35">
      <c r="C16" s="36"/>
      <c r="D16" s="37"/>
      <c r="E16" s="37"/>
      <c r="F16" s="37"/>
      <c r="G16" s="37"/>
      <c r="H16" s="37"/>
      <c r="I16" s="79"/>
    </row>
    <row r="17" spans="3:9" x14ac:dyDescent="0.35">
      <c r="C17" s="286" t="s">
        <v>425</v>
      </c>
      <c r="D17" s="287"/>
      <c r="E17" s="287"/>
      <c r="F17" s="287"/>
      <c r="G17" s="287"/>
      <c r="H17" s="287"/>
      <c r="I17" s="288"/>
    </row>
    <row r="18" spans="3:9" ht="27" customHeight="1" thickBot="1" x14ac:dyDescent="0.4">
      <c r="C18" s="32" t="s">
        <v>426</v>
      </c>
      <c r="D18" s="33">
        <f>'1) Tableau budgétaire 1'!D23</f>
        <v>35000</v>
      </c>
      <c r="E18" s="33">
        <f>'1) Tableau budgétaire 1'!E23</f>
        <v>50000</v>
      </c>
      <c r="F18" s="33">
        <f>'1) Tableau budgétaire 1'!F23</f>
        <v>25000</v>
      </c>
      <c r="G18" s="33">
        <f>'1) Tableau budgétaire 1'!J23</f>
        <v>52000</v>
      </c>
      <c r="H18" s="33">
        <f>+'1) Tableau budgétaire 1'!L23</f>
        <v>10610.789999999999</v>
      </c>
      <c r="I18" s="34">
        <f>SUM(D18:H18)</f>
        <v>172610.79</v>
      </c>
    </row>
    <row r="19" spans="3:9" x14ac:dyDescent="0.35">
      <c r="C19" s="30" t="s">
        <v>418</v>
      </c>
      <c r="D19" s="61"/>
      <c r="E19" s="61"/>
      <c r="F19" s="62"/>
      <c r="G19" s="62"/>
      <c r="H19" s="62"/>
      <c r="I19" s="31">
        <f>SUM(D19:H19)</f>
        <v>0</v>
      </c>
    </row>
    <row r="20" spans="3:9" x14ac:dyDescent="0.35">
      <c r="C20" s="24" t="s">
        <v>419</v>
      </c>
      <c r="D20" s="63">
        <v>10000</v>
      </c>
      <c r="E20" s="63">
        <v>5000</v>
      </c>
      <c r="F20" s="7"/>
      <c r="G20" s="7"/>
      <c r="H20" s="7"/>
      <c r="I20" s="31">
        <f t="shared" ref="I20:I25" si="1">SUM(D20:H20)</f>
        <v>15000</v>
      </c>
    </row>
    <row r="21" spans="3:9" ht="31" x14ac:dyDescent="0.35">
      <c r="C21" s="24" t="s">
        <v>420</v>
      </c>
      <c r="D21" s="63"/>
      <c r="E21" s="63"/>
      <c r="F21" s="63"/>
      <c r="G21" s="63"/>
      <c r="H21" s="63"/>
      <c r="I21" s="31">
        <f t="shared" si="1"/>
        <v>0</v>
      </c>
    </row>
    <row r="22" spans="3:9" x14ac:dyDescent="0.35">
      <c r="C22" s="25" t="s">
        <v>421</v>
      </c>
      <c r="D22" s="63">
        <v>15000</v>
      </c>
      <c r="E22" s="63">
        <v>25000</v>
      </c>
      <c r="F22" s="63"/>
      <c r="G22" s="63">
        <v>32000</v>
      </c>
      <c r="H22" s="63">
        <f>+'1) Tableau budgétaire 1'!L21</f>
        <v>10610.789999999999</v>
      </c>
      <c r="I22" s="31">
        <f t="shared" si="1"/>
        <v>82610.789999999994</v>
      </c>
    </row>
    <row r="23" spans="3:9" x14ac:dyDescent="0.35">
      <c r="C23" s="24" t="s">
        <v>422</v>
      </c>
      <c r="D23" s="63">
        <v>5000</v>
      </c>
      <c r="E23" s="63">
        <v>15000</v>
      </c>
      <c r="F23" s="63"/>
      <c r="G23" s="63">
        <v>20000</v>
      </c>
      <c r="H23" s="63"/>
      <c r="I23" s="31">
        <f t="shared" si="1"/>
        <v>40000</v>
      </c>
    </row>
    <row r="24" spans="3:9" x14ac:dyDescent="0.35">
      <c r="C24" s="24" t="s">
        <v>423</v>
      </c>
      <c r="D24" s="63"/>
      <c r="E24" s="63"/>
      <c r="F24" s="63"/>
      <c r="G24" s="63"/>
      <c r="H24" s="63"/>
      <c r="I24" s="31">
        <f t="shared" si="1"/>
        <v>0</v>
      </c>
    </row>
    <row r="25" spans="3:9" ht="31" x14ac:dyDescent="0.35">
      <c r="C25" s="24" t="s">
        <v>424</v>
      </c>
      <c r="D25" s="63">
        <v>5000</v>
      </c>
      <c r="E25" s="63">
        <v>5000</v>
      </c>
      <c r="F25" s="63">
        <v>25000</v>
      </c>
      <c r="G25" s="63"/>
      <c r="H25" s="63"/>
      <c r="I25" s="31">
        <f t="shared" si="1"/>
        <v>35000</v>
      </c>
    </row>
    <row r="26" spans="3:9" x14ac:dyDescent="0.35">
      <c r="C26" s="28" t="s">
        <v>14</v>
      </c>
      <c r="D26" s="35">
        <f t="shared" ref="D26:I26" si="2">SUM(D19:D25)</f>
        <v>35000</v>
      </c>
      <c r="E26" s="35">
        <f t="shared" si="2"/>
        <v>50000</v>
      </c>
      <c r="F26" s="35">
        <f t="shared" si="2"/>
        <v>25000</v>
      </c>
      <c r="G26" s="35">
        <f t="shared" si="2"/>
        <v>52000</v>
      </c>
      <c r="H26" s="35">
        <f t="shared" si="2"/>
        <v>10610.789999999999</v>
      </c>
      <c r="I26" s="29">
        <f t="shared" si="2"/>
        <v>172610.78999999998</v>
      </c>
    </row>
    <row r="27" spans="3:9" s="27" customFormat="1" x14ac:dyDescent="0.35">
      <c r="C27" s="36"/>
      <c r="D27" s="37"/>
      <c r="E27" s="37"/>
      <c r="F27" s="37"/>
      <c r="G27" s="37"/>
      <c r="H27" s="37"/>
      <c r="I27" s="38"/>
    </row>
    <row r="28" spans="3:9" x14ac:dyDescent="0.35">
      <c r="C28" s="286" t="s">
        <v>427</v>
      </c>
      <c r="D28" s="287"/>
      <c r="E28" s="287"/>
      <c r="F28" s="287"/>
      <c r="G28" s="287"/>
      <c r="H28" s="287"/>
      <c r="I28" s="288"/>
    </row>
    <row r="29" spans="3:9" ht="21.75" customHeight="1" thickBot="1" x14ac:dyDescent="0.4">
      <c r="C29" s="32" t="s">
        <v>428</v>
      </c>
      <c r="D29" s="33">
        <f>'1) Tableau budgétaire 1'!D29</f>
        <v>21800</v>
      </c>
      <c r="E29" s="33">
        <f>'1) Tableau budgétaire 1'!E29</f>
        <v>45000</v>
      </c>
      <c r="F29" s="33">
        <f>'1) Tableau budgétaire 1'!F29</f>
        <v>35000</v>
      </c>
      <c r="G29" s="33">
        <f>'1) Tableau budgétaire 1'!J29</f>
        <v>45200</v>
      </c>
      <c r="H29" s="33">
        <f>+'1) Tableau budgétaire 1'!L29</f>
        <v>20000</v>
      </c>
      <c r="I29" s="34">
        <f>SUM(D29:H29)</f>
        <v>167000</v>
      </c>
    </row>
    <row r="30" spans="3:9" x14ac:dyDescent="0.35">
      <c r="C30" s="30" t="s">
        <v>418</v>
      </c>
      <c r="D30" s="61"/>
      <c r="E30" s="61"/>
      <c r="F30" s="62"/>
      <c r="G30" s="62"/>
      <c r="H30" s="62"/>
      <c r="I30" s="31">
        <f>SUM(D30:H30)</f>
        <v>0</v>
      </c>
    </row>
    <row r="31" spans="3:9" s="27" customFormat="1" ht="15.75" customHeight="1" x14ac:dyDescent="0.35">
      <c r="C31" s="24" t="s">
        <v>419</v>
      </c>
      <c r="D31" s="63">
        <v>1000</v>
      </c>
      <c r="E31" s="63">
        <v>13000</v>
      </c>
      <c r="F31" s="7"/>
      <c r="G31" s="7"/>
      <c r="H31" s="7"/>
      <c r="I31" s="31">
        <f t="shared" ref="I31:I36" si="3">SUM(D31:H31)</f>
        <v>14000</v>
      </c>
    </row>
    <row r="32" spans="3:9" s="27" customFormat="1" ht="31" x14ac:dyDescent="0.35">
      <c r="C32" s="24" t="s">
        <v>420</v>
      </c>
      <c r="D32" s="63">
        <v>0</v>
      </c>
      <c r="E32" s="63"/>
      <c r="F32" s="63"/>
      <c r="G32" s="63"/>
      <c r="H32" s="63"/>
      <c r="I32" s="31">
        <f t="shared" si="3"/>
        <v>0</v>
      </c>
    </row>
    <row r="33" spans="3:9" s="27" customFormat="1" x14ac:dyDescent="0.35">
      <c r="C33" s="25" t="s">
        <v>421</v>
      </c>
      <c r="D33" s="63">
        <v>5000</v>
      </c>
      <c r="E33" s="63">
        <v>5000</v>
      </c>
      <c r="F33" s="63"/>
      <c r="G33" s="63">
        <v>10200</v>
      </c>
      <c r="H33" s="63">
        <f>+'1) Tableau budgétaire 1'!L26</f>
        <v>10000</v>
      </c>
      <c r="I33" s="31">
        <f t="shared" si="3"/>
        <v>30200</v>
      </c>
    </row>
    <row r="34" spans="3:9" x14ac:dyDescent="0.35">
      <c r="C34" s="24" t="s">
        <v>422</v>
      </c>
      <c r="D34" s="63">
        <v>4000</v>
      </c>
      <c r="E34" s="63">
        <v>27000</v>
      </c>
      <c r="F34" s="63">
        <v>10000</v>
      </c>
      <c r="G34" s="63">
        <v>15000</v>
      </c>
      <c r="H34" s="63">
        <f>+'1) Tableau budgétaire 1'!L25+'1) Tableau budgétaire 1'!L28</f>
        <v>10000</v>
      </c>
      <c r="I34" s="31">
        <f t="shared" si="3"/>
        <v>66000</v>
      </c>
    </row>
    <row r="35" spans="3:9" x14ac:dyDescent="0.35">
      <c r="C35" s="24" t="s">
        <v>423</v>
      </c>
      <c r="D35" s="63"/>
      <c r="E35" s="63"/>
      <c r="F35" s="63"/>
      <c r="G35" s="63"/>
      <c r="H35" s="63"/>
      <c r="I35" s="31">
        <f t="shared" si="3"/>
        <v>0</v>
      </c>
    </row>
    <row r="36" spans="3:9" ht="31" x14ac:dyDescent="0.35">
      <c r="C36" s="24" t="s">
        <v>424</v>
      </c>
      <c r="D36" s="63">
        <v>11800</v>
      </c>
      <c r="E36" s="63">
        <v>0</v>
      </c>
      <c r="F36" s="63">
        <v>25000</v>
      </c>
      <c r="G36" s="63">
        <v>20000</v>
      </c>
      <c r="H36" s="63"/>
      <c r="I36" s="31">
        <f t="shared" si="3"/>
        <v>56800</v>
      </c>
    </row>
    <row r="37" spans="3:9" x14ac:dyDescent="0.35">
      <c r="C37" s="88" t="s">
        <v>14</v>
      </c>
      <c r="D37" s="89">
        <f t="shared" ref="D37:I37" si="4">SUM(D30:D36)</f>
        <v>21800</v>
      </c>
      <c r="E37" s="89">
        <f t="shared" si="4"/>
        <v>45000</v>
      </c>
      <c r="F37" s="89">
        <f t="shared" si="4"/>
        <v>35000</v>
      </c>
      <c r="G37" s="89">
        <f t="shared" si="4"/>
        <v>45200</v>
      </c>
      <c r="H37" s="89">
        <f t="shared" si="4"/>
        <v>20000</v>
      </c>
      <c r="I37" s="90">
        <f t="shared" si="4"/>
        <v>167000</v>
      </c>
    </row>
    <row r="38" spans="3:9" x14ac:dyDescent="0.35">
      <c r="C38" s="91"/>
      <c r="D38" s="92"/>
      <c r="E38" s="92"/>
      <c r="F38" s="92"/>
      <c r="G38" s="92"/>
      <c r="H38" s="92"/>
      <c r="I38" s="93"/>
    </row>
    <row r="39" spans="3:9" s="27" customFormat="1" x14ac:dyDescent="0.35">
      <c r="C39" s="290" t="s">
        <v>429</v>
      </c>
      <c r="D39" s="291"/>
      <c r="E39" s="291"/>
      <c r="F39" s="291"/>
      <c r="G39" s="291"/>
      <c r="H39" s="291"/>
      <c r="I39" s="292"/>
    </row>
    <row r="40" spans="3:9" ht="20.25" customHeight="1" thickBot="1" x14ac:dyDescent="0.4">
      <c r="C40" s="32" t="s">
        <v>430</v>
      </c>
      <c r="D40" s="33">
        <f>'1) Tableau budgétaire 1'!D41</f>
        <v>200000</v>
      </c>
      <c r="E40" s="33">
        <f>'1) Tableau budgétaire 1'!E41</f>
        <v>106000</v>
      </c>
      <c r="F40" s="33">
        <f>'1) Tableau budgétaire 1'!F41</f>
        <v>160000</v>
      </c>
      <c r="G40" s="33">
        <f>'1) Tableau budgétaire 1'!J41</f>
        <v>73500</v>
      </c>
      <c r="H40" s="33">
        <f>+'1) Tableau budgétaire 1'!L41</f>
        <v>15000</v>
      </c>
      <c r="I40" s="34">
        <f>SUM(D40:H40)</f>
        <v>554500</v>
      </c>
    </row>
    <row r="41" spans="3:9" x14ac:dyDescent="0.35">
      <c r="C41" s="30" t="s">
        <v>418</v>
      </c>
      <c r="D41" s="61"/>
      <c r="E41" s="61"/>
      <c r="F41" s="62"/>
      <c r="G41" s="62"/>
      <c r="H41" s="62"/>
      <c r="I41" s="31">
        <f>SUM(D41:H41)</f>
        <v>0</v>
      </c>
    </row>
    <row r="42" spans="3:9" ht="15.75" customHeight="1" x14ac:dyDescent="0.35">
      <c r="C42" s="24" t="s">
        <v>419</v>
      </c>
      <c r="D42" s="63">
        <v>5000</v>
      </c>
      <c r="E42" s="63">
        <v>5500</v>
      </c>
      <c r="F42" s="7"/>
      <c r="G42" s="7"/>
      <c r="H42" s="7"/>
      <c r="I42" s="31">
        <f t="shared" ref="I42:I47" si="5">SUM(D42:H42)</f>
        <v>10500</v>
      </c>
    </row>
    <row r="43" spans="3:9" ht="32.25" customHeight="1" x14ac:dyDescent="0.35">
      <c r="C43" s="24" t="s">
        <v>420</v>
      </c>
      <c r="D43" s="63">
        <v>5000</v>
      </c>
      <c r="E43" s="63">
        <v>0</v>
      </c>
      <c r="F43" s="63"/>
      <c r="G43" s="63"/>
      <c r="H43" s="63"/>
      <c r="I43" s="31">
        <f t="shared" si="5"/>
        <v>5000</v>
      </c>
    </row>
    <row r="44" spans="3:9" s="27" customFormat="1" x14ac:dyDescent="0.35">
      <c r="C44" s="25" t="s">
        <v>421</v>
      </c>
      <c r="D44" s="63">
        <v>166000</v>
      </c>
      <c r="E44" s="63">
        <v>15000</v>
      </c>
      <c r="F44" s="63">
        <v>65000</v>
      </c>
      <c r="G44" s="63">
        <v>25000</v>
      </c>
      <c r="H44" s="63"/>
      <c r="I44" s="31">
        <f t="shared" si="5"/>
        <v>271000</v>
      </c>
    </row>
    <row r="45" spans="3:9" x14ac:dyDescent="0.35">
      <c r="C45" s="24" t="s">
        <v>422</v>
      </c>
      <c r="D45" s="63">
        <v>14000</v>
      </c>
      <c r="E45" s="63">
        <v>75000</v>
      </c>
      <c r="F45" s="63">
        <v>70000</v>
      </c>
      <c r="G45" s="63">
        <v>33000</v>
      </c>
      <c r="H45" s="63">
        <f>+'1) Tableau budgétaire 1'!L35</f>
        <v>15000</v>
      </c>
      <c r="I45" s="31">
        <f t="shared" si="5"/>
        <v>207000</v>
      </c>
    </row>
    <row r="46" spans="3:9" x14ac:dyDescent="0.35">
      <c r="C46" s="24" t="s">
        <v>423</v>
      </c>
      <c r="D46" s="63"/>
      <c r="E46" s="63"/>
      <c r="F46" s="63"/>
      <c r="G46" s="63"/>
      <c r="H46" s="63"/>
      <c r="I46" s="31">
        <f t="shared" si="5"/>
        <v>0</v>
      </c>
    </row>
    <row r="47" spans="3:9" ht="31" x14ac:dyDescent="0.35">
      <c r="C47" s="24" t="s">
        <v>424</v>
      </c>
      <c r="D47" s="63">
        <v>10000</v>
      </c>
      <c r="E47" s="63">
        <v>10500</v>
      </c>
      <c r="F47" s="63">
        <v>25000</v>
      </c>
      <c r="G47" s="63">
        <v>15500</v>
      </c>
      <c r="H47" s="63"/>
      <c r="I47" s="31">
        <f t="shared" si="5"/>
        <v>61000</v>
      </c>
    </row>
    <row r="48" spans="3:9" ht="21" customHeight="1" x14ac:dyDescent="0.35">
      <c r="C48" s="28" t="s">
        <v>14</v>
      </c>
      <c r="D48" s="35">
        <f t="shared" ref="D48:I48" si="6">SUM(D41:D47)</f>
        <v>200000</v>
      </c>
      <c r="E48" s="35">
        <f t="shared" si="6"/>
        <v>106000</v>
      </c>
      <c r="F48" s="35">
        <f t="shared" si="6"/>
        <v>160000</v>
      </c>
      <c r="G48" s="35">
        <f t="shared" si="6"/>
        <v>73500</v>
      </c>
      <c r="H48" s="35">
        <f t="shared" si="6"/>
        <v>15000</v>
      </c>
      <c r="I48" s="35">
        <f t="shared" si="6"/>
        <v>554500</v>
      </c>
    </row>
    <row r="49" spans="2:9" s="27" customFormat="1" ht="22.5" customHeight="1" x14ac:dyDescent="0.35">
      <c r="C49" s="39"/>
      <c r="D49" s="37"/>
      <c r="E49" s="37"/>
      <c r="F49" s="37"/>
      <c r="G49" s="37"/>
      <c r="H49" s="37"/>
      <c r="I49" s="38"/>
    </row>
    <row r="50" spans="2:9" x14ac:dyDescent="0.35">
      <c r="B50" s="286" t="s">
        <v>431</v>
      </c>
      <c r="C50" s="287"/>
      <c r="D50" s="287"/>
      <c r="E50" s="287"/>
      <c r="F50" s="287"/>
      <c r="G50" s="287"/>
      <c r="H50" s="287"/>
      <c r="I50" s="288"/>
    </row>
    <row r="51" spans="2:9" x14ac:dyDescent="0.35">
      <c r="C51" s="286" t="s">
        <v>394</v>
      </c>
      <c r="D51" s="287"/>
      <c r="E51" s="287"/>
      <c r="F51" s="287"/>
      <c r="G51" s="287"/>
      <c r="H51" s="287"/>
      <c r="I51" s="288"/>
    </row>
    <row r="52" spans="2:9" ht="24" customHeight="1" thickBot="1" x14ac:dyDescent="0.4">
      <c r="C52" s="32" t="s">
        <v>432</v>
      </c>
      <c r="D52" s="33">
        <f>'1) Tableau budgétaire 1'!D49</f>
        <v>6500</v>
      </c>
      <c r="E52" s="33">
        <f>'1) Tableau budgétaire 1'!E49</f>
        <v>10000</v>
      </c>
      <c r="F52" s="33">
        <f>'1) Tableau budgétaire 1'!F49</f>
        <v>12000</v>
      </c>
      <c r="G52" s="33">
        <f>'1) Tableau budgétaire 1'!J49</f>
        <v>15760</v>
      </c>
      <c r="H52" s="33">
        <f>+'1) Tableau budgétaire 1'!L49</f>
        <v>0</v>
      </c>
      <c r="I52" s="34">
        <f>SUM(D52:H52)</f>
        <v>44260</v>
      </c>
    </row>
    <row r="53" spans="2:9" ht="15.75" customHeight="1" x14ac:dyDescent="0.35">
      <c r="C53" s="30" t="s">
        <v>418</v>
      </c>
      <c r="D53" s="61"/>
      <c r="E53" s="61"/>
      <c r="F53" s="62"/>
      <c r="G53" s="62"/>
      <c r="H53" s="62"/>
      <c r="I53" s="31">
        <f>SUM(D53:H53)</f>
        <v>0</v>
      </c>
    </row>
    <row r="54" spans="2:9" ht="15.75" customHeight="1" x14ac:dyDescent="0.35">
      <c r="C54" s="24" t="s">
        <v>419</v>
      </c>
      <c r="D54" s="63"/>
      <c r="E54" s="63"/>
      <c r="F54" s="7"/>
      <c r="G54" s="7"/>
      <c r="H54" s="7"/>
      <c r="I54" s="31">
        <f t="shared" ref="I54:I59" si="7">SUM(D54:H54)</f>
        <v>0</v>
      </c>
    </row>
    <row r="55" spans="2:9" ht="15.75" customHeight="1" x14ac:dyDescent="0.35">
      <c r="C55" s="24" t="s">
        <v>420</v>
      </c>
      <c r="D55" s="63"/>
      <c r="E55" s="63"/>
      <c r="F55" s="63"/>
      <c r="G55" s="63"/>
      <c r="H55" s="63"/>
      <c r="I55" s="31">
        <f t="shared" si="7"/>
        <v>0</v>
      </c>
    </row>
    <row r="56" spans="2:9" ht="18.75" customHeight="1" x14ac:dyDescent="0.35">
      <c r="C56" s="25" t="s">
        <v>421</v>
      </c>
      <c r="D56" s="63">
        <v>2000</v>
      </c>
      <c r="E56" s="63"/>
      <c r="F56" s="63"/>
      <c r="G56" s="63"/>
      <c r="H56" s="63"/>
      <c r="I56" s="31">
        <f t="shared" si="7"/>
        <v>2000</v>
      </c>
    </row>
    <row r="57" spans="2:9" x14ac:dyDescent="0.35">
      <c r="C57" s="24" t="s">
        <v>422</v>
      </c>
      <c r="D57" s="63">
        <v>2000</v>
      </c>
      <c r="E57" s="63">
        <v>10000</v>
      </c>
      <c r="F57" s="63"/>
      <c r="G57" s="63">
        <v>10000</v>
      </c>
      <c r="H57" s="63"/>
      <c r="I57" s="31">
        <f t="shared" si="7"/>
        <v>22000</v>
      </c>
    </row>
    <row r="58" spans="2:9" s="27" customFormat="1" ht="21.75" customHeight="1" x14ac:dyDescent="0.35">
      <c r="B58" s="26"/>
      <c r="C58" s="24" t="s">
        <v>423</v>
      </c>
      <c r="D58" s="63"/>
      <c r="E58" s="63"/>
      <c r="F58" s="63"/>
      <c r="G58" s="63"/>
      <c r="H58" s="63"/>
      <c r="I58" s="31">
        <f t="shared" si="7"/>
        <v>0</v>
      </c>
    </row>
    <row r="59" spans="2:9" s="27" customFormat="1" ht="31" x14ac:dyDescent="0.35">
      <c r="B59" s="26"/>
      <c r="C59" s="24" t="s">
        <v>424</v>
      </c>
      <c r="D59" s="63">
        <v>2500</v>
      </c>
      <c r="E59" s="63">
        <v>0</v>
      </c>
      <c r="F59" s="63">
        <v>12000</v>
      </c>
      <c r="G59" s="63">
        <v>5760</v>
      </c>
      <c r="H59" s="63"/>
      <c r="I59" s="31">
        <f t="shared" si="7"/>
        <v>20260</v>
      </c>
    </row>
    <row r="60" spans="2:9" x14ac:dyDescent="0.35">
      <c r="C60" s="28" t="s">
        <v>14</v>
      </c>
      <c r="D60" s="35">
        <f t="shared" ref="D60:I60" si="8">SUM(D53:D59)</f>
        <v>6500</v>
      </c>
      <c r="E60" s="35">
        <f t="shared" si="8"/>
        <v>10000</v>
      </c>
      <c r="F60" s="35">
        <f t="shared" si="8"/>
        <v>12000</v>
      </c>
      <c r="G60" s="35">
        <f t="shared" si="8"/>
        <v>15760</v>
      </c>
      <c r="H60" s="35">
        <f t="shared" si="8"/>
        <v>0</v>
      </c>
      <c r="I60" s="35">
        <f t="shared" si="8"/>
        <v>44260</v>
      </c>
    </row>
    <row r="61" spans="2:9" s="27" customFormat="1" x14ac:dyDescent="0.35">
      <c r="C61" s="36"/>
      <c r="D61" s="37"/>
      <c r="E61" s="37"/>
      <c r="F61" s="37"/>
      <c r="G61" s="37"/>
      <c r="H61" s="37"/>
      <c r="I61" s="38"/>
    </row>
    <row r="62" spans="2:9" x14ac:dyDescent="0.35">
      <c r="B62" s="27"/>
      <c r="C62" s="286" t="s">
        <v>399</v>
      </c>
      <c r="D62" s="287"/>
      <c r="E62" s="287"/>
      <c r="F62" s="287"/>
      <c r="G62" s="287"/>
      <c r="H62" s="287"/>
      <c r="I62" s="288"/>
    </row>
    <row r="63" spans="2:9" ht="21.75" customHeight="1" thickBot="1" x14ac:dyDescent="0.4">
      <c r="C63" s="32" t="s">
        <v>433</v>
      </c>
      <c r="D63" s="33">
        <f>'1) Tableau budgétaire 1'!D54</f>
        <v>18500</v>
      </c>
      <c r="E63" s="33">
        <f>'1) Tableau budgétaire 1'!E54</f>
        <v>25000</v>
      </c>
      <c r="F63" s="33">
        <f>'1) Tableau budgétaire 1'!F54</f>
        <v>50000</v>
      </c>
      <c r="G63" s="33">
        <f>'1) Tableau budgétaire 1'!J54</f>
        <v>10000</v>
      </c>
      <c r="H63" s="33">
        <f>+'1) Tableau budgétaire 1'!L54</f>
        <v>0</v>
      </c>
      <c r="I63" s="34">
        <f>SUM(D63:H63)</f>
        <v>103500</v>
      </c>
    </row>
    <row r="64" spans="2:9" ht="15.75" customHeight="1" x14ac:dyDescent="0.35">
      <c r="C64" s="30" t="s">
        <v>418</v>
      </c>
      <c r="D64" s="61"/>
      <c r="E64" s="61"/>
      <c r="F64" s="62"/>
      <c r="G64" s="62"/>
      <c r="H64" s="62"/>
      <c r="I64" s="31">
        <f>SUM(D64:H64)</f>
        <v>0</v>
      </c>
    </row>
    <row r="65" spans="3:9" ht="15.75" customHeight="1" x14ac:dyDescent="0.35">
      <c r="C65" s="24" t="s">
        <v>419</v>
      </c>
      <c r="D65" s="63"/>
      <c r="E65" s="63"/>
      <c r="F65" s="7"/>
      <c r="G65" s="7"/>
      <c r="H65" s="7"/>
      <c r="I65" s="31">
        <f t="shared" ref="I65:I70" si="9">SUM(D65:H65)</f>
        <v>0</v>
      </c>
    </row>
    <row r="66" spans="3:9" ht="15.75" customHeight="1" x14ac:dyDescent="0.35">
      <c r="C66" s="24" t="s">
        <v>420</v>
      </c>
      <c r="D66" s="63"/>
      <c r="E66" s="63"/>
      <c r="F66" s="63"/>
      <c r="G66" s="63"/>
      <c r="H66" s="63"/>
      <c r="I66" s="31">
        <f t="shared" si="9"/>
        <v>0</v>
      </c>
    </row>
    <row r="67" spans="3:9" x14ac:dyDescent="0.35">
      <c r="C67" s="25" t="s">
        <v>421</v>
      </c>
      <c r="D67" s="63"/>
      <c r="E67" s="63">
        <v>25000</v>
      </c>
      <c r="F67" s="63">
        <v>50000</v>
      </c>
      <c r="G67" s="63">
        <v>5000</v>
      </c>
      <c r="H67" s="63"/>
      <c r="I67" s="31">
        <f t="shared" si="9"/>
        <v>80000</v>
      </c>
    </row>
    <row r="68" spans="3:9" x14ac:dyDescent="0.35">
      <c r="C68" s="24" t="s">
        <v>422</v>
      </c>
      <c r="D68" s="63"/>
      <c r="E68" s="63"/>
      <c r="F68" s="63"/>
      <c r="G68" s="63"/>
      <c r="H68" s="63"/>
      <c r="I68" s="31">
        <f t="shared" si="9"/>
        <v>0</v>
      </c>
    </row>
    <row r="69" spans="3:9" x14ac:dyDescent="0.35">
      <c r="C69" s="24" t="s">
        <v>423</v>
      </c>
      <c r="D69" s="63"/>
      <c r="E69" s="63"/>
      <c r="F69" s="63"/>
      <c r="G69" s="63"/>
      <c r="H69" s="63"/>
      <c r="I69" s="31">
        <f t="shared" si="9"/>
        <v>0</v>
      </c>
    </row>
    <row r="70" spans="3:9" ht="31" x14ac:dyDescent="0.35">
      <c r="C70" s="24" t="s">
        <v>424</v>
      </c>
      <c r="D70" s="63">
        <v>18500</v>
      </c>
      <c r="E70" s="63"/>
      <c r="F70" s="63"/>
      <c r="G70" s="63">
        <v>5000</v>
      </c>
      <c r="H70" s="63"/>
      <c r="I70" s="31">
        <f t="shared" si="9"/>
        <v>23500</v>
      </c>
    </row>
    <row r="71" spans="3:9" x14ac:dyDescent="0.35">
      <c r="C71" s="28" t="s">
        <v>14</v>
      </c>
      <c r="D71" s="35">
        <f>SUM(D64:D70)</f>
        <v>18500</v>
      </c>
      <c r="E71" s="35">
        <f>SUM(E64:E70)</f>
        <v>25000</v>
      </c>
      <c r="F71" s="35">
        <f>SUM(F64:F70)</f>
        <v>50000</v>
      </c>
      <c r="G71" s="35">
        <f>SUM(G64:G70)</f>
        <v>10000</v>
      </c>
      <c r="H71" s="35">
        <f t="shared" ref="H71:I71" si="10">SUM(H64:H70)</f>
        <v>0</v>
      </c>
      <c r="I71" s="35">
        <f t="shared" si="10"/>
        <v>103500</v>
      </c>
    </row>
    <row r="72" spans="3:9" s="27" customFormat="1" x14ac:dyDescent="0.35">
      <c r="C72" s="36"/>
      <c r="D72" s="37"/>
      <c r="E72" s="37"/>
      <c r="F72" s="37"/>
      <c r="G72" s="37"/>
      <c r="H72" s="37"/>
      <c r="I72" s="38"/>
    </row>
    <row r="73" spans="3:9" ht="15.75" customHeight="1" x14ac:dyDescent="0.35"/>
    <row r="74" spans="3:9" ht="15.75" customHeight="1" thickBot="1" x14ac:dyDescent="0.4"/>
    <row r="75" spans="3:9" ht="19.5" customHeight="1" thickBot="1" x14ac:dyDescent="0.4">
      <c r="C75" s="283" t="s">
        <v>414</v>
      </c>
      <c r="D75" s="284"/>
      <c r="E75" s="284"/>
      <c r="F75" s="284"/>
      <c r="G75" s="284"/>
      <c r="H75" s="284"/>
      <c r="I75" s="285"/>
    </row>
    <row r="76" spans="3:9" ht="51.75" customHeight="1" x14ac:dyDescent="0.35">
      <c r="C76" s="41"/>
      <c r="D76" s="129" t="str">
        <f>'1) Tableau budgétaire 1'!D57</f>
        <v>Organisation recipiendiaire  (budget en USD) PNUD 2020-2021</v>
      </c>
      <c r="E76" s="129" t="str">
        <f>'1) Tableau budgétaire 1'!E57</f>
        <v>Organisation recipiendiaire (budget en USD) PNUD 2022</v>
      </c>
      <c r="F76" s="129" t="str">
        <f>'1) Tableau budgétaire 1'!F5</f>
        <v>Organisation recipiendiaire  (budget en USD)  PNUD 2023</v>
      </c>
      <c r="G76" s="129" t="str">
        <f>'1) Tableau budgétaire 1'!J5</f>
        <v>Organisation recipiendiaire  (budget en USD) PNUD 2024-2025</v>
      </c>
      <c r="H76" s="129" t="s">
        <v>540</v>
      </c>
      <c r="I76" s="125" t="s">
        <v>414</v>
      </c>
    </row>
    <row r="77" spans="3:9" ht="19.5" customHeight="1" x14ac:dyDescent="0.35">
      <c r="C77" s="130" t="s">
        <v>418</v>
      </c>
      <c r="D77" s="80">
        <f t="shared" ref="D77:E83" si="11">SUM(D64,D53,D41,D30,D19,D8)</f>
        <v>125000</v>
      </c>
      <c r="E77" s="80">
        <f t="shared" si="11"/>
        <v>141468</v>
      </c>
      <c r="F77" s="80">
        <f t="shared" ref="F77:I77" si="12">SUM(F64,F53,F41,F30,F19,F8)</f>
        <v>97230.24</v>
      </c>
      <c r="G77" s="80">
        <f t="shared" si="12"/>
        <v>215000</v>
      </c>
      <c r="H77" s="80">
        <f t="shared" si="12"/>
        <v>145436.76</v>
      </c>
      <c r="I77" s="80">
        <f t="shared" si="12"/>
        <v>724135</v>
      </c>
    </row>
    <row r="78" spans="3:9" ht="34.5" customHeight="1" x14ac:dyDescent="0.35">
      <c r="C78" s="94" t="s">
        <v>419</v>
      </c>
      <c r="D78" s="42">
        <f t="shared" si="11"/>
        <v>61000</v>
      </c>
      <c r="E78" s="42">
        <f t="shared" si="11"/>
        <v>53500</v>
      </c>
      <c r="F78" s="42">
        <f t="shared" ref="F78:I78" si="13">SUM(F65,F54,F42,F31,F20,F9)</f>
        <v>3000</v>
      </c>
      <c r="G78" s="42">
        <f t="shared" si="13"/>
        <v>10000</v>
      </c>
      <c r="H78" s="42">
        <f t="shared" si="13"/>
        <v>0</v>
      </c>
      <c r="I78" s="80">
        <f t="shared" si="13"/>
        <v>127500</v>
      </c>
    </row>
    <row r="79" spans="3:9" ht="48" customHeight="1" x14ac:dyDescent="0.35">
      <c r="C79" s="94" t="s">
        <v>420</v>
      </c>
      <c r="D79" s="42">
        <f t="shared" si="11"/>
        <v>50000</v>
      </c>
      <c r="E79" s="42">
        <f t="shared" si="11"/>
        <v>16000</v>
      </c>
      <c r="F79" s="42">
        <f t="shared" ref="F79:I79" si="14">SUM(F66,F55,F43,F32,F21,F10)</f>
        <v>5000</v>
      </c>
      <c r="G79" s="42">
        <f t="shared" si="14"/>
        <v>30000</v>
      </c>
      <c r="H79" s="42">
        <f t="shared" si="14"/>
        <v>0</v>
      </c>
      <c r="I79" s="80">
        <f t="shared" si="14"/>
        <v>101000</v>
      </c>
    </row>
    <row r="80" spans="3:9" ht="33" customHeight="1" x14ac:dyDescent="0.35">
      <c r="C80" s="95" t="s">
        <v>421</v>
      </c>
      <c r="D80" s="42">
        <f t="shared" si="11"/>
        <v>222930</v>
      </c>
      <c r="E80" s="42">
        <f t="shared" si="11"/>
        <v>84000</v>
      </c>
      <c r="F80" s="42">
        <f t="shared" ref="F80:I80" si="15">SUM(F67,F56,F44,F33,F22,F11)</f>
        <v>233380</v>
      </c>
      <c r="G80" s="42">
        <f t="shared" si="15"/>
        <v>224761.12</v>
      </c>
      <c r="H80" s="42">
        <f t="shared" si="15"/>
        <v>89937.07</v>
      </c>
      <c r="I80" s="80">
        <f t="shared" si="15"/>
        <v>855008.19</v>
      </c>
    </row>
    <row r="81" spans="3:9" ht="21" customHeight="1" x14ac:dyDescent="0.35">
      <c r="C81" s="94" t="s">
        <v>422</v>
      </c>
      <c r="D81" s="42">
        <f t="shared" si="11"/>
        <v>39500</v>
      </c>
      <c r="E81" s="42">
        <f t="shared" si="11"/>
        <v>147000</v>
      </c>
      <c r="F81" s="42">
        <f t="shared" ref="F81:I81" si="16">SUM(F68,F57,F45,F34,F23,F12)</f>
        <v>125000</v>
      </c>
      <c r="G81" s="42">
        <f t="shared" si="16"/>
        <v>138579.44</v>
      </c>
      <c r="H81" s="42">
        <f t="shared" si="16"/>
        <v>30000</v>
      </c>
      <c r="I81" s="80">
        <f t="shared" si="16"/>
        <v>480079.44</v>
      </c>
    </row>
    <row r="82" spans="3:9" ht="39.75" customHeight="1" x14ac:dyDescent="0.35">
      <c r="C82" s="94" t="s">
        <v>423</v>
      </c>
      <c r="D82" s="42">
        <f t="shared" si="11"/>
        <v>0</v>
      </c>
      <c r="E82" s="42">
        <f t="shared" si="11"/>
        <v>0</v>
      </c>
      <c r="F82" s="42">
        <f t="shared" ref="F82:I82" si="17">SUM(F69,F58,F46,F35,F24,F13)</f>
        <v>0</v>
      </c>
      <c r="G82" s="42">
        <f t="shared" si="17"/>
        <v>0</v>
      </c>
      <c r="H82" s="42">
        <f t="shared" si="17"/>
        <v>0</v>
      </c>
      <c r="I82" s="80">
        <f t="shared" si="17"/>
        <v>0</v>
      </c>
    </row>
    <row r="83" spans="3:9" ht="39.75" customHeight="1" x14ac:dyDescent="0.35">
      <c r="C83" s="94" t="s">
        <v>424</v>
      </c>
      <c r="D83" s="80">
        <f t="shared" si="11"/>
        <v>78300</v>
      </c>
      <c r="E83" s="80">
        <f t="shared" si="11"/>
        <v>35500</v>
      </c>
      <c r="F83" s="80">
        <f t="shared" ref="F83:I83" si="18">SUM(F70,F59,F47,F36,F25,F14)</f>
        <v>160500</v>
      </c>
      <c r="G83" s="80">
        <f t="shared" si="18"/>
        <v>154239.44</v>
      </c>
      <c r="H83" s="80">
        <f t="shared" si="18"/>
        <v>15000</v>
      </c>
      <c r="I83" s="80">
        <f t="shared" si="18"/>
        <v>443539.44</v>
      </c>
    </row>
    <row r="84" spans="3:9" ht="22.5" customHeight="1" x14ac:dyDescent="0.35">
      <c r="C84" s="75" t="s">
        <v>406</v>
      </c>
      <c r="D84" s="81">
        <f>SUM(D77:D83)</f>
        <v>576730</v>
      </c>
      <c r="E84" s="81">
        <f>SUM(E77:E83)</f>
        <v>477468</v>
      </c>
      <c r="F84" s="81">
        <f>SUM(F77:F83)</f>
        <v>624110.24</v>
      </c>
      <c r="G84" s="81">
        <f>SUM(G77:G83)</f>
        <v>772580</v>
      </c>
      <c r="H84" s="81">
        <f>SUM(H77:H83)</f>
        <v>280373.83</v>
      </c>
      <c r="I84" s="80">
        <f t="shared" ref="I84" si="19">SUM(I71,I60,I48,I37,I26,I15)</f>
        <v>2731262.0700000003</v>
      </c>
    </row>
    <row r="85" spans="3:9" ht="26.25" customHeight="1" thickBot="1" x14ac:dyDescent="0.4">
      <c r="C85" s="75" t="s">
        <v>407</v>
      </c>
      <c r="D85" s="43">
        <f>D84*0.07</f>
        <v>40371.100000000006</v>
      </c>
      <c r="E85" s="43">
        <f>E84*0.07</f>
        <v>33422.76</v>
      </c>
      <c r="F85" s="43">
        <f t="shared" ref="F85:H85" si="20">F84*0.07</f>
        <v>43687.716800000002</v>
      </c>
      <c r="G85" s="43">
        <f t="shared" si="20"/>
        <v>54080.600000000006</v>
      </c>
      <c r="H85" s="43">
        <f t="shared" si="20"/>
        <v>19626.168100000003</v>
      </c>
      <c r="I85" s="43">
        <f>I84*0.07</f>
        <v>191188.34490000003</v>
      </c>
    </row>
    <row r="86" spans="3:9" ht="23.25" customHeight="1" thickBot="1" x14ac:dyDescent="0.4">
      <c r="C86" s="82" t="s">
        <v>364</v>
      </c>
      <c r="D86" s="83">
        <f>SUM(D84:D85)</f>
        <v>617101.1</v>
      </c>
      <c r="E86" s="83">
        <f>SUM(E84:E85)</f>
        <v>510890.76</v>
      </c>
      <c r="F86" s="83">
        <f t="shared" ref="F86:I86" si="21">SUM(F84:F85)</f>
        <v>667797.95680000004</v>
      </c>
      <c r="G86" s="83">
        <f t="shared" si="21"/>
        <v>826660.6</v>
      </c>
      <c r="H86" s="83">
        <f t="shared" si="21"/>
        <v>299999.99810000003</v>
      </c>
      <c r="I86" s="83">
        <f t="shared" si="21"/>
        <v>2922450.4149000002</v>
      </c>
    </row>
    <row r="87" spans="3:9" ht="15.75" customHeight="1" x14ac:dyDescent="0.35"/>
    <row r="88" spans="3:9" ht="15.75" customHeight="1" x14ac:dyDescent="0.35"/>
    <row r="89" spans="3:9" ht="15.75" customHeight="1" x14ac:dyDescent="0.35"/>
    <row r="90" spans="3:9" ht="12" customHeight="1" x14ac:dyDescent="0.35"/>
    <row r="91" spans="3:9" ht="24.75" hidden="1" customHeight="1" x14ac:dyDescent="0.35"/>
    <row r="92" spans="3:9" ht="41.25" hidden="1" customHeight="1" x14ac:dyDescent="0.35"/>
    <row r="93" spans="3:9" ht="51.75" hidden="1" customHeight="1" x14ac:dyDescent="0.35"/>
    <row r="94" spans="3:9" ht="42" hidden="1" customHeight="1" x14ac:dyDescent="0.35"/>
    <row r="95" spans="3:9" s="27" customFormat="1" ht="42" hidden="1" customHeight="1" x14ac:dyDescent="0.35">
      <c r="C95" s="26"/>
      <c r="I95" s="26"/>
    </row>
    <row r="96" spans="3:9" s="27" customFormat="1" ht="30" customHeight="1" x14ac:dyDescent="0.35">
      <c r="C96" s="26"/>
      <c r="I96" s="26"/>
    </row>
    <row r="97" spans="3:9" s="27" customFormat="1" ht="63.75" hidden="1" customHeight="1" x14ac:dyDescent="0.35">
      <c r="C97" s="26"/>
      <c r="I97" s="26"/>
    </row>
    <row r="98" spans="3:9" s="27" customFormat="1" ht="42" hidden="1" customHeight="1" x14ac:dyDescent="0.35">
      <c r="C98" s="26"/>
      <c r="I98" s="26"/>
    </row>
    <row r="99" spans="3:9" ht="23.25" hidden="1" customHeight="1" x14ac:dyDescent="0.35"/>
    <row r="100" spans="3:9" ht="27.75" hidden="1" customHeight="1" x14ac:dyDescent="0.35"/>
  </sheetData>
  <sheetProtection insertColumns="0" insertRows="0" deleteRows="0"/>
  <mergeCells count="11">
    <mergeCell ref="C75:I75"/>
    <mergeCell ref="C62:I62"/>
    <mergeCell ref="C51:I51"/>
    <mergeCell ref="C1:G1"/>
    <mergeCell ref="C2:G2"/>
    <mergeCell ref="B5:I5"/>
    <mergeCell ref="C6:I6"/>
    <mergeCell ref="B50:I50"/>
    <mergeCell ref="C17:I17"/>
    <mergeCell ref="C28:I28"/>
    <mergeCell ref="C39:I39"/>
  </mergeCells>
  <conditionalFormatting sqref="I15">
    <cfRule type="cellIs" dxfId="6" priority="18" operator="notEqual">
      <formula>$I$7</formula>
    </cfRule>
  </conditionalFormatting>
  <conditionalFormatting sqref="I26">
    <cfRule type="cellIs" dxfId="5" priority="17" operator="notEqual">
      <formula>$I$18</formula>
    </cfRule>
  </conditionalFormatting>
  <conditionalFormatting sqref="I37">
    <cfRule type="cellIs" dxfId="4" priority="16" operator="notEqual">
      <formula>$I$29</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14 C25 C36 C47 C59 C70 C83" xr:uid="{53748C35-115E-4395-B10C-50CE2F13DC2F}"/>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3 C24 C35 C46 C58 C69 C82" xr:uid="{9DD30DAD-252C-43C8-B2D2-D70E24558917}"/>
    <dataValidation allowBlank="1" showInputMessage="1" showErrorMessage="1" prompt="Services contracted by an organization which follow the normal procurement processes." sqref="C11 C22 C33 C44 C56 C67 C80" xr:uid="{D2D4883A-DF6E-4599-89E1-C25704DD6B71}"/>
    <dataValidation allowBlank="1" showInputMessage="1" showErrorMessage="1" prompt="Includes staff and non-staff travel paid for by the organization directly related to a project." sqref="C12 C23 C34 C45 C57 C68 C81" xr:uid="{F27DF7D7-7F10-4851-B4D7-4F92CEE88467}"/>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0 C21 C32 C43 C55 C66 C79" xr:uid="{28FB34E1-B486-4509-82E8-BD76BC77C499}"/>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9 C20 C31 C42 C54 C65 C78" xr:uid="{F098AF50-6738-49DD-B927-47F3EEE74261}"/>
    <dataValidation allowBlank="1" showInputMessage="1" showErrorMessage="1" prompt="Includes all related staff and temporary staff costs including base salary, post adjustment and all staff entitlements." sqref="C8 C19 C30 C41 C53 C64 C77" xr:uid="{340B5EBB-3C3E-458C-BC5F-57C720FFB61A}"/>
    <dataValidation allowBlank="1" showInputMessage="1" showErrorMessage="1" prompt="Output totals must match the original total from Table 1, and will show as red if not. " sqref="I15" xr:uid="{CB4E1972-F42E-40FE-9670-1760DDE11E59}"/>
  </dataValidations>
  <pageMargins left="0.7" right="1.31" top="0.75" bottom="0.75" header="0.3" footer="0.3"/>
  <pageSetup scale="42" orientation="landscape" r:id="rId1"/>
  <rowBreaks count="2" manualBreakCount="2">
    <brk id="61" max="16383" man="1"/>
    <brk id="96" max="2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7206-DF8F-4C09-A3F6-6A5B9323F72F}">
  <sheetPr>
    <tabColor theme="2" tint="-0.499984740745262"/>
  </sheetPr>
  <dimension ref="B1:B14"/>
  <sheetViews>
    <sheetView showGridLines="0" topLeftCell="A3" workbookViewId="0"/>
  </sheetViews>
  <sheetFormatPr baseColWidth="10" defaultColWidth="8.81640625" defaultRowHeight="14.5" x14ac:dyDescent="0.35"/>
  <cols>
    <col min="2" max="2" width="73.1796875" customWidth="1"/>
  </cols>
  <sheetData>
    <row r="1" spans="2:2" ht="15" thickBot="1" x14ac:dyDescent="0.4"/>
    <row r="2" spans="2:2" ht="15" thickBot="1" x14ac:dyDescent="0.4">
      <c r="B2" s="99" t="s">
        <v>434</v>
      </c>
    </row>
    <row r="3" spans="2:2" ht="70.5" customHeight="1" x14ac:dyDescent="0.35">
      <c r="B3" s="100" t="s">
        <v>441</v>
      </c>
    </row>
    <row r="4" spans="2:2" ht="58" x14ac:dyDescent="0.35">
      <c r="B4" s="97" t="s">
        <v>435</v>
      </c>
    </row>
    <row r="5" spans="2:2" x14ac:dyDescent="0.35">
      <c r="B5" s="97"/>
    </row>
    <row r="6" spans="2:2" ht="58" x14ac:dyDescent="0.35">
      <c r="B6" s="96" t="s">
        <v>436</v>
      </c>
    </row>
    <row r="7" spans="2:2" x14ac:dyDescent="0.35">
      <c r="B7" s="97"/>
    </row>
    <row r="8" spans="2:2" ht="72.5" x14ac:dyDescent="0.35">
      <c r="B8" s="96" t="s">
        <v>442</v>
      </c>
    </row>
    <row r="9" spans="2:2" x14ac:dyDescent="0.35">
      <c r="B9" s="97"/>
    </row>
    <row r="10" spans="2:2" ht="29" x14ac:dyDescent="0.35">
      <c r="B10" s="97" t="s">
        <v>437</v>
      </c>
    </row>
    <row r="11" spans="2:2" x14ac:dyDescent="0.35">
      <c r="B11" s="97"/>
    </row>
    <row r="12" spans="2:2" ht="72.5" x14ac:dyDescent="0.35">
      <c r="B12" s="96" t="s">
        <v>443</v>
      </c>
    </row>
    <row r="13" spans="2:2" x14ac:dyDescent="0.35">
      <c r="B13" s="97"/>
    </row>
    <row r="14" spans="2:2" ht="58.5" thickBot="1" x14ac:dyDescent="0.4">
      <c r="B14" s="98" t="s">
        <v>438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AB4F5-934D-4955-B89C-92351ADA92DB}">
  <sheetPr>
    <tabColor theme="2" tint="-0.499984740745262"/>
  </sheetPr>
  <dimension ref="B1:D47"/>
  <sheetViews>
    <sheetView showGridLines="0" showZeros="0" view="pageBreakPreview" zoomScale="70" zoomScaleNormal="80" zoomScaleSheetLayoutView="70" workbookViewId="0">
      <selection activeCell="I11" sqref="I11"/>
    </sheetView>
  </sheetViews>
  <sheetFormatPr baseColWidth="10" defaultColWidth="8.81640625" defaultRowHeight="14.5" x14ac:dyDescent="0.35"/>
  <cols>
    <col min="2" max="2" width="61.81640625" customWidth="1"/>
    <col min="4" max="4" width="17.81640625" customWidth="1"/>
  </cols>
  <sheetData>
    <row r="1" spans="2:4" ht="15" thickBot="1" x14ac:dyDescent="0.4"/>
    <row r="2" spans="2:4" x14ac:dyDescent="0.35">
      <c r="B2" s="306" t="s">
        <v>365</v>
      </c>
      <c r="C2" s="307"/>
      <c r="D2" s="308"/>
    </row>
    <row r="3" spans="2:4" ht="15" thickBot="1" x14ac:dyDescent="0.4">
      <c r="B3" s="309"/>
      <c r="C3" s="310"/>
      <c r="D3" s="311"/>
    </row>
    <row r="4" spans="2:4" ht="15" thickBot="1" x14ac:dyDescent="0.4"/>
    <row r="5" spans="2:4" x14ac:dyDescent="0.35">
      <c r="B5" s="297" t="s">
        <v>15</v>
      </c>
      <c r="C5" s="298"/>
      <c r="D5" s="299"/>
    </row>
    <row r="6" spans="2:4" ht="15" thickBot="1" x14ac:dyDescent="0.4">
      <c r="B6" s="300"/>
      <c r="C6" s="301"/>
      <c r="D6" s="302"/>
    </row>
    <row r="7" spans="2:4" x14ac:dyDescent="0.35">
      <c r="B7" s="50" t="s">
        <v>16</v>
      </c>
      <c r="C7" s="295">
        <f>SUM('1) Tableau budgétaire 1'!E17:J17,'1) Tableau budgétaire 1'!E23:J23,'1) Tableau budgétaire 1'!E29:J29,'1) Tableau budgétaire 1'!E41:J41)</f>
        <v>4864014.72</v>
      </c>
      <c r="D7" s="296"/>
    </row>
    <row r="8" spans="2:4" x14ac:dyDescent="0.35">
      <c r="B8" s="50" t="s">
        <v>363</v>
      </c>
      <c r="C8" s="293">
        <f>SUM(D10:D14)</f>
        <v>0</v>
      </c>
      <c r="D8" s="294"/>
    </row>
    <row r="9" spans="2:4" x14ac:dyDescent="0.35">
      <c r="B9" s="51" t="s">
        <v>357</v>
      </c>
      <c r="C9" s="52" t="s">
        <v>358</v>
      </c>
      <c r="D9" s="53" t="s">
        <v>359</v>
      </c>
    </row>
    <row r="10" spans="2:4" ht="35.15" customHeight="1" x14ac:dyDescent="0.35">
      <c r="B10" s="72"/>
      <c r="C10" s="55"/>
      <c r="D10" s="56">
        <f>$C$7*C10</f>
        <v>0</v>
      </c>
    </row>
    <row r="11" spans="2:4" ht="35.15" customHeight="1" x14ac:dyDescent="0.35">
      <c r="B11" s="72"/>
      <c r="C11" s="55"/>
      <c r="D11" s="56">
        <f>C7*C11</f>
        <v>0</v>
      </c>
    </row>
    <row r="12" spans="2:4" ht="35.15" customHeight="1" x14ac:dyDescent="0.35">
      <c r="B12" s="73"/>
      <c r="C12" s="55"/>
      <c r="D12" s="56">
        <f>C7*C12</f>
        <v>0</v>
      </c>
    </row>
    <row r="13" spans="2:4" ht="35.15" customHeight="1" x14ac:dyDescent="0.35">
      <c r="B13" s="73"/>
      <c r="C13" s="55"/>
      <c r="D13" s="56">
        <f>C7*C13</f>
        <v>0</v>
      </c>
    </row>
    <row r="14" spans="2:4" ht="35.15" customHeight="1" thickBot="1" x14ac:dyDescent="0.4">
      <c r="B14" s="74"/>
      <c r="C14" s="55"/>
      <c r="D14" s="60">
        <f>C7*C14</f>
        <v>0</v>
      </c>
    </row>
    <row r="15" spans="2:4" ht="15" thickBot="1" x14ac:dyDescent="0.4"/>
    <row r="16" spans="2:4" x14ac:dyDescent="0.35">
      <c r="B16" s="297" t="s">
        <v>360</v>
      </c>
      <c r="C16" s="298"/>
      <c r="D16" s="299"/>
    </row>
    <row r="17" spans="2:4" ht="15" thickBot="1" x14ac:dyDescent="0.4">
      <c r="B17" s="303"/>
      <c r="C17" s="304"/>
      <c r="D17" s="305"/>
    </row>
    <row r="18" spans="2:4" x14ac:dyDescent="0.35">
      <c r="B18" s="50" t="s">
        <v>16</v>
      </c>
      <c r="C18" s="295" t="e">
        <f>SUM('1) Tableau budgétaire 1'!E49:J49,'1) Tableau budgétaire 1'!E54:J54,'1) Tableau budgétaire 1'!#REF!,'1) Tableau budgétaire 1'!#REF!)</f>
        <v>#REF!</v>
      </c>
      <c r="D18" s="296"/>
    </row>
    <row r="19" spans="2:4" x14ac:dyDescent="0.35">
      <c r="B19" s="50" t="s">
        <v>363</v>
      </c>
      <c r="C19" s="293" t="e">
        <f>SUM(D21:D25)</f>
        <v>#REF!</v>
      </c>
      <c r="D19" s="294"/>
    </row>
    <row r="20" spans="2:4" x14ac:dyDescent="0.35">
      <c r="B20" s="51" t="s">
        <v>357</v>
      </c>
      <c r="C20" s="52" t="s">
        <v>358</v>
      </c>
      <c r="D20" s="53" t="s">
        <v>359</v>
      </c>
    </row>
    <row r="21" spans="2:4" ht="35.15" customHeight="1" x14ac:dyDescent="0.35">
      <c r="B21" s="54"/>
      <c r="C21" s="55"/>
      <c r="D21" s="56" t="e">
        <f>$C$18*C21</f>
        <v>#REF!</v>
      </c>
    </row>
    <row r="22" spans="2:4" ht="35.15" customHeight="1" x14ac:dyDescent="0.35">
      <c r="B22" s="57"/>
      <c r="C22" s="55"/>
      <c r="D22" s="56" t="e">
        <f>$C$18*C22</f>
        <v>#REF!</v>
      </c>
    </row>
    <row r="23" spans="2:4" ht="35.15" customHeight="1" x14ac:dyDescent="0.35">
      <c r="B23" s="58"/>
      <c r="C23" s="55"/>
      <c r="D23" s="56" t="e">
        <f>$C$18*C23</f>
        <v>#REF!</v>
      </c>
    </row>
    <row r="24" spans="2:4" ht="35.15" customHeight="1" x14ac:dyDescent="0.35">
      <c r="B24" s="58"/>
      <c r="C24" s="55"/>
      <c r="D24" s="56" t="e">
        <f>$C$18*C24</f>
        <v>#REF!</v>
      </c>
    </row>
    <row r="25" spans="2:4" ht="35.15" customHeight="1" thickBot="1" x14ac:dyDescent="0.4">
      <c r="B25" s="59"/>
      <c r="C25" s="55"/>
      <c r="D25" s="56" t="e">
        <f>$C$18*C25</f>
        <v>#REF!</v>
      </c>
    </row>
    <row r="26" spans="2:4" ht="15" thickBot="1" x14ac:dyDescent="0.4"/>
    <row r="27" spans="2:4" x14ac:dyDescent="0.35">
      <c r="B27" s="297" t="s">
        <v>361</v>
      </c>
      <c r="C27" s="298"/>
      <c r="D27" s="299"/>
    </row>
    <row r="28" spans="2:4" ht="15" thickBot="1" x14ac:dyDescent="0.4">
      <c r="B28" s="300"/>
      <c r="C28" s="301"/>
      <c r="D28" s="302"/>
    </row>
    <row r="29" spans="2:4" x14ac:dyDescent="0.35">
      <c r="B29" s="50" t="s">
        <v>16</v>
      </c>
      <c r="C29" s="295" t="e">
        <f>SUM('1) Tableau budgétaire 1'!#REF!,'1) Tableau budgétaire 1'!#REF!,'1) Tableau budgétaire 1'!#REF!,'1) Tableau budgétaire 1'!#REF!)</f>
        <v>#REF!</v>
      </c>
      <c r="D29" s="296"/>
    </row>
    <row r="30" spans="2:4" x14ac:dyDescent="0.35">
      <c r="B30" s="50" t="s">
        <v>363</v>
      </c>
      <c r="C30" s="293" t="e">
        <f>SUM(D32:D36)</f>
        <v>#REF!</v>
      </c>
      <c r="D30" s="294"/>
    </row>
    <row r="31" spans="2:4" x14ac:dyDescent="0.35">
      <c r="B31" s="51" t="s">
        <v>357</v>
      </c>
      <c r="C31" s="52" t="s">
        <v>358</v>
      </c>
      <c r="D31" s="53" t="s">
        <v>359</v>
      </c>
    </row>
    <row r="32" spans="2:4" ht="35.15" customHeight="1" x14ac:dyDescent="0.35">
      <c r="B32" s="54"/>
      <c r="C32" s="55"/>
      <c r="D32" s="56" t="e">
        <f>$C$29*C32</f>
        <v>#REF!</v>
      </c>
    </row>
    <row r="33" spans="2:4" ht="35.15" customHeight="1" x14ac:dyDescent="0.35">
      <c r="B33" s="57"/>
      <c r="C33" s="55"/>
      <c r="D33" s="56" t="e">
        <f>$C$29*C33</f>
        <v>#REF!</v>
      </c>
    </row>
    <row r="34" spans="2:4" ht="35.15" customHeight="1" x14ac:dyDescent="0.35">
      <c r="B34" s="58"/>
      <c r="C34" s="55"/>
      <c r="D34" s="56" t="e">
        <f>$C$29*C34</f>
        <v>#REF!</v>
      </c>
    </row>
    <row r="35" spans="2:4" ht="35.15" customHeight="1" x14ac:dyDescent="0.35">
      <c r="B35" s="58"/>
      <c r="C35" s="55"/>
      <c r="D35" s="56" t="e">
        <f>$C$29*C35</f>
        <v>#REF!</v>
      </c>
    </row>
    <row r="36" spans="2:4" ht="35.15" customHeight="1" thickBot="1" x14ac:dyDescent="0.4">
      <c r="B36" s="59"/>
      <c r="C36" s="55"/>
      <c r="D36" s="56" t="e">
        <f>$C$29*C36</f>
        <v>#REF!</v>
      </c>
    </row>
    <row r="37" spans="2:4" ht="15" thickBot="1" x14ac:dyDescent="0.4"/>
    <row r="38" spans="2:4" x14ac:dyDescent="0.35">
      <c r="B38" s="297" t="s">
        <v>362</v>
      </c>
      <c r="C38" s="298"/>
      <c r="D38" s="299"/>
    </row>
    <row r="39" spans="2:4" ht="15" thickBot="1" x14ac:dyDescent="0.4">
      <c r="B39" s="300"/>
      <c r="C39" s="301"/>
      <c r="D39" s="302"/>
    </row>
    <row r="40" spans="2:4" x14ac:dyDescent="0.35">
      <c r="B40" s="50" t="s">
        <v>16</v>
      </c>
      <c r="C40" s="295" t="e">
        <f>SUM('1) Tableau budgétaire 1'!#REF!,'1) Tableau budgétaire 1'!#REF!,'1) Tableau budgétaire 1'!#REF!,'1) Tableau budgétaire 1'!#REF!)</f>
        <v>#REF!</v>
      </c>
      <c r="D40" s="296"/>
    </row>
    <row r="41" spans="2:4" x14ac:dyDescent="0.35">
      <c r="B41" s="50" t="s">
        <v>363</v>
      </c>
      <c r="C41" s="293" t="e">
        <f>SUM(D43:D47)</f>
        <v>#REF!</v>
      </c>
      <c r="D41" s="294"/>
    </row>
    <row r="42" spans="2:4" x14ac:dyDescent="0.35">
      <c r="B42" s="51" t="s">
        <v>357</v>
      </c>
      <c r="C42" s="52" t="s">
        <v>358</v>
      </c>
      <c r="D42" s="53" t="s">
        <v>359</v>
      </c>
    </row>
    <row r="43" spans="2:4" ht="35.15" customHeight="1" x14ac:dyDescent="0.35">
      <c r="B43" s="54"/>
      <c r="C43" s="55"/>
      <c r="D43" s="56" t="e">
        <f>$C$40*C43</f>
        <v>#REF!</v>
      </c>
    </row>
    <row r="44" spans="2:4" ht="35.15" customHeight="1" x14ac:dyDescent="0.35">
      <c r="B44" s="57"/>
      <c r="C44" s="55"/>
      <c r="D44" s="56" t="e">
        <f>$C$40*C44</f>
        <v>#REF!</v>
      </c>
    </row>
    <row r="45" spans="2:4" ht="35.15" customHeight="1" x14ac:dyDescent="0.35">
      <c r="B45" s="58"/>
      <c r="C45" s="55"/>
      <c r="D45" s="56" t="e">
        <f>$C$40*C45</f>
        <v>#REF!</v>
      </c>
    </row>
    <row r="46" spans="2:4" ht="35.15" customHeight="1" x14ac:dyDescent="0.35">
      <c r="B46" s="58"/>
      <c r="C46" s="55"/>
      <c r="D46" s="56" t="e">
        <f>$C$40*C46</f>
        <v>#REF!</v>
      </c>
    </row>
    <row r="47" spans="2:4" ht="35.15" customHeight="1" thickBot="1" x14ac:dyDescent="0.4">
      <c r="B47" s="59"/>
      <c r="C47" s="55"/>
      <c r="D47" s="60" t="e">
        <f>$C$40*C47</f>
        <v>#REF!</v>
      </c>
    </row>
  </sheetData>
  <mergeCells count="17">
    <mergeCell ref="B2:D3"/>
    <mergeCell ref="C7:D7"/>
    <mergeCell ref="B6:D6"/>
    <mergeCell ref="B5:D5"/>
    <mergeCell ref="C8:D8"/>
    <mergeCell ref="C19:D19"/>
    <mergeCell ref="C30:D30"/>
    <mergeCell ref="B16:D16"/>
    <mergeCell ref="B17:D17"/>
    <mergeCell ref="C18:D18"/>
    <mergeCell ref="B27:D27"/>
    <mergeCell ref="B28:D28"/>
    <mergeCell ref="C41:D41"/>
    <mergeCell ref="C29:D29"/>
    <mergeCell ref="B38:D38"/>
    <mergeCell ref="B39:D39"/>
    <mergeCell ref="C40:D40"/>
  </mergeCells>
  <conditionalFormatting sqref="C8:D8">
    <cfRule type="cellIs" dxfId="3" priority="4" operator="greaterThan">
      <formula>$C$7</formula>
    </cfRule>
  </conditionalFormatting>
  <conditionalFormatting sqref="C19:D19">
    <cfRule type="cellIs" dxfId="2" priority="3" operator="greaterThan">
      <formula>$C$18</formula>
    </cfRule>
  </conditionalFormatting>
  <conditionalFormatting sqref="C30:D30">
    <cfRule type="cellIs" dxfId="1" priority="2" operator="greaterThan">
      <formula>$C$29</formula>
    </cfRule>
  </conditionalFormatting>
  <conditionalFormatting sqref="C41:D41">
    <cfRule type="cellIs" dxfId="0" priority="1" operator="greaterThan">
      <formula>$C$40</formula>
    </cfRule>
  </conditionalFormatting>
  <pageMargins left="0.7" right="0.7" top="0.75" bottom="0.75" header="0.3" footer="0.3"/>
  <pageSetup scale="92"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62FAA82D-1219-4AF1-90B6-46166E5347E9}">
          <x14:formula1>
            <xm:f>Sheet2!$A$1:$A$170</xm:f>
          </x14:formula1>
          <xm:sqref>B10:B14 B21:B25 B32:B36 B43:B47</xm:sqref>
        </x14:dataValidation>
        <x14:dataValidation type="list" allowBlank="1" showInputMessage="1" showErrorMessage="1" xr:uid="{0777CB22-5B10-42BE-9A12-0810C4C8B0D2}">
          <x14:formula1>
            <xm:f>Dropdowns!$A$1:$A$6</xm:f>
          </x14:formula1>
          <xm:sqref>C10:C14 C21:C25 C32:C36 C43:C47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7D0F-866A-4EFE-9FA3-9BBB9DEE4E64}">
  <sheetPr>
    <tabColor theme="2" tint="-0.499984740745262"/>
  </sheetPr>
  <dimension ref="B1:I29"/>
  <sheetViews>
    <sheetView showGridLines="0" zoomScale="80" zoomScaleNormal="80" workbookViewId="0">
      <selection activeCell="G7" sqref="G7"/>
    </sheetView>
  </sheetViews>
  <sheetFormatPr baseColWidth="10" defaultColWidth="8.81640625" defaultRowHeight="14.5" x14ac:dyDescent="0.35"/>
  <cols>
    <col min="1" max="1" width="2.453125" customWidth="1"/>
    <col min="2" max="2" width="20.453125" customWidth="1"/>
    <col min="3" max="5" width="25.453125" customWidth="1"/>
    <col min="6" max="7" width="22.81640625" customWidth="1"/>
    <col min="8" max="8" width="17.81640625" customWidth="1"/>
    <col min="9" max="9" width="9.54296875" customWidth="1"/>
  </cols>
  <sheetData>
    <row r="1" spans="2:8" ht="15" thickBot="1" x14ac:dyDescent="0.4"/>
    <row r="2" spans="2:8" s="44" customFormat="1" ht="15.5" x14ac:dyDescent="0.35">
      <c r="B2" s="316" t="s">
        <v>12</v>
      </c>
      <c r="C2" s="317"/>
      <c r="D2" s="317"/>
      <c r="E2" s="317"/>
      <c r="F2" s="317"/>
      <c r="G2" s="317"/>
      <c r="H2" s="318"/>
    </row>
    <row r="3" spans="2:8" s="44" customFormat="1" ht="16" thickBot="1" x14ac:dyDescent="0.4">
      <c r="B3" s="319"/>
      <c r="C3" s="320"/>
      <c r="D3" s="320"/>
      <c r="E3" s="320"/>
      <c r="F3" s="320"/>
      <c r="G3" s="320"/>
      <c r="H3" s="321"/>
    </row>
    <row r="4" spans="2:8" s="44" customFormat="1" ht="16" thickBot="1" x14ac:dyDescent="0.4"/>
    <row r="5" spans="2:8" s="44" customFormat="1" ht="16" thickBot="1" x14ac:dyDescent="0.4">
      <c r="B5" s="283" t="s">
        <v>6</v>
      </c>
      <c r="C5" s="284"/>
      <c r="D5" s="284"/>
      <c r="E5" s="284"/>
      <c r="F5" s="284"/>
      <c r="G5" s="284"/>
      <c r="H5" s="285"/>
    </row>
    <row r="6" spans="2:8" s="44" customFormat="1" ht="66.75" customHeight="1" x14ac:dyDescent="0.35">
      <c r="B6" s="41"/>
      <c r="C6" s="179" t="str">
        <f>'2) Tableau budgétaire 2'!D4</f>
        <v>Organisation recipiendiaire  (budget en USD) PNUD 2020-2021</v>
      </c>
      <c r="D6" s="179" t="str">
        <f>'2) Tableau budgétaire 2'!E4</f>
        <v>Organisation recipiendiaire (budget en USD) PNUD 2022</v>
      </c>
      <c r="E6" s="179" t="str">
        <f>'1) Tableau budgétaire 1'!F5</f>
        <v>Organisation recipiendiaire  (budget en USD)  PNUD 2023</v>
      </c>
      <c r="F6" s="184" t="str">
        <f>'1) Tableau budgétaire 1'!J5</f>
        <v>Organisation recipiendiaire  (budget en USD) PNUD 2024-2025</v>
      </c>
      <c r="G6" s="233" t="str">
        <f>'2) Tableau budgétaire 2'!H4</f>
        <v>Budget USD PNUD 2026</v>
      </c>
      <c r="H6" s="159" t="s">
        <v>6</v>
      </c>
    </row>
    <row r="7" spans="2:8" s="44" customFormat="1" ht="31" x14ac:dyDescent="0.35">
      <c r="B7" s="9" t="s">
        <v>0</v>
      </c>
      <c r="C7" s="42">
        <f>'2) Tableau budgétaire 2'!D77</f>
        <v>125000</v>
      </c>
      <c r="D7" s="42">
        <f>'2) Tableau budgétaire 2'!E77</f>
        <v>141468</v>
      </c>
      <c r="E7" s="42">
        <f>'2) Tableau budgétaire 2'!F77</f>
        <v>97230.24</v>
      </c>
      <c r="F7" s="42">
        <f>'2) Tableau budgétaire 2'!G77</f>
        <v>215000</v>
      </c>
      <c r="G7" s="234">
        <f>'2) Tableau budgétaire 2'!H8</f>
        <v>145436.76</v>
      </c>
      <c r="H7" s="40">
        <f>C7+D7+E7+F7+G7</f>
        <v>724135</v>
      </c>
    </row>
    <row r="8" spans="2:8" s="44" customFormat="1" ht="46.5" x14ac:dyDescent="0.35">
      <c r="B8" s="9" t="s">
        <v>1</v>
      </c>
      <c r="C8" s="42">
        <f>'2) Tableau budgétaire 2'!D78</f>
        <v>61000</v>
      </c>
      <c r="D8" s="42">
        <f>'2) Tableau budgétaire 2'!E78</f>
        <v>53500</v>
      </c>
      <c r="E8" s="42">
        <f>'2) Tableau budgétaire 2'!F78</f>
        <v>3000</v>
      </c>
      <c r="F8" s="42">
        <f>'2) Tableau budgétaire 2'!G78</f>
        <v>10000</v>
      </c>
      <c r="G8" s="234"/>
      <c r="H8" s="40">
        <f t="shared" ref="H8:H13" si="0">C8+D8+E8+F8+G8</f>
        <v>127500</v>
      </c>
    </row>
    <row r="9" spans="2:8" s="44" customFormat="1" ht="62" x14ac:dyDescent="0.35">
      <c r="B9" s="9" t="s">
        <v>2</v>
      </c>
      <c r="C9" s="42">
        <f>'2) Tableau budgétaire 2'!D79</f>
        <v>50000</v>
      </c>
      <c r="D9" s="42">
        <f>'2) Tableau budgétaire 2'!E79</f>
        <v>16000</v>
      </c>
      <c r="E9" s="42">
        <f>'2) Tableau budgétaire 2'!F79</f>
        <v>5000</v>
      </c>
      <c r="F9" s="42">
        <f>'2) Tableau budgétaire 2'!G79</f>
        <v>30000</v>
      </c>
      <c r="G9" s="234"/>
      <c r="H9" s="40">
        <f t="shared" si="0"/>
        <v>101000</v>
      </c>
    </row>
    <row r="10" spans="2:8" s="44" customFormat="1" ht="31" x14ac:dyDescent="0.35">
      <c r="B10" s="15" t="s">
        <v>3</v>
      </c>
      <c r="C10" s="42">
        <f>'2) Tableau budgétaire 2'!D80</f>
        <v>222930</v>
      </c>
      <c r="D10" s="42">
        <f>'2) Tableau budgétaire 2'!E80</f>
        <v>84000</v>
      </c>
      <c r="E10" s="42">
        <f>'2) Tableau budgétaire 2'!F80</f>
        <v>233380</v>
      </c>
      <c r="F10" s="42">
        <f>'2) Tableau budgétaire 2'!G80</f>
        <v>224761.12</v>
      </c>
      <c r="G10" s="234">
        <f>'2) Tableau budgétaire 2'!H80</f>
        <v>89937.07</v>
      </c>
      <c r="H10" s="40">
        <f t="shared" si="0"/>
        <v>855008.19</v>
      </c>
    </row>
    <row r="11" spans="2:8" s="44" customFormat="1" ht="15.5" x14ac:dyDescent="0.35">
      <c r="B11" s="9" t="s">
        <v>5</v>
      </c>
      <c r="C11" s="42">
        <f>'2) Tableau budgétaire 2'!D81</f>
        <v>39500</v>
      </c>
      <c r="D11" s="42">
        <f>'2) Tableau budgétaire 2'!E81</f>
        <v>147000</v>
      </c>
      <c r="E11" s="42">
        <f>'2) Tableau budgétaire 2'!F81</f>
        <v>125000</v>
      </c>
      <c r="F11" s="42">
        <f>'2) Tableau budgétaire 2'!G81</f>
        <v>138579.44</v>
      </c>
      <c r="G11" s="234">
        <f>'2) Tableau budgétaire 2'!H81</f>
        <v>30000</v>
      </c>
      <c r="H11" s="40">
        <f t="shared" si="0"/>
        <v>480079.44</v>
      </c>
    </row>
    <row r="12" spans="2:8" s="44" customFormat="1" ht="46.5" x14ac:dyDescent="0.35">
      <c r="B12" s="9" t="s">
        <v>4</v>
      </c>
      <c r="C12" s="42">
        <f>'2) Tableau budgétaire 2'!D82</f>
        <v>0</v>
      </c>
      <c r="D12" s="42">
        <f>'2) Tableau budgétaire 2'!E82</f>
        <v>0</v>
      </c>
      <c r="E12" s="42">
        <f>'2) Tableau budgétaire 2'!F82</f>
        <v>0</v>
      </c>
      <c r="F12" s="42">
        <f>'2) Tableau budgétaire 2'!G82</f>
        <v>0</v>
      </c>
      <c r="G12" s="234"/>
      <c r="H12" s="40">
        <f t="shared" si="0"/>
        <v>0</v>
      </c>
    </row>
    <row r="13" spans="2:8" s="44" customFormat="1" ht="31.5" thickBot="1" x14ac:dyDescent="0.4">
      <c r="B13" s="105" t="s">
        <v>13</v>
      </c>
      <c r="C13" s="106">
        <f>'2) Tableau budgétaire 2'!D83</f>
        <v>78300</v>
      </c>
      <c r="D13" s="106">
        <f>'2) Tableau budgétaire 2'!E83</f>
        <v>35500</v>
      </c>
      <c r="E13" s="106">
        <f>'2) Tableau budgétaire 2'!F83</f>
        <v>160500</v>
      </c>
      <c r="F13" s="106">
        <f>'2) Tableau budgétaire 2'!G83</f>
        <v>154239.44</v>
      </c>
      <c r="G13" s="235">
        <f>'2) Tableau budgétaire 2'!H14</f>
        <v>15000</v>
      </c>
      <c r="H13" s="40">
        <f t="shared" si="0"/>
        <v>443539.44</v>
      </c>
    </row>
    <row r="14" spans="2:8" s="44" customFormat="1" ht="30" customHeight="1" x14ac:dyDescent="0.35">
      <c r="B14" s="107" t="s">
        <v>445</v>
      </c>
      <c r="C14" s="108">
        <f t="shared" ref="C14:H14" si="1">SUM(C7:C13)</f>
        <v>576730</v>
      </c>
      <c r="D14" s="108">
        <f t="shared" si="1"/>
        <v>477468</v>
      </c>
      <c r="E14" s="108">
        <f t="shared" si="1"/>
        <v>624110.24</v>
      </c>
      <c r="F14" s="108">
        <f t="shared" si="1"/>
        <v>772580</v>
      </c>
      <c r="G14" s="108">
        <f t="shared" si="1"/>
        <v>280373.83</v>
      </c>
      <c r="H14" s="244">
        <f t="shared" si="1"/>
        <v>2731262.07</v>
      </c>
    </row>
    <row r="15" spans="2:8" s="44" customFormat="1" ht="22.5" customHeight="1" x14ac:dyDescent="0.35">
      <c r="B15" s="101" t="s">
        <v>444</v>
      </c>
      <c r="C15" s="102">
        <f>C14*0.07</f>
        <v>40371.100000000006</v>
      </c>
      <c r="D15" s="102">
        <f>D14*0.07</f>
        <v>33422.76</v>
      </c>
      <c r="E15" s="102">
        <f t="shared" ref="E15:H15" si="2">E14*0.07</f>
        <v>43687.716800000002</v>
      </c>
      <c r="F15" s="102">
        <f t="shared" si="2"/>
        <v>54080.600000000006</v>
      </c>
      <c r="G15" s="102">
        <f t="shared" si="2"/>
        <v>19626.168100000003</v>
      </c>
      <c r="H15" s="102">
        <f t="shared" si="2"/>
        <v>191188.3449</v>
      </c>
    </row>
    <row r="16" spans="2:8" s="44" customFormat="1" ht="30" customHeight="1" thickBot="1" x14ac:dyDescent="0.4">
      <c r="B16" s="103" t="s">
        <v>11</v>
      </c>
      <c r="C16" s="104">
        <f>C14+C15</f>
        <v>617101.1</v>
      </c>
      <c r="D16" s="104">
        <f>D14+D15</f>
        <v>510890.76</v>
      </c>
      <c r="E16" s="104">
        <f t="shared" ref="E16:H16" si="3">E14+E15</f>
        <v>667797.95680000004</v>
      </c>
      <c r="F16" s="104">
        <f t="shared" si="3"/>
        <v>826660.6</v>
      </c>
      <c r="G16" s="104">
        <f t="shared" si="3"/>
        <v>299999.99810000003</v>
      </c>
      <c r="H16" s="104">
        <f t="shared" si="3"/>
        <v>2922450.4148999997</v>
      </c>
    </row>
    <row r="17" spans="2:9" s="44" customFormat="1" ht="16" thickBot="1" x14ac:dyDescent="0.4"/>
    <row r="18" spans="2:9" s="44" customFormat="1" ht="16" thickBot="1" x14ac:dyDescent="0.4">
      <c r="B18" s="312" t="s">
        <v>7</v>
      </c>
      <c r="C18" s="313"/>
      <c r="D18" s="313"/>
      <c r="E18" s="313"/>
      <c r="F18" s="313"/>
      <c r="G18" s="314"/>
      <c r="H18" s="315"/>
    </row>
    <row r="19" spans="2:9" ht="60.75" customHeight="1" x14ac:dyDescent="0.35">
      <c r="B19" s="174"/>
      <c r="C19" s="175" t="str">
        <f>'2) Tableau budgétaire 2'!D4</f>
        <v>Organisation recipiendiaire  (budget en USD) PNUD 2020-2021</v>
      </c>
      <c r="D19" s="175" t="str">
        <f>'2) Tableau budgétaire 2'!E4</f>
        <v>Organisation recipiendiaire (budget en USD) PNUD 2022</v>
      </c>
      <c r="E19" s="175" t="str">
        <f>'1) Tableau budgétaire 1'!F5</f>
        <v>Organisation recipiendiaire  (budget en USD)  PNUD 2023</v>
      </c>
      <c r="F19" s="175" t="str">
        <f>'1) Tableau budgétaire 1'!J5</f>
        <v>Organisation recipiendiaire  (budget en USD) PNUD 2024-2025</v>
      </c>
      <c r="G19" s="236" t="str">
        <f>'2) Tableau budgétaire 2'!H4</f>
        <v>Budget USD PNUD 2026</v>
      </c>
      <c r="H19" s="176" t="s">
        <v>364</v>
      </c>
      <c r="I19" s="158" t="s">
        <v>9</v>
      </c>
    </row>
    <row r="20" spans="2:9" ht="23.25" customHeight="1" x14ac:dyDescent="0.35">
      <c r="B20" s="13" t="s">
        <v>8</v>
      </c>
      <c r="C20" s="12">
        <f>'1) Tableau budgétaire 1'!D64</f>
        <v>431970.76999999996</v>
      </c>
      <c r="D20" s="12">
        <f>'1) Tableau budgétaire 1'!E64</f>
        <v>0</v>
      </c>
      <c r="E20" s="12">
        <f>'1) Tableau budgétaire 1'!F64</f>
        <v>0</v>
      </c>
      <c r="F20" s="12">
        <f>'1) Tableau budgétaire 1'!J64</f>
        <v>0</v>
      </c>
      <c r="G20" s="237"/>
      <c r="H20" s="172">
        <f>'1) Tableau budgétaire 1'!K64</f>
        <v>431970.76999999996</v>
      </c>
      <c r="I20" s="171">
        <f>'1) Tableau budgétaire 1'!N64</f>
        <v>0.7</v>
      </c>
    </row>
    <row r="21" spans="2:9" ht="24.75" customHeight="1" x14ac:dyDescent="0.35">
      <c r="B21" s="13" t="s">
        <v>10</v>
      </c>
      <c r="C21" s="12">
        <f>'1) Tableau budgétaire 1'!D65</f>
        <v>185130.33</v>
      </c>
      <c r="D21" s="12">
        <f>'1) Tableau budgétaire 1'!E65</f>
        <v>0</v>
      </c>
      <c r="E21" s="12">
        <f>'1) Tableau budgétaire 1'!F65</f>
        <v>0</v>
      </c>
      <c r="F21" s="12">
        <f>'1) Tableau budgétaire 1'!J65</f>
        <v>0</v>
      </c>
      <c r="G21" s="237"/>
      <c r="H21" s="172">
        <f>'1) Tableau budgétaire 1'!K65</f>
        <v>185130.33</v>
      </c>
      <c r="I21" s="171">
        <f>'1) Tableau budgétaire 1'!N65</f>
        <v>0.3</v>
      </c>
    </row>
    <row r="22" spans="2:9" ht="24.75" customHeight="1" x14ac:dyDescent="0.35">
      <c r="B22" s="13" t="s">
        <v>451</v>
      </c>
      <c r="C22" s="12"/>
      <c r="D22" s="12">
        <f>'1) Tableau budgétaire 1'!E66</f>
        <v>357623.53200000001</v>
      </c>
      <c r="E22" s="12">
        <f>'1) Tableau budgétaire 1'!F66</f>
        <v>0</v>
      </c>
      <c r="F22" s="12"/>
      <c r="G22" s="237"/>
      <c r="H22" s="172">
        <f>'1) Tableau budgétaire 1'!K66</f>
        <v>357623.53200000001</v>
      </c>
      <c r="I22" s="171">
        <f>'1) Tableau budgétaire 1'!N66</f>
        <v>0.7</v>
      </c>
    </row>
    <row r="23" spans="2:9" ht="24.75" customHeight="1" x14ac:dyDescent="0.35">
      <c r="B23" s="77" t="s">
        <v>501</v>
      </c>
      <c r="C23" s="157"/>
      <c r="D23" s="157">
        <f>'1) Tableau budgétaire 1'!E67</f>
        <v>153267.228</v>
      </c>
      <c r="E23" s="157"/>
      <c r="F23" s="157"/>
      <c r="G23" s="238"/>
      <c r="H23" s="172">
        <f>'1) Tableau budgétaire 1'!K67</f>
        <v>153267.228</v>
      </c>
      <c r="I23" s="171">
        <v>0.3</v>
      </c>
    </row>
    <row r="24" spans="2:9" ht="24.75" customHeight="1" x14ac:dyDescent="0.35">
      <c r="B24" s="77" t="s">
        <v>502</v>
      </c>
      <c r="C24" s="157"/>
      <c r="D24" s="157"/>
      <c r="E24" s="157">
        <f>'1) Tableau budgétaire 1'!F68</f>
        <v>467458.56975999998</v>
      </c>
      <c r="F24" s="157"/>
      <c r="G24" s="238"/>
      <c r="H24" s="172">
        <f>'1) Tableau budgétaire 1'!K68</f>
        <v>467458.56975999998</v>
      </c>
      <c r="I24" s="171">
        <v>0.7</v>
      </c>
    </row>
    <row r="25" spans="2:9" ht="24.75" customHeight="1" x14ac:dyDescent="0.35">
      <c r="B25" s="77" t="s">
        <v>503</v>
      </c>
      <c r="C25" s="157"/>
      <c r="D25" s="157"/>
      <c r="E25" s="157">
        <f>'1) Tableau budgétaire 1'!F69</f>
        <v>200339.38704</v>
      </c>
      <c r="F25" s="12"/>
      <c r="G25" s="237"/>
      <c r="H25" s="172">
        <f>'1) Tableau budgétaire 1'!K69</f>
        <v>200339.38704</v>
      </c>
      <c r="I25" s="171">
        <v>0.3</v>
      </c>
    </row>
    <row r="26" spans="2:9" ht="24.75" customHeight="1" x14ac:dyDescent="0.35">
      <c r="B26" s="77" t="s">
        <v>506</v>
      </c>
      <c r="C26" s="157"/>
      <c r="D26" s="157"/>
      <c r="E26" s="157"/>
      <c r="F26" s="157">
        <f>'1) Tableau budgétaire 1'!J70</f>
        <v>578662.41999999993</v>
      </c>
      <c r="G26" s="238"/>
      <c r="H26" s="172">
        <f>'1) Tableau budgétaire 1'!K70</f>
        <v>578662.41999999993</v>
      </c>
      <c r="I26" s="171">
        <v>0.7</v>
      </c>
    </row>
    <row r="27" spans="2:9" ht="24.75" customHeight="1" x14ac:dyDescent="0.35">
      <c r="B27" s="77" t="s">
        <v>507</v>
      </c>
      <c r="C27" s="157"/>
      <c r="D27" s="157"/>
      <c r="E27" s="157"/>
      <c r="F27" s="157">
        <f>'1) Tableau budgétaire 1'!J71</f>
        <v>247998.18</v>
      </c>
      <c r="G27" s="238"/>
      <c r="H27" s="173">
        <f>'1) Tableau budgétaire 1'!K71</f>
        <v>247998.18</v>
      </c>
      <c r="I27" s="171">
        <v>0.3</v>
      </c>
    </row>
    <row r="28" spans="2:9" ht="24.75" customHeight="1" x14ac:dyDescent="0.35">
      <c r="B28" s="65" t="s">
        <v>544</v>
      </c>
      <c r="C28" s="12"/>
      <c r="D28" s="12"/>
      <c r="E28" s="12"/>
      <c r="F28" s="12"/>
      <c r="G28" s="12">
        <f>G16</f>
        <v>299999.99810000003</v>
      </c>
      <c r="H28" s="12">
        <f>G28</f>
        <v>299999.99810000003</v>
      </c>
      <c r="I28" s="243">
        <v>0.3</v>
      </c>
    </row>
    <row r="29" spans="2:9" ht="16" thickBot="1" x14ac:dyDescent="0.4">
      <c r="B29" s="239" t="s">
        <v>364</v>
      </c>
      <c r="C29" s="240">
        <f>SUM(C20:C22)</f>
        <v>617101.1</v>
      </c>
      <c r="D29" s="240">
        <f>SUM(D20:D25)</f>
        <v>510890.76</v>
      </c>
      <c r="E29" s="240">
        <f>SUM(E20:E25)</f>
        <v>667797.95680000004</v>
      </c>
      <c r="F29" s="240">
        <f>'1) Tableau budgétaire 1'!J73</f>
        <v>826660.59999999986</v>
      </c>
      <c r="G29" s="241">
        <f>SUM(G28)</f>
        <v>299999.99810000003</v>
      </c>
      <c r="H29" s="242">
        <f>C29+D29+E29+F29+G29</f>
        <v>2922450.4148999997</v>
      </c>
    </row>
  </sheetData>
  <sheetProtection formatCells="0" formatColumns="0" formatRows="0"/>
  <mergeCells count="3">
    <mergeCell ref="B18:H18"/>
    <mergeCell ref="B5:H5"/>
    <mergeCell ref="B2:H3"/>
  </mergeCells>
  <dataValidations disablePrompts="1" count="7">
    <dataValidation allowBlank="1" showInputMessage="1" showErrorMessage="1" prompt="Includes all related staff and temporary staff costs including base salary, post adjustment and all staff entitlements." sqref="B7" xr:uid="{685C32D9-A29E-4AB3-A589-E17EED1B2D7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8" xr:uid="{E9DDC0AE-2185-45F7-BFCB-FDA525A480C6}"/>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9" xr:uid="{77711502-57BE-4DB4-AF61-EF9806395508}"/>
    <dataValidation allowBlank="1" showInputMessage="1" showErrorMessage="1" prompt="Includes staff and non-staff travel paid for by the organization directly related to a project." sqref="B11" xr:uid="{7599ADEE-72AD-45B4-93A0-EDFAEB4D5077}"/>
    <dataValidation allowBlank="1" showInputMessage="1" showErrorMessage="1" prompt="Services contracted by an organization which follow the normal procurement processes." sqref="B10" xr:uid="{E0DB3F96-9659-4639-AF80-B798EAC818A8}"/>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2" xr:uid="{2F0DD795-5EC8-483B-85A0-4555258DC886}"/>
    <dataValidation allowBlank="1" showInputMessage="1" showErrorMessage="1" prompt=" Includes all general operating costs for running an office. Examples include telecommunication, rents, finance charges and other costs which cannot be mapped to other expense categories." sqref="B13" xr:uid="{D281C19F-1EF8-4A9D-BA14-51718AA1EA2B}"/>
  </dataValidations>
  <pageMargins left="0.7" right="0.7" top="0.26" bottom="0.41" header="0.26" footer="0.76"/>
  <pageSetup scale="6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85465-8CD8-428B-8440-C6A70E3F1392}">
  <sheetPr>
    <tabColor theme="2" tint="-0.499984740745262"/>
  </sheetPr>
  <dimension ref="A1:A6"/>
  <sheetViews>
    <sheetView workbookViewId="0">
      <selection activeCell="A9" sqref="A9"/>
    </sheetView>
  </sheetViews>
  <sheetFormatPr baseColWidth="10" defaultColWidth="8.81640625" defaultRowHeight="14.5" x14ac:dyDescent="0.35"/>
  <sheetData>
    <row r="1" spans="1:1" x14ac:dyDescent="0.35">
      <c r="A1" s="87">
        <v>0</v>
      </c>
    </row>
    <row r="2" spans="1:1" x14ac:dyDescent="0.35">
      <c r="A2" s="87">
        <v>0.2</v>
      </c>
    </row>
    <row r="3" spans="1:1" x14ac:dyDescent="0.35">
      <c r="A3" s="87">
        <v>0.4</v>
      </c>
    </row>
    <row r="4" spans="1:1" x14ac:dyDescent="0.35">
      <c r="A4" s="87">
        <v>0.6</v>
      </c>
    </row>
    <row r="5" spans="1:1" x14ac:dyDescent="0.35">
      <c r="A5" s="87">
        <v>0.8</v>
      </c>
    </row>
    <row r="6" spans="1:1" x14ac:dyDescent="0.35">
      <c r="A6" s="87">
        <v>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D6C3-7045-4784-9A71-26257C808563}">
  <dimension ref="A1:B170"/>
  <sheetViews>
    <sheetView topLeftCell="A148" workbookViewId="0">
      <selection activeCell="D3" sqref="D3"/>
    </sheetView>
  </sheetViews>
  <sheetFormatPr baseColWidth="10" defaultColWidth="8.81640625" defaultRowHeight="14.5" x14ac:dyDescent="0.35"/>
  <sheetData>
    <row r="1" spans="1:2" x14ac:dyDescent="0.35">
      <c r="A1" s="45" t="s">
        <v>17</v>
      </c>
      <c r="B1" s="46" t="s">
        <v>18</v>
      </c>
    </row>
    <row r="2" spans="1:2" x14ac:dyDescent="0.35">
      <c r="A2" s="47" t="s">
        <v>19</v>
      </c>
      <c r="B2" s="48" t="s">
        <v>20</v>
      </c>
    </row>
    <row r="3" spans="1:2" x14ac:dyDescent="0.35">
      <c r="A3" s="47" t="s">
        <v>21</v>
      </c>
      <c r="B3" s="48" t="s">
        <v>22</v>
      </c>
    </row>
    <row r="4" spans="1:2" x14ac:dyDescent="0.35">
      <c r="A4" s="47" t="s">
        <v>23</v>
      </c>
      <c r="B4" s="48" t="s">
        <v>24</v>
      </c>
    </row>
    <row r="5" spans="1:2" x14ac:dyDescent="0.35">
      <c r="A5" s="47" t="s">
        <v>25</v>
      </c>
      <c r="B5" s="48" t="s">
        <v>26</v>
      </c>
    </row>
    <row r="6" spans="1:2" x14ac:dyDescent="0.35">
      <c r="A6" s="47" t="s">
        <v>27</v>
      </c>
      <c r="B6" s="48" t="s">
        <v>28</v>
      </c>
    </row>
    <row r="7" spans="1:2" x14ac:dyDescent="0.35">
      <c r="A7" s="47" t="s">
        <v>29</v>
      </c>
      <c r="B7" s="48" t="s">
        <v>30</v>
      </c>
    </row>
    <row r="8" spans="1:2" x14ac:dyDescent="0.35">
      <c r="A8" s="47" t="s">
        <v>31</v>
      </c>
      <c r="B8" s="48" t="s">
        <v>32</v>
      </c>
    </row>
    <row r="9" spans="1:2" x14ac:dyDescent="0.35">
      <c r="A9" s="47" t="s">
        <v>33</v>
      </c>
      <c r="B9" s="48" t="s">
        <v>34</v>
      </c>
    </row>
    <row r="10" spans="1:2" x14ac:dyDescent="0.35">
      <c r="A10" s="47" t="s">
        <v>35</v>
      </c>
      <c r="B10" s="48" t="s">
        <v>36</v>
      </c>
    </row>
    <row r="11" spans="1:2" x14ac:dyDescent="0.35">
      <c r="A11" s="47" t="s">
        <v>37</v>
      </c>
      <c r="B11" s="48" t="s">
        <v>38</v>
      </c>
    </row>
    <row r="12" spans="1:2" x14ac:dyDescent="0.35">
      <c r="A12" s="47" t="s">
        <v>39</v>
      </c>
      <c r="B12" s="48" t="s">
        <v>40</v>
      </c>
    </row>
    <row r="13" spans="1:2" x14ac:dyDescent="0.35">
      <c r="A13" s="47" t="s">
        <v>41</v>
      </c>
      <c r="B13" s="48" t="s">
        <v>42</v>
      </c>
    </row>
    <row r="14" spans="1:2" x14ac:dyDescent="0.35">
      <c r="A14" s="47" t="s">
        <v>43</v>
      </c>
      <c r="B14" s="48" t="s">
        <v>44</v>
      </c>
    </row>
    <row r="15" spans="1:2" x14ac:dyDescent="0.35">
      <c r="A15" s="47" t="s">
        <v>45</v>
      </c>
      <c r="B15" s="48" t="s">
        <v>46</v>
      </c>
    </row>
    <row r="16" spans="1:2" x14ac:dyDescent="0.35">
      <c r="A16" s="47" t="s">
        <v>47</v>
      </c>
      <c r="B16" s="48" t="s">
        <v>48</v>
      </c>
    </row>
    <row r="17" spans="1:2" x14ac:dyDescent="0.35">
      <c r="A17" s="47" t="s">
        <v>49</v>
      </c>
      <c r="B17" s="48" t="s">
        <v>50</v>
      </c>
    </row>
    <row r="18" spans="1:2" x14ac:dyDescent="0.35">
      <c r="A18" s="47" t="s">
        <v>51</v>
      </c>
      <c r="B18" s="48" t="s">
        <v>52</v>
      </c>
    </row>
    <row r="19" spans="1:2" x14ac:dyDescent="0.35">
      <c r="A19" s="47" t="s">
        <v>53</v>
      </c>
      <c r="B19" s="48" t="s">
        <v>54</v>
      </c>
    </row>
    <row r="20" spans="1:2" x14ac:dyDescent="0.35">
      <c r="A20" s="47" t="s">
        <v>55</v>
      </c>
      <c r="B20" s="48" t="s">
        <v>56</v>
      </c>
    </row>
    <row r="21" spans="1:2" x14ac:dyDescent="0.35">
      <c r="A21" s="47" t="s">
        <v>57</v>
      </c>
      <c r="B21" s="48" t="s">
        <v>58</v>
      </c>
    </row>
    <row r="22" spans="1:2" x14ac:dyDescent="0.35">
      <c r="A22" s="47" t="s">
        <v>59</v>
      </c>
      <c r="B22" s="48" t="s">
        <v>60</v>
      </c>
    </row>
    <row r="23" spans="1:2" x14ac:dyDescent="0.35">
      <c r="A23" s="47" t="s">
        <v>61</v>
      </c>
      <c r="B23" s="48" t="s">
        <v>62</v>
      </c>
    </row>
    <row r="24" spans="1:2" x14ac:dyDescent="0.35">
      <c r="A24" s="47" t="s">
        <v>63</v>
      </c>
      <c r="B24" s="48" t="s">
        <v>64</v>
      </c>
    </row>
    <row r="25" spans="1:2" x14ac:dyDescent="0.35">
      <c r="A25" s="47" t="s">
        <v>65</v>
      </c>
      <c r="B25" s="48" t="s">
        <v>66</v>
      </c>
    </row>
    <row r="26" spans="1:2" x14ac:dyDescent="0.35">
      <c r="A26" s="47" t="s">
        <v>67</v>
      </c>
      <c r="B26" s="48" t="s">
        <v>68</v>
      </c>
    </row>
    <row r="27" spans="1:2" x14ac:dyDescent="0.35">
      <c r="A27" s="47" t="s">
        <v>69</v>
      </c>
      <c r="B27" s="48" t="s">
        <v>70</v>
      </c>
    </row>
    <row r="28" spans="1:2" x14ac:dyDescent="0.35">
      <c r="A28" s="47" t="s">
        <v>71</v>
      </c>
      <c r="B28" s="48" t="s">
        <v>72</v>
      </c>
    </row>
    <row r="29" spans="1:2" x14ac:dyDescent="0.35">
      <c r="A29" s="47" t="s">
        <v>73</v>
      </c>
      <c r="B29" s="48" t="s">
        <v>74</v>
      </c>
    </row>
    <row r="30" spans="1:2" x14ac:dyDescent="0.35">
      <c r="A30" s="47" t="s">
        <v>75</v>
      </c>
      <c r="B30" s="48" t="s">
        <v>76</v>
      </c>
    </row>
    <row r="31" spans="1:2" x14ac:dyDescent="0.35">
      <c r="A31" s="47" t="s">
        <v>77</v>
      </c>
      <c r="B31" s="48" t="s">
        <v>78</v>
      </c>
    </row>
    <row r="32" spans="1:2" x14ac:dyDescent="0.35">
      <c r="A32" s="47" t="s">
        <v>79</v>
      </c>
      <c r="B32" s="48" t="s">
        <v>80</v>
      </c>
    </row>
    <row r="33" spans="1:2" x14ac:dyDescent="0.35">
      <c r="A33" s="47" t="s">
        <v>81</v>
      </c>
      <c r="B33" s="48" t="s">
        <v>82</v>
      </c>
    </row>
    <row r="34" spans="1:2" x14ac:dyDescent="0.35">
      <c r="A34" s="47" t="s">
        <v>83</v>
      </c>
      <c r="B34" s="48" t="s">
        <v>84</v>
      </c>
    </row>
    <row r="35" spans="1:2" x14ac:dyDescent="0.35">
      <c r="A35" s="47" t="s">
        <v>85</v>
      </c>
      <c r="B35" s="48" t="s">
        <v>86</v>
      </c>
    </row>
    <row r="36" spans="1:2" x14ac:dyDescent="0.35">
      <c r="A36" s="47" t="s">
        <v>87</v>
      </c>
      <c r="B36" s="48" t="s">
        <v>88</v>
      </c>
    </row>
    <row r="37" spans="1:2" x14ac:dyDescent="0.35">
      <c r="A37" s="47" t="s">
        <v>89</v>
      </c>
      <c r="B37" s="48" t="s">
        <v>90</v>
      </c>
    </row>
    <row r="38" spans="1:2" x14ac:dyDescent="0.35">
      <c r="A38" s="47" t="s">
        <v>91</v>
      </c>
      <c r="B38" s="48" t="s">
        <v>92</v>
      </c>
    </row>
    <row r="39" spans="1:2" x14ac:dyDescent="0.35">
      <c r="A39" s="47" t="s">
        <v>93</v>
      </c>
      <c r="B39" s="48" t="s">
        <v>94</v>
      </c>
    </row>
    <row r="40" spans="1:2" x14ac:dyDescent="0.35">
      <c r="A40" s="47" t="s">
        <v>95</v>
      </c>
      <c r="B40" s="48" t="s">
        <v>96</v>
      </c>
    </row>
    <row r="41" spans="1:2" x14ac:dyDescent="0.35">
      <c r="A41" s="47" t="s">
        <v>97</v>
      </c>
      <c r="B41" s="48" t="s">
        <v>98</v>
      </c>
    </row>
    <row r="42" spans="1:2" x14ac:dyDescent="0.35">
      <c r="A42" s="47" t="s">
        <v>99</v>
      </c>
      <c r="B42" s="48" t="s">
        <v>100</v>
      </c>
    </row>
    <row r="43" spans="1:2" x14ac:dyDescent="0.35">
      <c r="A43" s="47" t="s">
        <v>101</v>
      </c>
      <c r="B43" s="48" t="s">
        <v>102</v>
      </c>
    </row>
    <row r="44" spans="1:2" x14ac:dyDescent="0.35">
      <c r="A44" s="47" t="s">
        <v>103</v>
      </c>
      <c r="B44" s="48" t="s">
        <v>104</v>
      </c>
    </row>
    <row r="45" spans="1:2" x14ac:dyDescent="0.35">
      <c r="A45" s="47" t="s">
        <v>105</v>
      </c>
      <c r="B45" s="48" t="s">
        <v>106</v>
      </c>
    </row>
    <row r="46" spans="1:2" x14ac:dyDescent="0.35">
      <c r="A46" s="47" t="s">
        <v>107</v>
      </c>
      <c r="B46" s="48" t="s">
        <v>108</v>
      </c>
    </row>
    <row r="47" spans="1:2" x14ac:dyDescent="0.35">
      <c r="A47" s="47" t="s">
        <v>109</v>
      </c>
      <c r="B47" s="48" t="s">
        <v>110</v>
      </c>
    </row>
    <row r="48" spans="1:2" x14ac:dyDescent="0.35">
      <c r="A48" s="47" t="s">
        <v>111</v>
      </c>
      <c r="B48" s="48" t="s">
        <v>112</v>
      </c>
    </row>
    <row r="49" spans="1:2" x14ac:dyDescent="0.35">
      <c r="A49" s="47" t="s">
        <v>113</v>
      </c>
      <c r="B49" s="48" t="s">
        <v>114</v>
      </c>
    </row>
    <row r="50" spans="1:2" x14ac:dyDescent="0.35">
      <c r="A50" s="47" t="s">
        <v>115</v>
      </c>
      <c r="B50" s="48" t="s">
        <v>116</v>
      </c>
    </row>
    <row r="51" spans="1:2" x14ac:dyDescent="0.35">
      <c r="A51" s="47" t="s">
        <v>117</v>
      </c>
      <c r="B51" s="48" t="s">
        <v>118</v>
      </c>
    </row>
    <row r="52" spans="1:2" x14ac:dyDescent="0.35">
      <c r="A52" s="47" t="s">
        <v>119</v>
      </c>
      <c r="B52" s="48" t="s">
        <v>120</v>
      </c>
    </row>
    <row r="53" spans="1:2" x14ac:dyDescent="0.35">
      <c r="A53" s="47" t="s">
        <v>121</v>
      </c>
      <c r="B53" s="48" t="s">
        <v>122</v>
      </c>
    </row>
    <row r="54" spans="1:2" x14ac:dyDescent="0.35">
      <c r="A54" s="47" t="s">
        <v>123</v>
      </c>
      <c r="B54" s="48" t="s">
        <v>124</v>
      </c>
    </row>
    <row r="55" spans="1:2" x14ac:dyDescent="0.35">
      <c r="A55" s="47" t="s">
        <v>125</v>
      </c>
      <c r="B55" s="48" t="s">
        <v>126</v>
      </c>
    </row>
    <row r="56" spans="1:2" x14ac:dyDescent="0.35">
      <c r="A56" s="47" t="s">
        <v>127</v>
      </c>
      <c r="B56" s="48" t="s">
        <v>128</v>
      </c>
    </row>
    <row r="57" spans="1:2" x14ac:dyDescent="0.35">
      <c r="A57" s="47" t="s">
        <v>129</v>
      </c>
      <c r="B57" s="48" t="s">
        <v>130</v>
      </c>
    </row>
    <row r="58" spans="1:2" x14ac:dyDescent="0.35">
      <c r="A58" s="47" t="s">
        <v>131</v>
      </c>
      <c r="B58" s="48" t="s">
        <v>132</v>
      </c>
    </row>
    <row r="59" spans="1:2" x14ac:dyDescent="0.35">
      <c r="A59" s="47" t="s">
        <v>133</v>
      </c>
      <c r="B59" s="48" t="s">
        <v>134</v>
      </c>
    </row>
    <row r="60" spans="1:2" x14ac:dyDescent="0.35">
      <c r="A60" s="47" t="s">
        <v>135</v>
      </c>
      <c r="B60" s="48" t="s">
        <v>136</v>
      </c>
    </row>
    <row r="61" spans="1:2" x14ac:dyDescent="0.35">
      <c r="A61" s="47" t="s">
        <v>137</v>
      </c>
      <c r="B61" s="48" t="s">
        <v>138</v>
      </c>
    </row>
    <row r="62" spans="1:2" x14ac:dyDescent="0.35">
      <c r="A62" s="47" t="s">
        <v>139</v>
      </c>
      <c r="B62" s="48" t="s">
        <v>140</v>
      </c>
    </row>
    <row r="63" spans="1:2" x14ac:dyDescent="0.35">
      <c r="A63" s="47" t="s">
        <v>141</v>
      </c>
      <c r="B63" s="48" t="s">
        <v>142</v>
      </c>
    </row>
    <row r="64" spans="1:2" x14ac:dyDescent="0.35">
      <c r="A64" s="47" t="s">
        <v>143</v>
      </c>
      <c r="B64" s="48" t="s">
        <v>144</v>
      </c>
    </row>
    <row r="65" spans="1:2" x14ac:dyDescent="0.35">
      <c r="A65" s="47" t="s">
        <v>145</v>
      </c>
      <c r="B65" s="48" t="s">
        <v>146</v>
      </c>
    </row>
    <row r="66" spans="1:2" x14ac:dyDescent="0.35">
      <c r="A66" s="47" t="s">
        <v>147</v>
      </c>
      <c r="B66" s="48" t="s">
        <v>148</v>
      </c>
    </row>
    <row r="67" spans="1:2" x14ac:dyDescent="0.35">
      <c r="A67" s="47" t="s">
        <v>149</v>
      </c>
      <c r="B67" s="48" t="s">
        <v>150</v>
      </c>
    </row>
    <row r="68" spans="1:2" x14ac:dyDescent="0.35">
      <c r="A68" s="47" t="s">
        <v>151</v>
      </c>
      <c r="B68" s="48" t="s">
        <v>152</v>
      </c>
    </row>
    <row r="69" spans="1:2" x14ac:dyDescent="0.35">
      <c r="A69" s="47" t="s">
        <v>153</v>
      </c>
      <c r="B69" s="48" t="s">
        <v>154</v>
      </c>
    </row>
    <row r="70" spans="1:2" x14ac:dyDescent="0.35">
      <c r="A70" s="47" t="s">
        <v>155</v>
      </c>
      <c r="B70" s="48" t="s">
        <v>156</v>
      </c>
    </row>
    <row r="71" spans="1:2" x14ac:dyDescent="0.35">
      <c r="A71" s="47" t="s">
        <v>157</v>
      </c>
      <c r="B71" s="48" t="s">
        <v>158</v>
      </c>
    </row>
    <row r="72" spans="1:2" x14ac:dyDescent="0.35">
      <c r="A72" s="47" t="s">
        <v>159</v>
      </c>
      <c r="B72" s="48" t="s">
        <v>160</v>
      </c>
    </row>
    <row r="73" spans="1:2" x14ac:dyDescent="0.35">
      <c r="A73" s="47" t="s">
        <v>161</v>
      </c>
      <c r="B73" s="48" t="s">
        <v>162</v>
      </c>
    </row>
    <row r="74" spans="1:2" x14ac:dyDescent="0.35">
      <c r="A74" s="47" t="s">
        <v>163</v>
      </c>
      <c r="B74" s="48" t="s">
        <v>164</v>
      </c>
    </row>
    <row r="75" spans="1:2" x14ac:dyDescent="0.35">
      <c r="A75" s="47" t="s">
        <v>165</v>
      </c>
      <c r="B75" s="49" t="s">
        <v>166</v>
      </c>
    </row>
    <row r="76" spans="1:2" x14ac:dyDescent="0.35">
      <c r="A76" s="47" t="s">
        <v>167</v>
      </c>
      <c r="B76" s="49" t="s">
        <v>168</v>
      </c>
    </row>
    <row r="77" spans="1:2" x14ac:dyDescent="0.35">
      <c r="A77" s="47" t="s">
        <v>169</v>
      </c>
      <c r="B77" s="49" t="s">
        <v>170</v>
      </c>
    </row>
    <row r="78" spans="1:2" x14ac:dyDescent="0.35">
      <c r="A78" s="47" t="s">
        <v>171</v>
      </c>
      <c r="B78" s="49" t="s">
        <v>172</v>
      </c>
    </row>
    <row r="79" spans="1:2" x14ac:dyDescent="0.35">
      <c r="A79" s="47" t="s">
        <v>173</v>
      </c>
      <c r="B79" s="49" t="s">
        <v>174</v>
      </c>
    </row>
    <row r="80" spans="1:2" x14ac:dyDescent="0.35">
      <c r="A80" s="47" t="s">
        <v>175</v>
      </c>
      <c r="B80" s="49" t="s">
        <v>176</v>
      </c>
    </row>
    <row r="81" spans="1:2" x14ac:dyDescent="0.35">
      <c r="A81" s="47" t="s">
        <v>177</v>
      </c>
      <c r="B81" s="49" t="s">
        <v>178</v>
      </c>
    </row>
    <row r="82" spans="1:2" x14ac:dyDescent="0.35">
      <c r="A82" s="47" t="s">
        <v>179</v>
      </c>
      <c r="B82" s="49" t="s">
        <v>180</v>
      </c>
    </row>
    <row r="83" spans="1:2" x14ac:dyDescent="0.35">
      <c r="A83" s="47" t="s">
        <v>181</v>
      </c>
      <c r="B83" s="49" t="s">
        <v>182</v>
      </c>
    </row>
    <row r="84" spans="1:2" x14ac:dyDescent="0.35">
      <c r="A84" s="47" t="s">
        <v>183</v>
      </c>
      <c r="B84" s="49" t="s">
        <v>184</v>
      </c>
    </row>
    <row r="85" spans="1:2" x14ac:dyDescent="0.35">
      <c r="A85" s="47" t="s">
        <v>185</v>
      </c>
      <c r="B85" s="49" t="s">
        <v>186</v>
      </c>
    </row>
    <row r="86" spans="1:2" x14ac:dyDescent="0.35">
      <c r="A86" s="47" t="s">
        <v>187</v>
      </c>
      <c r="B86" s="49" t="s">
        <v>188</v>
      </c>
    </row>
    <row r="87" spans="1:2" x14ac:dyDescent="0.35">
      <c r="A87" s="47" t="s">
        <v>189</v>
      </c>
      <c r="B87" s="49" t="s">
        <v>190</v>
      </c>
    </row>
    <row r="88" spans="1:2" x14ac:dyDescent="0.35">
      <c r="A88" s="47" t="s">
        <v>191</v>
      </c>
      <c r="B88" s="49" t="s">
        <v>192</v>
      </c>
    </row>
    <row r="89" spans="1:2" x14ac:dyDescent="0.35">
      <c r="A89" s="47" t="s">
        <v>193</v>
      </c>
      <c r="B89" s="49" t="s">
        <v>194</v>
      </c>
    </row>
    <row r="90" spans="1:2" x14ac:dyDescent="0.35">
      <c r="A90" s="47" t="s">
        <v>195</v>
      </c>
      <c r="B90" s="49" t="s">
        <v>196</v>
      </c>
    </row>
    <row r="91" spans="1:2" x14ac:dyDescent="0.35">
      <c r="A91" s="47" t="s">
        <v>197</v>
      </c>
      <c r="B91" s="49" t="s">
        <v>198</v>
      </c>
    </row>
    <row r="92" spans="1:2" x14ac:dyDescent="0.35">
      <c r="A92" s="47" t="s">
        <v>199</v>
      </c>
      <c r="B92" s="49" t="s">
        <v>200</v>
      </c>
    </row>
    <row r="93" spans="1:2" x14ac:dyDescent="0.35">
      <c r="A93" s="47" t="s">
        <v>201</v>
      </c>
      <c r="B93" s="49" t="s">
        <v>202</v>
      </c>
    </row>
    <row r="94" spans="1:2" x14ac:dyDescent="0.35">
      <c r="A94" s="47" t="s">
        <v>203</v>
      </c>
      <c r="B94" s="49" t="s">
        <v>204</v>
      </c>
    </row>
    <row r="95" spans="1:2" x14ac:dyDescent="0.35">
      <c r="A95" s="47" t="s">
        <v>205</v>
      </c>
      <c r="B95" s="49" t="s">
        <v>206</v>
      </c>
    </row>
    <row r="96" spans="1:2" x14ac:dyDescent="0.35">
      <c r="A96" s="47" t="s">
        <v>207</v>
      </c>
      <c r="B96" s="49" t="s">
        <v>208</v>
      </c>
    </row>
    <row r="97" spans="1:2" x14ac:dyDescent="0.35">
      <c r="A97" s="47" t="s">
        <v>209</v>
      </c>
      <c r="B97" s="49" t="s">
        <v>210</v>
      </c>
    </row>
    <row r="98" spans="1:2" x14ac:dyDescent="0.35">
      <c r="A98" s="47" t="s">
        <v>211</v>
      </c>
      <c r="B98" s="49" t="s">
        <v>212</v>
      </c>
    </row>
    <row r="99" spans="1:2" x14ac:dyDescent="0.35">
      <c r="A99" s="47" t="s">
        <v>213</v>
      </c>
      <c r="B99" s="49" t="s">
        <v>214</v>
      </c>
    </row>
    <row r="100" spans="1:2" x14ac:dyDescent="0.35">
      <c r="A100" s="47" t="s">
        <v>215</v>
      </c>
      <c r="B100" s="49" t="s">
        <v>216</v>
      </c>
    </row>
    <row r="101" spans="1:2" x14ac:dyDescent="0.35">
      <c r="A101" s="47" t="s">
        <v>217</v>
      </c>
      <c r="B101" s="49" t="s">
        <v>218</v>
      </c>
    </row>
    <row r="102" spans="1:2" x14ac:dyDescent="0.35">
      <c r="A102" s="47" t="s">
        <v>219</v>
      </c>
      <c r="B102" s="49" t="s">
        <v>220</v>
      </c>
    </row>
    <row r="103" spans="1:2" x14ac:dyDescent="0.35">
      <c r="A103" s="47" t="s">
        <v>221</v>
      </c>
      <c r="B103" s="49" t="s">
        <v>222</v>
      </c>
    </row>
    <row r="104" spans="1:2" x14ac:dyDescent="0.35">
      <c r="A104" s="47" t="s">
        <v>223</v>
      </c>
      <c r="B104" s="49" t="s">
        <v>224</v>
      </c>
    </row>
    <row r="105" spans="1:2" x14ac:dyDescent="0.35">
      <c r="A105" s="47" t="s">
        <v>225</v>
      </c>
      <c r="B105" s="49" t="s">
        <v>226</v>
      </c>
    </row>
    <row r="106" spans="1:2" x14ac:dyDescent="0.35">
      <c r="A106" s="47" t="s">
        <v>227</v>
      </c>
      <c r="B106" s="49" t="s">
        <v>228</v>
      </c>
    </row>
    <row r="107" spans="1:2" x14ac:dyDescent="0.35">
      <c r="A107" s="47" t="s">
        <v>229</v>
      </c>
      <c r="B107" s="49" t="s">
        <v>230</v>
      </c>
    </row>
    <row r="108" spans="1:2" x14ac:dyDescent="0.35">
      <c r="A108" s="47" t="s">
        <v>231</v>
      </c>
      <c r="B108" s="49" t="s">
        <v>232</v>
      </c>
    </row>
    <row r="109" spans="1:2" x14ac:dyDescent="0.35">
      <c r="A109" s="47" t="s">
        <v>233</v>
      </c>
      <c r="B109" s="49" t="s">
        <v>234</v>
      </c>
    </row>
    <row r="110" spans="1:2" x14ac:dyDescent="0.35">
      <c r="A110" s="47" t="s">
        <v>235</v>
      </c>
      <c r="B110" s="49" t="s">
        <v>236</v>
      </c>
    </row>
    <row r="111" spans="1:2" x14ac:dyDescent="0.35">
      <c r="A111" s="47" t="s">
        <v>237</v>
      </c>
      <c r="B111" s="49" t="s">
        <v>238</v>
      </c>
    </row>
    <row r="112" spans="1:2" x14ac:dyDescent="0.35">
      <c r="A112" s="47" t="s">
        <v>239</v>
      </c>
      <c r="B112" s="49" t="s">
        <v>240</v>
      </c>
    </row>
    <row r="113" spans="1:2" x14ac:dyDescent="0.35">
      <c r="A113" s="47" t="s">
        <v>241</v>
      </c>
      <c r="B113" s="49" t="s">
        <v>242</v>
      </c>
    </row>
    <row r="114" spans="1:2" x14ac:dyDescent="0.35">
      <c r="A114" s="47" t="s">
        <v>243</v>
      </c>
      <c r="B114" s="49" t="s">
        <v>244</v>
      </c>
    </row>
    <row r="115" spans="1:2" x14ac:dyDescent="0.35">
      <c r="A115" s="47" t="s">
        <v>245</v>
      </c>
      <c r="B115" s="49" t="s">
        <v>246</v>
      </c>
    </row>
    <row r="116" spans="1:2" x14ac:dyDescent="0.35">
      <c r="A116" s="47" t="s">
        <v>247</v>
      </c>
      <c r="B116" s="49" t="s">
        <v>248</v>
      </c>
    </row>
    <row r="117" spans="1:2" x14ac:dyDescent="0.35">
      <c r="A117" s="47" t="s">
        <v>249</v>
      </c>
      <c r="B117" s="49" t="s">
        <v>250</v>
      </c>
    </row>
    <row r="118" spans="1:2" x14ac:dyDescent="0.35">
      <c r="A118" s="47" t="s">
        <v>251</v>
      </c>
      <c r="B118" s="49" t="s">
        <v>252</v>
      </c>
    </row>
    <row r="119" spans="1:2" x14ac:dyDescent="0.35">
      <c r="A119" s="47" t="s">
        <v>253</v>
      </c>
      <c r="B119" s="49" t="s">
        <v>254</v>
      </c>
    </row>
    <row r="120" spans="1:2" x14ac:dyDescent="0.35">
      <c r="A120" s="47" t="s">
        <v>255</v>
      </c>
      <c r="B120" s="49" t="s">
        <v>256</v>
      </c>
    </row>
    <row r="121" spans="1:2" x14ac:dyDescent="0.35">
      <c r="A121" s="47" t="s">
        <v>257</v>
      </c>
      <c r="B121" s="49" t="s">
        <v>258</v>
      </c>
    </row>
    <row r="122" spans="1:2" x14ac:dyDescent="0.35">
      <c r="A122" s="47" t="s">
        <v>259</v>
      </c>
      <c r="B122" s="49" t="s">
        <v>260</v>
      </c>
    </row>
    <row r="123" spans="1:2" x14ac:dyDescent="0.35">
      <c r="A123" s="47" t="s">
        <v>261</v>
      </c>
      <c r="B123" s="49" t="s">
        <v>262</v>
      </c>
    </row>
    <row r="124" spans="1:2" x14ac:dyDescent="0.35">
      <c r="A124" s="47" t="s">
        <v>263</v>
      </c>
      <c r="B124" s="49" t="s">
        <v>264</v>
      </c>
    </row>
    <row r="125" spans="1:2" x14ac:dyDescent="0.35">
      <c r="A125" s="47" t="s">
        <v>265</v>
      </c>
      <c r="B125" s="49" t="s">
        <v>266</v>
      </c>
    </row>
    <row r="126" spans="1:2" x14ac:dyDescent="0.35">
      <c r="A126" s="47" t="s">
        <v>267</v>
      </c>
      <c r="B126" s="49" t="s">
        <v>268</v>
      </c>
    </row>
    <row r="127" spans="1:2" x14ac:dyDescent="0.35">
      <c r="A127" s="47" t="s">
        <v>269</v>
      </c>
      <c r="B127" s="49" t="s">
        <v>270</v>
      </c>
    </row>
    <row r="128" spans="1:2" x14ac:dyDescent="0.35">
      <c r="A128" s="47" t="s">
        <v>271</v>
      </c>
      <c r="B128" s="49" t="s">
        <v>272</v>
      </c>
    </row>
    <row r="129" spans="1:2" x14ac:dyDescent="0.35">
      <c r="A129" s="47" t="s">
        <v>273</v>
      </c>
      <c r="B129" s="49" t="s">
        <v>274</v>
      </c>
    </row>
    <row r="130" spans="1:2" x14ac:dyDescent="0.35">
      <c r="A130" s="47" t="s">
        <v>275</v>
      </c>
      <c r="B130" s="49" t="s">
        <v>276</v>
      </c>
    </row>
    <row r="131" spans="1:2" x14ac:dyDescent="0.35">
      <c r="A131" s="47" t="s">
        <v>277</v>
      </c>
      <c r="B131" s="49" t="s">
        <v>278</v>
      </c>
    </row>
    <row r="132" spans="1:2" x14ac:dyDescent="0.35">
      <c r="A132" s="47" t="s">
        <v>279</v>
      </c>
      <c r="B132" s="49" t="s">
        <v>280</v>
      </c>
    </row>
    <row r="133" spans="1:2" x14ac:dyDescent="0.35">
      <c r="A133" s="47" t="s">
        <v>281</v>
      </c>
      <c r="B133" s="49" t="s">
        <v>282</v>
      </c>
    </row>
    <row r="134" spans="1:2" x14ac:dyDescent="0.35">
      <c r="A134" s="47" t="s">
        <v>283</v>
      </c>
      <c r="B134" s="49" t="s">
        <v>284</v>
      </c>
    </row>
    <row r="135" spans="1:2" x14ac:dyDescent="0.35">
      <c r="A135" s="47" t="s">
        <v>285</v>
      </c>
      <c r="B135" s="49" t="s">
        <v>286</v>
      </c>
    </row>
    <row r="136" spans="1:2" x14ac:dyDescent="0.35">
      <c r="A136" s="47" t="s">
        <v>287</v>
      </c>
      <c r="B136" s="49" t="s">
        <v>288</v>
      </c>
    </row>
    <row r="137" spans="1:2" x14ac:dyDescent="0.35">
      <c r="A137" s="47" t="s">
        <v>289</v>
      </c>
      <c r="B137" s="49" t="s">
        <v>290</v>
      </c>
    </row>
    <row r="138" spans="1:2" x14ac:dyDescent="0.35">
      <c r="A138" s="47" t="s">
        <v>291</v>
      </c>
      <c r="B138" s="49" t="s">
        <v>292</v>
      </c>
    </row>
    <row r="139" spans="1:2" x14ac:dyDescent="0.35">
      <c r="A139" s="47" t="s">
        <v>293</v>
      </c>
      <c r="B139" s="49" t="s">
        <v>294</v>
      </c>
    </row>
    <row r="140" spans="1:2" x14ac:dyDescent="0.35">
      <c r="A140" s="47" t="s">
        <v>295</v>
      </c>
      <c r="B140" s="49" t="s">
        <v>296</v>
      </c>
    </row>
    <row r="141" spans="1:2" x14ac:dyDescent="0.35">
      <c r="A141" s="47" t="s">
        <v>297</v>
      </c>
      <c r="B141" s="49" t="s">
        <v>298</v>
      </c>
    </row>
    <row r="142" spans="1:2" x14ac:dyDescent="0.35">
      <c r="A142" s="47" t="s">
        <v>299</v>
      </c>
      <c r="B142" s="49" t="s">
        <v>300</v>
      </c>
    </row>
    <row r="143" spans="1:2" x14ac:dyDescent="0.35">
      <c r="A143" s="47" t="s">
        <v>301</v>
      </c>
      <c r="B143" s="49" t="s">
        <v>302</v>
      </c>
    </row>
    <row r="144" spans="1:2" x14ac:dyDescent="0.35">
      <c r="A144" s="47" t="s">
        <v>303</v>
      </c>
      <c r="B144" s="49" t="s">
        <v>304</v>
      </c>
    </row>
    <row r="145" spans="1:2" x14ac:dyDescent="0.35">
      <c r="A145" s="47" t="s">
        <v>305</v>
      </c>
      <c r="B145" s="49" t="s">
        <v>306</v>
      </c>
    </row>
    <row r="146" spans="1:2" x14ac:dyDescent="0.35">
      <c r="A146" s="47" t="s">
        <v>307</v>
      </c>
      <c r="B146" s="49" t="s">
        <v>308</v>
      </c>
    </row>
    <row r="147" spans="1:2" x14ac:dyDescent="0.35">
      <c r="A147" s="47" t="s">
        <v>309</v>
      </c>
      <c r="B147" s="49" t="s">
        <v>310</v>
      </c>
    </row>
    <row r="148" spans="1:2" x14ac:dyDescent="0.35">
      <c r="A148" s="47" t="s">
        <v>311</v>
      </c>
      <c r="B148" s="49" t="s">
        <v>312</v>
      </c>
    </row>
    <row r="149" spans="1:2" x14ac:dyDescent="0.35">
      <c r="A149" s="47" t="s">
        <v>313</v>
      </c>
      <c r="B149" s="49" t="s">
        <v>314</v>
      </c>
    </row>
    <row r="150" spans="1:2" x14ac:dyDescent="0.35">
      <c r="A150" s="47" t="s">
        <v>315</v>
      </c>
      <c r="B150" s="49" t="s">
        <v>316</v>
      </c>
    </row>
    <row r="151" spans="1:2" x14ac:dyDescent="0.35">
      <c r="A151" s="47" t="s">
        <v>317</v>
      </c>
      <c r="B151" s="49" t="s">
        <v>318</v>
      </c>
    </row>
    <row r="152" spans="1:2" x14ac:dyDescent="0.35">
      <c r="A152" s="47" t="s">
        <v>319</v>
      </c>
      <c r="B152" s="49" t="s">
        <v>320</v>
      </c>
    </row>
    <row r="153" spans="1:2" x14ac:dyDescent="0.35">
      <c r="A153" s="47" t="s">
        <v>321</v>
      </c>
      <c r="B153" s="49" t="s">
        <v>322</v>
      </c>
    </row>
    <row r="154" spans="1:2" x14ac:dyDescent="0.35">
      <c r="A154" s="47" t="s">
        <v>323</v>
      </c>
      <c r="B154" s="49" t="s">
        <v>324</v>
      </c>
    </row>
    <row r="155" spans="1:2" x14ac:dyDescent="0.35">
      <c r="A155" s="47" t="s">
        <v>325</v>
      </c>
      <c r="B155" s="49" t="s">
        <v>326</v>
      </c>
    </row>
    <row r="156" spans="1:2" x14ac:dyDescent="0.35">
      <c r="A156" s="47" t="s">
        <v>327</v>
      </c>
      <c r="B156" s="49" t="s">
        <v>328</v>
      </c>
    </row>
    <row r="157" spans="1:2" x14ac:dyDescent="0.35">
      <c r="A157" s="47" t="s">
        <v>329</v>
      </c>
      <c r="B157" s="49" t="s">
        <v>330</v>
      </c>
    </row>
    <row r="158" spans="1:2" x14ac:dyDescent="0.35">
      <c r="A158" s="47" t="s">
        <v>331</v>
      </c>
      <c r="B158" s="49" t="s">
        <v>332</v>
      </c>
    </row>
    <row r="159" spans="1:2" x14ac:dyDescent="0.35">
      <c r="A159" s="47" t="s">
        <v>333</v>
      </c>
      <c r="B159" s="49" t="s">
        <v>334</v>
      </c>
    </row>
    <row r="160" spans="1:2" x14ac:dyDescent="0.35">
      <c r="A160" s="47" t="s">
        <v>335</v>
      </c>
      <c r="B160" s="49" t="s">
        <v>336</v>
      </c>
    </row>
    <row r="161" spans="1:2" x14ac:dyDescent="0.35">
      <c r="A161" s="47" t="s">
        <v>337</v>
      </c>
      <c r="B161" s="49" t="s">
        <v>338</v>
      </c>
    </row>
    <row r="162" spans="1:2" x14ac:dyDescent="0.35">
      <c r="A162" s="47" t="s">
        <v>339</v>
      </c>
      <c r="B162" s="49" t="s">
        <v>340</v>
      </c>
    </row>
    <row r="163" spans="1:2" x14ac:dyDescent="0.35">
      <c r="A163" s="47" t="s">
        <v>341</v>
      </c>
      <c r="B163" s="49" t="s">
        <v>342</v>
      </c>
    </row>
    <row r="164" spans="1:2" x14ac:dyDescent="0.35">
      <c r="A164" s="47" t="s">
        <v>343</v>
      </c>
      <c r="B164" s="49" t="s">
        <v>344</v>
      </c>
    </row>
    <row r="165" spans="1:2" x14ac:dyDescent="0.35">
      <c r="A165" s="47" t="s">
        <v>345</v>
      </c>
      <c r="B165" s="49" t="s">
        <v>346</v>
      </c>
    </row>
    <row r="166" spans="1:2" x14ac:dyDescent="0.35">
      <c r="A166" s="47" t="s">
        <v>347</v>
      </c>
      <c r="B166" s="49" t="s">
        <v>348</v>
      </c>
    </row>
    <row r="167" spans="1:2" x14ac:dyDescent="0.35">
      <c r="A167" s="47" t="s">
        <v>349</v>
      </c>
      <c r="B167" s="49" t="s">
        <v>350</v>
      </c>
    </row>
    <row r="168" spans="1:2" x14ac:dyDescent="0.35">
      <c r="A168" s="47" t="s">
        <v>351</v>
      </c>
      <c r="B168" s="49" t="s">
        <v>352</v>
      </c>
    </row>
    <row r="169" spans="1:2" x14ac:dyDescent="0.35">
      <c r="A169" s="47" t="s">
        <v>353</v>
      </c>
      <c r="B169" s="49" t="s">
        <v>354</v>
      </c>
    </row>
    <row r="170" spans="1:2" x14ac:dyDescent="0.35">
      <c r="A170" s="47" t="s">
        <v>355</v>
      </c>
      <c r="B170" s="49" t="s">
        <v>356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ocumentType xmlns="f9695bc1-6109-4dcd-a27a-f8a0370b00e2">Progress report</DocumentType>
    <UploadedBy xmlns="b1528a4b-5ccb-40f7-a09e-43427183cd95">monise.telemaque@undp.org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MPTF_00006_00740</ProjectId>
    <FundCode xmlns="f9695bc1-6109-4dcd-a27a-f8a0370b00e2">MPTF_00006</FundCode>
    <Comments xmlns="f9695bc1-6109-4dcd-a27a-f8a0370b00e2">Rapport financier semestriel - Juin 2026</Comments>
    <Active xmlns="f9695bc1-6109-4dcd-a27a-f8a0370b00e2">Yes</Active>
    <DocumentDate xmlns="b1528a4b-5ccb-40f7-a09e-43427183cd95">2026-06-15T07:00:00+00:00</DocumentDate>
    <Featured xmlns="b1528a4b-5ccb-40f7-a09e-43427183cd95">1</Featured>
    <FormTypeCode xmlns="b1528a4b-5ccb-40f7-a09e-43427183cd9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6af98b1f7a5babff7628a29df1fa198">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fbfb81ebdaa58ed3ce9dd715736c3161"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BB9294-EB2C-43FD-A26A-3A95E2255430}">
  <ds:schemaRefs>
    <ds:schemaRef ds:uri="http://schemas.microsoft.com/sharepoint/v3/contenttype/forms"/>
  </ds:schemaRefs>
</ds:datastoreItem>
</file>

<file path=customXml/itemProps2.xml><?xml version="1.0" encoding="utf-8"?>
<ds:datastoreItem xmlns:ds="http://schemas.openxmlformats.org/officeDocument/2006/customXml" ds:itemID="{F079AD25-5447-46AF-964C-4F6026B823DE}">
  <ds:schemaRefs>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 ds:uri="http://purl.org/dc/elements/1.1/"/>
    <ds:schemaRef ds:uri="3352a50b-fe51-4c0c-a9ac-ac90f8281031"/>
    <ds:schemaRef ds:uri="http://schemas.microsoft.com/office/2006/metadata/properties"/>
    <ds:schemaRef ds:uri="http://purl.org/dc/dcmitype/"/>
    <ds:schemaRef ds:uri="9dc44b34-9e2b-42ea-86f7-9ee7f71036fc"/>
    <ds:schemaRef ds:uri="http://purl.org/dc/terms/"/>
  </ds:schemaRefs>
</ds:datastoreItem>
</file>

<file path=customXml/itemProps3.xml><?xml version="1.0" encoding="utf-8"?>
<ds:datastoreItem xmlns:ds="http://schemas.openxmlformats.org/officeDocument/2006/customXml" ds:itemID="{CCD973E0-C9B9-4056-93FF-CB1B1FF3BB4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1</vt:i4>
      </vt:variant>
    </vt:vector>
  </HeadingPairs>
  <TitlesOfParts>
    <vt:vector size="9" baseType="lpstr">
      <vt:lpstr>Instructions</vt:lpstr>
      <vt:lpstr>1) Tableau budgétaire 1</vt:lpstr>
      <vt:lpstr>2) Tableau budgétaire 2</vt:lpstr>
      <vt:lpstr>3) Notes d'explication</vt:lpstr>
      <vt:lpstr>4) Pour utilisation par PBSO</vt:lpstr>
      <vt:lpstr>5) Pour utilisation par MPTFO</vt:lpstr>
      <vt:lpstr>Dropdowns</vt:lpstr>
      <vt:lpstr>Sheet2</vt:lpstr>
      <vt:lpstr>'1) Tableau budgétaire 1'!Zone_d_impression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Rapport financier Juin 2026.xlsx</dc:title>
  <dc:creator>Jelena Zelenovic</dc:creator>
  <cp:lastModifiedBy>Mamadou Dioulde Bah</cp:lastModifiedBy>
  <cp:lastPrinted>2026-01-09T13:22:21Z</cp:lastPrinted>
  <dcterms:created xsi:type="dcterms:W3CDTF">2017-11-15T21:17:43Z</dcterms:created>
  <dcterms:modified xsi:type="dcterms:W3CDTF">2026-06-15T12:52:28Z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Order">
    <vt:r8>2244800</vt:r8>
  </property>
</Properties>
</file>