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defaultThemeVersion="166925"/>
  <mc:AlternateContent xmlns:mc="http://schemas.openxmlformats.org/markup-compatibility/2006">
    <mc:Choice Requires="x15">
      <x15ac:absPath xmlns:x15ac="http://schemas.microsoft.com/office/spreadsheetml/2010/11/ac" url="/Users/janineduffy/Desktop/"/>
    </mc:Choice>
  </mc:AlternateContent>
  <xr:revisionPtr revIDLastSave="0" documentId="8_{9F08DE37-A87E-B648-BA12-DF6648244DA8}" xr6:coauthVersionLast="40" xr6:coauthVersionMax="40" xr10:uidLastSave="{00000000-0000-0000-0000-000000000000}"/>
  <bookViews>
    <workbookView xWindow="17360" yWindow="460" windowWidth="20880" windowHeight="21040" xr2:uid="{00000000-000D-0000-FFFF-FFFF00000000}"/>
  </bookViews>
  <sheets>
    <sheet name="By outcomes Donor" sheetId="3" r:id="rId1"/>
    <sheet name="By categori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1" i="3" l="1"/>
  <c r="G33" i="3"/>
  <c r="G26" i="3"/>
  <c r="G19" i="3"/>
  <c r="G23" i="3"/>
  <c r="G20" i="3"/>
  <c r="G10" i="3"/>
  <c r="D20" i="3" l="1"/>
  <c r="G47" i="3"/>
  <c r="G18" i="3"/>
  <c r="G16" i="3"/>
  <c r="G38" i="3"/>
  <c r="G12" i="3"/>
  <c r="G17" i="3"/>
  <c r="G15" i="3"/>
  <c r="G11" i="3"/>
  <c r="G51" i="3" l="1"/>
  <c r="G53" i="3" s="1"/>
  <c r="E47" i="3" l="1"/>
  <c r="C47" i="3"/>
  <c r="C23" i="3"/>
  <c r="E38" i="3"/>
  <c r="E23" i="3"/>
  <c r="E51" i="3" l="1"/>
  <c r="E53" i="3" s="1"/>
  <c r="D53" i="3"/>
  <c r="D50" i="3"/>
  <c r="C46" i="3"/>
  <c r="D43" i="3"/>
  <c r="D41" i="3"/>
  <c r="D36" i="3"/>
  <c r="D35" i="3"/>
  <c r="D34" i="3"/>
  <c r="D33" i="3"/>
  <c r="D31" i="3"/>
  <c r="C30" i="3"/>
  <c r="D30" i="3" s="1"/>
  <c r="D29" i="3"/>
  <c r="D27" i="3"/>
  <c r="D26" i="3"/>
  <c r="C22" i="3"/>
  <c r="D21" i="3"/>
  <c r="D19" i="3"/>
  <c r="D18" i="3"/>
  <c r="D17" i="3"/>
  <c r="D16" i="3"/>
  <c r="D15" i="3"/>
  <c r="D13" i="3"/>
  <c r="D12" i="3"/>
  <c r="D11" i="3"/>
  <c r="D10" i="3"/>
  <c r="D23" i="3" l="1"/>
  <c r="D37" i="3"/>
  <c r="D38" i="3"/>
  <c r="D47" i="3"/>
  <c r="C38" i="3"/>
  <c r="D22" i="3"/>
  <c r="C37" i="3"/>
  <c r="D46" i="3"/>
  <c r="I14" i="2" l="1"/>
  <c r="I15" i="2" l="1"/>
  <c r="I16" i="2" s="1"/>
  <c r="F13" i="2" l="1"/>
  <c r="G11" i="2"/>
  <c r="F11" i="2"/>
  <c r="F12" i="2"/>
  <c r="C14" i="2"/>
  <c r="E7" i="2"/>
  <c r="E10" i="2"/>
  <c r="G10" i="2"/>
  <c r="E11" i="2"/>
  <c r="E12" i="2"/>
  <c r="G12" i="2"/>
  <c r="E13" i="2"/>
  <c r="G13" i="2"/>
  <c r="E8" i="2"/>
  <c r="F8" i="2"/>
  <c r="G8" i="2"/>
  <c r="E9" i="2"/>
  <c r="F9" i="2"/>
  <c r="G9" i="2"/>
  <c r="H12" i="2" l="1"/>
  <c r="F7" i="2"/>
  <c r="B14" i="2"/>
  <c r="C15" i="2"/>
  <c r="C16" i="2" s="1"/>
  <c r="F10" i="2"/>
  <c r="F14" i="2" l="1"/>
  <c r="F15" i="2" s="1"/>
  <c r="F16" i="2" s="1"/>
  <c r="H13" i="2" l="1"/>
  <c r="H11" i="2" l="1"/>
  <c r="H10" i="2"/>
  <c r="H8" i="2"/>
  <c r="H9" i="2"/>
  <c r="B15" i="2"/>
  <c r="B16" i="2" s="1"/>
  <c r="D14" i="2" l="1"/>
  <c r="D15" i="2" s="1"/>
  <c r="D16" i="2" s="1"/>
  <c r="G7" i="2"/>
  <c r="H7" i="2" s="1"/>
  <c r="E14" i="2"/>
  <c r="G14" i="2" l="1"/>
  <c r="H14" i="2" s="1"/>
  <c r="E15" i="2"/>
  <c r="G15" i="2" l="1"/>
  <c r="G16" i="2" s="1"/>
  <c r="H15" i="2"/>
  <c r="E16" i="2"/>
  <c r="H16" i="2" l="1"/>
</calcChain>
</file>

<file path=xl/sharedStrings.xml><?xml version="1.0" encoding="utf-8"?>
<sst xmlns="http://schemas.openxmlformats.org/spreadsheetml/2006/main" count="112" uniqueCount="111">
  <si>
    <t>Annex D - PBF project budget</t>
  </si>
  <si>
    <t>Outcome/ Output number</t>
  </si>
  <si>
    <t>Outcome/ output/ activity formulation:</t>
  </si>
  <si>
    <t>Output 1.1:</t>
  </si>
  <si>
    <t>Output 2.1:</t>
  </si>
  <si>
    <t>Output 2.2:</t>
  </si>
  <si>
    <t>Output 2.3:</t>
  </si>
  <si>
    <t>Output 3.1:</t>
  </si>
  <si>
    <t>Output 3.2:</t>
  </si>
  <si>
    <t xml:space="preserve"> </t>
  </si>
  <si>
    <t>Percent of budget for each output reserved for direct action on gender eqaulity (if any):</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</si>
  <si>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</si>
  <si>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</si>
  <si>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</si>
  <si>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</si>
  <si>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</si>
  <si>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</si>
  <si>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</si>
  <si>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</si>
  <si>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</si>
  <si>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</si>
  <si>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</si>
  <si>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</si>
  <si>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</si>
  <si>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</si>
  <si>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</si>
  <si>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</si>
  <si>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</si>
  <si>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</si>
  <si>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Table 2 - PBF project budget by UN cost category</t>
  </si>
  <si>
    <t>Table 1 - PBF project budget by Outcome, output and activity</t>
  </si>
  <si>
    <t>Level of expenditure/ commitments in USD (to provide at time of project progress reporting):</t>
  </si>
  <si>
    <r>
      <t xml:space="preserve">Budget by recipient organization in USD - </t>
    </r>
    <r>
      <rPr>
        <b/>
        <sz val="12"/>
        <color theme="1"/>
        <rFont val="Times New Roman"/>
        <family val="1"/>
      </rPr>
      <t>Saferworld</t>
    </r>
  </si>
  <si>
    <t>Amount Recipient  Saferworld</t>
  </si>
  <si>
    <t>Activity 1.1.1.1</t>
  </si>
  <si>
    <t>Activity 1.1.1.2</t>
  </si>
  <si>
    <t>Activity 1.1.2..2</t>
  </si>
  <si>
    <t>Activity 1.2.1.1</t>
  </si>
  <si>
    <t>Activity 1.2.1.2</t>
  </si>
  <si>
    <t>Activity 1.2.1.3</t>
  </si>
  <si>
    <t>Activity 1.2.1.4</t>
  </si>
  <si>
    <t>Activity 1.2.1.5.</t>
  </si>
  <si>
    <t>Activity 1.2.1.6</t>
  </si>
  <si>
    <t>Output 1.2</t>
  </si>
  <si>
    <t>Activity 2.1.1.1</t>
  </si>
  <si>
    <t>Activity 2.1.1.2.</t>
  </si>
  <si>
    <t>Activity 2.2.1.1</t>
  </si>
  <si>
    <t>Activity 2.2.1.2</t>
  </si>
  <si>
    <t>Activity 2.3.1.1</t>
  </si>
  <si>
    <t>Activity 2.3.1.2.</t>
  </si>
  <si>
    <t>Activity 2.3.1.3</t>
  </si>
  <si>
    <t>Activity 3.1.1.1</t>
  </si>
  <si>
    <t>Activity 3.2.1.1</t>
  </si>
  <si>
    <t>Activity 3.3.3.1</t>
  </si>
  <si>
    <t xml:space="preserve">Output 3.3 </t>
  </si>
  <si>
    <t>Activity 1.1.2..1</t>
  </si>
  <si>
    <t>YLs present the report to national and international policy-makers through a series of meetings in Bishkek (and through the official reporting process of the Kyrgyzstan government to the High-Level Political Forum at the UN) and disseminate the report widely.</t>
  </si>
  <si>
    <t>Activity 2.3.2.1</t>
  </si>
  <si>
    <t xml:space="preserve">OUTCOME 1:  Young women and men from different geographic, ethnic, religious and socioeconomic backgrounds are empowered within their communities, and pro-actively and collectively contribute to peacebuilding solutions addressing youth concerns wat local, sub-national, and national levels
</t>
  </si>
  <si>
    <t xml:space="preserve">Youth (age 14-25) have improved their understanding of peace and security issues, and increased their connections with each other </t>
  </si>
  <si>
    <t xml:space="preserve">900 school-age youth (age 14-17) from 10 selected communities participate in 10 democracy camps </t>
  </si>
  <si>
    <t xml:space="preserve">200 youth (age 17-25) participate in 4 workshops on peace, security, democracy, inclusion, advocacy and conflict and gender sensitivity </t>
  </si>
  <si>
    <t>Adapt WhatsApp peacebuilding course content (including peace concepts, peacebuilding approaches and tools, gender and conflict analysis/sensitivity, community needs assessment, problem identification, identifying and mitigating against risks, goal setting and action planning, ToT) and develop delivery strategy for Kyrgyzstan context</t>
  </si>
  <si>
    <t xml:space="preserve">180 youth (age 17-25) from remote communities who are unable to attend other trainings participate in WhatsApp peacebuilding course </t>
  </si>
  <si>
    <t>Youth (age 14-25) engage with other youth to identify and address peace and security issues affecting them at community and national policy levels</t>
  </si>
  <si>
    <t>80 youth who complete the training  (activities 1.1.1.1 and 1.1.1.2) are selected to form 10 Initiative Groups (IGs) and facilitate 10 Youth Spaces used by local youth to discuss peace and security issues affecting them</t>
  </si>
  <si>
    <t xml:space="preserve">80 IG members participate in Youth Safe Space Facilitation &amp; Debate Workshops </t>
  </si>
  <si>
    <t xml:space="preserve">IG members organise 10 local debates in 10 communities (one debate in each community) on youth participation in decision-making for peace and security, engaging at least 500 youth participants </t>
  </si>
  <si>
    <t>IG members facilitate Youth Safe Space meetings  across 10 communities</t>
  </si>
  <si>
    <t xml:space="preserve">80 IG members are trained in Community Security Assessment (CSA) methodology </t>
  </si>
  <si>
    <t>80 IG members conduct 10 CSAs (one CSA in each community), engaging youth project participants and other youth, to inform development of youth-led initiatives</t>
  </si>
  <si>
    <t>Activity 1.2.1.7</t>
  </si>
  <si>
    <t>WhatsApp peacebuilding course graduates share learning from the WhatsApp course and lead on local-level peace initiatives, with other youth in their communities</t>
  </si>
  <si>
    <t xml:space="preserve">YLs have increased understanding of peace and security issues, democracy, inclusion, conflict and gender sensitivity, methodologies to develop community peace initiatives and on skills to connect youth and to advocate with authorities on these issues </t>
  </si>
  <si>
    <t>20 Youth Committee representatives participate in  1 workshop on peace, security, democracy and inclusion</t>
  </si>
  <si>
    <t xml:space="preserve">100 YLs participate in advocacy training and planning workshops </t>
  </si>
  <si>
    <t xml:space="preserve">YLs collectively address the identified peace and security needs through community peace initiatives and advocacy campaigns </t>
  </si>
  <si>
    <t xml:space="preserve">YLs develop and implement youth-led community peace initiatives </t>
  </si>
  <si>
    <t>YLs develop and implement youth-led advocacy campaigns</t>
  </si>
  <si>
    <t xml:space="preserve">30 selected YLs facilitated action-oriented research on progress towards SDG16+ aimed at policy change and use findings for national- and international-level advocacy </t>
  </si>
  <si>
    <t>30 YLs participate in 1 workshop on SDG16+ and action-oriented research methodology</t>
  </si>
  <si>
    <t>YLs lead on data collection, analyses, and report development and validation</t>
  </si>
  <si>
    <t>YLs coordinate 1 national-level sharing and learning event on the SDG16+ findings</t>
  </si>
  <si>
    <t>Activity 2.2.1.3.</t>
  </si>
  <si>
    <t>OUTCOME 3: Local and national authorities recognise young women and young men as key actors, participate in youth-led activities, include them in dialogue and decision-making processes around peace and security, and take steps, including through the provision of funding, to address their specific concerns and needs</t>
  </si>
  <si>
    <t>30 Local Self-Governance (LSG) representatives in 10 communities (3 per community) participate in a training on the national and international youth policy frameworks, peace and security issues affecting young people and the mechanisms for involving young people in related dialogue and decision-making processes</t>
  </si>
  <si>
    <t>30 LSG representatives participate in training on youth inclusion</t>
  </si>
  <si>
    <t>LSG representatives  in 10 communities organised events (at least one per community) to dialogue with youth on issues related to their peace and security concerns and needs</t>
  </si>
  <si>
    <t>LSG representatives organised 10 youth inclusion events</t>
  </si>
  <si>
    <t>LSG representatives in 10 communities developed funding requests and encouraged their respective local authorities to fund youth initiatives (at least one per community) responding to young women and men’s concerns and needs.</t>
  </si>
  <si>
    <t xml:space="preserve">LSG representatives, supported by Saferworld,  develop and submit funding requests for youth initiatives </t>
  </si>
  <si>
    <t xml:space="preserve">OUTCOME 2:Youth Leaders (YLs) (comprising 80 IG members and 20 semi-formal Youth Committee representatives) facilitate inclusive peacebuilding processes at local, sub-national and  national levels, advocate for youth peace and security needs to be addressed by authorities, and ensure meaningful participation of youth in relevant policy processes 
 </t>
  </si>
  <si>
    <t>Tranche 1 (35%)</t>
  </si>
  <si>
    <t>Tranche 2 (35%)</t>
  </si>
  <si>
    <t>Tranche 3 (30%)</t>
  </si>
  <si>
    <t>Total tranche 3</t>
  </si>
  <si>
    <t>SUB-TOTAL PROJECT BUDGET:   $500,946.96</t>
  </si>
  <si>
    <t>TOTAL $ FOR OUTCOME 1:$161,587</t>
  </si>
  <si>
    <t>TOTAL $ FOR OUTCOME 2:  $113,015</t>
  </si>
  <si>
    <t>YLs organise 10 community talks (one talk in each community) on peace and security issues affecting young women and men</t>
  </si>
  <si>
    <t xml:space="preserve">Project M&amp;E budget </t>
  </si>
  <si>
    <t>$22,000 for internal MEL activities and $14,500 for external evaluation</t>
  </si>
  <si>
    <t xml:space="preserve">TOTAL $ FOR OUTCOME 3:  </t>
  </si>
  <si>
    <t xml:space="preserve"> $500,946.96</t>
  </si>
  <si>
    <t>$160,351</t>
  </si>
  <si>
    <t xml:space="preserve">Indirect support costs (7%): </t>
  </si>
  <si>
    <t xml:space="preserve"> $35,066.29</t>
  </si>
  <si>
    <t>$536,013.24</t>
  </si>
  <si>
    <t xml:space="preserve">TOTAL PROJECT BUDGET: </t>
  </si>
  <si>
    <t>Actuals Dec 2018- Sep 2019</t>
  </si>
  <si>
    <t>Expenditure to date spent on action on gender equality 
(Calculation is based on the gender split of participants e.g. if 50% of the activity participants  were female, 50% of activity costs were allocated as 'gender equality'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</si>
</sst>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0.00"/>
    <numFmt numFmtId="165" formatCode="_-[$$-409]* #,##0.00_ ;_-[$$-409]* \-#,##0.00\ ;_-[$$-409]* &quot;-&quot;??_ ;_-@_ "/>
    <numFmt numFmtId="166" formatCode="_-[$$-409]* #,##0_ ;_-[$$-409]* \-#,##0\ ;_-[$$-409]* &quot;-&quot;??_ ;_-@_ "/>
    <numFmt numFmtId="167" formatCode="_([$$-409]* #,##0.00_);_([$$-409]* \(#,##0.00\);_([$$-409]* &quot;-&quot;??_);_(@_)"/>
  </numFmts>
  <fonts count="13">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name val="Arial"/>
      <family val="2"/>
    </font>
    <font>
      <sz val="10"/>
      <color theme="1"/>
      <name val="Times New Roman"/>
      <family val="1"/>
    </font>
    <font>
      <b/>
      <sz val="10"/>
      <color theme="1"/>
      <name val="Times New Roman"/>
      <family val="1"/>
    </font>
    <font>
      <sz val="12"/>
      <name val="Times New Roman"/>
      <family val="1"/>
    </font>
  </fonts>
  <fills count="10">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23">
    <border>
      <left/>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rgb="FF000000"/>
      </top>
      <bottom style="medium">
        <color rgb="FF000000"/>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9" fillId="0" borderId="0"/>
  </cellStyleXfs>
  <cellXfs count="137">
    <xf numFmtId="0" fontId="0" fillId="0" borderId="0" xfId="0"/>
    <xf numFmtId="0" fontId="3" fillId="0" borderId="0" xfId="0" applyFont="1"/>
    <xf numFmtId="0" fontId="4" fillId="3" borderId="5" xfId="0" applyFont="1" applyFill="1" applyBorder="1" applyAlignment="1">
      <alignment horizontal="center" vertical="center" wrapText="1"/>
    </xf>
    <xf numFmtId="0" fontId="5" fillId="0" borderId="3" xfId="0" applyFont="1" applyBorder="1" applyAlignment="1">
      <alignment vertical="center" wrapText="1"/>
    </xf>
    <xf numFmtId="0" fontId="4" fillId="4" borderId="3" xfId="0" applyFont="1" applyFill="1" applyBorder="1" applyAlignment="1">
      <alignment vertical="center" wrapText="1"/>
    </xf>
    <xf numFmtId="0" fontId="4" fillId="2" borderId="7" xfId="0" applyFont="1" applyFill="1" applyBorder="1" applyAlignment="1">
      <alignment horizontal="center" vertical="center" wrapText="1"/>
    </xf>
    <xf numFmtId="0" fontId="6" fillId="0" borderId="0" xfId="0" applyFont="1"/>
    <xf numFmtId="0" fontId="7" fillId="0" borderId="0" xfId="0" applyFont="1"/>
    <xf numFmtId="164" fontId="0" fillId="0" borderId="0" xfId="0" applyNumberFormat="1"/>
    <xf numFmtId="164" fontId="1" fillId="0" borderId="8" xfId="0" applyNumberFormat="1" applyFont="1" applyBorder="1" applyAlignment="1">
      <alignment horizontal="center" vertical="center" wrapText="1"/>
    </xf>
    <xf numFmtId="164" fontId="10" fillId="0" borderId="1" xfId="0" applyNumberFormat="1" applyFont="1" applyBorder="1" applyAlignment="1">
      <alignment vertical="center" wrapText="1"/>
    </xf>
    <xf numFmtId="164" fontId="10" fillId="6" borderId="1" xfId="0" applyNumberFormat="1" applyFont="1" applyFill="1" applyBorder="1" applyAlignment="1">
      <alignment vertical="center" wrapText="1"/>
    </xf>
    <xf numFmtId="164" fontId="11" fillId="6" borderId="1" xfId="0" applyNumberFormat="1" applyFont="1" applyFill="1" applyBorder="1" applyAlignment="1">
      <alignment vertical="center" wrapText="1"/>
    </xf>
    <xf numFmtId="165" fontId="1" fillId="0" borderId="8" xfId="0" applyNumberFormat="1" applyFont="1" applyBorder="1" applyAlignment="1">
      <alignment vertical="center" wrapText="1"/>
    </xf>
    <xf numFmtId="165" fontId="0" fillId="0" borderId="0" xfId="0" applyNumberFormat="1"/>
    <xf numFmtId="165" fontId="1" fillId="0" borderId="9" xfId="0" applyNumberFormat="1" applyFont="1" applyBorder="1" applyAlignment="1">
      <alignment vertical="center" wrapText="1"/>
    </xf>
    <xf numFmtId="0" fontId="1" fillId="0" borderId="9" xfId="0" applyFont="1" applyBorder="1" applyAlignment="1">
      <alignment vertical="center" wrapText="1"/>
    </xf>
    <xf numFmtId="0" fontId="12" fillId="0" borderId="10" xfId="0" applyFont="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horizontal="center" vertical="center" wrapText="1"/>
    </xf>
    <xf numFmtId="0" fontId="7" fillId="0" borderId="0" xfId="0" applyFont="1" applyAlignment="1">
      <alignment vertical="top"/>
    </xf>
    <xf numFmtId="0" fontId="3" fillId="0" borderId="0" xfId="0" applyFont="1" applyAlignment="1">
      <alignment vertical="top"/>
    </xf>
    <xf numFmtId="0" fontId="0" fillId="0" borderId="0" xfId="0" applyAlignment="1">
      <alignment vertical="top"/>
    </xf>
    <xf numFmtId="0" fontId="1" fillId="0" borderId="8" xfId="0" applyFont="1" applyBorder="1" applyAlignment="1">
      <alignment vertical="top" wrapText="1"/>
    </xf>
    <xf numFmtId="165" fontId="1" fillId="0" borderId="12" xfId="0" applyNumberFormat="1" applyFont="1" applyBorder="1" applyAlignment="1">
      <alignment vertical="center" wrapText="1"/>
    </xf>
    <xf numFmtId="0" fontId="1" fillId="0" borderId="12" xfId="0" applyFont="1" applyBorder="1" applyAlignment="1">
      <alignment horizontal="center" vertical="center" wrapText="1"/>
    </xf>
    <xf numFmtId="165" fontId="1" fillId="0" borderId="10" xfId="0" applyNumberFormat="1" applyFont="1" applyFill="1" applyBorder="1" applyAlignment="1">
      <alignment vertical="center" wrapText="1"/>
    </xf>
    <xf numFmtId="165" fontId="1" fillId="0" borderId="8" xfId="0" applyNumberFormat="1" applyFont="1" applyBorder="1" applyAlignment="1">
      <alignment vertical="top" wrapText="1"/>
    </xf>
    <xf numFmtId="0" fontId="1" fillId="0" borderId="8" xfId="0" applyFont="1" applyBorder="1" applyAlignment="1">
      <alignment horizontal="center" vertical="top" wrapText="1"/>
    </xf>
    <xf numFmtId="165" fontId="1" fillId="0" borderId="8" xfId="0" applyNumberFormat="1" applyFont="1" applyBorder="1" applyAlignment="1">
      <alignment horizontal="center" vertical="top" wrapText="1"/>
    </xf>
    <xf numFmtId="0" fontId="1" fillId="0" borderId="10" xfId="0" applyFont="1" applyBorder="1" applyAlignment="1">
      <alignment vertical="top" wrapText="1"/>
    </xf>
    <xf numFmtId="165" fontId="1" fillId="0" borderId="10" xfId="0" applyNumberFormat="1" applyFont="1" applyFill="1" applyBorder="1" applyAlignment="1">
      <alignment horizontal="center" vertical="center" wrapText="1"/>
    </xf>
    <xf numFmtId="0" fontId="1" fillId="0" borderId="8" xfId="0" applyFont="1" applyBorder="1" applyAlignment="1">
      <alignment horizontal="left" vertical="top" wrapText="1"/>
    </xf>
    <xf numFmtId="0" fontId="12" fillId="0" borderId="8" xfId="0" applyFont="1" applyBorder="1" applyAlignment="1">
      <alignment horizontal="center" vertical="center" wrapText="1"/>
    </xf>
    <xf numFmtId="165" fontId="12" fillId="0" borderId="8"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0" fontId="1" fillId="0" borderId="8" xfId="0" applyFont="1" applyBorder="1"/>
    <xf numFmtId="0" fontId="1" fillId="0" borderId="10" xfId="0" applyFont="1" applyBorder="1" applyAlignment="1">
      <alignment wrapText="1"/>
    </xf>
    <xf numFmtId="0" fontId="1" fillId="0" borderId="9" xfId="0" applyFont="1" applyBorder="1"/>
    <xf numFmtId="0" fontId="1" fillId="0" borderId="10" xfId="0" applyFont="1" applyBorder="1"/>
    <xf numFmtId="0" fontId="8" fillId="0" borderId="0" xfId="0" applyFont="1"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1" fillId="0" borderId="9" xfId="0" applyFont="1" applyBorder="1" applyAlignment="1">
      <alignment horizontal="left" vertical="top" wrapText="1"/>
    </xf>
    <xf numFmtId="0" fontId="2" fillId="7" borderId="11"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9" xfId="0" applyFont="1" applyFill="1" applyBorder="1" applyAlignment="1">
      <alignment horizontal="left" vertical="top" wrapText="1"/>
    </xf>
    <xf numFmtId="0" fontId="2" fillId="6" borderId="11"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left" vertical="top"/>
    </xf>
    <xf numFmtId="0" fontId="1" fillId="8" borderId="10" xfId="0" applyFont="1" applyFill="1" applyBorder="1" applyAlignment="1">
      <alignment horizontal="left" vertical="top"/>
    </xf>
    <xf numFmtId="0" fontId="1" fillId="8" borderId="10" xfId="0" applyFont="1" applyFill="1" applyBorder="1" applyAlignment="1">
      <alignment vertical="top" wrapText="1"/>
    </xf>
    <xf numFmtId="165" fontId="1" fillId="8" borderId="10" xfId="0" applyNumberFormat="1" applyFont="1" applyFill="1" applyBorder="1"/>
    <xf numFmtId="0" fontId="1" fillId="8" borderId="10" xfId="0" applyFont="1" applyFill="1" applyBorder="1"/>
    <xf numFmtId="0" fontId="1" fillId="8" borderId="9" xfId="0" applyFont="1" applyFill="1" applyBorder="1" applyAlignment="1">
      <alignment horizontal="left" vertical="top" wrapText="1"/>
    </xf>
    <xf numFmtId="0" fontId="1" fillId="8" borderId="9" xfId="0" applyFont="1" applyFill="1" applyBorder="1" applyAlignment="1">
      <alignment vertical="top" wrapText="1"/>
    </xf>
    <xf numFmtId="165" fontId="1" fillId="8" borderId="9" xfId="0" applyNumberFormat="1" applyFont="1" applyFill="1" applyBorder="1" applyAlignment="1">
      <alignment vertical="center" wrapText="1"/>
    </xf>
    <xf numFmtId="164" fontId="1" fillId="8" borderId="9" xfId="0" applyNumberFormat="1" applyFont="1" applyFill="1" applyBorder="1" applyAlignment="1">
      <alignment horizontal="center" vertical="center" wrapText="1"/>
    </xf>
    <xf numFmtId="0" fontId="1" fillId="8" borderId="8" xfId="0" applyFont="1" applyFill="1" applyBorder="1" applyAlignment="1">
      <alignment horizontal="left" vertical="top" wrapText="1"/>
    </xf>
    <xf numFmtId="0" fontId="1" fillId="8" borderId="8" xfId="0" applyFont="1" applyFill="1" applyBorder="1" applyAlignment="1">
      <alignment vertical="top" wrapText="1"/>
    </xf>
    <xf numFmtId="165" fontId="1" fillId="8" borderId="8" xfId="0" applyNumberFormat="1" applyFont="1" applyFill="1" applyBorder="1" applyAlignment="1">
      <alignment vertical="top" wrapText="1"/>
    </xf>
    <xf numFmtId="0" fontId="1" fillId="8" borderId="8" xfId="0" applyFont="1" applyFill="1" applyBorder="1" applyAlignment="1">
      <alignment horizontal="center" vertical="top" wrapText="1"/>
    </xf>
    <xf numFmtId="0" fontId="1" fillId="8" borderId="8" xfId="0" applyFont="1" applyFill="1" applyBorder="1" applyAlignment="1">
      <alignment vertical="top"/>
    </xf>
    <xf numFmtId="0" fontId="1" fillId="0" borderId="12" xfId="0" applyFont="1" applyBorder="1" applyAlignment="1">
      <alignment vertical="top"/>
    </xf>
    <xf numFmtId="0" fontId="1" fillId="0" borderId="12" xfId="0" applyFont="1" applyBorder="1" applyAlignment="1">
      <alignment horizontal="left" vertical="top"/>
    </xf>
    <xf numFmtId="0" fontId="2" fillId="0" borderId="17" xfId="0" applyFont="1" applyBorder="1" applyAlignment="1">
      <alignment vertical="center" wrapText="1"/>
    </xf>
    <xf numFmtId="0" fontId="2" fillId="0" borderId="18"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2" fontId="0" fillId="0" borderId="0" xfId="0" applyNumberFormat="1"/>
    <xf numFmtId="0" fontId="1" fillId="0" borderId="9" xfId="0" applyFont="1" applyBorder="1" applyAlignment="1">
      <alignment vertical="top" wrapText="1"/>
    </xf>
    <xf numFmtId="165" fontId="1" fillId="0" borderId="10" xfId="0" applyNumberFormat="1" applyFont="1" applyBorder="1" applyAlignment="1">
      <alignment vertical="top" wrapText="1"/>
    </xf>
    <xf numFmtId="165" fontId="2" fillId="0" borderId="8" xfId="0" applyNumberFormat="1" applyFont="1" applyBorder="1" applyAlignment="1">
      <alignment vertical="center" wrapText="1"/>
    </xf>
    <xf numFmtId="0" fontId="2" fillId="5" borderId="9" xfId="0" applyFont="1" applyFill="1" applyBorder="1" applyAlignment="1">
      <alignment vertical="top" wrapText="1"/>
    </xf>
    <xf numFmtId="0" fontId="1" fillId="8" borderId="8" xfId="0" applyFont="1" applyFill="1" applyBorder="1" applyAlignment="1">
      <alignment horizontal="center" vertical="center" wrapText="1"/>
    </xf>
    <xf numFmtId="0" fontId="2" fillId="0" borderId="9" xfId="0" applyFont="1" applyBorder="1" applyAlignment="1">
      <alignment vertical="center" wrapText="1"/>
    </xf>
    <xf numFmtId="0" fontId="1" fillId="8" borderId="8" xfId="0" applyFont="1" applyFill="1" applyBorder="1"/>
    <xf numFmtId="0" fontId="1" fillId="0" borderId="19" xfId="0" applyFont="1" applyBorder="1" applyAlignment="1">
      <alignment vertical="top" wrapText="1"/>
    </xf>
    <xf numFmtId="165" fontId="1" fillId="0" borderId="10" xfId="0" applyNumberFormat="1" applyFont="1" applyBorder="1" applyAlignment="1">
      <alignment horizontal="center" vertical="top" wrapText="1"/>
    </xf>
    <xf numFmtId="0" fontId="1" fillId="0" borderId="21" xfId="0" applyFont="1" applyBorder="1" applyAlignment="1">
      <alignment vertical="top" wrapText="1"/>
    </xf>
    <xf numFmtId="0" fontId="1" fillId="0" borderId="17" xfId="0" applyFont="1" applyBorder="1" applyAlignment="1">
      <alignment vertical="top" wrapText="1"/>
    </xf>
    <xf numFmtId="165" fontId="1" fillId="0" borderId="9" xfId="0" applyNumberFormat="1" applyFont="1" applyBorder="1" applyAlignment="1">
      <alignment vertical="top" wrapText="1"/>
    </xf>
    <xf numFmtId="0" fontId="1" fillId="8" borderId="17" xfId="0" applyFont="1" applyFill="1" applyBorder="1" applyAlignment="1">
      <alignment vertical="top"/>
    </xf>
    <xf numFmtId="4" fontId="0" fillId="0" borderId="0" xfId="0" applyNumberFormat="1"/>
    <xf numFmtId="3" fontId="0" fillId="0" borderId="0" xfId="0" applyNumberFormat="1"/>
    <xf numFmtId="0" fontId="1" fillId="9" borderId="10" xfId="0" applyFont="1" applyFill="1" applyBorder="1" applyAlignment="1">
      <alignment horizontal="left" vertical="top" wrapText="1"/>
    </xf>
    <xf numFmtId="0" fontId="1" fillId="9" borderId="10" xfId="0" applyFont="1" applyFill="1" applyBorder="1" applyAlignment="1">
      <alignment wrapText="1"/>
    </xf>
    <xf numFmtId="165" fontId="1" fillId="9" borderId="10" xfId="0" applyNumberFormat="1" applyFont="1" applyFill="1" applyBorder="1" applyAlignment="1">
      <alignment vertical="center" wrapText="1"/>
    </xf>
    <xf numFmtId="0" fontId="1" fillId="0" borderId="21" xfId="0" applyFont="1" applyBorder="1" applyAlignment="1">
      <alignment vertical="center" wrapText="1"/>
    </xf>
    <xf numFmtId="0" fontId="1" fillId="0" borderId="19" xfId="0" applyFont="1" applyBorder="1" applyAlignment="1">
      <alignment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1" fillId="0" borderId="17" xfId="0" applyFont="1" applyBorder="1" applyAlignment="1">
      <alignment horizontal="center" vertical="center" wrapText="1"/>
    </xf>
    <xf numFmtId="0" fontId="1" fillId="8" borderId="19" xfId="0" applyFont="1" applyFill="1" applyBorder="1" applyAlignment="1">
      <alignment horizontal="center" vertical="center" wrapText="1"/>
    </xf>
    <xf numFmtId="165" fontId="2" fillId="0" borderId="9" xfId="0" applyNumberFormat="1" applyFont="1" applyBorder="1" applyAlignment="1">
      <alignment vertical="center" wrapText="1"/>
    </xf>
    <xf numFmtId="164" fontId="1" fillId="0" borderId="22" xfId="0" applyNumberFormat="1" applyFont="1" applyBorder="1" applyAlignment="1">
      <alignment horizontal="center" vertical="center" wrapText="1"/>
    </xf>
    <xf numFmtId="0" fontId="1" fillId="0" borderId="21" xfId="0" applyFont="1" applyBorder="1"/>
    <xf numFmtId="0" fontId="1" fillId="8" borderId="21" xfId="0" applyFont="1" applyFill="1" applyBorder="1"/>
    <xf numFmtId="164" fontId="1" fillId="0" borderId="17" xfId="0" applyNumberFormat="1" applyFont="1" applyBorder="1" applyAlignment="1">
      <alignment horizontal="center" vertical="center" wrapText="1"/>
    </xf>
    <xf numFmtId="166" fontId="2" fillId="0" borderId="18" xfId="0" applyNumberFormat="1" applyFont="1" applyBorder="1" applyAlignment="1">
      <alignment vertical="center" wrapText="1"/>
    </xf>
    <xf numFmtId="166" fontId="1" fillId="0" borderId="18" xfId="0" applyNumberFormat="1" applyFont="1" applyBorder="1" applyAlignment="1">
      <alignment vertical="center" wrapText="1"/>
    </xf>
    <xf numFmtId="0" fontId="0" fillId="0" borderId="0" xfId="0" applyNumberFormat="1"/>
    <xf numFmtId="0" fontId="1" fillId="6" borderId="16" xfId="0" applyFont="1" applyFill="1" applyBorder="1" applyAlignment="1">
      <alignment horizontal="center" vertical="top" wrapText="1"/>
    </xf>
    <xf numFmtId="0" fontId="1" fillId="6" borderId="14" xfId="0" applyFont="1" applyFill="1" applyBorder="1" applyAlignment="1">
      <alignment horizontal="center" vertical="top" wrapText="1"/>
    </xf>
    <xf numFmtId="0" fontId="1" fillId="6" borderId="13" xfId="0" applyFont="1" applyFill="1" applyBorder="1" applyAlignment="1">
      <alignment horizontal="center" vertical="top" wrapText="1"/>
    </xf>
    <xf numFmtId="0" fontId="1" fillId="7" borderId="16" xfId="0" applyFont="1" applyFill="1" applyBorder="1" applyAlignment="1">
      <alignment horizontal="center" vertical="top"/>
    </xf>
    <xf numFmtId="0" fontId="1" fillId="7" borderId="14" xfId="0" applyFont="1" applyFill="1" applyBorder="1" applyAlignment="1">
      <alignment horizontal="center" vertical="top"/>
    </xf>
    <xf numFmtId="0" fontId="1" fillId="7" borderId="13" xfId="0" applyFont="1" applyFill="1" applyBorder="1" applyAlignment="1">
      <alignment horizontal="center" vertical="top"/>
    </xf>
    <xf numFmtId="0" fontId="1" fillId="7" borderId="16" xfId="0" applyFont="1" applyFill="1" applyBorder="1" applyAlignment="1">
      <alignment horizontal="center" vertical="top" wrapText="1"/>
    </xf>
    <xf numFmtId="0" fontId="1" fillId="7" borderId="14" xfId="0" applyFont="1" applyFill="1" applyBorder="1" applyAlignment="1">
      <alignment horizontal="center" vertical="top" wrapText="1"/>
    </xf>
    <xf numFmtId="0" fontId="1" fillId="7" borderId="13" xfId="0" applyFont="1" applyFill="1" applyBorder="1" applyAlignment="1">
      <alignment horizontal="center" vertical="top" wrapText="1"/>
    </xf>
    <xf numFmtId="0" fontId="2" fillId="5" borderId="20"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5" borderId="9" xfId="0" applyFont="1" applyFill="1" applyBorder="1" applyAlignment="1">
      <alignment vertical="top" wrapText="1"/>
    </xf>
    <xf numFmtId="0" fontId="2" fillId="5" borderId="19" xfId="0" applyFont="1" applyFill="1" applyBorder="1" applyAlignment="1">
      <alignment vertical="top" wrapText="1"/>
    </xf>
    <xf numFmtId="0" fontId="2" fillId="5" borderId="20" xfId="0" applyFont="1" applyFill="1" applyBorder="1" applyAlignment="1">
      <alignment horizontal="center" vertical="top" wrapText="1"/>
    </xf>
    <xf numFmtId="0" fontId="2" fillId="5" borderId="14" xfId="0" applyFont="1" applyFill="1" applyBorder="1" applyAlignment="1">
      <alignment horizontal="center" vertical="top" wrapText="1"/>
    </xf>
    <xf numFmtId="0" fontId="2" fillId="5" borderId="13" xfId="0" applyFont="1" applyFill="1" applyBorder="1" applyAlignment="1">
      <alignment horizontal="center" vertical="top" wrapText="1"/>
    </xf>
    <xf numFmtId="0" fontId="1" fillId="7" borderId="16"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3"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167" fontId="1" fillId="0" borderId="8" xfId="0" applyNumberFormat="1" applyFont="1" applyBorder="1" applyAlignment="1">
      <alignment vertical="top" wrapText="1"/>
    </xf>
    <xf numFmtId="167" fontId="1" fillId="9" borderId="10" xfId="0" applyNumberFormat="1" applyFont="1" applyFill="1" applyBorder="1" applyAlignment="1">
      <alignment vertical="center" wrapText="1"/>
    </xf>
    <xf numFmtId="0" fontId="2" fillId="0" borderId="8" xfId="0" applyFont="1" applyBorder="1" applyAlignment="1">
      <alignment vertical="center" wrapText="1"/>
    </xf>
    <xf numFmtId="167" fontId="2" fillId="0" borderId="8" xfId="0" applyNumberFormat="1" applyFont="1" applyBorder="1" applyAlignment="1">
      <alignment vertical="center" wrapText="1"/>
    </xf>
    <xf numFmtId="167" fontId="12" fillId="0" borderId="8" xfId="0" applyNumberFormat="1" applyFont="1" applyBorder="1" applyAlignment="1">
      <alignment horizontal="center" vertical="center" wrapText="1"/>
    </xf>
    <xf numFmtId="167" fontId="12" fillId="0" borderId="17" xfId="0" applyNumberFormat="1" applyFont="1" applyBorder="1" applyAlignment="1">
      <alignment horizontal="center" vertical="center" wrapText="1"/>
    </xf>
    <xf numFmtId="167" fontId="1" fillId="0" borderId="12" xfId="0" applyNumberFormat="1" applyFont="1" applyBorder="1" applyAlignment="1">
      <alignment vertical="center" wrapText="1"/>
    </xf>
    <xf numFmtId="167" fontId="1" fillId="0" borderId="22" xfId="0" applyNumberFormat="1" applyFont="1" applyBorder="1" applyAlignment="1">
      <alignment vertical="center" wrapText="1"/>
    </xf>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0"/>
  <sheetViews>
    <sheetView tabSelected="1" zoomScale="60" zoomScaleNormal="60" zoomScaleSheetLayoutView="80" workbookViewId="0">
      <selection activeCell="C51" sqref="C51"/>
    </sheetView>
  </sheetViews>
  <sheetFormatPr baseColWidth="10" defaultColWidth="8.83203125" defaultRowHeight="15"/>
  <cols>
    <col min="1" max="1" width="24" style="42" customWidth="1"/>
    <col min="2" max="2" width="68.6640625" style="22" customWidth="1"/>
    <col min="3" max="3" width="19.83203125" customWidth="1"/>
    <col min="4" max="4" width="21.83203125" customWidth="1"/>
    <col min="5" max="5" width="22.5" customWidth="1"/>
    <col min="6" max="6" width="21" customWidth="1"/>
    <col min="7" max="7" width="39.83203125" customWidth="1"/>
    <col min="8" max="8" width="16.5" customWidth="1"/>
  </cols>
  <sheetData>
    <row r="1" spans="1:7" ht="21">
      <c r="A1" s="40" t="s">
        <v>0</v>
      </c>
      <c r="B1" s="20"/>
      <c r="C1" s="7"/>
    </row>
    <row r="2" spans="1:7" ht="16">
      <c r="A2" s="41"/>
      <c r="B2" s="21"/>
      <c r="C2" s="1"/>
    </row>
    <row r="3" spans="1:7" ht="16">
      <c r="A3" s="41" t="s">
        <v>26</v>
      </c>
      <c r="B3" s="21"/>
      <c r="C3" s="1"/>
    </row>
    <row r="5" spans="1:7" ht="16">
      <c r="A5" s="41" t="s">
        <v>30</v>
      </c>
    </row>
    <row r="7" spans="1:7" ht="120" customHeight="1" thickBot="1">
      <c r="A7" s="43" t="s">
        <v>1</v>
      </c>
      <c r="B7" s="43" t="s">
        <v>2</v>
      </c>
      <c r="C7" s="70" t="s">
        <v>32</v>
      </c>
      <c r="D7" s="70" t="s">
        <v>10</v>
      </c>
      <c r="E7" s="70" t="s">
        <v>31</v>
      </c>
      <c r="F7" s="77" t="s">
        <v>11</v>
      </c>
      <c r="G7" s="70" t="s">
        <v>110</v>
      </c>
    </row>
    <row r="8" spans="1:7" ht="53.25" customHeight="1" thickBot="1">
      <c r="A8" s="118" t="s">
        <v>58</v>
      </c>
      <c r="B8" s="119"/>
      <c r="C8" s="119"/>
      <c r="D8" s="119"/>
      <c r="E8" s="119"/>
      <c r="F8" s="119"/>
      <c r="G8" s="120"/>
    </row>
    <row r="9" spans="1:7" ht="42.75" customHeight="1" thickBot="1">
      <c r="A9" s="47" t="s">
        <v>3</v>
      </c>
      <c r="B9" s="102" t="s">
        <v>59</v>
      </c>
      <c r="C9" s="103"/>
      <c r="D9" s="103"/>
      <c r="E9" s="103"/>
      <c r="F9" s="103"/>
      <c r="G9" s="104"/>
    </row>
    <row r="10" spans="1:7" ht="51" customHeight="1">
      <c r="A10" s="45" t="s">
        <v>34</v>
      </c>
      <c r="B10" s="30" t="s">
        <v>60</v>
      </c>
      <c r="C10" s="78">
        <v>53000</v>
      </c>
      <c r="D10" s="71">
        <f>C10/2</f>
        <v>26500</v>
      </c>
      <c r="E10" s="78">
        <v>52249.440000000002</v>
      </c>
      <c r="F10" s="79"/>
      <c r="G10" s="71">
        <f>E10*0.65</f>
        <v>33962.136000000006</v>
      </c>
    </row>
    <row r="11" spans="1:7" ht="51" customHeight="1">
      <c r="A11" s="32" t="s">
        <v>35</v>
      </c>
      <c r="B11" s="23" t="s">
        <v>61</v>
      </c>
      <c r="C11" s="29">
        <v>11145</v>
      </c>
      <c r="D11" s="27">
        <f>C11/2</f>
        <v>5572.5</v>
      </c>
      <c r="E11" s="29">
        <v>13866.27</v>
      </c>
      <c r="F11" s="80"/>
      <c r="G11" s="27">
        <f>E11*0.51</f>
        <v>7071.7977000000001</v>
      </c>
    </row>
    <row r="12" spans="1:7" ht="51" customHeight="1">
      <c r="A12" s="32" t="s">
        <v>55</v>
      </c>
      <c r="B12" s="23" t="s">
        <v>62</v>
      </c>
      <c r="C12" s="29">
        <v>8000</v>
      </c>
      <c r="D12" s="27">
        <f>C12/2</f>
        <v>4000</v>
      </c>
      <c r="E12" s="129">
        <v>6190.33</v>
      </c>
      <c r="F12" s="80"/>
      <c r="G12" s="71">
        <f>E12*0.5</f>
        <v>3095.165</v>
      </c>
    </row>
    <row r="13" spans="1:7" ht="51" customHeight="1" thickBot="1">
      <c r="A13" s="43" t="s">
        <v>36</v>
      </c>
      <c r="B13" s="70" t="s">
        <v>63</v>
      </c>
      <c r="C13" s="81">
        <v>5550</v>
      </c>
      <c r="D13" s="81">
        <f>C13/2</f>
        <v>2775</v>
      </c>
      <c r="E13" s="70"/>
      <c r="F13" s="77"/>
      <c r="G13" s="70"/>
    </row>
    <row r="14" spans="1:7" ht="30" customHeight="1" thickBot="1">
      <c r="A14" s="44" t="s">
        <v>43</v>
      </c>
      <c r="B14" s="121" t="s">
        <v>64</v>
      </c>
      <c r="C14" s="122"/>
      <c r="D14" s="122"/>
      <c r="E14" s="122"/>
      <c r="F14" s="122"/>
      <c r="G14" s="123"/>
    </row>
    <row r="15" spans="1:7" ht="51" customHeight="1">
      <c r="A15" s="45" t="s">
        <v>37</v>
      </c>
      <c r="B15" s="30" t="s">
        <v>65</v>
      </c>
      <c r="C15" s="78">
        <v>2000</v>
      </c>
      <c r="D15" s="71">
        <f t="shared" ref="D15:D21" si="0">C15/2</f>
        <v>1000</v>
      </c>
      <c r="E15" s="78">
        <v>2127.58</v>
      </c>
      <c r="F15" s="79"/>
      <c r="G15" s="71">
        <f>E15*0.49</f>
        <v>1042.5141999999998</v>
      </c>
    </row>
    <row r="16" spans="1:7" ht="51" customHeight="1">
      <c r="A16" s="32" t="s">
        <v>38</v>
      </c>
      <c r="B16" s="23" t="s">
        <v>66</v>
      </c>
      <c r="C16" s="29">
        <v>15000</v>
      </c>
      <c r="D16" s="27">
        <f t="shared" si="0"/>
        <v>7500</v>
      </c>
      <c r="E16" s="29">
        <v>21649.84</v>
      </c>
      <c r="F16" s="80"/>
      <c r="G16" s="27">
        <f>E16*0.49</f>
        <v>10608.4216</v>
      </c>
    </row>
    <row r="17" spans="1:8" ht="51" customHeight="1">
      <c r="A17" s="32" t="s">
        <v>39</v>
      </c>
      <c r="B17" s="23" t="s">
        <v>67</v>
      </c>
      <c r="C17" s="29">
        <v>5000</v>
      </c>
      <c r="D17" s="27">
        <f t="shared" si="0"/>
        <v>2500</v>
      </c>
      <c r="E17" s="129">
        <v>4819.25</v>
      </c>
      <c r="F17" s="23"/>
      <c r="G17" s="27">
        <f>E17*0.5</f>
        <v>2409.625</v>
      </c>
    </row>
    <row r="18" spans="1:8" ht="51" customHeight="1">
      <c r="A18" s="32" t="s">
        <v>40</v>
      </c>
      <c r="B18" s="23" t="s">
        <v>68</v>
      </c>
      <c r="C18" s="27">
        <v>11300</v>
      </c>
      <c r="D18" s="27">
        <f t="shared" si="0"/>
        <v>5650</v>
      </c>
      <c r="E18" s="129">
        <v>6893.06</v>
      </c>
      <c r="F18" s="23"/>
      <c r="G18" s="129">
        <f>E18*0.5</f>
        <v>3446.53</v>
      </c>
    </row>
    <row r="19" spans="1:8" ht="51" customHeight="1">
      <c r="A19" s="32" t="s">
        <v>41</v>
      </c>
      <c r="B19" s="23" t="s">
        <v>69</v>
      </c>
      <c r="C19" s="29">
        <v>25000</v>
      </c>
      <c r="D19" s="27">
        <f t="shared" si="0"/>
        <v>12500</v>
      </c>
      <c r="E19" s="29">
        <v>17680.72</v>
      </c>
      <c r="F19" s="23"/>
      <c r="G19" s="27">
        <f>E19*0.5</f>
        <v>8840.36</v>
      </c>
    </row>
    <row r="20" spans="1:8" ht="51" customHeight="1">
      <c r="A20" s="32" t="s">
        <v>42</v>
      </c>
      <c r="B20" s="23" t="s">
        <v>70</v>
      </c>
      <c r="C20" s="29">
        <v>19592</v>
      </c>
      <c r="D20" s="27">
        <f>C20/2</f>
        <v>9796</v>
      </c>
      <c r="E20" s="29">
        <v>2424.2800000000002</v>
      </c>
      <c r="F20" s="23"/>
      <c r="G20" s="27">
        <f>E20*0.5</f>
        <v>1212.1400000000001</v>
      </c>
    </row>
    <row r="21" spans="1:8" ht="51" customHeight="1">
      <c r="A21" s="45" t="s">
        <v>71</v>
      </c>
      <c r="B21" s="30" t="s">
        <v>72</v>
      </c>
      <c r="C21" s="78">
        <v>6000</v>
      </c>
      <c r="D21" s="71">
        <f t="shared" si="0"/>
        <v>3000</v>
      </c>
      <c r="E21" s="78"/>
      <c r="F21" s="79"/>
      <c r="G21" s="71"/>
    </row>
    <row r="22" spans="1:8" ht="85.5" hidden="1" customHeight="1">
      <c r="A22" s="58"/>
      <c r="B22" s="59"/>
      <c r="C22" s="60">
        <f>SUM(C10:C13)+ SUM(C15:C21)</f>
        <v>161587</v>
      </c>
      <c r="D22" s="60">
        <f>SUM(D10:D13)+ SUM(D15:D21)</f>
        <v>80793.5</v>
      </c>
      <c r="E22" s="61"/>
      <c r="F22" s="82"/>
      <c r="G22" s="62"/>
    </row>
    <row r="23" spans="1:8" ht="50" customHeight="1">
      <c r="A23" s="131" t="s">
        <v>97</v>
      </c>
      <c r="B23" s="131"/>
      <c r="C23" s="132">
        <f>SUM(C10:C13)+SUM(C15:C21)</f>
        <v>161587</v>
      </c>
      <c r="D23" s="132">
        <f>SUM(D10:D13)+SUM(D15:D21)</f>
        <v>80793.5</v>
      </c>
      <c r="E23" s="72">
        <f>SUM(E10:E13)+SUM(E15:E21)</f>
        <v>127900.77</v>
      </c>
      <c r="F23" s="131"/>
      <c r="G23" s="72">
        <f>G10+G11+G12+G15+G16+G17+G18+G19+G20</f>
        <v>71688.689500000008</v>
      </c>
      <c r="H23" s="14"/>
    </row>
    <row r="24" spans="1:8" ht="62.25" customHeight="1" thickBot="1">
      <c r="A24" s="116" t="s">
        <v>91</v>
      </c>
      <c r="B24" s="116"/>
      <c r="C24" s="116"/>
      <c r="D24" s="116"/>
      <c r="E24" s="116"/>
      <c r="F24" s="117"/>
      <c r="G24" s="73"/>
      <c r="H24" s="83"/>
    </row>
    <row r="25" spans="1:8" ht="37.5" customHeight="1" thickBot="1">
      <c r="A25" s="44" t="s">
        <v>4</v>
      </c>
      <c r="B25" s="108" t="s">
        <v>73</v>
      </c>
      <c r="C25" s="109"/>
      <c r="D25" s="109"/>
      <c r="E25" s="109"/>
      <c r="F25" s="109"/>
      <c r="G25" s="110"/>
      <c r="H25" s="84"/>
    </row>
    <row r="26" spans="1:8" ht="34.5" customHeight="1">
      <c r="A26" s="85" t="s">
        <v>44</v>
      </c>
      <c r="B26" s="86" t="s">
        <v>74</v>
      </c>
      <c r="C26" s="87">
        <v>25665</v>
      </c>
      <c r="D26" s="87">
        <f>C26/2</f>
        <v>12832.5</v>
      </c>
      <c r="E26" s="130">
        <v>13073.58</v>
      </c>
      <c r="F26" s="88"/>
      <c r="G26" s="71">
        <f>E26*0.31</f>
        <v>4052.8098</v>
      </c>
      <c r="H26" s="84"/>
    </row>
    <row r="27" spans="1:8" ht="42" customHeight="1" thickBot="1">
      <c r="A27" s="43" t="s">
        <v>45</v>
      </c>
      <c r="B27" s="16" t="s">
        <v>75</v>
      </c>
      <c r="C27" s="15">
        <v>12200</v>
      </c>
      <c r="D27" s="15">
        <f>C27/2</f>
        <v>6100</v>
      </c>
      <c r="E27" s="16"/>
      <c r="F27" s="89"/>
      <c r="G27" s="16"/>
    </row>
    <row r="28" spans="1:8" ht="45.75" customHeight="1" thickBot="1">
      <c r="A28" s="44" t="s">
        <v>5</v>
      </c>
      <c r="B28" s="105" t="s">
        <v>76</v>
      </c>
      <c r="C28" s="106"/>
      <c r="D28" s="106"/>
      <c r="E28" s="106"/>
      <c r="F28" s="106"/>
      <c r="G28" s="107"/>
    </row>
    <row r="29" spans="1:8" ht="45.75" customHeight="1">
      <c r="A29" s="45" t="s">
        <v>46</v>
      </c>
      <c r="B29" s="37" t="s">
        <v>99</v>
      </c>
      <c r="C29" s="31">
        <v>1300</v>
      </c>
      <c r="D29" s="26">
        <f>C29/2</f>
        <v>650</v>
      </c>
      <c r="E29" s="17"/>
      <c r="F29" s="90"/>
      <c r="G29" s="17"/>
    </row>
    <row r="30" spans="1:8" ht="45.75" customHeight="1">
      <c r="A30" s="32" t="s">
        <v>47</v>
      </c>
      <c r="B30" s="36" t="s">
        <v>77</v>
      </c>
      <c r="C30" s="34">
        <f>14200+3800</f>
        <v>18000</v>
      </c>
      <c r="D30" s="34">
        <f>C30/2</f>
        <v>9000</v>
      </c>
      <c r="E30" s="33"/>
      <c r="F30" s="91"/>
      <c r="G30" s="33"/>
    </row>
    <row r="31" spans="1:8" ht="46.25" customHeight="1" thickBot="1">
      <c r="A31" s="46" t="s">
        <v>83</v>
      </c>
      <c r="B31" s="38" t="s">
        <v>78</v>
      </c>
      <c r="C31" s="15">
        <v>4000</v>
      </c>
      <c r="D31" s="15">
        <f>C31/2</f>
        <v>2000</v>
      </c>
      <c r="E31" s="16"/>
      <c r="F31" s="89"/>
      <c r="G31" s="16"/>
    </row>
    <row r="32" spans="1:8" ht="42.75" customHeight="1" thickBot="1">
      <c r="A32" s="44" t="s">
        <v>6</v>
      </c>
      <c r="B32" s="108" t="s">
        <v>79</v>
      </c>
      <c r="C32" s="109"/>
      <c r="D32" s="109"/>
      <c r="E32" s="109"/>
      <c r="F32" s="109"/>
      <c r="G32" s="110"/>
    </row>
    <row r="33" spans="1:7" ht="45.75" customHeight="1">
      <c r="A33" s="32" t="s">
        <v>48</v>
      </c>
      <c r="B33" s="36" t="s">
        <v>80</v>
      </c>
      <c r="C33" s="34">
        <v>18150</v>
      </c>
      <c r="D33" s="34">
        <f>C33/2</f>
        <v>9075</v>
      </c>
      <c r="E33" s="133">
        <v>2537.84</v>
      </c>
      <c r="F33" s="134"/>
      <c r="G33" s="133">
        <f>E33*0.61</f>
        <v>1548.0824</v>
      </c>
    </row>
    <row r="34" spans="1:7" ht="45.75" customHeight="1">
      <c r="A34" s="32" t="s">
        <v>49</v>
      </c>
      <c r="B34" s="36" t="s">
        <v>81</v>
      </c>
      <c r="C34" s="34">
        <v>12500</v>
      </c>
      <c r="D34" s="34">
        <f>C34/2</f>
        <v>6250</v>
      </c>
      <c r="E34" s="33"/>
      <c r="F34" s="91"/>
      <c r="G34" s="33"/>
    </row>
    <row r="35" spans="1:7" ht="45.75" customHeight="1">
      <c r="A35" s="32" t="s">
        <v>50</v>
      </c>
      <c r="B35" s="36" t="s">
        <v>82</v>
      </c>
      <c r="C35" s="34">
        <v>10000</v>
      </c>
      <c r="D35" s="34">
        <f>C35/2</f>
        <v>5000</v>
      </c>
      <c r="E35" s="33"/>
      <c r="F35" s="91"/>
      <c r="G35" s="33"/>
    </row>
    <row r="36" spans="1:7" ht="61" customHeight="1">
      <c r="A36" s="32" t="s">
        <v>57</v>
      </c>
      <c r="B36" s="23" t="s">
        <v>56</v>
      </c>
      <c r="C36" s="13">
        <v>11200</v>
      </c>
      <c r="D36" s="13">
        <f>C36/2</f>
        <v>5600</v>
      </c>
      <c r="E36" s="9"/>
      <c r="F36" s="92"/>
      <c r="G36" s="19"/>
    </row>
    <row r="37" spans="1:7" ht="88.5" hidden="1" customHeight="1">
      <c r="A37" s="54"/>
      <c r="B37" s="55"/>
      <c r="C37" s="56">
        <f>SUM(C26:C27)+SUM(C29:C31)+SUM(C33:C36)</f>
        <v>113015</v>
      </c>
      <c r="D37" s="56">
        <f>SUM(D26:D27)+SUM(D29:D31)+SUM(D33:D36)</f>
        <v>56507.5</v>
      </c>
      <c r="E37" s="57"/>
      <c r="F37" s="93"/>
      <c r="G37" s="74"/>
    </row>
    <row r="38" spans="1:7" ht="30.75" customHeight="1" thickBot="1">
      <c r="A38" s="75" t="s">
        <v>98</v>
      </c>
      <c r="B38" s="75"/>
      <c r="C38" s="75">
        <f>SUM(C26:C27)+SUM(C29:C31)+SUM(C33:C36)</f>
        <v>113015</v>
      </c>
      <c r="D38" s="75">
        <f t="shared" ref="D38:G38" si="1">SUM(D26:D27)+SUM(D29:D31)+SUM(D33:D36)</f>
        <v>56507.5</v>
      </c>
      <c r="E38" s="94">
        <f t="shared" si="1"/>
        <v>15611.42</v>
      </c>
      <c r="F38" s="75"/>
      <c r="G38" s="94">
        <f t="shared" si="1"/>
        <v>5600.8922000000002</v>
      </c>
    </row>
    <row r="39" spans="1:7" ht="59.75" customHeight="1" thickBot="1">
      <c r="A39" s="111" t="s">
        <v>84</v>
      </c>
      <c r="B39" s="112"/>
      <c r="C39" s="112"/>
      <c r="D39" s="112"/>
      <c r="E39" s="112"/>
      <c r="F39" s="112"/>
      <c r="G39" s="113"/>
    </row>
    <row r="40" spans="1:7" ht="42.75" customHeight="1" thickBot="1">
      <c r="A40" s="47" t="s">
        <v>7</v>
      </c>
      <c r="B40" s="102" t="s">
        <v>85</v>
      </c>
      <c r="C40" s="103"/>
      <c r="D40" s="103"/>
      <c r="E40" s="103"/>
      <c r="F40" s="103"/>
      <c r="G40" s="104"/>
    </row>
    <row r="41" spans="1:7" ht="36" customHeight="1" thickBot="1">
      <c r="A41" s="48" t="s">
        <v>51</v>
      </c>
      <c r="B41" s="64" t="s">
        <v>86</v>
      </c>
      <c r="C41" s="24">
        <v>4600</v>
      </c>
      <c r="D41" s="24">
        <f>C41/2</f>
        <v>2300</v>
      </c>
      <c r="E41" s="135">
        <v>2171.7600000000002</v>
      </c>
      <c r="F41" s="136"/>
      <c r="G41" s="135">
        <f>E41*0.48</f>
        <v>1042.4448</v>
      </c>
    </row>
    <row r="42" spans="1:7" ht="42.75" customHeight="1" thickBot="1">
      <c r="A42" s="47" t="s">
        <v>8</v>
      </c>
      <c r="B42" s="102" t="s">
        <v>87</v>
      </c>
      <c r="C42" s="103"/>
      <c r="D42" s="103"/>
      <c r="E42" s="103"/>
      <c r="F42" s="103"/>
      <c r="G42" s="104"/>
    </row>
    <row r="43" spans="1:7" ht="28.25" customHeight="1" thickBot="1">
      <c r="A43" s="48" t="s">
        <v>52</v>
      </c>
      <c r="B43" s="63" t="s">
        <v>88</v>
      </c>
      <c r="C43" s="24">
        <v>5000</v>
      </c>
      <c r="D43" s="24">
        <f>C43/2</f>
        <v>2500</v>
      </c>
      <c r="E43" s="25"/>
      <c r="F43" s="95"/>
      <c r="G43" s="35"/>
    </row>
    <row r="44" spans="1:7" ht="42.75" customHeight="1" thickBot="1">
      <c r="A44" s="47" t="s">
        <v>54</v>
      </c>
      <c r="B44" s="102" t="s">
        <v>89</v>
      </c>
      <c r="C44" s="103"/>
      <c r="D44" s="103"/>
      <c r="E44" s="103"/>
      <c r="F44" s="103"/>
      <c r="G44" s="104"/>
    </row>
    <row r="45" spans="1:7" ht="40" customHeight="1">
      <c r="A45" s="49" t="s">
        <v>53</v>
      </c>
      <c r="B45" s="30" t="s">
        <v>90</v>
      </c>
      <c r="C45" s="39">
        <v>0</v>
      </c>
      <c r="D45" s="39">
        <v>0</v>
      </c>
      <c r="E45" s="39"/>
      <c r="F45" s="96"/>
      <c r="G45" s="39"/>
    </row>
    <row r="46" spans="1:7" ht="50.25" hidden="1" customHeight="1">
      <c r="A46" s="50"/>
      <c r="B46" s="51"/>
      <c r="C46" s="52">
        <f>C41+C43+C45</f>
        <v>9600</v>
      </c>
      <c r="D46" s="52">
        <f>D41+D43+D45</f>
        <v>4800</v>
      </c>
      <c r="E46" s="53"/>
      <c r="F46" s="97"/>
      <c r="G46" s="76"/>
    </row>
    <row r="47" spans="1:7" ht="46" customHeight="1">
      <c r="A47" s="131" t="s">
        <v>102</v>
      </c>
      <c r="B47" s="131"/>
      <c r="C47" s="72">
        <f>C41+C43</f>
        <v>9600</v>
      </c>
      <c r="D47" s="72">
        <f t="shared" ref="D47:G47" si="2">D41+D43</f>
        <v>4800</v>
      </c>
      <c r="E47" s="72">
        <f t="shared" si="2"/>
        <v>2171.7600000000002</v>
      </c>
      <c r="F47" s="131"/>
      <c r="G47" s="72">
        <f t="shared" si="2"/>
        <v>1042.4448</v>
      </c>
    </row>
    <row r="48" spans="1:7" ht="51.75" customHeight="1">
      <c r="A48" s="32" t="s">
        <v>27</v>
      </c>
      <c r="B48" s="28"/>
      <c r="C48" s="13">
        <v>147560</v>
      </c>
      <c r="D48" s="19"/>
      <c r="E48" s="13">
        <v>58116.829999999994</v>
      </c>
      <c r="F48" s="92"/>
      <c r="G48" s="19"/>
    </row>
    <row r="49" spans="1:7" ht="50.25" customHeight="1">
      <c r="A49" s="32" t="s">
        <v>28</v>
      </c>
      <c r="B49" s="28"/>
      <c r="C49" s="13">
        <v>32634</v>
      </c>
      <c r="D49" s="19"/>
      <c r="E49" s="13">
        <v>6822.97</v>
      </c>
      <c r="F49" s="98"/>
      <c r="G49" s="9"/>
    </row>
    <row r="50" spans="1:7" ht="68">
      <c r="A50" s="32" t="s">
        <v>100</v>
      </c>
      <c r="B50" s="23" t="s">
        <v>9</v>
      </c>
      <c r="C50" s="13">
        <v>36500</v>
      </c>
      <c r="D50" s="13">
        <f>C50/2</f>
        <v>18250</v>
      </c>
      <c r="E50" s="13">
        <v>2539.92</v>
      </c>
      <c r="F50" s="67" t="s">
        <v>101</v>
      </c>
      <c r="G50" s="18"/>
    </row>
    <row r="51" spans="1:7" ht="32" customHeight="1">
      <c r="A51" s="65" t="s">
        <v>96</v>
      </c>
      <c r="B51" s="66"/>
      <c r="C51" s="66" t="s">
        <v>103</v>
      </c>
      <c r="D51" s="66" t="s">
        <v>104</v>
      </c>
      <c r="E51" s="99">
        <f>E23+E38+E47+E48+E49+E50</f>
        <v>213163.67</v>
      </c>
      <c r="F51" s="66"/>
      <c r="G51" s="72">
        <f>G23+G38+G47</f>
        <v>78332.026500000007</v>
      </c>
    </row>
    <row r="52" spans="1:7" ht="19" customHeight="1">
      <c r="A52" s="67" t="s">
        <v>105</v>
      </c>
      <c r="B52" s="68"/>
      <c r="C52" s="68" t="s">
        <v>106</v>
      </c>
      <c r="D52" s="68"/>
      <c r="E52" s="100">
        <v>14921.46</v>
      </c>
      <c r="F52" s="68"/>
      <c r="G52" s="18"/>
    </row>
    <row r="53" spans="1:7" ht="29.75" customHeight="1">
      <c r="A53" s="114" t="s">
        <v>108</v>
      </c>
      <c r="B53" s="115"/>
      <c r="C53" s="66" t="s">
        <v>107</v>
      </c>
      <c r="D53" s="66" t="str">
        <f>D51</f>
        <v>$160,351</v>
      </c>
      <c r="E53" s="99">
        <f>E51+E52</f>
        <v>228085.13</v>
      </c>
      <c r="F53" s="66"/>
      <c r="G53" s="72">
        <f>G51</f>
        <v>78332.026500000007</v>
      </c>
    </row>
    <row r="55" spans="1:7">
      <c r="C55" s="101"/>
      <c r="F55" s="14"/>
    </row>
    <row r="56" spans="1:7">
      <c r="C56" s="84"/>
    </row>
    <row r="57" spans="1:7">
      <c r="F57" s="69"/>
      <c r="G57" s="69"/>
    </row>
    <row r="58" spans="1:7">
      <c r="C58" s="84"/>
      <c r="F58" s="69"/>
      <c r="G58" s="69"/>
    </row>
    <row r="59" spans="1:7">
      <c r="C59" s="84"/>
      <c r="F59" s="69"/>
      <c r="G59" s="69"/>
    </row>
    <row r="60" spans="1:7">
      <c r="C60" s="84"/>
    </row>
  </sheetData>
  <mergeCells count="12">
    <mergeCell ref="A53:B53"/>
    <mergeCell ref="A24:F24"/>
    <mergeCell ref="A8:G8"/>
    <mergeCell ref="B9:G9"/>
    <mergeCell ref="B14:G14"/>
    <mergeCell ref="B25:G25"/>
    <mergeCell ref="B44:G44"/>
    <mergeCell ref="B28:G28"/>
    <mergeCell ref="B32:G32"/>
    <mergeCell ref="A39:G39"/>
    <mergeCell ref="B40:G40"/>
    <mergeCell ref="B42:G42"/>
  </mergeCells>
  <pageMargins left="0.7" right="0.7" top="0.75" bottom="0.75" header="0.3" footer="0.3"/>
  <pageSetup scale="68" fitToHeight="0" orientation="landscape"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topLeftCell="A10" workbookViewId="0">
      <selection activeCell="G12" sqref="G12"/>
    </sheetView>
  </sheetViews>
  <sheetFormatPr baseColWidth="10" defaultColWidth="8.83203125" defaultRowHeight="15"/>
  <cols>
    <col min="1" max="1" width="15.5" customWidth="1"/>
    <col min="2" max="3" width="11.6640625" customWidth="1"/>
    <col min="4" max="4" width="12.6640625" customWidth="1"/>
    <col min="5" max="5" width="11.1640625" customWidth="1"/>
    <col min="6" max="7" width="10.5" customWidth="1"/>
    <col min="8" max="8" width="11.5" customWidth="1"/>
    <col min="9" max="9" width="17.6640625" customWidth="1"/>
    <col min="11" max="11" width="10.6640625" bestFit="1" customWidth="1"/>
  </cols>
  <sheetData>
    <row r="1" spans="1:11" ht="16">
      <c r="A1" s="1" t="s">
        <v>29</v>
      </c>
      <c r="B1" s="1"/>
      <c r="C1" s="1"/>
      <c r="D1" s="1"/>
    </row>
    <row r="2" spans="1:11">
      <c r="A2" s="6"/>
      <c r="B2" s="6"/>
      <c r="C2" s="6"/>
      <c r="D2" s="6"/>
    </row>
    <row r="3" spans="1:11">
      <c r="A3" s="6" t="s">
        <v>26</v>
      </c>
      <c r="B3" s="6"/>
      <c r="C3" s="6"/>
      <c r="D3" s="6"/>
    </row>
    <row r="4" spans="1:11" ht="16" thickBot="1"/>
    <row r="5" spans="1:11" ht="26.75" customHeight="1" thickBot="1">
      <c r="A5" s="124" t="s">
        <v>12</v>
      </c>
      <c r="B5" s="126" t="s">
        <v>33</v>
      </c>
      <c r="C5" s="127"/>
      <c r="D5" s="128"/>
      <c r="E5" s="5" t="s">
        <v>23</v>
      </c>
      <c r="F5" s="5" t="s">
        <v>25</v>
      </c>
      <c r="G5" s="5" t="s">
        <v>95</v>
      </c>
      <c r="H5" s="124" t="s">
        <v>24</v>
      </c>
      <c r="I5" s="124" t="s">
        <v>109</v>
      </c>
    </row>
    <row r="6" spans="1:11" ht="31" thickBot="1">
      <c r="A6" s="125"/>
      <c r="B6" s="2" t="s">
        <v>92</v>
      </c>
      <c r="C6" s="2" t="s">
        <v>93</v>
      </c>
      <c r="D6" s="2" t="s">
        <v>94</v>
      </c>
      <c r="E6" s="2"/>
      <c r="F6" s="2"/>
      <c r="G6" s="2"/>
      <c r="H6" s="125"/>
      <c r="I6" s="125"/>
    </row>
    <row r="7" spans="1:11" ht="31" thickBot="1">
      <c r="A7" s="3" t="s">
        <v>14</v>
      </c>
      <c r="B7" s="10">
        <v>51646.174999999996</v>
      </c>
      <c r="C7" s="10">
        <v>51646</v>
      </c>
      <c r="D7" s="10">
        <v>44268</v>
      </c>
      <c r="E7" s="10">
        <f t="shared" ref="E7:G13" si="0">B7</f>
        <v>51646.174999999996</v>
      </c>
      <c r="F7" s="10">
        <f t="shared" si="0"/>
        <v>51646</v>
      </c>
      <c r="G7" s="10">
        <f t="shared" si="0"/>
        <v>44268</v>
      </c>
      <c r="H7" s="10">
        <f>SUM(E7:G7)</f>
        <v>147560.17499999999</v>
      </c>
      <c r="I7" s="10">
        <v>58116.83</v>
      </c>
    </row>
    <row r="8" spans="1:11" ht="46" thickBot="1">
      <c r="A8" s="3" t="s">
        <v>15</v>
      </c>
      <c r="B8" s="10">
        <v>0</v>
      </c>
      <c r="C8" s="10">
        <v>0</v>
      </c>
      <c r="D8" s="10">
        <v>0</v>
      </c>
      <c r="E8" s="10">
        <f t="shared" si="0"/>
        <v>0</v>
      </c>
      <c r="F8" s="10">
        <f t="shared" si="0"/>
        <v>0</v>
      </c>
      <c r="G8" s="10">
        <f t="shared" si="0"/>
        <v>0</v>
      </c>
      <c r="H8" s="10">
        <f t="shared" ref="H8:H15" si="1">SUM(E8:G8)</f>
        <v>0</v>
      </c>
      <c r="I8" s="10">
        <v>0</v>
      </c>
    </row>
    <row r="9" spans="1:11" ht="61" thickBot="1">
      <c r="A9" s="3" t="s">
        <v>16</v>
      </c>
      <c r="B9" s="10">
        <v>0</v>
      </c>
      <c r="C9" s="10">
        <v>0</v>
      </c>
      <c r="D9" s="10">
        <v>0</v>
      </c>
      <c r="E9" s="10">
        <f t="shared" si="0"/>
        <v>0</v>
      </c>
      <c r="F9" s="10">
        <f t="shared" si="0"/>
        <v>0</v>
      </c>
      <c r="G9" s="10">
        <f t="shared" si="0"/>
        <v>0</v>
      </c>
      <c r="H9" s="10">
        <f t="shared" si="1"/>
        <v>0</v>
      </c>
      <c r="I9" s="10">
        <v>0</v>
      </c>
    </row>
    <row r="10" spans="1:11" ht="31" thickBot="1">
      <c r="A10" s="3" t="s">
        <v>17</v>
      </c>
      <c r="B10" s="10">
        <v>20492.5</v>
      </c>
      <c r="C10" s="10">
        <v>20492.5</v>
      </c>
      <c r="D10" s="10">
        <v>17565</v>
      </c>
      <c r="E10" s="10">
        <f t="shared" si="0"/>
        <v>20492.5</v>
      </c>
      <c r="F10" s="10">
        <f t="shared" si="0"/>
        <v>20492.5</v>
      </c>
      <c r="G10" s="10">
        <f t="shared" si="0"/>
        <v>17565</v>
      </c>
      <c r="H10" s="10">
        <f t="shared" si="1"/>
        <v>58550</v>
      </c>
      <c r="I10" s="10">
        <v>8148.93</v>
      </c>
    </row>
    <row r="11" spans="1:11" ht="16" thickBot="1">
      <c r="A11" s="3" t="s">
        <v>18</v>
      </c>
      <c r="B11" s="10">
        <v>13790</v>
      </c>
      <c r="C11" s="10">
        <v>13790</v>
      </c>
      <c r="D11" s="10">
        <v>11820</v>
      </c>
      <c r="E11" s="10">
        <f t="shared" si="0"/>
        <v>13790</v>
      </c>
      <c r="F11" s="10">
        <f t="shared" si="0"/>
        <v>13790</v>
      </c>
      <c r="G11" s="10">
        <f t="shared" si="0"/>
        <v>11820</v>
      </c>
      <c r="H11" s="10">
        <f t="shared" si="1"/>
        <v>39400</v>
      </c>
      <c r="I11" s="10">
        <v>9687.369999999999</v>
      </c>
    </row>
    <row r="12" spans="1:11" ht="46" thickBot="1">
      <c r="A12" s="3" t="s">
        <v>19</v>
      </c>
      <c r="B12" s="10">
        <v>79124.5</v>
      </c>
      <c r="C12" s="10">
        <v>79124.5</v>
      </c>
      <c r="D12" s="10">
        <v>67821</v>
      </c>
      <c r="E12" s="10">
        <f t="shared" si="0"/>
        <v>79124.5</v>
      </c>
      <c r="F12" s="10">
        <f t="shared" si="0"/>
        <v>79124.5</v>
      </c>
      <c r="G12" s="10">
        <f t="shared" si="0"/>
        <v>67821</v>
      </c>
      <c r="H12" s="10">
        <f>SUM(E12:G12)</f>
        <v>226070</v>
      </c>
      <c r="I12" s="10">
        <v>130419.51000000001</v>
      </c>
    </row>
    <row r="13" spans="1:11" ht="31" thickBot="1">
      <c r="A13" s="3" t="s">
        <v>20</v>
      </c>
      <c r="B13" s="10">
        <v>10278.449999999999</v>
      </c>
      <c r="C13" s="10">
        <v>10278.449999999999</v>
      </c>
      <c r="D13" s="10">
        <v>8810.1</v>
      </c>
      <c r="E13" s="10">
        <f t="shared" si="0"/>
        <v>10278.449999999999</v>
      </c>
      <c r="F13" s="10">
        <f t="shared" si="0"/>
        <v>10278.449999999999</v>
      </c>
      <c r="G13" s="10">
        <f t="shared" si="0"/>
        <v>8810.1</v>
      </c>
      <c r="H13" s="10">
        <f>SUM(E13:G13)</f>
        <v>29367</v>
      </c>
      <c r="I13" s="10">
        <v>6791.03</v>
      </c>
      <c r="J13" s="8"/>
      <c r="K13" s="8"/>
    </row>
    <row r="14" spans="1:11" ht="31" thickBot="1">
      <c r="A14" s="4" t="s">
        <v>21</v>
      </c>
      <c r="B14" s="11">
        <f>SUM(B7:B13)</f>
        <v>175331.625</v>
      </c>
      <c r="C14" s="11">
        <f>SUM(C7:C13)</f>
        <v>175331.45</v>
      </c>
      <c r="D14" s="11">
        <f t="shared" ref="D14:G14" si="2">SUM(D7:D13)</f>
        <v>150284.1</v>
      </c>
      <c r="E14" s="11">
        <f t="shared" si="2"/>
        <v>175331.625</v>
      </c>
      <c r="F14" s="11">
        <f t="shared" si="2"/>
        <v>175331.45</v>
      </c>
      <c r="G14" s="11">
        <f t="shared" si="2"/>
        <v>150284.1</v>
      </c>
      <c r="H14" s="11">
        <f>SUM(E14:G14)</f>
        <v>500947.17500000005</v>
      </c>
      <c r="I14" s="11">
        <f>SUM(I7:I13)</f>
        <v>213163.67</v>
      </c>
    </row>
    <row r="15" spans="1:11" ht="31" thickBot="1">
      <c r="A15" s="3" t="s">
        <v>22</v>
      </c>
      <c r="B15" s="10">
        <f t="shared" ref="B15:G15" si="3">B14*7%</f>
        <v>12273.213750000001</v>
      </c>
      <c r="C15" s="10">
        <f t="shared" si="3"/>
        <v>12273.201500000003</v>
      </c>
      <c r="D15" s="10">
        <f t="shared" si="3"/>
        <v>10519.887000000001</v>
      </c>
      <c r="E15" s="10">
        <f t="shared" si="3"/>
        <v>12273.213750000001</v>
      </c>
      <c r="F15" s="10">
        <f t="shared" si="3"/>
        <v>12273.201500000003</v>
      </c>
      <c r="G15" s="10">
        <f t="shared" si="3"/>
        <v>10519.887000000001</v>
      </c>
      <c r="H15" s="10">
        <f t="shared" si="1"/>
        <v>35066.302250000008</v>
      </c>
      <c r="I15" s="10">
        <f>I14*0.07</f>
        <v>14921.456900000003</v>
      </c>
    </row>
    <row r="16" spans="1:11" ht="24.75" customHeight="1" thickBot="1">
      <c r="A16" s="4" t="s">
        <v>13</v>
      </c>
      <c r="B16" s="11">
        <f t="shared" ref="B16:G16" si="4">B14+B15</f>
        <v>187604.83875</v>
      </c>
      <c r="C16" s="11">
        <f t="shared" si="4"/>
        <v>187604.65150000001</v>
      </c>
      <c r="D16" s="11">
        <f t="shared" si="4"/>
        <v>160803.98699999999</v>
      </c>
      <c r="E16" s="11">
        <f t="shared" si="4"/>
        <v>187604.83875</v>
      </c>
      <c r="F16" s="11">
        <f t="shared" si="4"/>
        <v>187604.65150000001</v>
      </c>
      <c r="G16" s="11">
        <f t="shared" si="4"/>
        <v>160803.98699999999</v>
      </c>
      <c r="H16" s="12">
        <f>SUM(E16:G16)</f>
        <v>536013.47725</v>
      </c>
      <c r="I16" s="12">
        <f>I14+I15</f>
        <v>228085.1269</v>
      </c>
    </row>
  </sheetData>
  <mergeCells count="4">
    <mergeCell ref="H5:H6"/>
    <mergeCell ref="A5:A6"/>
    <mergeCell ref="B5:D5"/>
    <mergeCell ref="I5:I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By outcomes Donor</vt:lpstr>
      <vt:lpstr>By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DUFFY Janine</cp:lastModifiedBy>
  <cp:lastPrinted>2018-09-26T13:49:30Z</cp:lastPrinted>
  <dcterms:created xsi:type="dcterms:W3CDTF">2017-11-15T21:17:43Z</dcterms:created>
  <dcterms:modified xsi:type="dcterms:W3CDTF">2019-11-11T18:11:49Z</dcterms:modified>
</cp:coreProperties>
</file>