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lphonse\Documents\PROJETS BPF\Rapports Annuels 2019 Portefeuille PBF Burundi\Rapports annuels 2019 Versions finales.Zip\OIM ONUFEMMES PNUD\"/>
    </mc:Choice>
  </mc:AlternateContent>
  <xr:revisionPtr revIDLastSave="0" documentId="8_{A685A476-1422-40F5-B1FF-8077BAB3D990}" xr6:coauthVersionLast="41" xr6:coauthVersionMax="41" xr10:uidLastSave="{00000000-0000-0000-0000-000000000000}"/>
  <bookViews>
    <workbookView xWindow="-120" yWindow="-120" windowWidth="20730" windowHeight="11160" xr2:uid="{00000000-000D-0000-FFFF-FFFF00000000}"/>
  </bookViews>
  <sheets>
    <sheet name="Rapport PBF" sheetId="1" r:id="rId1"/>
    <sheet name="Sheet 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 i="3" l="1"/>
  <c r="L19" i="3" s="1"/>
  <c r="L17" i="3"/>
  <c r="J19" i="3"/>
  <c r="K19" i="3"/>
  <c r="K17" i="3"/>
  <c r="F17" i="3"/>
  <c r="F18" i="3" s="1"/>
  <c r="F19" i="3" s="1"/>
  <c r="E17" i="3"/>
  <c r="E18" i="3" s="1"/>
  <c r="D17" i="3"/>
  <c r="D18" i="3" s="1"/>
  <c r="D19" i="3" s="1"/>
  <c r="C17" i="3"/>
  <c r="I16" i="3"/>
  <c r="I15" i="3"/>
  <c r="I14" i="3"/>
  <c r="I13" i="3"/>
  <c r="I12" i="3"/>
  <c r="I11" i="3"/>
  <c r="I10" i="3"/>
  <c r="L71" i="1"/>
  <c r="L70" i="1"/>
  <c r="L65" i="1"/>
  <c r="L69" i="1" s="1"/>
  <c r="L51" i="1"/>
  <c r="L26" i="1"/>
  <c r="J51" i="1"/>
  <c r="J69" i="1"/>
  <c r="J70" i="1" s="1"/>
  <c r="J71" i="1" s="1"/>
  <c r="J65" i="1"/>
  <c r="C18" i="3" l="1"/>
  <c r="C19" i="3" s="1"/>
  <c r="E19" i="3"/>
  <c r="I17" i="3"/>
  <c r="I18" i="3" l="1"/>
  <c r="I19" i="3"/>
  <c r="D71" i="1" l="1"/>
  <c r="D70" i="1"/>
  <c r="D69" i="1"/>
  <c r="D68" i="1"/>
  <c r="D67" i="1"/>
  <c r="D66" i="1"/>
  <c r="D59" i="1"/>
  <c r="D58" i="1"/>
  <c r="D57" i="1"/>
  <c r="D49" i="1"/>
  <c r="D44" i="1"/>
  <c r="D43" i="1"/>
  <c r="D42" i="1"/>
  <c r="D41" i="1"/>
  <c r="D40" i="1"/>
  <c r="D39" i="1"/>
  <c r="D37" i="1"/>
  <c r="D36" i="1"/>
  <c r="D35" i="1"/>
  <c r="D34" i="1"/>
  <c r="D33" i="1"/>
  <c r="D32" i="1"/>
  <c r="D31" i="1"/>
  <c r="D29" i="1"/>
  <c r="F71" i="1"/>
  <c r="F70" i="1"/>
  <c r="F69" i="1"/>
  <c r="F65" i="1"/>
  <c r="E70" i="1" l="1"/>
  <c r="E68" i="1"/>
  <c r="E66" i="1"/>
  <c r="E60" i="1"/>
  <c r="E21" i="1"/>
  <c r="E20" i="1"/>
  <c r="E19" i="1"/>
  <c r="E18" i="1"/>
  <c r="E17" i="1"/>
  <c r="E15" i="1"/>
  <c r="E14" i="1"/>
  <c r="E13" i="1"/>
  <c r="E12" i="1"/>
  <c r="E11" i="1"/>
  <c r="K71" i="1" l="1"/>
  <c r="K65" i="1" l="1"/>
  <c r="E26" i="1" l="1"/>
  <c r="K26" i="1" l="1"/>
  <c r="D51" i="1"/>
  <c r="D65" i="1"/>
  <c r="E65" i="1" l="1"/>
  <c r="F26" i="1"/>
  <c r="F51" i="1"/>
  <c r="E69" i="1" l="1"/>
  <c r="E71" i="1" s="1"/>
</calcChain>
</file>

<file path=xl/sharedStrings.xml><?xml version="1.0" encoding="utf-8"?>
<sst xmlns="http://schemas.openxmlformats.org/spreadsheetml/2006/main" count="151" uniqueCount="138">
  <si>
    <t xml:space="preserve"> </t>
  </si>
  <si>
    <t>CATEGORIES</t>
  </si>
  <si>
    <t>TOTAL</t>
  </si>
  <si>
    <t>Tranche 1 (70%)</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</si>
  <si>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</si>
  <si>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</si>
  <si>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</si>
  <si>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</si>
  <si>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</si>
  <si>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</si>
  <si>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</si>
  <si>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</si>
  <si>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</si>
  <si>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</si>
  <si>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</si>
  <si>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</si>
  <si>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</si>
  <si>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</si>
  <si>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</si>
  <si>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</si>
  <si>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</si>
  <si>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</si>
  <si>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</si>
  <si>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</si>
  <si>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</si>
  <si>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</si>
  <si>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</si>
  <si>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</si>
  <si>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</si>
  <si>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</si>
  <si>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</si>
  <si>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</si>
  <si>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</si>
  <si>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</si>
  <si>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</si>
  <si>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</si>
  <si>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</si>
  <si>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</si>
  <si>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</si>
  <si>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</si>
  <si>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</si>
  <si>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</si>
  <si>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</si>
  <si>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</si>
  <si>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</si>
  <si>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</si>
  <si>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</si>
  <si>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Budget par agence recipiendiaire en USD - Veuillez ajouter une nouvelle colonne par agence recipiendiaire</t>
  </si>
  <si>
    <t>Niveau de depense/ engagement actuel en USD (a remplir au moment des rapports de projet)</t>
  </si>
  <si>
    <t>Activite 2.1.4:</t>
  </si>
  <si>
    <t>Activite 2.1.5:</t>
  </si>
  <si>
    <t>Elaboration et diffusion d’outils simplifiés traduit en Kirundi pour les parajuristes </t>
  </si>
  <si>
    <t>Elaboration d’un guide et d’un code des parajuristes au niveau national et vulgarisation dans les communes d'intervention</t>
  </si>
  <si>
    <t>Activite 2.3.4:</t>
  </si>
  <si>
    <t>Activite 2.3.5:</t>
  </si>
  <si>
    <t xml:space="preserve"> Missions de coordination, d'encadrement et de suivi des activités des BCG et des parajuristes ;</t>
  </si>
  <si>
    <t>UNDP</t>
  </si>
  <si>
    <t>UNWOMEN</t>
  </si>
  <si>
    <t>IOM</t>
  </si>
  <si>
    <t>Cartographie des parajuristes dans les  55 communes</t>
  </si>
  <si>
    <t>Renforcement des capacités en matière juridiques de base et résolution pacifique des conflits : 50 formations de 10 jours avec la participation d'au moins 40% de femmes;</t>
  </si>
  <si>
    <t>Activite 2.1.6:</t>
  </si>
  <si>
    <t>Lancement officiel des activités des parajuristes</t>
  </si>
  <si>
    <t>Activite 2.1.7:</t>
  </si>
  <si>
    <t>Activite 2.1.8:</t>
  </si>
  <si>
    <t>Activite 2.1.9:</t>
  </si>
  <si>
    <t>Accompagnement du travail des parajuristes sur terrain : bureau, équipement, et moyens de travail (communication, déplacement, etc.)</t>
  </si>
  <si>
    <t>Organisation des parajuristes en réseaux </t>
  </si>
  <si>
    <t>Organisation de 7 missions d’échanges d’expérience au niveau local (5) et au niveau de la sous-région (2) avec la participation d'au moins 40% de femmes</t>
  </si>
  <si>
    <t>Mise en place et opérationalisation de 11 BCG (équipement, personnel et fonctionnement) et appui à l'assistance juridique et judiciaire</t>
  </si>
  <si>
    <t>Organisation des sessions d’information et de sensibilisation sur les services offerts par les BCG</t>
  </si>
  <si>
    <t xml:space="preserve">Séances d'écoute et d'assistances légale et/ou judiciaire par les avocats </t>
  </si>
  <si>
    <t>Activite 2.2.4:</t>
  </si>
  <si>
    <t>Organisation des sessions de sensibilisation et d’information aux droits (en matière foncière, succession, code des personnes et de la famille, etc.), en collaboration avec les parajuristes ;</t>
  </si>
  <si>
    <t>Activite 2.2.5:</t>
  </si>
  <si>
    <t>Activite 2.2.6:</t>
  </si>
  <si>
    <t xml:space="preserve">Organisation d’ateliers de sensibilisation et d’échanges avec les responsables administratifs en vue de l’appropriation des missions et des services d’aide légale pour une meilleure pérennisation </t>
  </si>
  <si>
    <t>Activite 3.1.4:</t>
  </si>
  <si>
    <t>Activite 3.1.5:</t>
  </si>
  <si>
    <t>Mise en place et opérationnalisation des espaces de concertation entre les différents acteurs communautaires en matière de prévention/résolution des conflits (4 réunions par commune) ;</t>
  </si>
  <si>
    <t xml:space="preserve">Organisation des séances de concertation entre les mécanismes communautaires de prévention des conflits, l’administration locale et les responsables de la justice au niveau communal (2 réunions par commune) </t>
  </si>
  <si>
    <t>Produit 1.3: Les acteurs formels et informels d'observation de la loi (dont les agents des migrations et les élus locaux) ont des capacités améliorées pour prévenir et résoudre les conflits liés aux migrations et rapatriements</t>
  </si>
  <si>
    <t xml:space="preserve">Formation des acteurs formels et informels en matière d’observation de la loi en Communication avec les Communautés pour leur permet d’accéder à un flux d’information améliorée pendant les périodes cruciales de notification des conflits et de reponses et de resolution des conflits dans la gestion des migrations </t>
  </si>
  <si>
    <t xml:space="preserve">Produit 2.3: Les membres des communautés traumatise par les violences psychologiques et physiques ont une capacité améliorée pour guérir à travers des méthodes de réhabilitation et guérison traditionnelle couplées à un soutien psycho-social spécialisée, pour promouvoir la guérison communautaire </t>
  </si>
  <si>
    <t xml:space="preserve">Etablissement de 4 équipes mobiles de soutien psychosocial pour assister les membres des communautés traumatises par les violences psychologiques et physiques </t>
  </si>
  <si>
    <t xml:space="preserve">Préparation, organisation et facilitation de séances de soutien psychosocial dans le cadre des conflits identifies pour assister les membres des communautés touchés par les violences psychologiques et physiques, y compris les organisations de la societe civiles et les leaders communautaires. </t>
  </si>
  <si>
    <t xml:space="preserve">Former les leaders de groupes communautaires psychosociaux capables, y compris les femmes mediatrices et les parajuristes, a mener des activites de guerison pour les personnes touchees par le traumatismes, la violence ou l'instabilite psychosociale, en particulier touches par la violence sexuelle  et sexiste, l'utilisation disproprotionnee de la force de police, la traite des personnes ainsi que d'autres evenements violents. </t>
  </si>
  <si>
    <t>Resultat 3: Les communautés et les institutions ont une capacité renforcée pour interagir harmonieusement afin de résoudre et prévenir les conflits et promouvoir la reconciliation,  la cohésion sociale et la sécurité communautaire.</t>
  </si>
  <si>
    <t xml:space="preserve">Produit 3.1: Des espaces de concertation et de dialogues sont mise en place et contribue à créer un environment sécurisé de dialogue pour promouvoir la réconciliation communautairela et la cohésion sociale </t>
  </si>
  <si>
    <t xml:space="preserve">Développement d’une cartographie des conflits et des méthodes de réconciliation à travers des outils multiméthodes </t>
  </si>
  <si>
    <t>Mise en place de Theatres Forums, une forme interactive de theatre de rue avec un focus sur l'idenitification et la guerison des traumas integré avec promouvoir la reconciliation et la cohesion sociale</t>
  </si>
  <si>
    <t xml:space="preserve">Les solutions identifiees dans les Theatres Forums sont mise en place comme projets a impacts rapide afin de guerir les trauma communautaire </t>
  </si>
  <si>
    <t>Resultat 1: Les membres des communautés dont les femmes et filles médiatrices, les déplacées, les retournés, les migrants, les victimes potentielles de la traite et des VSGBV contribuent à la prévention et la résolution des conflits.</t>
  </si>
  <si>
    <t>Produit 1.2: Le réseautage stratégique des médiatrices à tous les niveaux est renforcé et élargi aux jeunes filles médiatrices cadettes, pépinières des futures médiatrices</t>
  </si>
  <si>
    <t xml:space="preserve">Produit 1.1: Les membres des communautés dont les femmes et filles médiatrices, les déplacées, les retournés, les migrants, les victimes potentielles de la traite et des VSGBV contribuent à la prévention et la résolution des conflits. </t>
  </si>
  <si>
    <t>Organisation des journées d’échanges d’expériences entre les médiatrices, les leaders communautaires et les élues locales de niveau communal (50 sessions par an de 40 personnes avec la participation des autres médiatrices et leaders venus des autres provinces pour partager les expériences) une fois par an </t>
  </si>
  <si>
    <t>Organisation des cadres de concertation communautaires des femmes leaders et des médiatrices (18 cadres se réunissant 2 fois par an au niveau communal et provincial : réseau des médiatrices et des femmes leaders provinciales) </t>
  </si>
  <si>
    <t xml:space="preserve"> Organisation des ateliers/retraites d’échanges d’expériences entre les femmes leaders nationales (2 fois par an avec une participation de 40 personnes) en liaison avec le Réseau des médiatrices qui sert de pont entre les préoccupations communautaires et le niveau national</t>
  </si>
  <si>
    <t xml:space="preserve"> Appui au fonctionnement des médiatrices du Réseau des femmes actrices de paix et de dialogue (534 médiatrices) : les 5 provinces seront reliées au reste des provinces pour la résolution des conflits dont les conflits trans-provinciaux, l’organisation des rencontres entre les Points focaux provinciaux pour encadrement du Réseau, la communication inter-réseau, etc. </t>
  </si>
  <si>
    <t xml:space="preserve">Appui à l’organisation des dialogues : au niveau provincial : 1 débat/trimestre, au niveau communal : 1 débat/2 mois et au niveau collinaire : 1 débat/mois) </t>
  </si>
  <si>
    <t>Formation des médiatrices communales sur le leadership transformatif et le réseautage stratégique (13 sessions pour 534 médiatrices) : Formation et échange d’expérience entre les provinces et le reste des provinces en matière de leadership transformatif.  </t>
  </si>
  <si>
    <t xml:space="preserve"> Renforcement des capacités des femmes et filles médiatrices, élues localement et des leaders communautaires en matière de prévention, de résolution des conflits, de réconciliation et de plaidoyer  </t>
  </si>
  <si>
    <t>Mise en place et opérationnalisation d’un réseau de jeunes filles médiatrices cadettes (344 médiatrices dans 86 communes) : Identification des filles médiatrices cadettes, fonctionnement du réseau </t>
  </si>
  <si>
    <t>Formation et encadrement des jeunes filles médiatrices cadettes au niveau communal et collinaire par les femmes médiatrices en matière de médiation, d’animation de dialogue, de résolution des conflits, de médiation, de leadership et de plaidoyer (250 médiatrices et 150 jeunes dans 50 communes). </t>
  </si>
  <si>
    <t>Activite 1.2.4:</t>
  </si>
  <si>
    <t>Organisation des visites d’échange d’expériences interprovinciales entre les médiatrices et les femmes. Filles cadettes (5 médiatrices cadettes par commune et 1 fois par an).</t>
  </si>
  <si>
    <t>Activite 3.1.7</t>
  </si>
  <si>
    <t>Activite 3.1.6</t>
  </si>
  <si>
    <t>Organisation des journées communales d’échanges entre l’administration locale et les médiatrices (120 2 JCEAM par commune en 2 ans) : Appui au partenaire gouvernemental à capitaliser l’expérience du Réseau des femmes médiatrices dans le règlement des conflits et dans leur prévention</t>
  </si>
  <si>
    <t>Opérationnalisation des comités locaux de bonne gouverannce dans 11 communes</t>
  </si>
  <si>
    <t>Activite 3.2.1:</t>
  </si>
  <si>
    <r>
      <rPr>
        <sz val="12"/>
        <rFont val="Times New Roman"/>
        <family val="1"/>
      </rPr>
      <t>Formation, sensibilisation et suivi des responsables de l’application de la loi, y compris les agents d’immigration, sur la prévention, mitigation et de résolution des conflits, le plan d’intervention en cas de conflits et le code de conduite pour améliorer leurs capacités techniques, administratives et procédurale</t>
    </r>
    <r>
      <rPr>
        <b/>
        <sz val="12"/>
        <rFont val="Times New Roman"/>
        <family val="1"/>
      </rPr>
      <t>s</t>
    </r>
  </si>
  <si>
    <t>Activite 3.2.2:</t>
  </si>
  <si>
    <t>Formation et sensibilisation des communautés (y compris les personnes déplacées internes, les retournées, les victimes potentielles de la traite, les handicapés mentaux ou physiques, les VSBG, les ménages dirigés par une femme seule, les personnes âgés) pour améliorer leur capacité à interagir avec les institutions de la loi</t>
  </si>
  <si>
    <t>Produit 3.2: Les responsables  de l’application de la loi ont une capacite administratives et procedurale amelioree pour accroitre la responsabilisation interne en prévention des conflits situationnels afin d’assurer une interaction harmonieuse entre les communautés et les institutions de la loi, et amelioreee la securite communautaire</t>
  </si>
  <si>
    <t xml:space="preserve">Resultat 2: La population accède aux services d’aide légale et de prise en charge psycho-sociale. </t>
  </si>
  <si>
    <t>Produit 2.2: Des Bureaux de consultation gratuite sont mis en place et octroient les services d’aide légale à la population (juridique et judiciaire)</t>
  </si>
  <si>
    <t>UNW</t>
  </si>
  <si>
    <t xml:space="preserve">Activite 1.1.1: </t>
  </si>
  <si>
    <t xml:space="preserve">Activite 1.1.2: </t>
  </si>
  <si>
    <t>Activité 1.1.3:</t>
  </si>
  <si>
    <t xml:space="preserve">Activité 1.1.4: </t>
  </si>
  <si>
    <t>Activite 1.1.5:</t>
  </si>
  <si>
    <t>Activite 3.2.3:</t>
  </si>
  <si>
    <t>Monitoring &amp; Evaluation (including final evaluation)</t>
  </si>
  <si>
    <t xml:space="preserve">Activite 1.2.1:
</t>
  </si>
  <si>
    <t xml:space="preserve">Activité 1.2.2 :
</t>
  </si>
  <si>
    <t xml:space="preserve">Activité 1.2.3 : </t>
  </si>
  <si>
    <t xml:space="preserve">Activite 1.2.5:
</t>
  </si>
  <si>
    <t xml:space="preserve">Produit 2.1: Des réseaux des parajuristes sont mis en place et délivrent des services d’aide juridique (écoute, orientation et conciliation) pour les conflits mineurs au niveau collinaire   </t>
  </si>
  <si>
    <t>Élaboration des termes de référence (profil et cahier des charges) et sélection des parajuristes</t>
  </si>
  <si>
    <t>"Renforcement des mécanismes locaux de prévention et de  résolution des conflits au Burundi "</t>
  </si>
  <si>
    <t xml:space="preserve">Agence Recipiendiaire PNUD </t>
  </si>
  <si>
    <t>Agence Recipiendiaire ONUFEMMES</t>
  </si>
  <si>
    <t>Agence Recipiendiaire OIM</t>
  </si>
  <si>
    <t>Dépenses PNUD</t>
  </si>
  <si>
    <t>Dépenses ONU FEMMES</t>
  </si>
  <si>
    <t>Dépenses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</si>
</sst>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1"/>
      <color rgb="FFFF0000"/>
      <name val="Calibri"/>
      <family val="2"/>
      <scheme val="minor"/>
    </font>
    <font>
      <b/>
      <sz val="11"/>
      <color rgb="FF000000"/>
      <name val="Calibri"/>
      <family val="2"/>
    </font>
    <font>
      <b/>
      <sz val="11"/>
      <color rgb="FF000000"/>
      <name val="Times New Roman"/>
      <family val="1"/>
    </font>
    <font>
      <sz val="11"/>
      <color rgb="FF000000"/>
      <name val="Times New Roman"/>
      <family val="1"/>
    </font>
    <font>
      <b/>
      <sz val="14"/>
      <color theme="1"/>
      <name val="Times New Roman"/>
      <family val="1"/>
    </font>
    <font>
      <b/>
      <sz val="16"/>
      <color theme="1"/>
      <name val="Times New Roman"/>
      <family val="1"/>
    </font>
    <font>
      <b/>
      <sz val="15"/>
      <color theme="1"/>
      <name val="Times New Roman"/>
      <family val="1"/>
    </font>
    <font>
      <b/>
      <sz val="12"/>
      <color rgb="FF000000"/>
      <name val="Calibri"/>
      <family val="2"/>
    </font>
    <font>
      <sz val="11"/>
      <color theme="1"/>
      <name val="Calibri"/>
      <family val="2"/>
    </font>
    <font>
      <b/>
      <sz val="12"/>
      <color rgb="FF000000"/>
      <name val="Times New Roman"/>
      <family val="1"/>
    </font>
    <font>
      <b/>
      <sz val="12"/>
      <color rgb="FF0070C0"/>
      <name val="Times New Roman"/>
      <family val="1"/>
    </font>
    <font>
      <sz val="11"/>
      <color rgb="FF00000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theme="3" tint="0.59999389629810485"/>
        <bgColor indexed="64"/>
      </patternFill>
    </fill>
    <fill>
      <patternFill patternType="solid">
        <fgColor theme="3" tint="0.59999389629810485"/>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16">
    <xf numFmtId="0" fontId="0" fillId="0" borderId="0" xfId="0"/>
    <xf numFmtId="0" fontId="4" fillId="0" borderId="0" xfId="0" applyFont="1"/>
    <xf numFmtId="164" fontId="1" fillId="0" borderId="1" xfId="1" applyNumberFormat="1" applyFont="1" applyFill="1" applyBorder="1" applyAlignment="1">
      <alignment horizontal="center" vertical="center" wrapText="1"/>
    </xf>
    <xf numFmtId="0" fontId="0" fillId="0" borderId="0" xfId="0" applyFill="1"/>
    <xf numFmtId="164" fontId="1" fillId="0" borderId="1" xfId="1" applyNumberFormat="1" applyFont="1" applyFill="1" applyBorder="1" applyAlignment="1">
      <alignment vertical="center" wrapText="1"/>
    </xf>
    <xf numFmtId="164" fontId="2" fillId="0" borderId="1" xfId="1" applyNumberFormat="1" applyFont="1" applyFill="1" applyBorder="1" applyAlignment="1">
      <alignment vertical="center" wrapText="1"/>
    </xf>
    <xf numFmtId="43" fontId="1" fillId="0" borderId="2" xfId="1" applyFont="1" applyFill="1" applyBorder="1" applyAlignment="1">
      <alignment horizontal="center" vertical="center" wrapText="1"/>
    </xf>
    <xf numFmtId="164" fontId="1" fillId="0" borderId="2" xfId="1" applyNumberFormat="1" applyFont="1" applyFill="1" applyBorder="1" applyAlignment="1">
      <alignment vertical="center" wrapText="1"/>
    </xf>
    <xf numFmtId="164" fontId="2" fillId="0" borderId="2" xfId="1" applyNumberFormat="1" applyFont="1" applyFill="1" applyBorder="1" applyAlignment="1">
      <alignment vertical="center" wrapText="1"/>
    </xf>
    <xf numFmtId="0" fontId="0" fillId="0" borderId="0" xfId="0" applyFill="1" applyBorder="1"/>
    <xf numFmtId="164" fontId="0" fillId="0" borderId="0" xfId="0" applyNumberFormat="1" applyFill="1" applyBorder="1"/>
    <xf numFmtId="3" fontId="0" fillId="0" borderId="0" xfId="0" applyNumberFormat="1" applyFill="1" applyBorder="1"/>
    <xf numFmtId="164" fontId="4" fillId="0" borderId="0" xfId="0" applyNumberFormat="1" applyFont="1" applyFill="1" applyBorder="1"/>
    <xf numFmtId="0" fontId="4" fillId="0" borderId="0" xfId="0" applyFont="1" applyFill="1" applyBorder="1"/>
    <xf numFmtId="0" fontId="0" fillId="0" borderId="0" xfId="0" applyFill="1" applyAlignment="1"/>
    <xf numFmtId="0" fontId="10" fillId="0" borderId="4" xfId="0" applyFont="1" applyFill="1" applyBorder="1" applyAlignment="1"/>
    <xf numFmtId="0" fontId="10" fillId="0" borderId="0" xfId="0" applyFont="1" applyFill="1" applyBorder="1"/>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164" fontId="0" fillId="0" borderId="0" xfId="1" applyNumberFormat="1" applyFont="1"/>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left" vertical="center"/>
    </xf>
    <xf numFmtId="164" fontId="1" fillId="0" borderId="6" xfId="1" applyNumberFormat="1" applyFont="1" applyFill="1" applyBorder="1" applyAlignment="1">
      <alignment horizontal="center" vertical="center" wrapText="1"/>
    </xf>
    <xf numFmtId="164" fontId="1" fillId="4" borderId="1" xfId="1" applyNumberFormat="1" applyFont="1" applyFill="1" applyBorder="1" applyAlignment="1">
      <alignment vertical="center" wrapText="1"/>
    </xf>
    <xf numFmtId="164" fontId="1" fillId="4" borderId="1" xfId="1" applyNumberFormat="1" applyFont="1" applyFill="1" applyBorder="1" applyAlignment="1">
      <alignment horizontal="center" vertical="center" wrapText="1"/>
    </xf>
    <xf numFmtId="0" fontId="5" fillId="4" borderId="0" xfId="0" applyFont="1" applyFill="1" applyAlignment="1">
      <alignment horizontal="center" vertical="center"/>
    </xf>
    <xf numFmtId="0" fontId="3" fillId="4" borderId="0" xfId="0" applyFont="1" applyFill="1" applyAlignment="1">
      <alignment horizontal="center" vertical="center"/>
    </xf>
    <xf numFmtId="0" fontId="0" fillId="4" borderId="0" xfId="0" applyFill="1" applyAlignment="1">
      <alignment horizontal="center" vertical="center"/>
    </xf>
    <xf numFmtId="164" fontId="2" fillId="4" borderId="1" xfId="1" applyNumberFormat="1" applyFont="1" applyFill="1" applyBorder="1" applyAlignment="1">
      <alignment horizontal="center" vertical="center" wrapText="1"/>
    </xf>
    <xf numFmtId="164" fontId="0" fillId="4" borderId="0" xfId="0" applyNumberFormat="1" applyFill="1" applyAlignment="1">
      <alignment horizontal="center" vertical="center"/>
    </xf>
    <xf numFmtId="164" fontId="0" fillId="4" borderId="1" xfId="1" applyNumberFormat="1" applyFont="1" applyFill="1" applyBorder="1" applyAlignment="1">
      <alignment horizontal="center" vertical="center"/>
    </xf>
    <xf numFmtId="164" fontId="1" fillId="4" borderId="3"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Border="1"/>
    <xf numFmtId="0" fontId="5" fillId="0" borderId="0" xfId="0" applyFont="1"/>
    <xf numFmtId="164" fontId="2" fillId="4" borderId="1" xfId="1" applyNumberFormat="1" applyFont="1" applyFill="1" applyBorder="1" applyAlignment="1">
      <alignment vertical="center" wrapText="1"/>
    </xf>
    <xf numFmtId="164" fontId="0" fillId="4" borderId="0" xfId="1" applyNumberFormat="1" applyFont="1" applyFill="1" applyAlignment="1">
      <alignment horizontal="center" vertical="center"/>
    </xf>
    <xf numFmtId="164" fontId="14" fillId="4" borderId="1" xfId="1" applyNumberFormat="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164" fontId="0" fillId="4" borderId="0" xfId="1"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18" fillId="6" borderId="0" xfId="0" applyFont="1" applyFill="1" applyAlignment="1">
      <alignment horizontal="center" vertical="center"/>
    </xf>
    <xf numFmtId="164" fontId="0" fillId="0" borderId="0" xfId="1" applyNumberFormat="1" applyFont="1" applyAlignment="1">
      <alignment horizontal="center" vertical="center"/>
    </xf>
    <xf numFmtId="164" fontId="17" fillId="0" borderId="0" xfId="1" applyNumberFormat="1" applyFont="1" applyAlignment="1">
      <alignment horizontal="center" vertical="center"/>
    </xf>
    <xf numFmtId="164" fontId="18" fillId="0" borderId="0" xfId="1" applyNumberFormat="1" applyFont="1" applyAlignment="1">
      <alignment horizontal="center" vertical="center"/>
    </xf>
    <xf numFmtId="164" fontId="11" fillId="0" borderId="0" xfId="1" applyNumberFormat="1" applyFont="1" applyAlignment="1">
      <alignment horizontal="center" vertical="center"/>
    </xf>
    <xf numFmtId="164" fontId="12" fillId="0" borderId="0" xfId="1" applyNumberFormat="1" applyFont="1" applyAlignment="1">
      <alignment horizontal="center" vertical="center"/>
    </xf>
    <xf numFmtId="164" fontId="19" fillId="0" borderId="0" xfId="1" applyNumberFormat="1" applyFont="1" applyAlignment="1">
      <alignment horizontal="center" vertical="center" wrapText="1"/>
    </xf>
    <xf numFmtId="164" fontId="20" fillId="0" borderId="0" xfId="1" applyNumberFormat="1" applyFont="1" applyAlignment="1">
      <alignment horizontal="center" vertical="center"/>
    </xf>
    <xf numFmtId="164" fontId="19" fillId="0" borderId="0" xfId="1" applyNumberFormat="1" applyFont="1" applyAlignment="1">
      <alignment horizontal="center" vertical="center"/>
    </xf>
    <xf numFmtId="164" fontId="13" fillId="6" borderId="10" xfId="1" applyNumberFormat="1" applyFont="1" applyFill="1" applyBorder="1" applyAlignment="1">
      <alignment horizontal="center" vertical="center" wrapText="1"/>
    </xf>
    <xf numFmtId="164" fontId="21" fillId="6"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0" fillId="0" borderId="11" xfId="1" applyNumberFormat="1" applyFont="1" applyBorder="1" applyAlignment="1">
      <alignment horizontal="center" vertical="center"/>
    </xf>
    <xf numFmtId="164" fontId="2" fillId="8" borderId="1" xfId="1" applyNumberFormat="1" applyFont="1" applyFill="1" applyBorder="1" applyAlignment="1">
      <alignment horizontal="center" vertical="center" wrapText="1"/>
    </xf>
    <xf numFmtId="164" fontId="2" fillId="8" borderId="1" xfId="1" applyNumberFormat="1" applyFont="1" applyFill="1" applyBorder="1" applyAlignment="1">
      <alignment horizontal="left" vertical="center" wrapText="1"/>
    </xf>
    <xf numFmtId="164" fontId="9" fillId="8" borderId="1" xfId="1" applyNumberFormat="1" applyFont="1" applyFill="1" applyBorder="1" applyAlignment="1">
      <alignment horizontal="center" vertical="center" wrapText="1"/>
    </xf>
    <xf numFmtId="164" fontId="2" fillId="8" borderId="1" xfId="1" applyNumberFormat="1" applyFont="1" applyFill="1" applyBorder="1" applyAlignment="1">
      <alignment vertical="center" wrapText="1"/>
    </xf>
    <xf numFmtId="164" fontId="2" fillId="8" borderId="2" xfId="1" applyNumberFormat="1" applyFont="1" applyFill="1" applyBorder="1" applyAlignment="1">
      <alignment vertical="center" wrapText="1"/>
    </xf>
    <xf numFmtId="43" fontId="2" fillId="8" borderId="1" xfId="1" applyNumberFormat="1" applyFont="1" applyFill="1" applyBorder="1" applyAlignment="1">
      <alignment horizontal="center" vertical="center" wrapText="1"/>
    </xf>
    <xf numFmtId="164" fontId="12" fillId="9" borderId="10" xfId="1" applyNumberFormat="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4" fontId="0" fillId="8" borderId="11" xfId="1" applyNumberFormat="1" applyFont="1" applyFill="1" applyBorder="1" applyAlignment="1">
      <alignment horizontal="center" vertical="center"/>
    </xf>
    <xf numFmtId="164" fontId="13" fillId="9" borderId="10" xfId="1" applyNumberFormat="1" applyFont="1" applyFill="1" applyBorder="1" applyAlignment="1">
      <alignment horizontal="center" vertical="center" wrapText="1"/>
    </xf>
    <xf numFmtId="164" fontId="12" fillId="9" borderId="12" xfId="1" applyNumberFormat="1" applyFont="1" applyFill="1" applyBorder="1" applyAlignment="1">
      <alignment horizontal="center" vertical="center" wrapText="1"/>
    </xf>
    <xf numFmtId="164" fontId="11" fillId="9" borderId="13" xfId="1" applyNumberFormat="1" applyFont="1" applyFill="1" applyBorder="1" applyAlignment="1">
      <alignment horizontal="center" vertical="center" wrapText="1"/>
    </xf>
    <xf numFmtId="164" fontId="12" fillId="9" borderId="13" xfId="1" applyNumberFormat="1" applyFont="1" applyFill="1" applyBorder="1" applyAlignment="1">
      <alignment horizontal="center" vertical="center"/>
    </xf>
    <xf numFmtId="164" fontId="4" fillId="8" borderId="13" xfId="1" applyNumberFormat="1" applyFont="1" applyFill="1" applyBorder="1" applyAlignment="1">
      <alignment horizontal="center" vertical="center"/>
    </xf>
    <xf numFmtId="164" fontId="4" fillId="8" borderId="14" xfId="1" applyNumberFormat="1" applyFont="1" applyFill="1" applyBorder="1" applyAlignment="1">
      <alignment horizontal="center" vertical="center"/>
    </xf>
    <xf numFmtId="164" fontId="11" fillId="7" borderId="1" xfId="1" applyNumberFormat="1" applyFont="1" applyFill="1" applyBorder="1" applyAlignment="1">
      <alignment horizontal="center" vertical="center" wrapText="1"/>
    </xf>
    <xf numFmtId="164" fontId="1" fillId="0" borderId="0" xfId="1" applyNumberFormat="1" applyFont="1"/>
    <xf numFmtId="0" fontId="0" fillId="0" borderId="0" xfId="0" applyFill="1" applyBorder="1" applyAlignment="1">
      <alignment horizontal="left" vertical="center"/>
    </xf>
    <xf numFmtId="164" fontId="9" fillId="4" borderId="0" xfId="1"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64" fontId="16" fillId="5"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5" fillId="5" borderId="1" xfId="1" applyNumberFormat="1" applyFont="1" applyFill="1" applyBorder="1" applyAlignment="1">
      <alignment horizontal="center" vertical="center" wrapText="1"/>
    </xf>
    <xf numFmtId="0" fontId="14" fillId="2" borderId="2" xfId="1" applyNumberFormat="1" applyFont="1" applyFill="1" applyBorder="1" applyAlignment="1">
      <alignment horizontal="center" vertical="center" wrapText="1"/>
    </xf>
    <xf numFmtId="0" fontId="14" fillId="2" borderId="5" xfId="1"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11" fillId="7" borderId="7" xfId="1" applyNumberFormat="1" applyFont="1" applyFill="1" applyBorder="1" applyAlignment="1">
      <alignment horizontal="center" vertical="center" wrapText="1"/>
    </xf>
    <xf numFmtId="164" fontId="11" fillId="7" borderId="10" xfId="1" applyNumberFormat="1" applyFont="1" applyFill="1" applyBorder="1" applyAlignment="1">
      <alignment horizontal="center" vertical="center" wrapText="1"/>
    </xf>
    <xf numFmtId="164" fontId="11" fillId="7" borderId="8"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730250</xdr:colOff>
      <xdr:row>0</xdr:row>
      <xdr:rowOff>103717</xdr:rowOff>
    </xdr:from>
    <xdr:to>
      <xdr:col>4</xdr:col>
      <xdr:colOff>442383</xdr:colOff>
      <xdr:row>4</xdr:row>
      <xdr:rowOff>44450</xdr:rowOff>
    </xdr:to>
    <xdr:pic>
      <xdr:nvPicPr>
        <xdr:cNvPr id="2" name="Picture 3">
          <a:extLst>
            <a:ext uri="{FF2B5EF4-FFF2-40B4-BE49-F238E27FC236}">
              <a16:creationId xmlns:a16="http://schemas.microsoft.com/office/drawing/2014/main" id="{A3063ED0-AF37-442E-A743-984FD7C1F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083" y="103717"/>
          <a:ext cx="1035050" cy="977900"/>
        </a:xfrm>
        <a:prstGeom prst="rect">
          <a:avLst/>
        </a:prstGeom>
        <a:noFill/>
        <a:ln>
          <a:noFill/>
        </a:ln>
      </xdr:spPr>
    </xdr:pic>
    <xdr:clientData/>
  </xdr:twoCellAnchor>
  <xdr:twoCellAnchor editAs="oneCell">
    <xdr:from>
      <xdr:col>4</xdr:col>
      <xdr:colOff>952500</xdr:colOff>
      <xdr:row>0</xdr:row>
      <xdr:rowOff>184150</xdr:rowOff>
    </xdr:from>
    <xdr:to>
      <xdr:col>5</xdr:col>
      <xdr:colOff>988483</xdr:colOff>
      <xdr:row>4</xdr:row>
      <xdr:rowOff>48683</xdr:rowOff>
    </xdr:to>
    <xdr:pic>
      <xdr:nvPicPr>
        <xdr:cNvPr id="3" name="Picture 4">
          <a:extLst>
            <a:ext uri="{FF2B5EF4-FFF2-40B4-BE49-F238E27FC236}">
              <a16:creationId xmlns:a16="http://schemas.microsoft.com/office/drawing/2014/main" id="{2BF68C3B-4A54-4250-AC18-29E1C58F89DB}"/>
            </a:ext>
          </a:extLst>
        </xdr:cNvPr>
        <xdr:cNvPicPr/>
      </xdr:nvPicPr>
      <xdr:blipFill>
        <a:blip xmlns:r="http://schemas.openxmlformats.org/officeDocument/2006/relationships" r:embed="rId2" cstate="print"/>
        <a:srcRect/>
        <a:stretch>
          <a:fillRect/>
        </a:stretch>
      </xdr:blipFill>
      <xdr:spPr bwMode="auto">
        <a:xfrm>
          <a:off x="10509250" y="184150"/>
          <a:ext cx="1231900" cy="901700"/>
        </a:xfrm>
        <a:prstGeom prst="rect">
          <a:avLst/>
        </a:prstGeom>
        <a:noFill/>
        <a:ln w="9525">
          <a:noFill/>
          <a:miter lim="800000"/>
          <a:headEnd/>
          <a:tailEnd/>
        </a:ln>
      </xdr:spPr>
    </xdr:pic>
    <xdr:clientData/>
  </xdr:twoCellAnchor>
  <xdr:twoCellAnchor editAs="oneCell">
    <xdr:from>
      <xdr:col>6</xdr:col>
      <xdr:colOff>408517</xdr:colOff>
      <xdr:row>0</xdr:row>
      <xdr:rowOff>222250</xdr:rowOff>
    </xdr:from>
    <xdr:to>
      <xdr:col>7</xdr:col>
      <xdr:colOff>5292</xdr:colOff>
      <xdr:row>5</xdr:row>
      <xdr:rowOff>25400</xdr:rowOff>
    </xdr:to>
    <xdr:pic>
      <xdr:nvPicPr>
        <xdr:cNvPr id="4" name="Image 3">
          <a:extLst>
            <a:ext uri="{FF2B5EF4-FFF2-40B4-BE49-F238E27FC236}">
              <a16:creationId xmlns:a16="http://schemas.microsoft.com/office/drawing/2014/main" id="{23E4203D-F233-4636-8EE0-AC77F5AE2AA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6517" y="222250"/>
          <a:ext cx="831850" cy="1041400"/>
        </a:xfrm>
        <a:prstGeom prst="rect">
          <a:avLst/>
        </a:prstGeom>
        <a:noFill/>
      </xdr:spPr>
    </xdr:pic>
    <xdr:clientData/>
  </xdr:twoCellAnchor>
  <xdr:twoCellAnchor editAs="oneCell">
    <xdr:from>
      <xdr:col>7</xdr:col>
      <xdr:colOff>349249</xdr:colOff>
      <xdr:row>0</xdr:row>
      <xdr:rowOff>209550</xdr:rowOff>
    </xdr:from>
    <xdr:to>
      <xdr:col>8</xdr:col>
      <xdr:colOff>179916</xdr:colOff>
      <xdr:row>3</xdr:row>
      <xdr:rowOff>158750</xdr:rowOff>
    </xdr:to>
    <xdr:pic>
      <xdr:nvPicPr>
        <xdr:cNvPr id="5" name="Picture 4" descr="Résultat de recherche d'images pour &quot;logo d'OIM&quot;">
          <a:extLst>
            <a:ext uri="{FF2B5EF4-FFF2-40B4-BE49-F238E27FC236}">
              <a16:creationId xmlns:a16="http://schemas.microsoft.com/office/drawing/2014/main" id="{864EFCE3-AD77-4EB2-B8C7-6381B8C749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46666" y="209550"/>
          <a:ext cx="984250" cy="806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139700</xdr:rowOff>
    </xdr:from>
    <xdr:to>
      <xdr:col>7</xdr:col>
      <xdr:colOff>419100</xdr:colOff>
      <xdr:row>5</xdr:row>
      <xdr:rowOff>184150</xdr:rowOff>
    </xdr:to>
    <xdr:pic>
      <xdr:nvPicPr>
        <xdr:cNvPr id="3" name="Picture 3">
          <a:extLst>
            <a:ext uri="{FF2B5EF4-FFF2-40B4-BE49-F238E27FC236}">
              <a16:creationId xmlns:a16="http://schemas.microsoft.com/office/drawing/2014/main" id="{95E5AE95-82CD-4D21-927D-09C3D3F3D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850" y="139700"/>
          <a:ext cx="1035050" cy="977900"/>
        </a:xfrm>
        <a:prstGeom prst="rect">
          <a:avLst/>
        </a:prstGeom>
        <a:noFill/>
        <a:ln>
          <a:noFill/>
        </a:ln>
      </xdr:spPr>
    </xdr:pic>
    <xdr:clientData/>
  </xdr:twoCellAnchor>
  <xdr:twoCellAnchor editAs="oneCell">
    <xdr:from>
      <xdr:col>7</xdr:col>
      <xdr:colOff>622300</xdr:colOff>
      <xdr:row>0</xdr:row>
      <xdr:rowOff>177800</xdr:rowOff>
    </xdr:from>
    <xdr:to>
      <xdr:col>8</xdr:col>
      <xdr:colOff>838200</xdr:colOff>
      <xdr:row>5</xdr:row>
      <xdr:rowOff>146050</xdr:rowOff>
    </xdr:to>
    <xdr:pic>
      <xdr:nvPicPr>
        <xdr:cNvPr id="4" name="Picture 4">
          <a:extLst>
            <a:ext uri="{FF2B5EF4-FFF2-40B4-BE49-F238E27FC236}">
              <a16:creationId xmlns:a16="http://schemas.microsoft.com/office/drawing/2014/main" id="{F0BD2AE4-79A1-4D49-B4FE-0FE2EB5E09C8}"/>
            </a:ext>
          </a:extLst>
        </xdr:cNvPr>
        <xdr:cNvPicPr/>
      </xdr:nvPicPr>
      <xdr:blipFill>
        <a:blip xmlns:r="http://schemas.openxmlformats.org/officeDocument/2006/relationships" r:embed="rId2" cstate="print"/>
        <a:srcRect/>
        <a:stretch>
          <a:fillRect/>
        </a:stretch>
      </xdr:blipFill>
      <xdr:spPr bwMode="auto">
        <a:xfrm>
          <a:off x="8166100" y="177800"/>
          <a:ext cx="1231900" cy="901700"/>
        </a:xfrm>
        <a:prstGeom prst="rect">
          <a:avLst/>
        </a:prstGeom>
        <a:noFill/>
        <a:ln w="9525">
          <a:noFill/>
          <a:miter lim="800000"/>
          <a:headEnd/>
          <a:tailEnd/>
        </a:ln>
      </xdr:spPr>
    </xdr:pic>
    <xdr:clientData/>
  </xdr:twoCellAnchor>
  <xdr:twoCellAnchor editAs="oneCell">
    <xdr:from>
      <xdr:col>9</xdr:col>
      <xdr:colOff>190500</xdr:colOff>
      <xdr:row>0</xdr:row>
      <xdr:rowOff>88900</xdr:rowOff>
    </xdr:from>
    <xdr:to>
      <xdr:col>10</xdr:col>
      <xdr:colOff>133350</xdr:colOff>
      <xdr:row>6</xdr:row>
      <xdr:rowOff>6350</xdr:rowOff>
    </xdr:to>
    <xdr:pic>
      <xdr:nvPicPr>
        <xdr:cNvPr id="5" name="Image 4">
          <a:extLst>
            <a:ext uri="{FF2B5EF4-FFF2-40B4-BE49-F238E27FC236}">
              <a16:creationId xmlns:a16="http://schemas.microsoft.com/office/drawing/2014/main" id="{1AD58500-0355-4D0B-A134-3EC1F47B52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88900"/>
          <a:ext cx="831850" cy="1041400"/>
        </a:xfrm>
        <a:prstGeom prst="rect">
          <a:avLst/>
        </a:prstGeom>
        <a:noFill/>
      </xdr:spPr>
    </xdr:pic>
    <xdr:clientData/>
  </xdr:twoCellAnchor>
  <xdr:twoCellAnchor editAs="oneCell">
    <xdr:from>
      <xdr:col>10</xdr:col>
      <xdr:colOff>374650</xdr:colOff>
      <xdr:row>0</xdr:row>
      <xdr:rowOff>139700</xdr:rowOff>
    </xdr:from>
    <xdr:to>
      <xdr:col>11</xdr:col>
      <xdr:colOff>596900</xdr:colOff>
      <xdr:row>5</xdr:row>
      <xdr:rowOff>12700</xdr:rowOff>
    </xdr:to>
    <xdr:pic>
      <xdr:nvPicPr>
        <xdr:cNvPr id="7" name="Picture 4" descr="Résultat de recherche d'images pour &quot;logo d'OIM&quot;">
          <a:extLst>
            <a:ext uri="{FF2B5EF4-FFF2-40B4-BE49-F238E27FC236}">
              <a16:creationId xmlns:a16="http://schemas.microsoft.com/office/drawing/2014/main" id="{A8A37E89-0411-40CB-B65E-2B2D3883D9A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64850" y="139700"/>
          <a:ext cx="984250" cy="8064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0"/>
  <sheetViews>
    <sheetView tabSelected="1" view="pageBreakPreview" topLeftCell="B1" zoomScale="60" zoomScaleNormal="100" workbookViewId="0">
      <selection activeCell="J71" sqref="J71"/>
    </sheetView>
  </sheetViews>
  <sheetFormatPr baseColWidth="10" defaultColWidth="8.7109375" defaultRowHeight="15" x14ac:dyDescent="0.25"/>
  <cols>
    <col min="2" max="2" width="27.5703125" style="30" customWidth="1"/>
    <col min="3" max="3" width="81.42578125" style="33" customWidth="1"/>
    <col min="4" max="4" width="19" style="39" customWidth="1"/>
    <col min="5" max="5" width="17.140625" style="39" customWidth="1"/>
    <col min="6" max="6" width="17" style="51" customWidth="1"/>
    <col min="7" max="7" width="18.140625" style="30" customWidth="1"/>
    <col min="8" max="8" width="16.5703125" style="30" customWidth="1"/>
    <col min="9" max="9" width="11.7109375" style="30" customWidth="1"/>
    <col min="10" max="10" width="14.42578125" style="30" bestFit="1" customWidth="1"/>
    <col min="11" max="11" width="13.7109375" style="39" customWidth="1"/>
    <col min="12" max="12" width="16.140625" style="54" bestFit="1" customWidth="1"/>
    <col min="13" max="13" width="11.5703125" customWidth="1"/>
    <col min="14" max="14" width="15.42578125" customWidth="1"/>
    <col min="15" max="15" width="14.7109375" customWidth="1"/>
    <col min="16" max="16" width="22.7109375" style="9" customWidth="1"/>
    <col min="17" max="19" width="28.7109375" style="9" customWidth="1"/>
    <col min="20" max="20" width="34.140625" customWidth="1"/>
  </cols>
  <sheetData>
    <row r="1" spans="2:19" s="3" customFormat="1" ht="21" x14ac:dyDescent="0.25">
      <c r="C1" s="55" t="s">
        <v>5</v>
      </c>
      <c r="D1" s="37"/>
      <c r="E1" s="37"/>
      <c r="F1" s="51"/>
      <c r="G1" s="26"/>
      <c r="H1" s="26"/>
      <c r="I1" s="26"/>
      <c r="J1" s="26"/>
      <c r="K1" s="39"/>
      <c r="L1" s="54"/>
      <c r="P1" s="9"/>
      <c r="Q1" s="9"/>
      <c r="R1" s="9"/>
      <c r="S1" s="9"/>
    </row>
    <row r="2" spans="2:19" ht="15.75" x14ac:dyDescent="0.25">
      <c r="B2" s="27"/>
      <c r="C2" s="56"/>
      <c r="D2" s="38"/>
      <c r="E2" s="38"/>
      <c r="G2" s="26"/>
      <c r="H2" s="26"/>
      <c r="I2" s="26"/>
      <c r="J2" s="26"/>
      <c r="M2" s="3"/>
      <c r="N2" s="3"/>
      <c r="O2" s="3"/>
    </row>
    <row r="3" spans="2:19" ht="31.5" x14ac:dyDescent="0.25">
      <c r="C3" s="57" t="s">
        <v>6</v>
      </c>
      <c r="D3" s="38"/>
      <c r="E3" s="38"/>
      <c r="G3" s="26"/>
      <c r="H3" s="26"/>
      <c r="I3" s="26"/>
      <c r="J3" s="26"/>
      <c r="M3" s="3"/>
      <c r="N3" s="3"/>
      <c r="O3" s="3"/>
    </row>
    <row r="4" spans="2:19" x14ac:dyDescent="0.25">
      <c r="B4" s="26"/>
      <c r="C4" s="58"/>
      <c r="G4" s="26"/>
      <c r="H4" s="26"/>
      <c r="I4" s="26"/>
      <c r="J4" s="26"/>
      <c r="M4" s="3"/>
      <c r="N4" s="3"/>
      <c r="O4" s="3"/>
    </row>
    <row r="5" spans="2:19" ht="15.75" x14ac:dyDescent="0.25">
      <c r="C5" s="57" t="s">
        <v>7</v>
      </c>
      <c r="G5" s="26"/>
      <c r="H5" s="26"/>
      <c r="I5" s="26"/>
      <c r="J5" s="26"/>
      <c r="M5" s="3"/>
      <c r="N5" s="3"/>
      <c r="O5" s="3"/>
    </row>
    <row r="6" spans="2:19" x14ac:dyDescent="0.25">
      <c r="B6" s="26"/>
      <c r="C6" s="31"/>
      <c r="G6" s="26"/>
      <c r="H6" s="26"/>
      <c r="I6" s="26"/>
      <c r="J6" s="26"/>
      <c r="M6" s="3"/>
      <c r="N6" s="3"/>
      <c r="O6" s="3"/>
    </row>
    <row r="7" spans="2:19" ht="88.5" customHeight="1" x14ac:dyDescent="0.25">
      <c r="B7" s="17" t="s">
        <v>8</v>
      </c>
      <c r="C7" s="32" t="s">
        <v>9</v>
      </c>
      <c r="D7" s="93" t="s">
        <v>47</v>
      </c>
      <c r="E7" s="93"/>
      <c r="F7" s="93"/>
      <c r="G7" s="93" t="s">
        <v>10</v>
      </c>
      <c r="H7" s="93"/>
      <c r="I7" s="93"/>
      <c r="J7" s="94" t="s">
        <v>48</v>
      </c>
      <c r="K7" s="94"/>
      <c r="L7" s="94"/>
      <c r="M7" s="94" t="s">
        <v>11</v>
      </c>
      <c r="N7" s="94"/>
      <c r="O7" s="94"/>
    </row>
    <row r="8" spans="2:19" ht="45" customHeight="1" x14ac:dyDescent="0.25">
      <c r="B8" s="95" t="s">
        <v>92</v>
      </c>
      <c r="C8" s="95"/>
      <c r="D8" s="95"/>
      <c r="E8" s="95"/>
      <c r="F8" s="95"/>
      <c r="G8" s="95"/>
      <c r="H8" s="95"/>
      <c r="I8" s="95"/>
      <c r="J8" s="95"/>
      <c r="K8" s="95"/>
      <c r="L8" s="95"/>
      <c r="M8" s="95"/>
      <c r="N8" s="95"/>
      <c r="O8" s="95"/>
    </row>
    <row r="9" spans="2:19" s="49" customFormat="1" ht="29.25" customHeight="1" x14ac:dyDescent="0.3">
      <c r="B9" s="44"/>
      <c r="C9" s="45"/>
      <c r="D9" s="46" t="s">
        <v>56</v>
      </c>
      <c r="E9" s="46" t="s">
        <v>57</v>
      </c>
      <c r="F9" s="52" t="s">
        <v>58</v>
      </c>
      <c r="G9" s="44" t="s">
        <v>56</v>
      </c>
      <c r="H9" s="46" t="s">
        <v>57</v>
      </c>
      <c r="I9" s="44" t="s">
        <v>58</v>
      </c>
      <c r="J9" s="44" t="s">
        <v>56</v>
      </c>
      <c r="K9" s="46" t="s">
        <v>117</v>
      </c>
      <c r="L9" s="52" t="s">
        <v>58</v>
      </c>
      <c r="M9" s="44" t="s">
        <v>56</v>
      </c>
      <c r="N9" s="44" t="s">
        <v>57</v>
      </c>
      <c r="O9" s="47" t="s">
        <v>58</v>
      </c>
      <c r="P9" s="48"/>
      <c r="Q9" s="48"/>
      <c r="R9" s="48"/>
      <c r="S9" s="48"/>
    </row>
    <row r="10" spans="2:19" ht="45.6" customHeight="1" x14ac:dyDescent="0.25">
      <c r="B10" s="92" t="s">
        <v>94</v>
      </c>
      <c r="C10" s="92"/>
      <c r="D10" s="92"/>
      <c r="E10" s="92"/>
      <c r="F10" s="92"/>
      <c r="G10" s="92"/>
      <c r="H10" s="92"/>
      <c r="I10" s="92"/>
      <c r="J10" s="92"/>
      <c r="K10" s="92"/>
      <c r="L10" s="92"/>
      <c r="M10" s="92"/>
      <c r="N10" s="92"/>
      <c r="O10" s="92"/>
    </row>
    <row r="11" spans="2:19" ht="94.5" customHeight="1" x14ac:dyDescent="0.25">
      <c r="B11" s="17" t="s">
        <v>118</v>
      </c>
      <c r="C11" s="32" t="s">
        <v>95</v>
      </c>
      <c r="D11" s="36"/>
      <c r="E11" s="36">
        <f>49500*1.42857142857143</f>
        <v>70714.28571428571</v>
      </c>
      <c r="F11" s="36"/>
      <c r="G11" s="2"/>
      <c r="H11" s="2">
        <v>100</v>
      </c>
      <c r="I11" s="2"/>
      <c r="J11" s="2"/>
      <c r="K11" s="42">
        <v>44799</v>
      </c>
      <c r="L11" s="36"/>
      <c r="M11" s="2"/>
      <c r="N11" s="2"/>
      <c r="O11" s="6"/>
    </row>
    <row r="12" spans="2:19" ht="68.25" customHeight="1" x14ac:dyDescent="0.25">
      <c r="B12" s="17" t="s">
        <v>119</v>
      </c>
      <c r="C12" s="32" t="s">
        <v>96</v>
      </c>
      <c r="D12" s="36"/>
      <c r="E12" s="36">
        <f>39900*1.42857142857143</f>
        <v>57000</v>
      </c>
      <c r="F12" s="36"/>
      <c r="G12" s="2"/>
      <c r="H12" s="2">
        <v>100</v>
      </c>
      <c r="I12" s="2"/>
      <c r="J12" s="2"/>
      <c r="K12" s="36">
        <v>15843</v>
      </c>
      <c r="L12" s="36"/>
      <c r="M12" s="2"/>
      <c r="N12" s="2"/>
      <c r="O12" s="6"/>
    </row>
    <row r="13" spans="2:19" ht="113.45" customHeight="1" x14ac:dyDescent="0.25">
      <c r="B13" s="17" t="s">
        <v>120</v>
      </c>
      <c r="C13" s="32" t="s">
        <v>97</v>
      </c>
      <c r="D13" s="36"/>
      <c r="E13" s="36">
        <f>39900*1.42857142857143</f>
        <v>57000.000000000051</v>
      </c>
      <c r="F13" s="36"/>
      <c r="G13" s="2"/>
      <c r="H13" s="2">
        <v>100</v>
      </c>
      <c r="I13" s="2"/>
      <c r="J13" s="2"/>
      <c r="K13" s="36">
        <v>28264</v>
      </c>
      <c r="L13" s="36"/>
      <c r="M13" s="2"/>
      <c r="N13" s="2"/>
      <c r="O13" s="6"/>
    </row>
    <row r="14" spans="2:19" ht="102" customHeight="1" x14ac:dyDescent="0.25">
      <c r="B14" s="17" t="s">
        <v>121</v>
      </c>
      <c r="C14" s="32" t="s">
        <v>98</v>
      </c>
      <c r="D14" s="36"/>
      <c r="E14" s="36">
        <f>1.42857142857143*200500</f>
        <v>286428.57142857171</v>
      </c>
      <c r="F14" s="36"/>
      <c r="G14" s="2"/>
      <c r="H14" s="2">
        <v>100</v>
      </c>
      <c r="I14" s="2"/>
      <c r="J14" s="2"/>
      <c r="K14" s="36">
        <v>148218</v>
      </c>
      <c r="L14" s="36"/>
      <c r="M14" s="2"/>
      <c r="N14" s="2"/>
      <c r="O14" s="6"/>
    </row>
    <row r="15" spans="2:19" ht="55.5" customHeight="1" x14ac:dyDescent="0.25">
      <c r="B15" s="17" t="s">
        <v>122</v>
      </c>
      <c r="C15" s="32" t="s">
        <v>99</v>
      </c>
      <c r="D15" s="36"/>
      <c r="E15" s="36">
        <f>1.42857142857143*35000</f>
        <v>50000.000000000051</v>
      </c>
      <c r="F15" s="36"/>
      <c r="G15" s="2"/>
      <c r="H15" s="2">
        <v>100</v>
      </c>
      <c r="I15" s="2"/>
      <c r="J15" s="2"/>
      <c r="K15" s="36">
        <v>14262</v>
      </c>
      <c r="L15" s="36"/>
      <c r="M15" s="2"/>
      <c r="N15" s="2"/>
      <c r="O15" s="6"/>
      <c r="S15" s="10"/>
    </row>
    <row r="16" spans="2:19" ht="39.950000000000003" customHeight="1" x14ac:dyDescent="0.25">
      <c r="B16" s="104" t="s">
        <v>93</v>
      </c>
      <c r="C16" s="105"/>
      <c r="D16" s="105"/>
      <c r="E16" s="105"/>
      <c r="F16" s="105"/>
      <c r="G16" s="105"/>
      <c r="H16" s="105"/>
      <c r="I16" s="105"/>
      <c r="J16" s="105"/>
      <c r="K16" s="105"/>
      <c r="L16" s="105"/>
      <c r="M16" s="105"/>
      <c r="N16" s="105"/>
      <c r="O16" s="105"/>
    </row>
    <row r="17" spans="2:18" ht="70.5" customHeight="1" x14ac:dyDescent="0.25">
      <c r="B17" s="17" t="s">
        <v>125</v>
      </c>
      <c r="C17" s="32" t="s">
        <v>100</v>
      </c>
      <c r="D17" s="36"/>
      <c r="E17" s="36">
        <f>1.42857142857143*42000</f>
        <v>60000.000000000058</v>
      </c>
      <c r="F17" s="36"/>
      <c r="G17" s="2"/>
      <c r="H17" s="2">
        <v>100</v>
      </c>
      <c r="I17" s="2"/>
      <c r="J17" s="2"/>
      <c r="K17" s="36">
        <v>44529</v>
      </c>
      <c r="L17" s="35"/>
      <c r="M17" s="4"/>
      <c r="N17" s="4"/>
      <c r="O17" s="7"/>
      <c r="R17" s="10"/>
    </row>
    <row r="18" spans="2:18" ht="72" customHeight="1" x14ac:dyDescent="0.25">
      <c r="B18" s="17" t="s">
        <v>126</v>
      </c>
      <c r="C18" s="32" t="s">
        <v>101</v>
      </c>
      <c r="D18" s="36"/>
      <c r="E18" s="36">
        <f>1.42857142857143*35000</f>
        <v>50000.000000000051</v>
      </c>
      <c r="F18" s="36"/>
      <c r="G18" s="2"/>
      <c r="H18" s="2">
        <v>100</v>
      </c>
      <c r="I18" s="2"/>
      <c r="J18" s="2"/>
      <c r="K18" s="36">
        <v>32610</v>
      </c>
      <c r="L18" s="35"/>
      <c r="M18" s="4"/>
      <c r="N18" s="4"/>
      <c r="O18" s="7"/>
    </row>
    <row r="19" spans="2:18" ht="65.25" customHeight="1" x14ac:dyDescent="0.25">
      <c r="B19" s="17" t="s">
        <v>127</v>
      </c>
      <c r="C19" s="32" t="s">
        <v>102</v>
      </c>
      <c r="D19" s="36"/>
      <c r="E19" s="36">
        <f>1.42857142857143*28000</f>
        <v>40000.000000000036</v>
      </c>
      <c r="F19" s="36"/>
      <c r="G19" s="2"/>
      <c r="H19" s="2">
        <v>100</v>
      </c>
      <c r="I19" s="2"/>
      <c r="J19" s="2"/>
      <c r="K19" s="36">
        <v>34432</v>
      </c>
      <c r="L19" s="35"/>
      <c r="M19" s="4"/>
      <c r="N19" s="4"/>
      <c r="O19" s="7"/>
      <c r="R19" s="10"/>
    </row>
    <row r="20" spans="2:18" ht="69" customHeight="1" x14ac:dyDescent="0.25">
      <c r="B20" s="17" t="s">
        <v>104</v>
      </c>
      <c r="C20" s="32" t="s">
        <v>103</v>
      </c>
      <c r="D20" s="36"/>
      <c r="E20" s="36">
        <f>1.42857142857143*28696.5</f>
        <v>40995.000000000036</v>
      </c>
      <c r="F20" s="36"/>
      <c r="G20" s="2"/>
      <c r="H20" s="2">
        <v>100</v>
      </c>
      <c r="I20" s="2"/>
      <c r="J20" s="2"/>
      <c r="K20" s="36">
        <v>27916</v>
      </c>
      <c r="L20" s="35"/>
      <c r="M20" s="4"/>
      <c r="N20" s="4"/>
      <c r="O20" s="7"/>
      <c r="R20" s="10"/>
    </row>
    <row r="21" spans="2:18" ht="70.5" customHeight="1" x14ac:dyDescent="0.25">
      <c r="B21" s="17" t="s">
        <v>128</v>
      </c>
      <c r="C21" s="32" t="s">
        <v>105</v>
      </c>
      <c r="D21" s="36"/>
      <c r="E21" s="36">
        <f>1.42857142857143*35028.7</f>
        <v>50041.000000000044</v>
      </c>
      <c r="F21" s="36"/>
      <c r="G21" s="2"/>
      <c r="H21" s="2">
        <v>100</v>
      </c>
      <c r="I21" s="2"/>
      <c r="J21" s="2"/>
      <c r="K21" s="36">
        <v>27940</v>
      </c>
      <c r="L21" s="35"/>
      <c r="M21" s="4"/>
      <c r="N21" s="4"/>
      <c r="O21" s="7"/>
    </row>
    <row r="22" spans="2:18" ht="68.099999999999994" customHeight="1" x14ac:dyDescent="0.25">
      <c r="B22" s="104" t="s">
        <v>81</v>
      </c>
      <c r="C22" s="105"/>
      <c r="D22" s="105"/>
      <c r="E22" s="105"/>
      <c r="F22" s="105"/>
      <c r="G22" s="105"/>
      <c r="H22" s="105"/>
      <c r="I22" s="105"/>
      <c r="J22" s="105"/>
      <c r="K22" s="105"/>
      <c r="L22" s="105"/>
      <c r="M22" s="105"/>
      <c r="N22" s="105"/>
      <c r="O22" s="105"/>
    </row>
    <row r="23" spans="2:18" ht="75.599999999999994" customHeight="1" x14ac:dyDescent="0.25">
      <c r="B23" s="2" t="s">
        <v>12</v>
      </c>
      <c r="C23" s="18" t="s">
        <v>82</v>
      </c>
      <c r="D23" s="36"/>
      <c r="E23" s="36"/>
      <c r="F23" s="36">
        <v>60000</v>
      </c>
      <c r="G23" s="2"/>
      <c r="H23" s="2"/>
      <c r="I23" s="2"/>
      <c r="J23" s="2"/>
      <c r="K23" s="36"/>
      <c r="L23" s="35">
        <v>56337.5</v>
      </c>
      <c r="M23" s="4"/>
      <c r="N23" s="4"/>
      <c r="O23" s="7"/>
    </row>
    <row r="24" spans="2:18" ht="39.950000000000003" customHeight="1" x14ac:dyDescent="0.25">
      <c r="B24" s="2" t="s">
        <v>13</v>
      </c>
      <c r="C24" s="20"/>
      <c r="D24" s="36"/>
      <c r="E24" s="36"/>
      <c r="F24" s="36"/>
      <c r="G24" s="2"/>
      <c r="H24" s="2"/>
      <c r="I24" s="2"/>
      <c r="J24" s="2"/>
      <c r="K24" s="36"/>
      <c r="L24" s="35"/>
      <c r="M24" s="4"/>
      <c r="N24" s="4"/>
      <c r="O24" s="7"/>
    </row>
    <row r="25" spans="2:18" ht="39.950000000000003" customHeight="1" x14ac:dyDescent="0.25">
      <c r="B25" s="2" t="s">
        <v>14</v>
      </c>
      <c r="C25" s="20"/>
      <c r="D25" s="36">
        <v>0</v>
      </c>
      <c r="E25" s="36"/>
      <c r="F25" s="36"/>
      <c r="G25" s="2"/>
      <c r="H25" s="2"/>
      <c r="I25" s="2"/>
      <c r="J25" s="2"/>
      <c r="K25" s="36"/>
      <c r="L25" s="35"/>
      <c r="M25" s="4"/>
      <c r="N25" s="4"/>
      <c r="O25" s="7"/>
    </row>
    <row r="26" spans="2:18" ht="39.950000000000003" customHeight="1" x14ac:dyDescent="0.25">
      <c r="B26" s="97" t="s">
        <v>43</v>
      </c>
      <c r="C26" s="97"/>
      <c r="D26" s="40"/>
      <c r="E26" s="40">
        <f>+E21+E20+E19+E18+E17+E15+E14+E13+E12+E11</f>
        <v>762178.85714285774</v>
      </c>
      <c r="F26" s="40">
        <f>+F23</f>
        <v>60000</v>
      </c>
      <c r="G26" s="19"/>
      <c r="H26" s="19"/>
      <c r="I26" s="19"/>
      <c r="J26" s="19"/>
      <c r="K26" s="40">
        <f>SUM(K11:K25)</f>
        <v>418813</v>
      </c>
      <c r="L26" s="50">
        <f>+L23</f>
        <v>56337.5</v>
      </c>
      <c r="M26" s="5"/>
      <c r="N26" s="5"/>
      <c r="O26" s="8"/>
    </row>
    <row r="27" spans="2:18" ht="39.950000000000003" customHeight="1" x14ac:dyDescent="0.25">
      <c r="B27" s="101" t="s">
        <v>115</v>
      </c>
      <c r="C27" s="101"/>
      <c r="D27" s="101"/>
      <c r="E27" s="101"/>
      <c r="F27" s="101"/>
      <c r="G27" s="101"/>
      <c r="H27" s="101"/>
      <c r="I27" s="101"/>
      <c r="J27" s="101"/>
      <c r="K27" s="101"/>
      <c r="L27" s="101"/>
      <c r="M27" s="101"/>
      <c r="N27" s="101"/>
      <c r="O27" s="101"/>
    </row>
    <row r="28" spans="2:18" ht="39.950000000000003" customHeight="1" x14ac:dyDescent="0.25">
      <c r="B28" s="106" t="s">
        <v>129</v>
      </c>
      <c r="C28" s="107"/>
      <c r="D28" s="107"/>
      <c r="E28" s="107"/>
      <c r="F28" s="107"/>
      <c r="G28" s="107"/>
      <c r="H28" s="107"/>
      <c r="I28" s="107"/>
      <c r="J28" s="107"/>
      <c r="K28" s="107"/>
      <c r="L28" s="107"/>
      <c r="M28" s="107"/>
      <c r="N28" s="107"/>
      <c r="O28" s="107"/>
    </row>
    <row r="29" spans="2:18" ht="39.950000000000003" customHeight="1" x14ac:dyDescent="0.25">
      <c r="B29" s="2" t="s">
        <v>15</v>
      </c>
      <c r="C29" s="20" t="s">
        <v>59</v>
      </c>
      <c r="D29" s="36">
        <f>20000</f>
        <v>20000</v>
      </c>
      <c r="E29" s="36"/>
      <c r="F29" s="36"/>
      <c r="G29" s="2">
        <v>50</v>
      </c>
      <c r="H29" s="2"/>
      <c r="I29" s="2"/>
      <c r="J29" s="35">
        <v>14000</v>
      </c>
      <c r="K29" s="43"/>
      <c r="L29" s="35"/>
      <c r="M29" s="4"/>
      <c r="N29" s="4"/>
      <c r="O29" s="7"/>
    </row>
    <row r="30" spans="2:18" ht="39.950000000000003" customHeight="1" x14ac:dyDescent="0.25">
      <c r="B30" s="2" t="s">
        <v>16</v>
      </c>
      <c r="C30" s="20" t="s">
        <v>130</v>
      </c>
      <c r="D30" s="36">
        <v>0</v>
      </c>
      <c r="E30" s="36"/>
      <c r="F30" s="36"/>
      <c r="G30" s="2"/>
      <c r="H30" s="2"/>
      <c r="I30" s="2"/>
      <c r="J30" s="35">
        <v>0</v>
      </c>
      <c r="K30" s="43"/>
      <c r="L30" s="35"/>
      <c r="M30" s="4"/>
      <c r="N30" s="4"/>
      <c r="O30" s="7"/>
    </row>
    <row r="31" spans="2:18" ht="39.950000000000003" customHeight="1" x14ac:dyDescent="0.25">
      <c r="B31" s="2" t="s">
        <v>17</v>
      </c>
      <c r="C31" s="20" t="s">
        <v>60</v>
      </c>
      <c r="D31" s="36">
        <f>180000</f>
        <v>180000</v>
      </c>
      <c r="E31" s="36"/>
      <c r="F31" s="36"/>
      <c r="G31" s="2">
        <v>50</v>
      </c>
      <c r="H31" s="2"/>
      <c r="I31" s="2"/>
      <c r="J31" s="35">
        <v>126000</v>
      </c>
      <c r="K31" s="43"/>
      <c r="L31" s="35"/>
      <c r="M31" s="4"/>
      <c r="N31" s="4"/>
      <c r="O31" s="7"/>
    </row>
    <row r="32" spans="2:18" ht="39.950000000000003" customHeight="1" x14ac:dyDescent="0.25">
      <c r="B32" s="2" t="s">
        <v>49</v>
      </c>
      <c r="C32" s="20" t="s">
        <v>51</v>
      </c>
      <c r="D32" s="36">
        <f>20000</f>
        <v>20000</v>
      </c>
      <c r="E32" s="36"/>
      <c r="F32" s="36"/>
      <c r="G32" s="2">
        <v>50</v>
      </c>
      <c r="H32" s="2"/>
      <c r="I32" s="2"/>
      <c r="J32" s="35">
        <v>14000</v>
      </c>
      <c r="K32" s="43"/>
      <c r="L32" s="35"/>
      <c r="M32" s="4"/>
      <c r="N32" s="4"/>
      <c r="O32" s="7"/>
    </row>
    <row r="33" spans="2:15" ht="39.950000000000003" customHeight="1" x14ac:dyDescent="0.25">
      <c r="B33" s="2" t="s">
        <v>50</v>
      </c>
      <c r="C33" s="20" t="s">
        <v>52</v>
      </c>
      <c r="D33" s="36">
        <f>15000</f>
        <v>15000</v>
      </c>
      <c r="E33" s="36"/>
      <c r="F33" s="36"/>
      <c r="G33" s="2">
        <v>50</v>
      </c>
      <c r="H33" s="2"/>
      <c r="I33" s="2"/>
      <c r="J33" s="35">
        <v>10500</v>
      </c>
      <c r="K33" s="43"/>
      <c r="L33" s="35"/>
      <c r="M33" s="4"/>
      <c r="N33" s="4"/>
      <c r="O33" s="7"/>
    </row>
    <row r="34" spans="2:15" ht="39.950000000000003" customHeight="1" x14ac:dyDescent="0.25">
      <c r="B34" s="2" t="s">
        <v>61</v>
      </c>
      <c r="C34" s="20" t="s">
        <v>62</v>
      </c>
      <c r="D34" s="36">
        <f>10000</f>
        <v>10000</v>
      </c>
      <c r="E34" s="36"/>
      <c r="F34" s="36"/>
      <c r="G34" s="2">
        <v>50</v>
      </c>
      <c r="H34" s="2"/>
      <c r="I34" s="2"/>
      <c r="J34" s="35">
        <v>7000</v>
      </c>
      <c r="K34" s="43"/>
      <c r="L34" s="35"/>
      <c r="M34" s="4"/>
      <c r="N34" s="4"/>
      <c r="O34" s="7"/>
    </row>
    <row r="35" spans="2:15" ht="39.950000000000003" customHeight="1" x14ac:dyDescent="0.25">
      <c r="B35" s="2" t="s">
        <v>63</v>
      </c>
      <c r="C35" s="20" t="s">
        <v>66</v>
      </c>
      <c r="D35" s="36">
        <f>55000</f>
        <v>55000</v>
      </c>
      <c r="E35" s="36"/>
      <c r="F35" s="36"/>
      <c r="G35" s="2">
        <v>50</v>
      </c>
      <c r="H35" s="2"/>
      <c r="I35" s="2"/>
      <c r="J35" s="35">
        <v>38500</v>
      </c>
      <c r="K35" s="43"/>
      <c r="L35" s="35"/>
      <c r="M35" s="4"/>
      <c r="N35" s="4"/>
      <c r="O35" s="7"/>
    </row>
    <row r="36" spans="2:15" ht="39.950000000000003" customHeight="1" x14ac:dyDescent="0.25">
      <c r="B36" s="2" t="s">
        <v>64</v>
      </c>
      <c r="C36" s="20" t="s">
        <v>67</v>
      </c>
      <c r="D36" s="36">
        <f>15000</f>
        <v>15000</v>
      </c>
      <c r="E36" s="36"/>
      <c r="F36" s="36"/>
      <c r="G36" s="2">
        <v>50</v>
      </c>
      <c r="H36" s="2"/>
      <c r="I36" s="2"/>
      <c r="J36" s="35"/>
      <c r="K36" s="43"/>
      <c r="L36" s="35"/>
      <c r="M36" s="4"/>
      <c r="N36" s="4"/>
      <c r="O36" s="7"/>
    </row>
    <row r="37" spans="2:15" ht="39.950000000000003" customHeight="1" x14ac:dyDescent="0.25">
      <c r="B37" s="2" t="s">
        <v>65</v>
      </c>
      <c r="C37" s="20" t="s">
        <v>68</v>
      </c>
      <c r="D37" s="36">
        <f>30000</f>
        <v>30000</v>
      </c>
      <c r="E37" s="36"/>
      <c r="F37" s="36"/>
      <c r="G37" s="2">
        <v>50</v>
      </c>
      <c r="H37" s="2"/>
      <c r="I37" s="2"/>
      <c r="J37" s="34"/>
      <c r="K37" s="36"/>
      <c r="L37" s="35"/>
      <c r="M37" s="4"/>
      <c r="N37" s="4"/>
      <c r="O37" s="7"/>
    </row>
    <row r="38" spans="2:15" ht="39.950000000000003" customHeight="1" x14ac:dyDescent="0.25">
      <c r="B38" s="98" t="s">
        <v>116</v>
      </c>
      <c r="C38" s="98"/>
      <c r="D38" s="98"/>
      <c r="E38" s="98"/>
      <c r="F38" s="98"/>
      <c r="G38" s="98"/>
      <c r="H38" s="98"/>
      <c r="I38" s="98"/>
      <c r="J38" s="98"/>
      <c r="K38" s="98"/>
      <c r="L38" s="98"/>
      <c r="M38" s="98"/>
      <c r="N38" s="98"/>
      <c r="O38" s="98"/>
    </row>
    <row r="39" spans="2:15" ht="39.950000000000003" customHeight="1" x14ac:dyDescent="0.25">
      <c r="B39" s="2" t="s">
        <v>18</v>
      </c>
      <c r="C39" s="20" t="s">
        <v>69</v>
      </c>
      <c r="D39" s="36">
        <f>88000</f>
        <v>88000</v>
      </c>
      <c r="E39" s="36"/>
      <c r="F39" s="36"/>
      <c r="G39" s="2">
        <v>50</v>
      </c>
      <c r="H39" s="2"/>
      <c r="I39" s="2"/>
      <c r="J39" s="2">
        <v>61600</v>
      </c>
      <c r="K39" s="36"/>
      <c r="L39" s="35"/>
      <c r="M39" s="4"/>
      <c r="N39" s="4"/>
      <c r="O39" s="7"/>
    </row>
    <row r="40" spans="2:15" ht="39.950000000000003" customHeight="1" x14ac:dyDescent="0.25">
      <c r="B40" s="2" t="s">
        <v>19</v>
      </c>
      <c r="C40" s="20" t="s">
        <v>70</v>
      </c>
      <c r="D40" s="36">
        <f>20000</f>
        <v>20000</v>
      </c>
      <c r="E40" s="36"/>
      <c r="F40" s="36"/>
      <c r="G40" s="2">
        <v>50</v>
      </c>
      <c r="H40" s="2"/>
      <c r="I40" s="2"/>
      <c r="J40" s="2">
        <v>14000</v>
      </c>
      <c r="K40" s="36"/>
      <c r="L40" s="35"/>
      <c r="M40" s="4"/>
      <c r="N40" s="4"/>
      <c r="O40" s="7"/>
    </row>
    <row r="41" spans="2:15" ht="39.950000000000003" customHeight="1" x14ac:dyDescent="0.25">
      <c r="B41" s="2" t="s">
        <v>20</v>
      </c>
      <c r="C41" s="20" t="s">
        <v>71</v>
      </c>
      <c r="D41" s="36">
        <f>100000</f>
        <v>100000</v>
      </c>
      <c r="E41" s="36"/>
      <c r="F41" s="36"/>
      <c r="G41" s="2">
        <v>50</v>
      </c>
      <c r="H41" s="2"/>
      <c r="I41" s="2"/>
      <c r="J41" s="2"/>
      <c r="K41" s="36"/>
      <c r="L41" s="35"/>
      <c r="M41" s="4"/>
      <c r="N41" s="4"/>
      <c r="O41" s="7"/>
    </row>
    <row r="42" spans="2:15" ht="39.950000000000003" customHeight="1" x14ac:dyDescent="0.25">
      <c r="B42" s="2" t="s">
        <v>72</v>
      </c>
      <c r="C42" s="20" t="s">
        <v>73</v>
      </c>
      <c r="D42" s="36">
        <f>30000</f>
        <v>30000</v>
      </c>
      <c r="E42" s="36"/>
      <c r="F42" s="36"/>
      <c r="G42" s="2">
        <v>50</v>
      </c>
      <c r="H42" s="2"/>
      <c r="I42" s="2"/>
      <c r="J42" s="2">
        <v>21000</v>
      </c>
      <c r="K42" s="36"/>
      <c r="L42" s="35"/>
      <c r="M42" s="4"/>
      <c r="N42" s="4"/>
      <c r="O42" s="7"/>
    </row>
    <row r="43" spans="2:15" ht="39.950000000000003" customHeight="1" x14ac:dyDescent="0.25">
      <c r="B43" s="2" t="s">
        <v>74</v>
      </c>
      <c r="C43" s="20" t="s">
        <v>55</v>
      </c>
      <c r="D43" s="36">
        <f>15000</f>
        <v>15000</v>
      </c>
      <c r="E43" s="36"/>
      <c r="F43" s="36"/>
      <c r="G43" s="2">
        <v>50</v>
      </c>
      <c r="H43" s="2"/>
      <c r="I43" s="2"/>
      <c r="J43" s="2">
        <v>10500</v>
      </c>
      <c r="K43" s="36"/>
      <c r="L43" s="35"/>
      <c r="M43" s="4"/>
      <c r="N43" s="4"/>
      <c r="O43" s="7"/>
    </row>
    <row r="44" spans="2:15" ht="102.6" customHeight="1" x14ac:dyDescent="0.25">
      <c r="B44" s="2" t="s">
        <v>75</v>
      </c>
      <c r="C44" s="20" t="s">
        <v>76</v>
      </c>
      <c r="D44" s="36">
        <f>45000</f>
        <v>45000</v>
      </c>
      <c r="E44" s="36"/>
      <c r="F44" s="36"/>
      <c r="G44" s="2">
        <v>50</v>
      </c>
      <c r="H44" s="2"/>
      <c r="I44" s="2"/>
      <c r="J44" s="2">
        <v>31500</v>
      </c>
      <c r="K44" s="36"/>
      <c r="L44" s="35"/>
      <c r="M44" s="4"/>
      <c r="N44" s="4"/>
      <c r="O44" s="7"/>
    </row>
    <row r="45" spans="2:15" ht="65.45" customHeight="1" x14ac:dyDescent="0.25">
      <c r="B45" s="102" t="s">
        <v>83</v>
      </c>
      <c r="C45" s="103"/>
      <c r="D45" s="103"/>
      <c r="E45" s="103"/>
      <c r="F45" s="103"/>
      <c r="G45" s="103"/>
      <c r="H45" s="103"/>
      <c r="I45" s="103"/>
      <c r="J45" s="103"/>
      <c r="K45" s="103"/>
      <c r="L45" s="103"/>
      <c r="M45" s="103"/>
      <c r="N45" s="103"/>
      <c r="O45" s="103"/>
    </row>
    <row r="46" spans="2:15" ht="39.950000000000003" customHeight="1" x14ac:dyDescent="0.25">
      <c r="B46" s="2" t="s">
        <v>21</v>
      </c>
      <c r="C46" s="20" t="s">
        <v>84</v>
      </c>
      <c r="D46" s="36"/>
      <c r="E46" s="36"/>
      <c r="F46" s="53">
        <v>54800</v>
      </c>
      <c r="G46" s="2"/>
      <c r="H46" s="2"/>
      <c r="I46" s="2"/>
      <c r="J46" s="2"/>
      <c r="K46" s="36"/>
      <c r="L46" s="35">
        <v>949.45</v>
      </c>
      <c r="M46" s="4"/>
      <c r="N46" s="4"/>
      <c r="O46" s="7"/>
    </row>
    <row r="47" spans="2:15" ht="110.1" customHeight="1" x14ac:dyDescent="0.25">
      <c r="B47" s="2" t="s">
        <v>22</v>
      </c>
      <c r="C47" s="18" t="s">
        <v>85</v>
      </c>
      <c r="D47" s="36"/>
      <c r="E47" s="36"/>
      <c r="F47" s="53">
        <v>25000</v>
      </c>
      <c r="G47" s="2"/>
      <c r="H47" s="2"/>
      <c r="I47" s="2"/>
      <c r="J47" s="2"/>
      <c r="K47" s="36"/>
      <c r="L47" s="35">
        <v>4755.87</v>
      </c>
      <c r="M47" s="4"/>
      <c r="N47" s="4"/>
      <c r="O47" s="7"/>
    </row>
    <row r="48" spans="2:15" ht="150.6" customHeight="1" x14ac:dyDescent="0.25">
      <c r="B48" s="2" t="s">
        <v>23</v>
      </c>
      <c r="C48" s="18" t="s">
        <v>86</v>
      </c>
      <c r="D48" s="36"/>
      <c r="E48" s="36"/>
      <c r="F48" s="53">
        <v>68000</v>
      </c>
      <c r="G48" s="2"/>
      <c r="H48" s="2"/>
      <c r="I48" s="2"/>
      <c r="J48" s="2"/>
      <c r="K48" s="36"/>
      <c r="L48" s="35">
        <v>4396.97</v>
      </c>
      <c r="M48" s="4"/>
      <c r="N48" s="4"/>
      <c r="O48" s="7"/>
    </row>
    <row r="49" spans="2:19" ht="39.950000000000003" customHeight="1" x14ac:dyDescent="0.25">
      <c r="B49" s="2" t="s">
        <v>53</v>
      </c>
      <c r="C49" s="18" t="s">
        <v>55</v>
      </c>
      <c r="D49" s="36">
        <f>15000</f>
        <v>15000</v>
      </c>
      <c r="E49" s="36"/>
      <c r="F49" s="36"/>
      <c r="G49" s="2"/>
      <c r="H49" s="2"/>
      <c r="I49" s="2"/>
      <c r="J49" s="2">
        <v>10300</v>
      </c>
      <c r="K49" s="36"/>
      <c r="L49" s="35"/>
      <c r="M49" s="4"/>
      <c r="N49" s="4"/>
      <c r="O49" s="7"/>
    </row>
    <row r="50" spans="2:19" ht="39.950000000000003" customHeight="1" x14ac:dyDescent="0.25">
      <c r="B50" s="2" t="s">
        <v>54</v>
      </c>
      <c r="C50" s="20"/>
      <c r="D50" s="36"/>
      <c r="E50" s="36"/>
      <c r="F50" s="36"/>
      <c r="G50" s="2"/>
      <c r="H50" s="2"/>
      <c r="I50" s="2"/>
      <c r="J50" s="2"/>
      <c r="K50" s="36"/>
      <c r="L50" s="35"/>
      <c r="M50" s="4"/>
      <c r="N50" s="4"/>
      <c r="O50" s="7"/>
    </row>
    <row r="51" spans="2:19" s="1" customFormat="1" ht="39.950000000000003" customHeight="1" x14ac:dyDescent="0.25">
      <c r="B51" s="19" t="s">
        <v>44</v>
      </c>
      <c r="C51" s="21"/>
      <c r="D51" s="40">
        <f>+D49+D44+D43+D42+D41+D40+D29+D31+D32+D33+D34+D35+D36+D37+D39</f>
        <v>658000</v>
      </c>
      <c r="E51" s="40"/>
      <c r="F51" s="40">
        <f>SUM(F46:F50)</f>
        <v>147800</v>
      </c>
      <c r="G51" s="19"/>
      <c r="H51" s="19"/>
      <c r="I51" s="19"/>
      <c r="J51" s="19">
        <f>+J49+J44+J43+J42+J40+J35+J34+J33+J32+J31+J29+J39</f>
        <v>358900</v>
      </c>
      <c r="K51" s="40">
        <v>0</v>
      </c>
      <c r="L51" s="50">
        <f>+L48+L47+L46</f>
        <v>10102.290000000001</v>
      </c>
      <c r="M51" s="22"/>
      <c r="N51" s="22"/>
      <c r="O51" s="8"/>
      <c r="P51" s="13"/>
      <c r="Q51" s="13"/>
      <c r="R51" s="13"/>
      <c r="S51" s="13"/>
    </row>
    <row r="52" spans="2:19" ht="39.950000000000003" customHeight="1" x14ac:dyDescent="0.25">
      <c r="B52" s="99" t="s">
        <v>87</v>
      </c>
      <c r="C52" s="99"/>
      <c r="D52" s="99"/>
      <c r="E52" s="99"/>
      <c r="F52" s="99"/>
      <c r="G52" s="99"/>
      <c r="H52" s="99"/>
      <c r="I52" s="99"/>
      <c r="J52" s="99"/>
      <c r="K52" s="99"/>
      <c r="L52" s="99"/>
      <c r="M52" s="99"/>
      <c r="N52" s="99"/>
      <c r="O52" s="99"/>
    </row>
    <row r="53" spans="2:19" ht="39.950000000000003" customHeight="1" x14ac:dyDescent="0.25">
      <c r="B53" s="100" t="s">
        <v>88</v>
      </c>
      <c r="C53" s="100"/>
      <c r="D53" s="100"/>
      <c r="E53" s="100"/>
      <c r="F53" s="100"/>
      <c r="G53" s="100"/>
      <c r="H53" s="100"/>
      <c r="I53" s="100"/>
      <c r="J53" s="100"/>
      <c r="K53" s="100"/>
      <c r="L53" s="100"/>
      <c r="M53" s="100"/>
      <c r="N53" s="100"/>
      <c r="O53" s="100"/>
    </row>
    <row r="54" spans="2:19" ht="78.95" customHeight="1" x14ac:dyDescent="0.25">
      <c r="B54" s="2" t="s">
        <v>24</v>
      </c>
      <c r="C54" s="20" t="s">
        <v>89</v>
      </c>
      <c r="D54" s="36"/>
      <c r="E54" s="36"/>
      <c r="F54" s="53">
        <v>10000</v>
      </c>
      <c r="G54" s="2"/>
      <c r="H54" s="2"/>
      <c r="I54" s="2"/>
      <c r="J54" s="2"/>
      <c r="K54" s="36"/>
      <c r="L54" s="35">
        <v>2047</v>
      </c>
      <c r="M54" s="4"/>
      <c r="N54" s="4"/>
      <c r="O54" s="7"/>
    </row>
    <row r="55" spans="2:19" ht="110.1" customHeight="1" x14ac:dyDescent="0.25">
      <c r="B55" s="2" t="s">
        <v>25</v>
      </c>
      <c r="C55" s="20" t="s">
        <v>90</v>
      </c>
      <c r="D55" s="36"/>
      <c r="E55" s="36"/>
      <c r="F55" s="53">
        <v>35000</v>
      </c>
      <c r="G55" s="2"/>
      <c r="H55" s="2"/>
      <c r="I55" s="2"/>
      <c r="J55" s="2"/>
      <c r="K55" s="36"/>
      <c r="L55" s="35">
        <v>3906.46</v>
      </c>
      <c r="M55" s="4"/>
      <c r="N55" s="4"/>
      <c r="O55" s="7"/>
    </row>
    <row r="56" spans="2:19" ht="39.950000000000003" customHeight="1" x14ac:dyDescent="0.25">
      <c r="B56" s="2" t="s">
        <v>26</v>
      </c>
      <c r="C56" s="20" t="s">
        <v>91</v>
      </c>
      <c r="D56" s="36"/>
      <c r="E56" s="36"/>
      <c r="F56" s="53">
        <v>95000</v>
      </c>
      <c r="G56" s="2"/>
      <c r="H56" s="2"/>
      <c r="I56" s="2"/>
      <c r="J56" s="2"/>
      <c r="K56" s="36"/>
      <c r="L56" s="35">
        <v>0</v>
      </c>
      <c r="M56" s="4"/>
      <c r="N56" s="4"/>
      <c r="O56" s="7"/>
    </row>
    <row r="57" spans="2:19" ht="39.950000000000003" customHeight="1" x14ac:dyDescent="0.25">
      <c r="B57" s="2" t="s">
        <v>77</v>
      </c>
      <c r="C57" s="20" t="s">
        <v>79</v>
      </c>
      <c r="D57" s="36">
        <f>52500</f>
        <v>52500</v>
      </c>
      <c r="E57" s="36"/>
      <c r="F57" s="36"/>
      <c r="G57" s="2">
        <v>50</v>
      </c>
      <c r="H57" s="2"/>
      <c r="I57" s="2"/>
      <c r="J57" s="2">
        <v>36750</v>
      </c>
      <c r="K57" s="36"/>
      <c r="L57" s="35"/>
      <c r="M57" s="4"/>
      <c r="N57" s="4"/>
      <c r="O57" s="7"/>
    </row>
    <row r="58" spans="2:19" ht="89.1" customHeight="1" x14ac:dyDescent="0.25">
      <c r="B58" s="2" t="s">
        <v>78</v>
      </c>
      <c r="C58" s="20" t="s">
        <v>80</v>
      </c>
      <c r="D58" s="36">
        <f>55000</f>
        <v>55000</v>
      </c>
      <c r="E58" s="36"/>
      <c r="F58" s="36"/>
      <c r="G58" s="2">
        <v>50</v>
      </c>
      <c r="H58" s="2"/>
      <c r="I58" s="2"/>
      <c r="J58" s="2">
        <v>16311</v>
      </c>
      <c r="K58" s="36"/>
      <c r="L58" s="35"/>
      <c r="M58" s="4"/>
      <c r="N58" s="4"/>
      <c r="O58" s="7"/>
    </row>
    <row r="59" spans="2:19" ht="39.950000000000003" customHeight="1" x14ac:dyDescent="0.25">
      <c r="B59" s="2" t="s">
        <v>107</v>
      </c>
      <c r="C59" s="20" t="s">
        <v>109</v>
      </c>
      <c r="D59" s="36">
        <f>65000</f>
        <v>65000</v>
      </c>
      <c r="E59" s="36"/>
      <c r="F59" s="36"/>
      <c r="G59" s="2">
        <v>50</v>
      </c>
      <c r="H59" s="2"/>
      <c r="I59" s="2"/>
      <c r="J59" s="2">
        <v>0</v>
      </c>
      <c r="K59" s="36"/>
      <c r="L59" s="35"/>
      <c r="M59" s="4"/>
      <c r="N59" s="4"/>
      <c r="O59" s="7"/>
    </row>
    <row r="60" spans="2:19" s="3" customFormat="1" ht="84.95" customHeight="1" x14ac:dyDescent="0.25">
      <c r="B60" s="2" t="s">
        <v>106</v>
      </c>
      <c r="C60" s="18" t="s">
        <v>108</v>
      </c>
      <c r="D60" s="36"/>
      <c r="E60" s="36">
        <f>1.42857142857143*54608</f>
        <v>78011.428571428653</v>
      </c>
      <c r="F60" s="36"/>
      <c r="G60" s="2"/>
      <c r="H60" s="2">
        <v>100</v>
      </c>
      <c r="I60" s="2"/>
      <c r="J60" s="2"/>
      <c r="K60" s="36">
        <v>54608</v>
      </c>
      <c r="L60" s="35"/>
      <c r="M60" s="4"/>
      <c r="N60" s="4"/>
      <c r="O60" s="7"/>
      <c r="P60" s="10"/>
      <c r="Q60" s="9"/>
      <c r="R60" s="9"/>
      <c r="S60" s="9"/>
    </row>
    <row r="61" spans="2:19" ht="39.950000000000003" customHeight="1" x14ac:dyDescent="0.25">
      <c r="B61" s="96" t="s">
        <v>114</v>
      </c>
      <c r="C61" s="96"/>
      <c r="D61" s="96"/>
      <c r="E61" s="96"/>
      <c r="F61" s="96"/>
      <c r="G61" s="96"/>
      <c r="H61" s="96"/>
      <c r="I61" s="96"/>
      <c r="J61" s="96"/>
      <c r="K61" s="96"/>
      <c r="L61" s="96"/>
      <c r="M61" s="96"/>
      <c r="N61" s="96"/>
      <c r="O61" s="96"/>
    </row>
    <row r="62" spans="2:19" ht="70.5" customHeight="1" x14ac:dyDescent="0.25">
      <c r="B62" s="17" t="s">
        <v>110</v>
      </c>
      <c r="C62" s="24" t="s">
        <v>111</v>
      </c>
      <c r="D62" s="36"/>
      <c r="E62" s="36"/>
      <c r="F62" s="36">
        <v>8387</v>
      </c>
      <c r="G62" s="2"/>
      <c r="H62" s="2"/>
      <c r="I62" s="2"/>
      <c r="J62" s="2"/>
      <c r="K62" s="36"/>
      <c r="L62" s="35">
        <v>0</v>
      </c>
      <c r="M62" s="4"/>
      <c r="N62" s="4"/>
      <c r="O62" s="7"/>
    </row>
    <row r="63" spans="2:19" ht="70.5" customHeight="1" x14ac:dyDescent="0.25">
      <c r="B63" s="17" t="s">
        <v>112</v>
      </c>
      <c r="C63" s="25" t="s">
        <v>113</v>
      </c>
      <c r="D63" s="36"/>
      <c r="E63" s="36"/>
      <c r="F63" s="36">
        <v>110693</v>
      </c>
      <c r="G63" s="2"/>
      <c r="H63" s="2"/>
      <c r="I63" s="2"/>
      <c r="J63" s="2"/>
      <c r="K63" s="36"/>
      <c r="L63" s="35">
        <v>89787.06</v>
      </c>
      <c r="M63" s="4"/>
      <c r="N63" s="4"/>
      <c r="O63" s="7"/>
    </row>
    <row r="64" spans="2:19" ht="97.5" customHeight="1" x14ac:dyDescent="0.25">
      <c r="B64" s="17" t="s">
        <v>123</v>
      </c>
      <c r="C64" s="25" t="s">
        <v>124</v>
      </c>
      <c r="D64" s="36"/>
      <c r="E64" s="36"/>
      <c r="F64" s="36">
        <v>67500</v>
      </c>
      <c r="G64" s="2"/>
      <c r="H64" s="2"/>
      <c r="I64" s="2"/>
      <c r="J64" s="2"/>
      <c r="K64" s="36"/>
      <c r="L64" s="35">
        <v>34646.89</v>
      </c>
      <c r="M64" s="4"/>
      <c r="N64" s="4"/>
      <c r="O64" s="7"/>
    </row>
    <row r="65" spans="2:19" ht="39.950000000000003" customHeight="1" x14ac:dyDescent="0.25">
      <c r="B65" s="19" t="s">
        <v>45</v>
      </c>
      <c r="C65" s="21"/>
      <c r="D65" s="40">
        <f>+D59+D58+D57</f>
        <v>172500</v>
      </c>
      <c r="E65" s="40">
        <f>+E60</f>
        <v>78011.428571428653</v>
      </c>
      <c r="F65" s="40">
        <f>+F64+F63+F62+F54+F55+F56</f>
        <v>326580</v>
      </c>
      <c r="G65" s="19"/>
      <c r="H65" s="19"/>
      <c r="I65" s="19"/>
      <c r="J65" s="19">
        <f>+J57+J58</f>
        <v>53061</v>
      </c>
      <c r="K65" s="40">
        <f>K60</f>
        <v>54608</v>
      </c>
      <c r="L65" s="50">
        <f>+L64+L63+L55+L54</f>
        <v>130387.41</v>
      </c>
      <c r="M65" s="5"/>
      <c r="N65" s="5"/>
      <c r="O65" s="8"/>
    </row>
    <row r="66" spans="2:19" ht="65.099999999999994" customHeight="1" x14ac:dyDescent="0.25">
      <c r="B66" s="2" t="s">
        <v>27</v>
      </c>
      <c r="C66" s="20"/>
      <c r="D66" s="36">
        <f>112000</f>
        <v>112000</v>
      </c>
      <c r="E66" s="36">
        <f>1.42857142857143*70000</f>
        <v>100000.0000000001</v>
      </c>
      <c r="F66" s="36">
        <v>542400</v>
      </c>
      <c r="G66" s="2"/>
      <c r="H66" s="2"/>
      <c r="I66" s="2"/>
      <c r="J66" s="2">
        <v>38985</v>
      </c>
      <c r="K66" s="36">
        <v>65479</v>
      </c>
      <c r="L66" s="35">
        <v>542400</v>
      </c>
      <c r="M66" s="4"/>
      <c r="N66" s="4"/>
      <c r="O66" s="7"/>
      <c r="P66" s="10"/>
    </row>
    <row r="67" spans="2:19" ht="63.95" customHeight="1" x14ac:dyDescent="0.25">
      <c r="B67" s="2" t="s">
        <v>28</v>
      </c>
      <c r="C67" s="20"/>
      <c r="D67" s="36">
        <f>10000</f>
        <v>10000</v>
      </c>
      <c r="E67" s="36">
        <v>0</v>
      </c>
      <c r="F67" s="36">
        <v>184600</v>
      </c>
      <c r="G67" s="2"/>
      <c r="H67" s="2"/>
      <c r="I67" s="2"/>
      <c r="J67" s="2">
        <v>7000</v>
      </c>
      <c r="K67" s="36"/>
      <c r="L67" s="35">
        <v>206621</v>
      </c>
      <c r="M67" s="4"/>
      <c r="N67" s="4"/>
      <c r="O67" s="7"/>
    </row>
    <row r="68" spans="2:19" ht="39.950000000000003" customHeight="1" x14ac:dyDescent="0.25">
      <c r="B68" s="2" t="s">
        <v>29</v>
      </c>
      <c r="C68" s="20" t="s">
        <v>0</v>
      </c>
      <c r="D68" s="36">
        <f>43685</f>
        <v>43685</v>
      </c>
      <c r="E68" s="36">
        <f>1.42857142857143*28357</f>
        <v>40510.000000000036</v>
      </c>
      <c r="F68" s="36"/>
      <c r="G68" s="2"/>
      <c r="H68" s="2"/>
      <c r="I68" s="2"/>
      <c r="J68" s="2">
        <v>1200</v>
      </c>
      <c r="K68" s="36">
        <v>13678</v>
      </c>
      <c r="L68" s="35"/>
      <c r="M68" s="4"/>
      <c r="N68" s="4"/>
      <c r="O68" s="7"/>
      <c r="P68" s="11"/>
    </row>
    <row r="69" spans="2:19" s="1" customFormat="1" ht="39.950000000000003" customHeight="1" x14ac:dyDescent="0.25">
      <c r="B69" s="72" t="s">
        <v>46</v>
      </c>
      <c r="C69" s="73"/>
      <c r="D69" s="72">
        <f>981185</f>
        <v>981185</v>
      </c>
      <c r="E69" s="74">
        <f>+E68+E66+E65+E26</f>
        <v>980700.28571428661</v>
      </c>
      <c r="F69" s="72">
        <f>+F67+F66+F65+F51+F26</f>
        <v>1261380</v>
      </c>
      <c r="G69" s="72"/>
      <c r="H69" s="72"/>
      <c r="I69" s="72"/>
      <c r="J69" s="72">
        <f>+J68+J67+J66+J65+J51</f>
        <v>459146</v>
      </c>
      <c r="K69" s="72">
        <v>600632</v>
      </c>
      <c r="L69" s="75">
        <f>+L67+L66+L65+L51+L26</f>
        <v>945848.20000000007</v>
      </c>
      <c r="M69" s="75"/>
      <c r="N69" s="75"/>
      <c r="O69" s="76"/>
      <c r="P69" s="13"/>
      <c r="Q69" s="13"/>
      <c r="R69" s="13"/>
      <c r="S69" s="13"/>
    </row>
    <row r="70" spans="2:19" ht="34.5" customHeight="1" x14ac:dyDescent="0.25">
      <c r="B70" s="72" t="s">
        <v>30</v>
      </c>
      <c r="C70" s="73"/>
      <c r="D70" s="72">
        <f>68683</f>
        <v>68683</v>
      </c>
      <c r="E70" s="72">
        <f>1.42857142857143*48054</f>
        <v>68648.571428571493</v>
      </c>
      <c r="F70" s="72">
        <f>+F69*0.07</f>
        <v>88296.6</v>
      </c>
      <c r="G70" s="72"/>
      <c r="H70" s="72"/>
      <c r="I70" s="72"/>
      <c r="J70" s="72">
        <f>+J69*0.07</f>
        <v>32140.220000000005</v>
      </c>
      <c r="K70" s="72">
        <v>48054</v>
      </c>
      <c r="L70" s="75">
        <f>+L69*0.07</f>
        <v>66209.374000000011</v>
      </c>
      <c r="M70" s="75"/>
      <c r="N70" s="75"/>
      <c r="O70" s="76"/>
    </row>
    <row r="71" spans="2:19" s="1" customFormat="1" ht="44.25" customHeight="1" x14ac:dyDescent="0.25">
      <c r="B71" s="72" t="s">
        <v>31</v>
      </c>
      <c r="C71" s="73"/>
      <c r="D71" s="72">
        <f>+D70+D69</f>
        <v>1049868</v>
      </c>
      <c r="E71" s="74">
        <f>+E70+E69</f>
        <v>1049348.8571428582</v>
      </c>
      <c r="F71" s="72">
        <f>+F70+F69</f>
        <v>1349676.6</v>
      </c>
      <c r="G71" s="72"/>
      <c r="H71" s="77"/>
      <c r="I71" s="72"/>
      <c r="J71" s="72">
        <f>+J70+J69</f>
        <v>491286.22000000003</v>
      </c>
      <c r="K71" s="74">
        <f>SUM(K69:K70)</f>
        <v>648686</v>
      </c>
      <c r="L71" s="75">
        <f>+L70+L69</f>
        <v>1012057.574</v>
      </c>
      <c r="M71" s="75"/>
      <c r="N71" s="75"/>
      <c r="O71" s="76"/>
      <c r="P71" s="12"/>
      <c r="Q71" s="13"/>
      <c r="R71" s="13"/>
      <c r="S71" s="13"/>
    </row>
    <row r="72" spans="2:19" ht="15" customHeight="1" x14ac:dyDescent="0.25">
      <c r="B72" s="26"/>
      <c r="C72" s="31"/>
      <c r="E72" s="41"/>
      <c r="G72" s="26"/>
      <c r="H72" s="26"/>
      <c r="I72" s="26"/>
      <c r="J72" s="29"/>
      <c r="K72" s="29"/>
      <c r="L72" s="29"/>
      <c r="M72" s="15"/>
      <c r="N72" s="15"/>
      <c r="O72" s="15"/>
      <c r="P72" s="16"/>
    </row>
    <row r="73" spans="2:19" x14ac:dyDescent="0.25">
      <c r="B73" s="26"/>
      <c r="C73" s="31"/>
      <c r="G73" s="26"/>
      <c r="H73" s="26"/>
      <c r="I73" s="26"/>
      <c r="J73" s="26"/>
      <c r="M73" s="14"/>
      <c r="N73" s="14"/>
      <c r="O73" s="14"/>
    </row>
    <row r="74" spans="2:19" x14ac:dyDescent="0.25">
      <c r="B74" s="26"/>
      <c r="C74" s="31"/>
      <c r="G74" s="26"/>
      <c r="H74" s="26"/>
      <c r="I74" s="26"/>
      <c r="J74" s="26"/>
      <c r="M74" s="3"/>
      <c r="N74" s="3"/>
      <c r="O74" s="3"/>
    </row>
    <row r="75" spans="2:19" x14ac:dyDescent="0.25">
      <c r="B75" s="26"/>
      <c r="C75" s="90"/>
      <c r="G75" s="26"/>
      <c r="H75" s="26"/>
      <c r="I75" s="26"/>
      <c r="J75" s="26"/>
      <c r="M75" s="3"/>
      <c r="N75" s="3"/>
      <c r="O75" s="3"/>
    </row>
    <row r="76" spans="2:19" ht="15.75" x14ac:dyDescent="0.25">
      <c r="B76" s="26"/>
      <c r="C76" s="91"/>
      <c r="G76" s="26"/>
      <c r="H76" s="29"/>
      <c r="I76" s="26"/>
      <c r="J76" s="26"/>
      <c r="M76" s="3"/>
      <c r="N76" s="3"/>
      <c r="O76" s="3"/>
    </row>
    <row r="77" spans="2:19" ht="25.5" customHeight="1" x14ac:dyDescent="0.25">
      <c r="B77" s="26"/>
      <c r="C77" s="91"/>
      <c r="G77" s="89"/>
      <c r="H77" s="28"/>
      <c r="I77" s="29"/>
      <c r="J77" s="26"/>
      <c r="K77" s="41"/>
      <c r="M77" s="3"/>
      <c r="N77" s="3"/>
      <c r="O77" s="3"/>
    </row>
    <row r="78" spans="2:19" x14ac:dyDescent="0.25">
      <c r="B78" s="26"/>
      <c r="C78" s="90"/>
      <c r="G78" s="26"/>
      <c r="H78" s="26"/>
      <c r="I78" s="26"/>
      <c r="J78" s="26"/>
      <c r="M78" s="3"/>
      <c r="N78" s="3"/>
      <c r="O78" s="3"/>
    </row>
    <row r="79" spans="2:19" x14ac:dyDescent="0.25">
      <c r="B79" s="26"/>
      <c r="C79" s="90"/>
      <c r="G79" s="26"/>
      <c r="H79" s="26"/>
      <c r="I79" s="26"/>
      <c r="J79" s="26"/>
      <c r="M79" s="3"/>
      <c r="N79" s="3"/>
      <c r="O79" s="3"/>
    </row>
    <row r="80" spans="2:19" x14ac:dyDescent="0.25">
      <c r="B80" s="26"/>
      <c r="C80" s="31"/>
      <c r="G80" s="26"/>
      <c r="H80" s="26"/>
      <c r="I80" s="26"/>
      <c r="J80" s="26"/>
      <c r="M80" s="3"/>
      <c r="N80" s="3"/>
      <c r="O80" s="3"/>
    </row>
  </sheetData>
  <mergeCells count="16">
    <mergeCell ref="B16:O16"/>
    <mergeCell ref="B28:O28"/>
    <mergeCell ref="B22:O22"/>
    <mergeCell ref="B61:O61"/>
    <mergeCell ref="B26:C26"/>
    <mergeCell ref="B38:O38"/>
    <mergeCell ref="B52:O52"/>
    <mergeCell ref="B53:O53"/>
    <mergeCell ref="B27:O27"/>
    <mergeCell ref="B45:O45"/>
    <mergeCell ref="B10:O10"/>
    <mergeCell ref="D7:F7"/>
    <mergeCell ref="G7:I7"/>
    <mergeCell ref="J7:L7"/>
    <mergeCell ref="M7:O7"/>
    <mergeCell ref="B8:O8"/>
  </mergeCells>
  <pageMargins left="0.7" right="0.7" top="0.75" bottom="0.75" header="0.3" footer="0.3"/>
  <pageSetup scale="74" orientation="landscape" r:id="rId1"/>
  <rowBreaks count="2" manualBreakCount="2">
    <brk id="51"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028A-7C40-4C35-994D-9D54409F03D2}">
  <dimension ref="B3:L22"/>
  <sheetViews>
    <sheetView topLeftCell="B13" workbookViewId="0">
      <selection activeCell="G19" sqref="G19:H19"/>
    </sheetView>
  </sheetViews>
  <sheetFormatPr baseColWidth="10" defaultRowHeight="15" x14ac:dyDescent="0.25"/>
  <cols>
    <col min="2" max="2" width="19.85546875" customWidth="1"/>
    <col min="3" max="3" width="16.28515625" customWidth="1"/>
    <col min="4" max="4" width="16.85546875" customWidth="1"/>
    <col min="5" max="5" width="14.5703125" customWidth="1"/>
    <col min="6" max="6" width="15.5703125" customWidth="1"/>
    <col min="7" max="7" width="13.7109375" customWidth="1"/>
    <col min="8" max="8" width="14.5703125" customWidth="1"/>
    <col min="9" max="9" width="14.85546875" customWidth="1"/>
    <col min="10" max="10" width="12.7109375" customWidth="1"/>
  </cols>
  <sheetData>
    <row r="3" spans="2:12" x14ac:dyDescent="0.25">
      <c r="B3" s="60"/>
      <c r="C3" s="60"/>
      <c r="D3" s="60"/>
      <c r="E3" s="60"/>
      <c r="F3" s="60"/>
      <c r="G3" s="60"/>
      <c r="H3" s="60"/>
      <c r="I3" s="60"/>
      <c r="J3" s="23"/>
      <c r="K3" s="23"/>
      <c r="L3" s="23"/>
    </row>
    <row r="4" spans="2:12" ht="15.75" x14ac:dyDescent="0.25">
      <c r="B4" s="60"/>
      <c r="C4" s="60"/>
      <c r="D4" s="61" t="s">
        <v>32</v>
      </c>
      <c r="E4" s="61"/>
      <c r="F4" s="61"/>
      <c r="G4" s="61"/>
      <c r="H4" s="62"/>
      <c r="I4" s="62"/>
      <c r="J4" s="23"/>
      <c r="K4" s="23"/>
      <c r="L4" s="23"/>
    </row>
    <row r="5" spans="2:12" x14ac:dyDescent="0.25">
      <c r="B5" s="60"/>
      <c r="C5" s="60"/>
      <c r="D5" s="63"/>
      <c r="E5" s="63"/>
      <c r="F5" s="63"/>
      <c r="G5" s="63"/>
      <c r="H5" s="62"/>
      <c r="I5" s="62"/>
      <c r="J5" s="23"/>
      <c r="K5" s="23"/>
      <c r="L5" s="23"/>
    </row>
    <row r="6" spans="2:12" ht="15.75" x14ac:dyDescent="0.25">
      <c r="B6" s="60"/>
      <c r="C6" s="60"/>
      <c r="D6" s="64" t="s">
        <v>131</v>
      </c>
      <c r="E6" s="65"/>
      <c r="F6" s="66"/>
      <c r="G6" s="67"/>
      <c r="H6" s="62"/>
      <c r="I6" s="62"/>
      <c r="J6" s="23"/>
      <c r="K6" s="23"/>
      <c r="L6" s="23"/>
    </row>
    <row r="7" spans="2:12" ht="15.75" thickBot="1" x14ac:dyDescent="0.3">
      <c r="B7" s="62"/>
      <c r="C7" s="62"/>
      <c r="D7" s="62"/>
      <c r="E7" s="62"/>
      <c r="F7" s="62"/>
      <c r="G7" s="62"/>
      <c r="H7" s="62"/>
      <c r="I7" s="62"/>
      <c r="J7" s="23"/>
      <c r="K7" s="23"/>
      <c r="L7" s="23"/>
    </row>
    <row r="8" spans="2:12" ht="49.5" customHeight="1" x14ac:dyDescent="0.25">
      <c r="B8" s="112" t="s">
        <v>1</v>
      </c>
      <c r="C8" s="114" t="s">
        <v>132</v>
      </c>
      <c r="D8" s="114"/>
      <c r="E8" s="114" t="s">
        <v>133</v>
      </c>
      <c r="F8" s="114"/>
      <c r="G8" s="114" t="s">
        <v>134</v>
      </c>
      <c r="H8" s="114"/>
      <c r="I8" s="114" t="s">
        <v>33</v>
      </c>
      <c r="J8" s="108" t="s">
        <v>135</v>
      </c>
      <c r="K8" s="108" t="s">
        <v>136</v>
      </c>
      <c r="L8" s="110" t="s">
        <v>137</v>
      </c>
    </row>
    <row r="9" spans="2:12" ht="30" x14ac:dyDescent="0.25">
      <c r="B9" s="113"/>
      <c r="C9" s="88" t="s">
        <v>3</v>
      </c>
      <c r="D9" s="88" t="s">
        <v>4</v>
      </c>
      <c r="E9" s="88" t="s">
        <v>3</v>
      </c>
      <c r="F9" s="88" t="s">
        <v>4</v>
      </c>
      <c r="G9" s="88" t="s">
        <v>3</v>
      </c>
      <c r="H9" s="88" t="s">
        <v>4</v>
      </c>
      <c r="I9" s="115"/>
      <c r="J9" s="109"/>
      <c r="K9" s="109"/>
      <c r="L9" s="111"/>
    </row>
    <row r="10" spans="2:12" ht="30" x14ac:dyDescent="0.25">
      <c r="B10" s="68" t="s">
        <v>34</v>
      </c>
      <c r="C10" s="69">
        <v>70000</v>
      </c>
      <c r="D10" s="69">
        <v>30000</v>
      </c>
      <c r="E10" s="69">
        <v>70000</v>
      </c>
      <c r="F10" s="69">
        <v>50000</v>
      </c>
      <c r="G10" s="69">
        <v>418040</v>
      </c>
      <c r="H10" s="69">
        <v>179160</v>
      </c>
      <c r="I10" s="69">
        <f>C10+D10+E10+F10+G10+H10</f>
        <v>817200</v>
      </c>
      <c r="J10" s="70">
        <v>38985</v>
      </c>
      <c r="K10" s="70">
        <v>65479</v>
      </c>
      <c r="L10" s="71">
        <v>542400</v>
      </c>
    </row>
    <row r="11" spans="2:12" ht="45" x14ac:dyDescent="0.25">
      <c r="B11" s="68" t="s">
        <v>35</v>
      </c>
      <c r="C11" s="69">
        <v>35000</v>
      </c>
      <c r="D11" s="69">
        <v>15000</v>
      </c>
      <c r="E11" s="69">
        <v>28259.599999999999</v>
      </c>
      <c r="F11" s="69">
        <v>11050</v>
      </c>
      <c r="G11" s="69">
        <v>318206</v>
      </c>
      <c r="H11" s="69">
        <v>136374</v>
      </c>
      <c r="I11" s="69">
        <f t="shared" ref="I11:I18" si="0">C11+D11+E11+F11+G11+H11</f>
        <v>543889.6</v>
      </c>
      <c r="J11" s="70">
        <v>3000</v>
      </c>
      <c r="K11" s="70">
        <v>4119</v>
      </c>
      <c r="L11" s="71">
        <v>286033.40000000002</v>
      </c>
    </row>
    <row r="12" spans="2:12" ht="60" x14ac:dyDescent="0.25">
      <c r="B12" s="68" t="s">
        <v>36</v>
      </c>
      <c r="C12" s="69">
        <v>35088</v>
      </c>
      <c r="D12" s="69">
        <v>15000</v>
      </c>
      <c r="E12" s="69">
        <v>20026</v>
      </c>
      <c r="F12" s="69">
        <v>9300</v>
      </c>
      <c r="G12" s="69">
        <v>2800</v>
      </c>
      <c r="H12" s="69">
        <v>1200</v>
      </c>
      <c r="I12" s="69">
        <f t="shared" si="0"/>
        <v>83414</v>
      </c>
      <c r="J12" s="70">
        <v>35088</v>
      </c>
      <c r="K12" s="70">
        <v>14039</v>
      </c>
      <c r="L12" s="71">
        <v>6165.8799999999992</v>
      </c>
    </row>
    <row r="13" spans="2:12" ht="30" x14ac:dyDescent="0.25">
      <c r="B13" s="68" t="s">
        <v>37</v>
      </c>
      <c r="C13" s="69">
        <v>518000</v>
      </c>
      <c r="D13" s="69">
        <v>222000</v>
      </c>
      <c r="E13" s="69">
        <v>522204</v>
      </c>
      <c r="F13" s="69">
        <v>205460</v>
      </c>
      <c r="G13" s="69">
        <v>71680</v>
      </c>
      <c r="H13" s="69">
        <v>30720</v>
      </c>
      <c r="I13" s="69">
        <f t="shared" si="0"/>
        <v>1570064</v>
      </c>
      <c r="J13" s="70">
        <v>375473</v>
      </c>
      <c r="K13" s="70">
        <v>473421</v>
      </c>
      <c r="L13" s="71">
        <v>21250</v>
      </c>
    </row>
    <row r="14" spans="2:12" ht="30" x14ac:dyDescent="0.25">
      <c r="B14" s="68" t="s">
        <v>38</v>
      </c>
      <c r="C14" s="69">
        <v>21505</v>
      </c>
      <c r="D14" s="69">
        <v>9229</v>
      </c>
      <c r="E14" s="69">
        <v>32000</v>
      </c>
      <c r="F14" s="69">
        <v>11000</v>
      </c>
      <c r="G14" s="69">
        <v>60479.999999999993</v>
      </c>
      <c r="H14" s="69">
        <v>25920</v>
      </c>
      <c r="I14" s="69">
        <f t="shared" si="0"/>
        <v>160134</v>
      </c>
      <c r="J14" s="70">
        <v>600</v>
      </c>
      <c r="K14" s="70">
        <v>40240</v>
      </c>
      <c r="L14" s="71">
        <v>76629.051166634439</v>
      </c>
    </row>
    <row r="15" spans="2:12" ht="45" x14ac:dyDescent="0.25">
      <c r="B15" s="68" t="s">
        <v>39</v>
      </c>
      <c r="C15" s="69">
        <v>0</v>
      </c>
      <c r="D15" s="69">
        <v>0</v>
      </c>
      <c r="E15" s="69">
        <v>0</v>
      </c>
      <c r="F15" s="69">
        <v>0</v>
      </c>
      <c r="G15" s="69"/>
      <c r="H15" s="69"/>
      <c r="I15" s="69">
        <f t="shared" si="0"/>
        <v>0</v>
      </c>
      <c r="J15" s="70">
        <v>0</v>
      </c>
      <c r="K15" s="70">
        <v>0</v>
      </c>
      <c r="L15" s="71"/>
    </row>
    <row r="16" spans="2:12" ht="45" x14ac:dyDescent="0.25">
      <c r="B16" s="68" t="s">
        <v>40</v>
      </c>
      <c r="C16" s="69">
        <v>7237</v>
      </c>
      <c r="D16" s="69">
        <v>3126</v>
      </c>
      <c r="E16" s="69">
        <v>14000</v>
      </c>
      <c r="F16" s="69">
        <v>7400</v>
      </c>
      <c r="G16" s="69">
        <v>11760</v>
      </c>
      <c r="H16" s="69">
        <v>5040</v>
      </c>
      <c r="I16" s="69">
        <f t="shared" si="0"/>
        <v>48563</v>
      </c>
      <c r="J16" s="70">
        <v>6000</v>
      </c>
      <c r="K16" s="70">
        <v>3334</v>
      </c>
      <c r="L16" s="71">
        <v>13370.26</v>
      </c>
    </row>
    <row r="17" spans="2:12" x14ac:dyDescent="0.25">
      <c r="B17" s="78" t="s">
        <v>41</v>
      </c>
      <c r="C17" s="79">
        <f t="shared" ref="C17:I17" si="1">SUM(C10:C16)</f>
        <v>686830</v>
      </c>
      <c r="D17" s="79">
        <f t="shared" si="1"/>
        <v>294355</v>
      </c>
      <c r="E17" s="79">
        <f t="shared" si="1"/>
        <v>686489.59999999998</v>
      </c>
      <c r="F17" s="79">
        <f t="shared" si="1"/>
        <v>294210</v>
      </c>
      <c r="G17" s="79">
        <v>882966</v>
      </c>
      <c r="H17" s="79">
        <v>378414</v>
      </c>
      <c r="I17" s="79">
        <f t="shared" si="1"/>
        <v>3223264.6</v>
      </c>
      <c r="J17" s="80">
        <v>459146</v>
      </c>
      <c r="K17" s="80">
        <f>SUM(K10:K16)</f>
        <v>600632</v>
      </c>
      <c r="L17" s="81">
        <f>SUM(L10:L16)</f>
        <v>945848.59116663446</v>
      </c>
    </row>
    <row r="18" spans="2:12" x14ac:dyDescent="0.25">
      <c r="B18" s="82" t="s">
        <v>42</v>
      </c>
      <c r="C18" s="79">
        <f>C17*7%</f>
        <v>48078.100000000006</v>
      </c>
      <c r="D18" s="79">
        <f>D17*7%</f>
        <v>20604.850000000002</v>
      </c>
      <c r="E18" s="79">
        <f>E17*7/100</f>
        <v>48054.272000000004</v>
      </c>
      <c r="F18" s="79">
        <f>F17*7/100</f>
        <v>20594.7</v>
      </c>
      <c r="G18" s="79">
        <v>61807.62</v>
      </c>
      <c r="H18" s="79">
        <v>26488.980000000003</v>
      </c>
      <c r="I18" s="79">
        <f t="shared" si="0"/>
        <v>225628.52200000003</v>
      </c>
      <c r="J18" s="80">
        <v>32140.22</v>
      </c>
      <c r="K18" s="80">
        <v>48054.27</v>
      </c>
      <c r="L18" s="81">
        <f>+L17*0.07</f>
        <v>66209.401381664415</v>
      </c>
    </row>
    <row r="19" spans="2:12" ht="15.75" thickBot="1" x14ac:dyDescent="0.3">
      <c r="B19" s="83" t="s">
        <v>2</v>
      </c>
      <c r="C19" s="84">
        <f>SUM(C17:C18)</f>
        <v>734908.1</v>
      </c>
      <c r="D19" s="84">
        <f>D18+D17</f>
        <v>314959.84999999998</v>
      </c>
      <c r="E19" s="85">
        <f>SUM(E17:E18)</f>
        <v>734543.87199999997</v>
      </c>
      <c r="F19" s="85">
        <f>SUM(F17:F18)</f>
        <v>314804.7</v>
      </c>
      <c r="G19" s="84">
        <v>944773.62</v>
      </c>
      <c r="H19" s="84">
        <v>404902.98</v>
      </c>
      <c r="I19" s="84">
        <f>SUM(I17:I18)</f>
        <v>3448893.122</v>
      </c>
      <c r="J19" s="86">
        <f>+J18+J17</f>
        <v>491286.22</v>
      </c>
      <c r="K19" s="86">
        <f>+K18+K17</f>
        <v>648686.27</v>
      </c>
      <c r="L19" s="87">
        <f>+L18+L17</f>
        <v>1012057.9925482989</v>
      </c>
    </row>
    <row r="20" spans="2:12" x14ac:dyDescent="0.25">
      <c r="B20" s="59"/>
      <c r="C20" s="59"/>
      <c r="D20" s="59"/>
      <c r="E20" s="59"/>
      <c r="F20" s="59"/>
      <c r="G20" s="59"/>
      <c r="H20" s="59"/>
      <c r="I20" s="59"/>
      <c r="J20" s="30"/>
      <c r="K20" s="30"/>
      <c r="L20" s="30"/>
    </row>
    <row r="21" spans="2:12" x14ac:dyDescent="0.25">
      <c r="B21" s="30"/>
      <c r="C21" s="30"/>
      <c r="D21" s="30"/>
      <c r="E21" s="30"/>
      <c r="F21" s="30"/>
      <c r="G21" s="30"/>
      <c r="H21" s="30"/>
      <c r="I21" s="30"/>
    </row>
    <row r="22" spans="2:12" x14ac:dyDescent="0.25">
      <c r="B22" s="30"/>
      <c r="C22" s="30"/>
      <c r="D22" s="30"/>
      <c r="E22" s="30"/>
      <c r="F22" s="30"/>
      <c r="G22" s="30"/>
      <c r="H22" s="30"/>
      <c r="I22" s="30"/>
    </row>
  </sheetData>
  <mergeCells count="8">
    <mergeCell ref="J8:J9"/>
    <mergeCell ref="K8:K9"/>
    <mergeCell ref="L8:L9"/>
    <mergeCell ref="B8:B9"/>
    <mergeCell ref="C8:D8"/>
    <mergeCell ref="E8:F8"/>
    <mergeCell ref="G8:H8"/>
    <mergeCell ref="I8: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PBF</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2019-06-18T08:33:15Z</cp:lastPrinted>
  <dcterms:created xsi:type="dcterms:W3CDTF">2017-11-15T21:17:43Z</dcterms:created>
  <dcterms:modified xsi:type="dcterms:W3CDTF">2019-11-25T07:42:11Z</dcterms:modified>
</cp:coreProperties>
</file>