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msatou\Desktop\PBF 2019-2020\RAPPORTS PROJETS PBF\rapport annuel 2019\FAO_Tchad-Niger\"/>
    </mc:Choice>
  </mc:AlternateContent>
  <bookViews>
    <workbookView xWindow="0" yWindow="0" windowWidth="24000" windowHeight="8835"/>
  </bookViews>
  <sheets>
    <sheet name="par activités" sheetId="5" r:id="rId1"/>
    <sheet name="par categorie" sheetId="7" r:id="rId2"/>
  </sheets>
  <externalReferences>
    <externalReference r:id="rId3"/>
  </externalReferences>
  <definedNames>
    <definedName name="New_Print" localSheetId="0">'par activités'!$A$1:$M$49</definedName>
    <definedName name="_xlnm.Print_Area" localSheetId="0">'par activités'!$A$1:$M$49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48" i="5" l="1"/>
  <c r="D15" i="7"/>
  <c r="G20" i="7"/>
  <c r="D20" i="7"/>
  <c r="L16" i="7"/>
  <c r="M15" i="7"/>
  <c r="L15" i="7"/>
  <c r="K15" i="7"/>
  <c r="L14" i="7"/>
  <c r="M14" i="7"/>
  <c r="K14" i="7"/>
  <c r="H49" i="5"/>
  <c r="H50" i="5" s="1"/>
  <c r="I49" i="5"/>
  <c r="I50" i="5" s="1"/>
  <c r="J49" i="5"/>
  <c r="K48" i="5"/>
  <c r="J48" i="5"/>
  <c r="I48" i="5"/>
  <c r="H48" i="5"/>
  <c r="N14" i="7" l="1"/>
  <c r="K49" i="5"/>
  <c r="K50" i="5" s="1"/>
  <c r="D43" i="5"/>
  <c r="C48" i="5"/>
  <c r="E49" i="5"/>
  <c r="C55" i="5"/>
  <c r="F48" i="5"/>
  <c r="E48" i="5"/>
  <c r="D49" i="5"/>
  <c r="D47" i="5"/>
  <c r="E14" i="7" l="1"/>
  <c r="E15" i="7" s="1"/>
  <c r="E16" i="7" s="1"/>
  <c r="F14" i="7" l="1"/>
  <c r="F16" i="7" l="1"/>
  <c r="N15" i="7"/>
  <c r="C15" i="7"/>
  <c r="I15" i="7" s="1"/>
  <c r="B15" i="7"/>
  <c r="K16" i="7"/>
  <c r="G14" i="7"/>
  <c r="G16" i="7" s="1"/>
  <c r="D14" i="7"/>
  <c r="M13" i="7"/>
  <c r="N13" i="7" s="1"/>
  <c r="C13" i="7"/>
  <c r="I13" i="7" s="1"/>
  <c r="B13" i="7"/>
  <c r="H13" i="7" s="1"/>
  <c r="M12" i="7"/>
  <c r="N12" i="7" s="1"/>
  <c r="I12" i="7"/>
  <c r="H12" i="7"/>
  <c r="M11" i="7"/>
  <c r="L11" i="7"/>
  <c r="H11" i="7"/>
  <c r="C11" i="7"/>
  <c r="C14" i="7" s="1"/>
  <c r="B11" i="7"/>
  <c r="N10" i="7"/>
  <c r="I10" i="7"/>
  <c r="H10" i="7"/>
  <c r="M9" i="7"/>
  <c r="N9" i="7" s="1"/>
  <c r="I9" i="7"/>
  <c r="B9" i="7"/>
  <c r="B14" i="7" s="1"/>
  <c r="H14" i="7" s="1"/>
  <c r="M8" i="7"/>
  <c r="L8" i="7"/>
  <c r="I8" i="7"/>
  <c r="H8" i="7"/>
  <c r="M7" i="7"/>
  <c r="L7" i="7"/>
  <c r="I7" i="7"/>
  <c r="H7" i="7"/>
  <c r="J7" i="7" s="1"/>
  <c r="J10" i="7" l="1"/>
  <c r="N11" i="7"/>
  <c r="H15" i="7"/>
  <c r="J15" i="7" s="1"/>
  <c r="J8" i="7"/>
  <c r="N8" i="7"/>
  <c r="D16" i="7"/>
  <c r="E17" i="7" s="1"/>
  <c r="J12" i="7"/>
  <c r="J13" i="7"/>
  <c r="G17" i="7"/>
  <c r="I14" i="7"/>
  <c r="C16" i="7"/>
  <c r="B16" i="7"/>
  <c r="N7" i="7"/>
  <c r="H9" i="7"/>
  <c r="J9" i="7" s="1"/>
  <c r="I11" i="7"/>
  <c r="J11" i="7" s="1"/>
  <c r="H16" i="7" l="1"/>
  <c r="J16" i="7" s="1"/>
  <c r="M16" i="7"/>
  <c r="N16" i="7" s="1"/>
  <c r="J14" i="7"/>
  <c r="I16" i="7"/>
  <c r="C17" i="7"/>
  <c r="D19" i="7" s="1"/>
  <c r="G19" i="7"/>
  <c r="K19" i="7" l="1"/>
  <c r="K20" i="7"/>
  <c r="N19" i="7"/>
  <c r="N20" i="7"/>
  <c r="I46" i="5"/>
  <c r="I38" i="5"/>
  <c r="I33" i="5"/>
  <c r="I32" i="5" s="1"/>
  <c r="I25" i="5" s="1"/>
  <c r="I18" i="5"/>
  <c r="I14" i="5"/>
  <c r="I10" i="5"/>
  <c r="I9" i="5" l="1"/>
  <c r="I43" i="5" s="1"/>
  <c r="I47" i="5" s="1"/>
  <c r="J38" i="5"/>
  <c r="J34" i="5"/>
  <c r="J33" i="5" s="1"/>
  <c r="J32" i="5" s="1"/>
  <c r="J25" i="5"/>
  <c r="J18" i="5"/>
  <c r="J14" i="5"/>
  <c r="J10" i="5"/>
  <c r="J9" i="5" l="1"/>
  <c r="J43" i="5" s="1"/>
  <c r="J47" i="5" s="1"/>
  <c r="J50" i="5" s="1"/>
  <c r="E33" i="5" l="1"/>
  <c r="E10" i="5"/>
  <c r="N9" i="5" l="1"/>
  <c r="C10" i="5"/>
  <c r="D10" i="5"/>
  <c r="H10" i="5"/>
  <c r="N10" i="5"/>
  <c r="U10" i="5" s="1"/>
  <c r="K11" i="5"/>
  <c r="N11" i="5"/>
  <c r="Q11" i="5"/>
  <c r="K12" i="5"/>
  <c r="N12" i="5"/>
  <c r="U12" i="5" s="1"/>
  <c r="K13" i="5"/>
  <c r="N13" i="5"/>
  <c r="U13" i="5" s="1"/>
  <c r="C14" i="5"/>
  <c r="D14" i="5"/>
  <c r="E14" i="5"/>
  <c r="H14" i="5"/>
  <c r="N14" i="5"/>
  <c r="U14" i="5" s="1"/>
  <c r="F15" i="5"/>
  <c r="K15" i="5"/>
  <c r="N15" i="5"/>
  <c r="U15" i="5" s="1"/>
  <c r="F16" i="5"/>
  <c r="K16" i="5"/>
  <c r="N16" i="5"/>
  <c r="U16" i="5" s="1"/>
  <c r="F17" i="5"/>
  <c r="K17" i="5"/>
  <c r="N17" i="5"/>
  <c r="U17" i="5" s="1"/>
  <c r="C18" i="5"/>
  <c r="D18" i="5"/>
  <c r="E18" i="5"/>
  <c r="H18" i="5"/>
  <c r="N18" i="5"/>
  <c r="U18" i="5" s="1"/>
  <c r="F19" i="5"/>
  <c r="K19" i="5"/>
  <c r="M19" i="5"/>
  <c r="N19" i="5"/>
  <c r="U19" i="5" s="1"/>
  <c r="F20" i="5"/>
  <c r="K20" i="5"/>
  <c r="M20" i="5"/>
  <c r="N20" i="5" s="1"/>
  <c r="U20" i="5" s="1"/>
  <c r="F21" i="5"/>
  <c r="K21" i="5"/>
  <c r="M21" i="5"/>
  <c r="N21" i="5" s="1"/>
  <c r="U21" i="5" s="1"/>
  <c r="F22" i="5"/>
  <c r="K22" i="5"/>
  <c r="M22" i="5"/>
  <c r="N22" i="5" s="1"/>
  <c r="U22" i="5" s="1"/>
  <c r="F23" i="5"/>
  <c r="K23" i="5"/>
  <c r="M23" i="5"/>
  <c r="N23" i="5" s="1"/>
  <c r="U23" i="5" s="1"/>
  <c r="F24" i="5"/>
  <c r="K24" i="5"/>
  <c r="N24" i="5"/>
  <c r="U24" i="5"/>
  <c r="C25" i="5"/>
  <c r="D25" i="5"/>
  <c r="E25" i="5"/>
  <c r="N25" i="5"/>
  <c r="U25" i="5" s="1"/>
  <c r="F26" i="5"/>
  <c r="K26" i="5"/>
  <c r="N26" i="5"/>
  <c r="U26" i="5" s="1"/>
  <c r="F27" i="5"/>
  <c r="K27" i="5"/>
  <c r="N27" i="5"/>
  <c r="Y27" i="5"/>
  <c r="F28" i="5"/>
  <c r="K28" i="5"/>
  <c r="N28" i="5"/>
  <c r="U28" i="5" s="1"/>
  <c r="F29" i="5"/>
  <c r="K29" i="5"/>
  <c r="N29" i="5"/>
  <c r="U29" i="5" s="1"/>
  <c r="F30" i="5"/>
  <c r="K30" i="5"/>
  <c r="M30" i="5"/>
  <c r="N30" i="5" s="1"/>
  <c r="U30" i="5" s="1"/>
  <c r="F31" i="5"/>
  <c r="K31" i="5"/>
  <c r="N31" i="5"/>
  <c r="U31" i="5" s="1"/>
  <c r="N32" i="5"/>
  <c r="U32" i="5" s="1"/>
  <c r="C33" i="5"/>
  <c r="D33" i="5"/>
  <c r="H33" i="5"/>
  <c r="K33" i="5" s="1"/>
  <c r="N33" i="5"/>
  <c r="U33" i="5" s="1"/>
  <c r="F34" i="5"/>
  <c r="K34" i="5"/>
  <c r="N34" i="5"/>
  <c r="U34" i="5" s="1"/>
  <c r="F35" i="5"/>
  <c r="K35" i="5"/>
  <c r="N35" i="5"/>
  <c r="U35" i="5" s="1"/>
  <c r="F36" i="5"/>
  <c r="K36" i="5"/>
  <c r="N36" i="5"/>
  <c r="U36" i="5"/>
  <c r="F37" i="5"/>
  <c r="K37" i="5"/>
  <c r="N37" i="5"/>
  <c r="U37" i="5" s="1"/>
  <c r="C38" i="5"/>
  <c r="D38" i="5"/>
  <c r="E38" i="5"/>
  <c r="H38" i="5"/>
  <c r="K38" i="5" s="1"/>
  <c r="N38" i="5"/>
  <c r="U38" i="5" s="1"/>
  <c r="F39" i="5"/>
  <c r="K39" i="5"/>
  <c r="N39" i="5"/>
  <c r="U39" i="5" s="1"/>
  <c r="F40" i="5"/>
  <c r="K40" i="5"/>
  <c r="M40" i="5"/>
  <c r="N40" i="5" s="1"/>
  <c r="U40" i="5" s="1"/>
  <c r="F41" i="5"/>
  <c r="K41" i="5"/>
  <c r="N41" i="5"/>
  <c r="U41" i="5" s="1"/>
  <c r="F42" i="5"/>
  <c r="K42" i="5"/>
  <c r="U42" i="5"/>
  <c r="U43" i="5"/>
  <c r="F44" i="5"/>
  <c r="K44" i="5"/>
  <c r="U44" i="5"/>
  <c r="F45" i="5"/>
  <c r="K45" i="5"/>
  <c r="U45" i="5"/>
  <c r="F46" i="5"/>
  <c r="K46" i="5"/>
  <c r="U46" i="5"/>
  <c r="U47" i="5"/>
  <c r="U48" i="5"/>
  <c r="P52" i="5"/>
  <c r="F33" i="5" l="1"/>
  <c r="O27" i="5"/>
  <c r="U27" i="5" s="1"/>
  <c r="K18" i="5"/>
  <c r="M42" i="5"/>
  <c r="K14" i="5"/>
  <c r="F25" i="5"/>
  <c r="F18" i="5"/>
  <c r="C43" i="5"/>
  <c r="C47" i="5" s="1"/>
  <c r="C49" i="5" s="1"/>
  <c r="H32" i="5"/>
  <c r="F38" i="5"/>
  <c r="F32" i="5" s="1"/>
  <c r="U11" i="5"/>
  <c r="F14" i="5"/>
  <c r="N52" i="5"/>
  <c r="K10" i="5"/>
  <c r="H25" i="5" l="1"/>
  <c r="K32" i="5"/>
  <c r="K25" i="5" l="1"/>
  <c r="H9" i="5"/>
  <c r="K9" i="5" l="1"/>
  <c r="H43" i="5"/>
  <c r="K43" i="5" l="1"/>
  <c r="H47" i="5"/>
  <c r="K47" i="5" l="1"/>
  <c r="L54" i="5" s="1"/>
  <c r="F13" i="5" l="1"/>
  <c r="F11" i="5"/>
  <c r="F10" i="5"/>
  <c r="E43" i="5"/>
  <c r="F43" i="5" s="1"/>
  <c r="F12" i="5"/>
  <c r="E47" i="5" l="1"/>
  <c r="F47" i="5" l="1"/>
  <c r="F49" i="5" l="1"/>
  <c r="O9" i="5"/>
  <c r="U9" i="5"/>
  <c r="U52" i="5"/>
</calcChain>
</file>

<file path=xl/comments1.xml><?xml version="1.0" encoding="utf-8"?>
<comments xmlns="http://schemas.openxmlformats.org/spreadsheetml/2006/main">
  <authors>
    <author>Windows User</author>
  </authors>
  <commentList>
    <comment ref="Y27" authorId="0" shapeId="0">
      <text>
        <r>
          <rPr>
            <b/>
            <sz val="9"/>
            <color indexed="81"/>
            <rFont val="Tahoma"/>
            <family val="2"/>
          </rPr>
          <t>Windows User:</t>
        </r>
        <r>
          <rPr>
            <sz val="9"/>
            <color indexed="81"/>
            <rFont val="Tahoma"/>
            <family val="2"/>
          </rPr>
          <t xml:space="preserve">
formation cartographie </t>
        </r>
      </text>
    </comment>
  </commentList>
</comments>
</file>

<file path=xl/sharedStrings.xml><?xml version="1.0" encoding="utf-8"?>
<sst xmlns="http://schemas.openxmlformats.org/spreadsheetml/2006/main" count="140" uniqueCount="128">
  <si>
    <t>CATEGORIES</t>
  </si>
  <si>
    <t>TOTAL</t>
  </si>
  <si>
    <t>Tranche 1 (70%)</t>
  </si>
  <si>
    <t>Tranche 2 (30%)</t>
  </si>
  <si>
    <t>Total tranche 1</t>
  </si>
  <si>
    <t>Annexe D - Budget du projet PBF</t>
  </si>
  <si>
    <t>Note: S'il s'agit de revision de projet, veuillez inclure colonnes additionnelles pour montrer le changement.</t>
  </si>
  <si>
    <t>Tableau 1 - Budget du projet PBF par resultat, produit et activite</t>
  </si>
  <si>
    <t>Nombre de resultat/ produit</t>
  </si>
  <si>
    <t>Formulation du resultat/ produit/ activite</t>
  </si>
  <si>
    <t>Notes quelconque le cas echeant (.e.g sur types des entrants ou justification du budget)</t>
  </si>
  <si>
    <t>Produit 1.2:</t>
  </si>
  <si>
    <t>Couts indirects (7%):</t>
  </si>
  <si>
    <t>Tableau 2 - Budget de projet PBF par categorie de cout de l'ONU</t>
  </si>
  <si>
    <t>Note: S'il s'agit d'une revision budgetaire, veuillez inclure des colonnes additionnelles pour montrer les changements</t>
  </si>
  <si>
    <t xml:space="preserve"> TOTAL PROJET</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</si>
  <si>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</si>
  <si>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</si>
  <si>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</si>
  <si>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</si>
  <si>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</si>
  <si>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</si>
  <si>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Sous-total</t>
  </si>
  <si>
    <t xml:space="preserve">8. Coûts indirects*  </t>
  </si>
  <si>
    <t>Niveau de depense/ engagement actuel en USD (a remplir au moment des rapports de projet)</t>
  </si>
  <si>
    <t>Les activités de lancement, de communication  et d’évaluation relatives au projet sont assurées</t>
  </si>
  <si>
    <t>organisation d’ateliers de lancement du projet et finalisation de manière participative du ciblage géographique</t>
  </si>
  <si>
    <t xml:space="preserve"> Activités de communication et de dissémination de bonnes pratiques autour du projet</t>
  </si>
  <si>
    <t xml:space="preserve"> Mise en œuvre des mission évaluation et de l’évaluation externe du projet </t>
  </si>
  <si>
    <t xml:space="preserve">Une typologie des conflits es réalisée et des enquêtes relatives aux besoins spécificiques des femmes et des jeunes dans le contexte du pastoralisme sont dispoibles </t>
  </si>
  <si>
    <t xml:space="preserve"> Des études pilotes relatifs aux besoins et attentes des femmes et des jeunes dans le contexte du pastoralisme sont lancées et leurs résultats intégrés dans le plan de suivi évaluation du projet (FAO Tc/Nig)</t>
  </si>
  <si>
    <t>Identification et partage des bonnes pratiques en matière de résolution des conflits en appui aux priorités de la CEDEAO</t>
  </si>
  <si>
    <t>FAO TCHAD</t>
  </si>
  <si>
    <t>PAM TCHAD</t>
  </si>
  <si>
    <t>FAO NIGER</t>
  </si>
  <si>
    <t>Resultat 1:l</t>
  </si>
  <si>
    <t xml:space="preserve">les conflits communautaires , au niveau régional (Diffa et Kanem) et transfrontaliers liés à la transhumance sont réduits </t>
  </si>
  <si>
    <t>Produit 1.1.</t>
  </si>
  <si>
    <t xml:space="preserve">A. 1.1.1 </t>
  </si>
  <si>
    <t>A.1. 1.2</t>
  </si>
  <si>
    <t>A.1. 1.3</t>
  </si>
  <si>
    <t>A. 1.2.1</t>
  </si>
  <si>
    <t>:Une typologie des conflits est finalisée et ses résultats intégrés dans le plan de suivi évaluation du projet (FAO Tchad/ Niger)</t>
  </si>
  <si>
    <t>A 1.2.2</t>
  </si>
  <si>
    <t>A 1.2.3</t>
  </si>
  <si>
    <t>Produit 1.3.</t>
  </si>
  <si>
    <t xml:space="preserve">Les mécanismes de prévention, de gestion et de réponses aux conflits transfrontaliers liés à la transhumance sont renforcés </t>
  </si>
  <si>
    <t>A.1.3.1.:</t>
  </si>
  <si>
    <t>Renforcement des  cadres de concertation et de dialogue intercommunautaire, régional et transfrontaliers  pour la prévention et la gestion des conflits</t>
  </si>
  <si>
    <t>A. 1.3.2:</t>
  </si>
  <si>
    <t>Renforcement des capacités des cadres de concertation régional des unions d’éleveurs, de la délégation régionale de l’élevage des CRA et autorités régionales en matière de planification et suivi de la gestion des ressources (FAO Tchad/ Niger)</t>
  </si>
  <si>
    <t>A. 1.3.3.</t>
  </si>
  <si>
    <t>Organisation des rencontres transfrontalières de partage d’expériences et d’information sur les thématiques majeures de conflits d’accès aux ressources pastorales et de la transhumance (FAO Tchad/ Niger</t>
  </si>
  <si>
    <t>A.1.3.4.</t>
  </si>
  <si>
    <t>Organisation d’actions de sensibilisation sur la cohabitation pacifique et la cohésion sociale lors des rencontres annuelles de cure salée et aux frontières (Tchad et Niger) (FAO Tchad/ Niger</t>
  </si>
  <si>
    <t xml:space="preserve">A.1.3.5. </t>
  </si>
  <si>
    <t>Renforcement du dispositif communautaire d’alerte précoce sur les risques potentiels de conflit et mise en relation avec mécanismes de réponses. (FAO/PAM Tchad et FAO Niger)</t>
  </si>
  <si>
    <t>A 1.3.6.</t>
  </si>
  <si>
    <t>Renforcement de la participation des femmes et des jeunes dans les cadres de concertation et dialogue intercommunautaire et faciliter la prise en compte et l’intégration des besoins spécifiques des femmes et des jeunes à travers les planifications communautaires participatives (FAO/PAM Tchad et FAO Niger)</t>
  </si>
  <si>
    <t>Produit 1.4.</t>
  </si>
  <si>
    <t>Des conditions favorables à la mobilité sont créées et favorisent les mouvements de transhumants dans les deux régions.</t>
  </si>
  <si>
    <t>A.1.4.1.</t>
  </si>
  <si>
    <t>Renforcement des capacités des maires, autorités coutumières, personnel des services techniques décentralisés , les associations agropastorales sur la mise en œuvre des textes en matière de gestion pastorale, la gestion des conflits (FAO Tchad et FAO Niger)</t>
  </si>
  <si>
    <t>A.1.4.2.</t>
  </si>
  <si>
    <t>Renforcement des capacités des services locaux décentralisés en cartographie (FAO Tchad + Niger)</t>
  </si>
  <si>
    <t>A.1.4.3.</t>
  </si>
  <si>
    <t>Réhabilitation des points d’eau et protection des pâturages au Kanem et Diffa à travers le cash for asset via une approche visant la cohésion sociale (PAM/FAO Tchad et FAO Niger)</t>
  </si>
  <si>
    <t>A.1.4.4</t>
  </si>
  <si>
    <t>Sécurisation et réhabilitation des couloirs de transhumance et sensibilisation des agropasteurs sur l’utilisation des couloirs. (PAM/FAO Tchad et FAO Niger)</t>
  </si>
  <si>
    <t>A.1.4.5.</t>
  </si>
  <si>
    <t>Appui aux communautés à renforcer une gestion partagée et pérenne des aires de pâturages à travers le cash for asset associant les transhumant et les communautés hôtes (PAM/FAO Tchad et FAO Niger)</t>
  </si>
  <si>
    <t>A1.4.6.</t>
  </si>
  <si>
    <t>Renforcement des capacités opérationnelles des équipes de surveillance épidémiologique le long de la frontière. (FAO Tchad et FAO Niger)</t>
  </si>
  <si>
    <t>Résultats 2:</t>
  </si>
  <si>
    <t>Les jeunes et les femmes, notamment ceux qui se sentent marginalisés entreprennent des activités génératrices de revenus et sont de plus en plus impliqués dans les processus de prise de décision locaux.</t>
  </si>
  <si>
    <t>Produit 2.1.</t>
  </si>
  <si>
    <t>Les jeunes et les femmes sont formés et équipés afin d’augmenter les opportunités d’emploi et accroitre leurs revenus de manière durable</t>
  </si>
  <si>
    <t>A.2.1.1.</t>
  </si>
  <si>
    <t>Les femmes et les jeunes sont appuyées à la production et commercialisation du lait (techniques de transformation du lait en fromage et produits dérivés du lait) et production / transformation des cultures maraichères, production fourragère autour des points d’eau et transport (FAO/PAM Tchad et FAO Niger)</t>
  </si>
  <si>
    <t>A.2.1.2.</t>
  </si>
  <si>
    <t>Des kits de transformation et équipements sont fournis pour la transformation des produits et la réduction des pertes (FAO Tchad et FAO Niger)</t>
  </si>
  <si>
    <t>A.2.1.3.</t>
  </si>
  <si>
    <t>La valorisation des produits et l’accès aux marchés sont facilités entre autres à travers les clubs Dimitra (FAO Tchad et FAO Niger)</t>
  </si>
  <si>
    <t>A.2.1.4</t>
  </si>
  <si>
    <t>Des partenariats avec l’office pour l’emploi des jeunes et ses structures décentralisées sont promus pour assurer la durabilité des interventions. (FAO Tchad et FAO Niger)</t>
  </si>
  <si>
    <t>Produit 2.2.</t>
  </si>
  <si>
    <t>Les processus de concertation et de décision locaux sont plus représentatifs des besoins des femmes et des jeunes et ces derniers y participent de manière active</t>
  </si>
  <si>
    <t>A.2.2.1.</t>
  </si>
  <si>
    <t>Mise en place de clubs Dimitra (écoute, échange et communication) et renforcement des capacités de ses membres sur les différentes thématiques (FAO Tchad et FAO Niger)</t>
  </si>
  <si>
    <t>A.2.2.2.</t>
  </si>
  <si>
    <t>Réalisations de sessions d’échanges entre clubs d’écoute communautaires et inter communautaires et transfrontaliers (FAO Tchad et FAO Niger)</t>
  </si>
  <si>
    <t>A.2.2.3.</t>
  </si>
  <si>
    <t>Sensibiliser et former les autorités administratives, conseil régional et élus locaux et les services techniques aux questions de participation des femmes et des jeunes et l’élaboration et la mise en œuvre des plans de développement locaux inclusifs et participatifs. (FAO Tchad et FAO Niger)</t>
  </si>
  <si>
    <t xml:space="preserve">A.2.2.4. </t>
  </si>
  <si>
    <t>Dissémination par les radios communautaires des bonnes pratiques relatives aux questions de participation, gestion des ressources naturelles et accès à la terre, égalité entre les sexes, représentation des jeunes e</t>
  </si>
  <si>
    <t xml:space="preserve">SOUS TOTAL DU BUDGET DE PROJET:                             </t>
  </si>
  <si>
    <t xml:space="preserve">frais généraux de fontionnement:                                                                                      </t>
  </si>
  <si>
    <t xml:space="preserve">frais de voyage et missions mise en œuvre, suivi </t>
  </si>
  <si>
    <t xml:space="preserve">Cout personnel  si pas inclus dans les activites si-dessus                                                    </t>
  </si>
  <si>
    <t>Total cout direct</t>
  </si>
  <si>
    <t xml:space="preserve">TOTAL   </t>
  </si>
  <si>
    <t>FAO Niger</t>
  </si>
  <si>
    <t xml:space="preserve">% budget pour chaque activite reserve pour action directe sur le genre </t>
  </si>
  <si>
    <t>PA</t>
  </si>
  <si>
    <t>salaire consultants</t>
  </si>
  <si>
    <t>Voyages</t>
  </si>
  <si>
    <t>Formations</t>
  </si>
  <si>
    <t>Frais généraux</t>
  </si>
  <si>
    <t xml:space="preserve">Formation en cartographie </t>
  </si>
  <si>
    <t>Cout total direct</t>
  </si>
  <si>
    <t xml:space="preserve">% prevu pour le genre </t>
  </si>
  <si>
    <t>Montant effectivement consomé pour genre</t>
  </si>
  <si>
    <t xml:space="preserve">1. Personnel et autres employés </t>
  </si>
  <si>
    <t>Budget prévu pour les activités genre</t>
  </si>
  <si>
    <r>
      <t>Budget par agence recipiendiaire en USD - Veuillez ajouter une nouvelle colonne par agence recipiendiaire (</t>
    </r>
    <r>
      <rPr>
        <b/>
        <sz val="12"/>
        <color theme="1"/>
        <rFont val="Times New Roman"/>
        <family val="1"/>
      </rPr>
      <t>1ère tranche)</t>
    </r>
  </si>
  <si>
    <t xml:space="preserve">Taux de consommation du budget </t>
  </si>
  <si>
    <t>Taux de coonsommation budgetaire par rapport à la première tranche</t>
  </si>
  <si>
    <t>Taux consommation budget global</t>
  </si>
  <si>
    <t>Taux consommation budget par rapport tranche 1</t>
  </si>
  <si>
    <t>Agence Recipiendaire FAO TCHAD</t>
  </si>
  <si>
    <t>Agence Recipiendaire PAM TCHAD</t>
  </si>
  <si>
    <t xml:space="preserve"> Agence Recipiendaire FAO NIGER</t>
  </si>
  <si>
    <t>Total Tranche 2</t>
  </si>
  <si>
    <t>FAO Tchad</t>
  </si>
  <si>
    <t>PAM Tchad</t>
  </si>
  <si>
    <t>FAO Nger</t>
  </si>
  <si>
    <t>Average</t>
  </si>
  <si>
    <t xml:space="preserve">Dépenses réalisées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</si>
</sst>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 _€_-;\-* #,##0\ _€_-;_-* &quot;-&quot;\ _€_-;_-@_-"/>
    <numFmt numFmtId="164" formatCode="_(* #,##0.00_);_(* \(#,##0.00\);_(* &quot;-&quot;??_);_(@_)"/>
    <numFmt numFmtId="165" formatCode="_-* #,##0\ _€_-;\-* #,##0\ _€_-;_-* \-??\ _€_-;_-@_-"/>
    <numFmt numFmtId="166" formatCode="_-* #,##0.00\ _€_-;\-* #,##0.00\ _€_-;_-* \-??\ _€_-;_-@_-"/>
    <numFmt numFmtId="167" formatCode="_-* #,##0\ _€_-;\-* #,##0\ _€_-;_-* &quot;-&quot;??\ _€_-;_-@_-"/>
    <numFmt numFmtId="168" formatCode="0.000000000000000%"/>
    <numFmt numFmtId="169" formatCode="#,##0_);[Red]\(#,##0\);\–\ "/>
    <numFmt numFmtId="170" formatCode="_(* #,##0_);_(* \(#,##0\);_(* &quot;-&quot;??_);_(@_)"/>
  </numFmts>
  <fonts count="38" x14ac:knownFonts="1">
    <font>
      <sz val="11"/>
      <color theme="1"/>
      <name val="Calibri"/>
      <family val="2"/>
      <scheme val="minor"/>
    </font>
    <font>
      <sz val="12"/>
      <color theme="1"/>
      <name val="Times New Roman"/>
      <family val="1"/>
    </font>
    <font>
      <sz val="10"/>
      <color theme="1"/>
      <name val="Calibri"/>
      <family val="2"/>
    </font>
    <font>
      <sz val="11"/>
      <color theme="1"/>
      <name val="Calibri"/>
      <family val="2"/>
      <scheme val="minor"/>
    </font>
    <font>
      <sz val="11"/>
      <color indexed="8"/>
      <name val="Calibri"/>
      <family val="2"/>
      <charset val="1"/>
    </font>
    <font>
      <b/>
      <sz val="12"/>
      <color indexed="8"/>
      <name val="Calibri"/>
      <family val="2"/>
      <charset val="1"/>
    </font>
    <font>
      <b/>
      <sz val="14"/>
      <color indexed="8"/>
      <name val="Calibri"/>
      <family val="2"/>
      <charset val="1"/>
    </font>
    <font>
      <b/>
      <sz val="16"/>
      <color indexed="8"/>
      <name val="Calibri"/>
      <family val="2"/>
      <charset val="1"/>
    </font>
    <font>
      <sz val="10"/>
      <name val="Arial"/>
      <family val="2"/>
    </font>
    <font>
      <sz val="9"/>
      <color indexed="81"/>
      <name val="Tahoma"/>
      <family val="2"/>
    </font>
    <font>
      <b/>
      <sz val="9"/>
      <color indexed="81"/>
      <name val="Tahoma"/>
      <family val="2"/>
    </font>
    <font>
      <b/>
      <sz val="12"/>
      <color indexed="8"/>
      <name val="Times New Roman"/>
      <family val="1"/>
    </font>
    <font>
      <sz val="12"/>
      <color indexed="8"/>
      <name val="Times New Roman"/>
      <family val="1"/>
    </font>
    <font>
      <sz val="11"/>
      <color rgb="FFFF0000"/>
      <name val="Calibri"/>
      <family val="2"/>
      <charset val="1"/>
    </font>
    <font>
      <sz val="10"/>
      <color indexed="8"/>
      <name val="Calibri"/>
      <family val="2"/>
      <charset val="1"/>
    </font>
    <font>
      <b/>
      <sz val="10"/>
      <color indexed="8"/>
      <name val="Times New Roman"/>
      <family val="1"/>
      <charset val="1"/>
    </font>
    <font>
      <sz val="10"/>
      <color indexed="8"/>
      <name val="Times New Roman"/>
      <family val="1"/>
      <charset val="1"/>
    </font>
    <font>
      <b/>
      <sz val="10"/>
      <color indexed="8"/>
      <name val="Calibri"/>
      <family val="2"/>
      <charset val="1"/>
    </font>
    <font>
      <b/>
      <sz val="11"/>
      <color indexed="8"/>
      <name val="Calibri"/>
      <family val="2"/>
      <charset val="1"/>
    </font>
    <font>
      <b/>
      <sz val="10"/>
      <color indexed="8"/>
      <name val="Calibri"/>
      <family val="2"/>
    </font>
    <font>
      <b/>
      <sz val="10"/>
      <color theme="1"/>
      <name val="Calibri"/>
      <family val="2"/>
    </font>
    <font>
      <b/>
      <sz val="14"/>
      <name val="Calibri"/>
      <family val="2"/>
      <charset val="1"/>
    </font>
    <font>
      <b/>
      <sz val="12"/>
      <name val="Calibri"/>
      <family val="2"/>
      <charset val="1"/>
    </font>
    <font>
      <sz val="11"/>
      <name val="Calibri"/>
      <family val="2"/>
      <charset val="1"/>
    </font>
    <font>
      <sz val="11"/>
      <color indexed="8"/>
      <name val="Times New Roman"/>
      <family val="1"/>
    </font>
    <font>
      <b/>
      <sz val="12"/>
      <name val="Times New Roman"/>
      <family val="1"/>
    </font>
    <font>
      <b/>
      <i/>
      <sz val="12"/>
      <color indexed="8"/>
      <name val="Times New Roman"/>
      <family val="1"/>
    </font>
    <font>
      <b/>
      <i/>
      <sz val="12"/>
      <name val="Times New Roman"/>
      <family val="1"/>
    </font>
    <font>
      <sz val="11"/>
      <color theme="1"/>
      <name val="Times New Roman"/>
      <family val="1"/>
    </font>
    <font>
      <sz val="12"/>
      <name val="Times New Roman"/>
      <family val="1"/>
    </font>
    <font>
      <sz val="11"/>
      <name val="Times New Roman"/>
      <family val="1"/>
    </font>
    <font>
      <b/>
      <sz val="11"/>
      <color theme="1"/>
      <name val="Times New Roman"/>
      <family val="1"/>
    </font>
    <font>
      <b/>
      <sz val="11"/>
      <name val="Times New Roman"/>
      <family val="1"/>
    </font>
    <font>
      <b/>
      <sz val="12"/>
      <color theme="1"/>
      <name val="Times New Roman"/>
      <family val="1"/>
    </font>
    <font>
      <b/>
      <sz val="11"/>
      <color indexed="8"/>
      <name val="Times New Roman"/>
      <family val="1"/>
    </font>
    <font>
      <b/>
      <sz val="12"/>
      <color indexed="8"/>
      <name val="Calibri"/>
      <family val="2"/>
    </font>
    <font>
      <sz val="10"/>
      <color indexed="8"/>
      <name val="Calibri"/>
      <family val="2"/>
    </font>
    <font>
      <b/>
      <sz val="14"/>
      <color indexed="8"/>
      <name val="Calibri"/>
      <family val="2"/>
    </font>
  </fonts>
  <fills count="15">
    <fill>
      <patternFill patternType="none"/>
    </fill>
    <fill>
      <patternFill patternType="gray125"/>
    </fill>
    <fill>
      <patternFill patternType="solid">
        <fgColor rgb="FFD9D9D9"/>
        <bgColor indexed="64"/>
      </patternFill>
    </fill>
    <fill>
      <patternFill patternType="solid">
        <fgColor indexed="26"/>
        <bgColor indexed="31"/>
      </patternFill>
    </fill>
    <fill>
      <patternFill patternType="solid">
        <fgColor theme="0"/>
        <bgColor indexed="64"/>
      </patternFill>
    </fill>
    <fill>
      <patternFill patternType="solid">
        <fgColor theme="0"/>
        <bgColor indexed="26"/>
      </patternFill>
    </fill>
    <fill>
      <patternFill patternType="solid">
        <fgColor rgb="FFFFFF00"/>
        <bgColor indexed="64"/>
      </patternFill>
    </fill>
    <fill>
      <patternFill patternType="solid">
        <fgColor indexed="31"/>
        <bgColor indexed="26"/>
      </patternFill>
    </fill>
    <fill>
      <patternFill patternType="solid">
        <fgColor indexed="55"/>
        <bgColor indexed="22"/>
      </patternFill>
    </fill>
    <fill>
      <patternFill patternType="solid">
        <fgColor indexed="22"/>
        <bgColor indexed="55"/>
      </patternFill>
    </fill>
    <fill>
      <patternFill patternType="solid">
        <fgColor theme="4" tint="0.79998168889431442"/>
        <bgColor indexed="64"/>
      </patternFill>
    </fill>
    <fill>
      <patternFill patternType="solid">
        <fgColor theme="4" tint="0.79998168889431442"/>
        <bgColor indexed="31"/>
      </patternFill>
    </fill>
    <fill>
      <patternFill patternType="solid">
        <fgColor theme="4" tint="0.79998168889431442"/>
        <bgColor indexed="26"/>
      </patternFill>
    </fill>
    <fill>
      <patternFill patternType="solid">
        <fgColor rgb="FFFFFF00"/>
        <bgColor indexed="31"/>
      </patternFill>
    </fill>
    <fill>
      <patternFill patternType="solid">
        <fgColor theme="8" tint="0.39997558519241921"/>
        <bgColor indexed="64"/>
      </patternFill>
    </fill>
  </fills>
  <borders count="15">
    <border>
      <left/>
      <right/>
      <top/>
      <bottom/>
      <diagonal/>
    </border>
    <border>
      <left/>
      <right style="medium">
        <color rgb="FF000000"/>
      </right>
      <top/>
      <bottom style="medium">
        <color rgb="FF000000"/>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style="thin">
        <color indexed="64"/>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style="medium">
        <color indexed="8"/>
      </top>
      <bottom/>
      <diagonal/>
    </border>
    <border>
      <left/>
      <right/>
      <top style="thin">
        <color indexed="64"/>
      </top>
      <bottom/>
      <diagonal/>
    </border>
    <border>
      <left style="medium">
        <color indexed="8"/>
      </left>
      <right style="medium">
        <color indexed="8"/>
      </right>
      <top style="medium">
        <color indexed="8"/>
      </top>
      <bottom style="medium">
        <color indexed="64"/>
      </bottom>
      <diagonal/>
    </border>
    <border>
      <left/>
      <right style="medium">
        <color indexed="8"/>
      </right>
      <top style="medium">
        <color indexed="8"/>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64"/>
      </left>
      <right style="medium">
        <color indexed="64"/>
      </right>
      <top style="medium">
        <color indexed="64"/>
      </top>
      <bottom style="medium">
        <color indexed="64"/>
      </bottom>
      <diagonal/>
    </border>
    <border>
      <left/>
      <right/>
      <top style="medium">
        <color indexed="8"/>
      </top>
      <bottom style="medium">
        <color indexed="64"/>
      </bottom>
      <diagonal/>
    </border>
  </borders>
  <cellStyleXfs count="10">
    <xf numFmtId="0" fontId="0" fillId="0" borderId="0"/>
    <xf numFmtId="9" fontId="3" fillId="0" borderId="0" applyFont="0" applyFill="0" applyBorder="0" applyAlignment="0" applyProtection="0"/>
    <xf numFmtId="0" fontId="4" fillId="0" borderId="0"/>
    <xf numFmtId="166" fontId="4" fillId="0" borderId="0"/>
    <xf numFmtId="9" fontId="4" fillId="0" borderId="0"/>
    <xf numFmtId="166" fontId="4" fillId="0" borderId="0"/>
    <xf numFmtId="0" fontId="8" fillId="0" borderId="0"/>
    <xf numFmtId="9" fontId="4" fillId="0" borderId="0"/>
    <xf numFmtId="164" fontId="3" fillId="0" borderId="0" applyFont="0" applyFill="0" applyBorder="0" applyAlignment="0" applyProtection="0"/>
    <xf numFmtId="0" fontId="3" fillId="0" borderId="0"/>
  </cellStyleXfs>
  <cellXfs count="126">
    <xf numFmtId="0" fontId="0" fillId="0" borderId="0" xfId="0"/>
    <xf numFmtId="0" fontId="4" fillId="0" borderId="0" xfId="2"/>
    <xf numFmtId="0" fontId="5" fillId="0" borderId="0" xfId="2" applyFont="1"/>
    <xf numFmtId="0" fontId="6" fillId="0" borderId="0" xfId="2" applyFont="1"/>
    <xf numFmtId="0" fontId="7" fillId="0" borderId="0" xfId="2" applyFont="1"/>
    <xf numFmtId="0" fontId="4" fillId="4" borderId="0" xfId="2" applyFill="1"/>
    <xf numFmtId="41" fontId="4" fillId="0" borderId="0" xfId="2" applyNumberFormat="1"/>
    <xf numFmtId="0" fontId="4" fillId="6" borderId="0" xfId="2" applyFill="1"/>
    <xf numFmtId="0" fontId="11" fillId="0" borderId="3" xfId="2" applyFont="1" applyBorder="1" applyAlignment="1">
      <alignment vertical="center" wrapText="1"/>
    </xf>
    <xf numFmtId="165" fontId="12" fillId="0" borderId="3" xfId="2" applyNumberFormat="1" applyFont="1" applyBorder="1" applyAlignment="1">
      <alignment vertical="center" wrapText="1"/>
    </xf>
    <xf numFmtId="164" fontId="4" fillId="0" borderId="0" xfId="2" applyNumberFormat="1"/>
    <xf numFmtId="168" fontId="4" fillId="0" borderId="0" xfId="2" applyNumberFormat="1"/>
    <xf numFmtId="1" fontId="4" fillId="0" borderId="0" xfId="2" applyNumberFormat="1"/>
    <xf numFmtId="0" fontId="13" fillId="0" borderId="0" xfId="2" applyFont="1"/>
    <xf numFmtId="3" fontId="4" fillId="0" borderId="0" xfId="2" applyNumberFormat="1"/>
    <xf numFmtId="3" fontId="14" fillId="0" borderId="4" xfId="2" applyNumberFormat="1" applyFont="1" applyBorder="1" applyAlignment="1">
      <alignment horizontal="right" vertical="center" wrapText="1"/>
    </xf>
    <xf numFmtId="3" fontId="14" fillId="7" borderId="4" xfId="2" applyNumberFormat="1" applyFont="1" applyFill="1" applyBorder="1" applyAlignment="1">
      <alignment horizontal="right" vertical="center" wrapText="1"/>
    </xf>
    <xf numFmtId="0" fontId="15" fillId="7" borderId="6" xfId="2" applyFont="1" applyFill="1" applyBorder="1" applyAlignment="1">
      <alignment vertical="center" wrapText="1"/>
    </xf>
    <xf numFmtId="169" fontId="2" fillId="0" borderId="1" xfId="9" applyNumberFormat="1" applyFont="1" applyBorder="1" applyAlignment="1">
      <alignment horizontal="right" vertical="center"/>
    </xf>
    <xf numFmtId="0" fontId="16" fillId="0" borderId="6" xfId="2" applyFont="1" applyBorder="1" applyAlignment="1">
      <alignment vertical="center" wrapText="1"/>
    </xf>
    <xf numFmtId="169" fontId="2" fillId="2" borderId="1" xfId="9" applyNumberFormat="1" applyFont="1" applyFill="1" applyBorder="1" applyAlignment="1">
      <alignment horizontal="right" vertical="center"/>
    </xf>
    <xf numFmtId="3" fontId="14" fillId="3" borderId="4" xfId="2" applyNumberFormat="1" applyFont="1" applyFill="1" applyBorder="1" applyAlignment="1">
      <alignment horizontal="right" vertical="center" wrapText="1"/>
    </xf>
    <xf numFmtId="0" fontId="16" fillId="0" borderId="2" xfId="2" applyFont="1" applyBorder="1" applyAlignment="1">
      <alignment vertical="center" wrapText="1"/>
    </xf>
    <xf numFmtId="0" fontId="17" fillId="9" borderId="4" xfId="2" applyFont="1" applyFill="1" applyBorder="1" applyAlignment="1">
      <alignment horizontal="center" vertical="center" wrapText="1"/>
    </xf>
    <xf numFmtId="0" fontId="18" fillId="0" borderId="0" xfId="2" applyFont="1"/>
    <xf numFmtId="3" fontId="14" fillId="10" borderId="4" xfId="2" applyNumberFormat="1" applyFont="1" applyFill="1" applyBorder="1" applyAlignment="1">
      <alignment horizontal="right" vertical="center" wrapText="1"/>
    </xf>
    <xf numFmtId="3" fontId="14" fillId="11" borderId="4" xfId="2" applyNumberFormat="1" applyFont="1" applyFill="1" applyBorder="1" applyAlignment="1">
      <alignment horizontal="right" vertical="center" wrapText="1"/>
    </xf>
    <xf numFmtId="3" fontId="14" fillId="12" borderId="4" xfId="2" applyNumberFormat="1" applyFont="1" applyFill="1" applyBorder="1" applyAlignment="1">
      <alignment horizontal="right" vertical="center" wrapText="1"/>
    </xf>
    <xf numFmtId="169" fontId="2" fillId="10" borderId="1" xfId="9" applyNumberFormat="1" applyFont="1" applyFill="1" applyBorder="1" applyAlignment="1">
      <alignment horizontal="right" vertical="center"/>
    </xf>
    <xf numFmtId="3" fontId="19" fillId="12" borderId="4" xfId="2" applyNumberFormat="1" applyFont="1" applyFill="1" applyBorder="1" applyAlignment="1">
      <alignment horizontal="right" vertical="center" wrapText="1"/>
    </xf>
    <xf numFmtId="169" fontId="20" fillId="10" borderId="1" xfId="9" applyNumberFormat="1" applyFont="1" applyFill="1" applyBorder="1" applyAlignment="1">
      <alignment horizontal="right" vertical="center"/>
    </xf>
    <xf numFmtId="0" fontId="21" fillId="4" borderId="0" xfId="2" applyFont="1" applyFill="1"/>
    <xf numFmtId="0" fontId="22" fillId="4" borderId="0" xfId="2" applyFont="1" applyFill="1"/>
    <xf numFmtId="0" fontId="23" fillId="4" borderId="0" xfId="2" applyFont="1" applyFill="1"/>
    <xf numFmtId="165" fontId="23" fillId="4" borderId="0" xfId="2" applyNumberFormat="1" applyFont="1" applyFill="1"/>
    <xf numFmtId="0" fontId="24" fillId="0" borderId="0" xfId="2" applyFont="1"/>
    <xf numFmtId="0" fontId="12" fillId="0" borderId="3" xfId="2" applyFont="1" applyBorder="1" applyAlignment="1">
      <alignment vertical="center" wrapText="1"/>
    </xf>
    <xf numFmtId="41" fontId="24" fillId="0" borderId="5" xfId="2" applyNumberFormat="1" applyFont="1" applyBorder="1"/>
    <xf numFmtId="0" fontId="25" fillId="4" borderId="3" xfId="2" applyFont="1" applyFill="1" applyBorder="1" applyAlignment="1">
      <alignment horizontal="center" vertical="center" wrapText="1"/>
    </xf>
    <xf numFmtId="165" fontId="25" fillId="4" borderId="3" xfId="2" applyNumberFormat="1" applyFont="1" applyFill="1" applyBorder="1" applyAlignment="1">
      <alignment vertical="center" wrapText="1"/>
    </xf>
    <xf numFmtId="165" fontId="11" fillId="0" borderId="3" xfId="2" applyNumberFormat="1" applyFont="1" applyBorder="1" applyAlignment="1">
      <alignment vertical="center" wrapText="1"/>
    </xf>
    <xf numFmtId="41" fontId="24" fillId="0" borderId="0" xfId="2" applyNumberFormat="1" applyFont="1"/>
    <xf numFmtId="0" fontId="26" fillId="0" borderId="3" xfId="2" applyFont="1" applyBorder="1" applyAlignment="1">
      <alignment vertical="center" wrapText="1"/>
    </xf>
    <xf numFmtId="165" fontId="26" fillId="0" borderId="3" xfId="3" applyNumberFormat="1" applyFont="1" applyFill="1" applyBorder="1" applyAlignment="1" applyProtection="1">
      <alignment horizontal="center" vertical="center" wrapText="1"/>
    </xf>
    <xf numFmtId="165" fontId="27" fillId="4" borderId="3" xfId="2" applyNumberFormat="1" applyFont="1" applyFill="1" applyBorder="1" applyAlignment="1">
      <alignment vertical="center" wrapText="1"/>
    </xf>
    <xf numFmtId="9" fontId="12" fillId="0" borderId="3" xfId="4" applyFont="1" applyFill="1" applyBorder="1" applyAlignment="1" applyProtection="1">
      <alignment vertical="center" wrapText="1"/>
    </xf>
    <xf numFmtId="165" fontId="29" fillId="4" borderId="3" xfId="2" applyNumberFormat="1" applyFont="1" applyFill="1" applyBorder="1" applyAlignment="1">
      <alignment vertical="center" wrapText="1"/>
    </xf>
    <xf numFmtId="0" fontId="24" fillId="6" borderId="0" xfId="2" applyFont="1" applyFill="1"/>
    <xf numFmtId="0" fontId="30" fillId="4" borderId="3" xfId="2" applyFont="1" applyFill="1" applyBorder="1" applyAlignment="1">
      <alignment vertical="center" wrapText="1"/>
    </xf>
    <xf numFmtId="41" fontId="24" fillId="6" borderId="0" xfId="2" applyNumberFormat="1" applyFont="1" applyFill="1"/>
    <xf numFmtId="165" fontId="30" fillId="4" borderId="3" xfId="5" applyNumberFormat="1" applyFont="1" applyFill="1" applyBorder="1" applyAlignment="1" applyProtection="1">
      <alignment horizontal="center" vertical="center" wrapText="1"/>
    </xf>
    <xf numFmtId="165" fontId="11" fillId="0" borderId="3" xfId="3" applyNumberFormat="1" applyFont="1" applyFill="1" applyBorder="1" applyAlignment="1" applyProtection="1">
      <alignment horizontal="center" vertical="center" wrapText="1"/>
    </xf>
    <xf numFmtId="9" fontId="11" fillId="0" borderId="3" xfId="4" applyFont="1" applyFill="1" applyBorder="1" applyAlignment="1" applyProtection="1">
      <alignment vertical="center" wrapText="1"/>
    </xf>
    <xf numFmtId="0" fontId="25" fillId="4" borderId="3" xfId="2" applyFont="1" applyFill="1" applyBorder="1" applyAlignment="1">
      <alignment vertical="center" wrapText="1"/>
    </xf>
    <xf numFmtId="0" fontId="24" fillId="0" borderId="3" xfId="2" applyFont="1" applyBorder="1"/>
    <xf numFmtId="0" fontId="12" fillId="0" borderId="3" xfId="2" applyFont="1" applyBorder="1" applyAlignment="1">
      <alignment horizontal="center" vertical="center" wrapText="1"/>
    </xf>
    <xf numFmtId="0" fontId="11" fillId="0" borderId="3" xfId="2" applyFont="1" applyBorder="1" applyAlignment="1">
      <alignment horizontal="center" vertical="center" wrapText="1"/>
    </xf>
    <xf numFmtId="9" fontId="11" fillId="13" borderId="3" xfId="4" applyFont="1" applyFill="1" applyBorder="1" applyAlignment="1" applyProtection="1">
      <alignment vertical="center" wrapText="1"/>
    </xf>
    <xf numFmtId="0" fontId="11" fillId="13" borderId="3" xfId="2" applyFont="1" applyFill="1" applyBorder="1" applyAlignment="1">
      <alignment vertical="center" wrapText="1"/>
    </xf>
    <xf numFmtId="0" fontId="1" fillId="0" borderId="3" xfId="0" applyFont="1" applyBorder="1" applyAlignment="1">
      <alignment vertical="center" wrapText="1"/>
    </xf>
    <xf numFmtId="165" fontId="26" fillId="0" borderId="3" xfId="2" applyNumberFormat="1" applyFont="1" applyBorder="1" applyAlignment="1">
      <alignment horizontal="center" vertical="center" wrapText="1"/>
    </xf>
    <xf numFmtId="165" fontId="27" fillId="4" borderId="3" xfId="3" applyNumberFormat="1" applyFont="1" applyFill="1" applyBorder="1" applyAlignment="1" applyProtection="1">
      <alignment horizontal="center" vertical="center" wrapText="1"/>
    </xf>
    <xf numFmtId="165" fontId="26" fillId="0" borderId="3" xfId="3" applyNumberFormat="1" applyFont="1" applyFill="1" applyBorder="1" applyAlignment="1" applyProtection="1">
      <alignment vertical="center" wrapText="1"/>
    </xf>
    <xf numFmtId="3" fontId="28" fillId="0" borderId="3" xfId="0" applyNumberFormat="1" applyFont="1" applyBorder="1"/>
    <xf numFmtId="165" fontId="29" fillId="5" borderId="3" xfId="3" applyNumberFormat="1" applyFont="1" applyFill="1" applyBorder="1" applyAlignment="1" applyProtection="1">
      <alignment horizontal="center" vertical="center" wrapText="1"/>
    </xf>
    <xf numFmtId="165" fontId="12" fillId="0" borderId="3" xfId="3" applyNumberFormat="1" applyFont="1" applyFill="1" applyBorder="1" applyAlignment="1" applyProtection="1">
      <alignment vertical="center" wrapText="1"/>
    </xf>
    <xf numFmtId="0" fontId="11" fillId="0" borderId="3" xfId="2" applyFont="1" applyBorder="1"/>
    <xf numFmtId="165" fontId="29" fillId="4" borderId="3" xfId="3" applyNumberFormat="1" applyFont="1" applyFill="1" applyBorder="1" applyAlignment="1" applyProtection="1">
      <alignment horizontal="center" vertical="center"/>
    </xf>
    <xf numFmtId="165" fontId="29" fillId="4" borderId="3" xfId="3" applyNumberFormat="1" applyFont="1" applyFill="1" applyBorder="1" applyAlignment="1" applyProtection="1">
      <alignment horizontal="center" vertical="center" wrapText="1"/>
    </xf>
    <xf numFmtId="165" fontId="12" fillId="0" borderId="3" xfId="3" applyNumberFormat="1" applyFont="1" applyFill="1" applyBorder="1" applyAlignment="1" applyProtection="1">
      <alignment horizontal="center" vertical="center" wrapText="1"/>
    </xf>
    <xf numFmtId="0" fontId="24" fillId="0" borderId="3" xfId="2" applyFont="1" applyBorder="1" applyAlignment="1">
      <alignment horizontal="center"/>
    </xf>
    <xf numFmtId="0" fontId="12" fillId="0" borderId="3" xfId="2" applyFont="1" applyFill="1" applyBorder="1" applyAlignment="1">
      <alignment vertical="center" wrapText="1"/>
    </xf>
    <xf numFmtId="0" fontId="26" fillId="0" borderId="3" xfId="2" applyFont="1" applyFill="1" applyBorder="1" applyAlignment="1">
      <alignment vertical="center" wrapText="1"/>
    </xf>
    <xf numFmtId="165" fontId="25" fillId="4" borderId="3" xfId="3" applyNumberFormat="1" applyFont="1" applyFill="1" applyBorder="1" applyAlignment="1" applyProtection="1">
      <alignment horizontal="center" vertical="center" wrapText="1"/>
    </xf>
    <xf numFmtId="165" fontId="11" fillId="0" borderId="3" xfId="3" applyNumberFormat="1" applyFont="1" applyFill="1" applyBorder="1" applyAlignment="1" applyProtection="1">
      <alignment vertical="center" wrapText="1"/>
    </xf>
    <xf numFmtId="167" fontId="30" fillId="4" borderId="3" xfId="8" applyNumberFormat="1" applyFont="1" applyFill="1" applyBorder="1"/>
    <xf numFmtId="0" fontId="11" fillId="0" borderId="3" xfId="2" applyFont="1" applyFill="1" applyBorder="1" applyAlignment="1">
      <alignment vertical="center" wrapText="1"/>
    </xf>
    <xf numFmtId="3" fontId="31" fillId="0" borderId="3" xfId="0" applyNumberFormat="1" applyFont="1" applyBorder="1"/>
    <xf numFmtId="167" fontId="32" fillId="4" borderId="3" xfId="8" applyNumberFormat="1" applyFont="1" applyFill="1" applyBorder="1"/>
    <xf numFmtId="165" fontId="11" fillId="13" borderId="3" xfId="3" applyNumberFormat="1" applyFont="1" applyFill="1" applyBorder="1" applyAlignment="1" applyProtection="1">
      <alignment horizontal="center" vertical="center" wrapText="1"/>
    </xf>
    <xf numFmtId="165" fontId="25" fillId="13" borderId="3" xfId="3" applyNumberFormat="1" applyFont="1" applyFill="1" applyBorder="1" applyAlignment="1" applyProtection="1">
      <alignment horizontal="center" vertical="center" wrapText="1"/>
    </xf>
    <xf numFmtId="165" fontId="11" fillId="6" borderId="3" xfId="3" applyNumberFormat="1" applyFont="1" applyFill="1" applyBorder="1" applyAlignment="1" applyProtection="1">
      <alignment vertical="center" wrapText="1"/>
    </xf>
    <xf numFmtId="165" fontId="11" fillId="0" borderId="3" xfId="2" applyNumberFormat="1" applyFont="1" applyBorder="1" applyAlignment="1">
      <alignment horizontal="center" vertical="center" wrapText="1"/>
    </xf>
    <xf numFmtId="0" fontId="30" fillId="4" borderId="3" xfId="2" applyFont="1" applyFill="1" applyBorder="1"/>
    <xf numFmtId="170" fontId="25" fillId="4" borderId="3" xfId="8" applyNumberFormat="1" applyFont="1" applyFill="1" applyBorder="1" applyAlignment="1">
      <alignment vertical="center" wrapText="1"/>
    </xf>
    <xf numFmtId="170" fontId="29" fillId="4" borderId="3" xfId="8" applyNumberFormat="1" applyFont="1" applyFill="1" applyBorder="1" applyAlignment="1">
      <alignment vertical="center" wrapText="1"/>
    </xf>
    <xf numFmtId="170" fontId="30" fillId="4" borderId="3" xfId="8" applyNumberFormat="1" applyFont="1" applyFill="1" applyBorder="1" applyAlignment="1">
      <alignment vertical="center" wrapText="1"/>
    </xf>
    <xf numFmtId="0" fontId="23" fillId="0" borderId="0" xfId="2" applyFont="1"/>
    <xf numFmtId="9" fontId="23" fillId="0" borderId="0" xfId="1" applyFont="1"/>
    <xf numFmtId="9" fontId="34" fillId="14" borderId="3" xfId="1" applyFont="1" applyFill="1" applyBorder="1"/>
    <xf numFmtId="0" fontId="23" fillId="14" borderId="0" xfId="2" applyFont="1" applyFill="1"/>
    <xf numFmtId="9" fontId="32" fillId="14" borderId="3" xfId="1" applyFont="1" applyFill="1" applyBorder="1"/>
    <xf numFmtId="9" fontId="23" fillId="14" borderId="0" xfId="1" applyFont="1" applyFill="1"/>
    <xf numFmtId="3" fontId="23" fillId="14" borderId="0" xfId="2" applyNumberFormat="1" applyFont="1" applyFill="1"/>
    <xf numFmtId="0" fontId="11" fillId="0" borderId="3" xfId="2" applyFont="1" applyBorder="1" applyAlignment="1">
      <alignment horizontal="center" vertical="center" wrapText="1"/>
    </xf>
    <xf numFmtId="165" fontId="35" fillId="0" borderId="0" xfId="2" applyNumberFormat="1" applyFont="1"/>
    <xf numFmtId="0" fontId="35" fillId="0" borderId="0" xfId="2" applyFont="1"/>
    <xf numFmtId="0" fontId="36" fillId="8" borderId="9" xfId="2" applyFont="1" applyFill="1" applyBorder="1" applyAlignment="1">
      <alignment horizontal="center" vertical="center" wrapText="1"/>
    </xf>
    <xf numFmtId="0" fontId="36" fillId="8" borderId="10" xfId="2" applyFont="1" applyFill="1" applyBorder="1" applyAlignment="1">
      <alignment horizontal="center" vertical="center" wrapText="1"/>
    </xf>
    <xf numFmtId="164" fontId="23" fillId="4" borderId="0" xfId="2" applyNumberFormat="1" applyFont="1" applyFill="1"/>
    <xf numFmtId="170" fontId="11" fillId="0" borderId="3" xfId="3" applyNumberFormat="1" applyFont="1" applyFill="1" applyBorder="1" applyAlignment="1" applyProtection="1">
      <alignment horizontal="center" vertical="center" wrapText="1"/>
    </xf>
    <xf numFmtId="170" fontId="25" fillId="4" borderId="3" xfId="3" applyNumberFormat="1" applyFont="1" applyFill="1" applyBorder="1" applyAlignment="1" applyProtection="1">
      <alignment horizontal="center" vertical="center" wrapText="1"/>
    </xf>
    <xf numFmtId="9" fontId="35" fillId="0" borderId="0" xfId="2" applyNumberFormat="1" applyFont="1"/>
    <xf numFmtId="3" fontId="35" fillId="0" borderId="0" xfId="2" applyNumberFormat="1" applyFont="1"/>
    <xf numFmtId="9" fontId="11" fillId="0" borderId="3" xfId="2" applyNumberFormat="1" applyFont="1" applyBorder="1" applyAlignment="1">
      <alignment vertical="center" wrapText="1"/>
    </xf>
    <xf numFmtId="3" fontId="25" fillId="4" borderId="3" xfId="2" applyNumberFormat="1" applyFont="1" applyFill="1" applyBorder="1" applyAlignment="1">
      <alignment vertical="center" wrapText="1"/>
    </xf>
    <xf numFmtId="3" fontId="25" fillId="4" borderId="3" xfId="8" applyNumberFormat="1" applyFont="1" applyFill="1" applyBorder="1" applyAlignment="1">
      <alignment vertical="center" wrapText="1"/>
    </xf>
    <xf numFmtId="3" fontId="11" fillId="0" borderId="3" xfId="2" applyNumberFormat="1" applyFont="1" applyBorder="1" applyAlignment="1">
      <alignment vertical="center" wrapText="1"/>
    </xf>
    <xf numFmtId="3" fontId="25" fillId="13" borderId="3" xfId="2" applyNumberFormat="1" applyFont="1" applyFill="1" applyBorder="1" applyAlignment="1">
      <alignment vertical="center" wrapText="1"/>
    </xf>
    <xf numFmtId="3" fontId="11" fillId="6" borderId="3" xfId="2" applyNumberFormat="1" applyFont="1" applyFill="1" applyBorder="1" applyAlignment="1">
      <alignment vertical="center" wrapText="1"/>
    </xf>
    <xf numFmtId="0" fontId="13" fillId="14" borderId="0" xfId="2" applyFont="1" applyFill="1" applyAlignment="1">
      <alignment horizontal="right"/>
    </xf>
    <xf numFmtId="3" fontId="19" fillId="10" borderId="4" xfId="2" applyNumberFormat="1" applyFont="1" applyFill="1" applyBorder="1" applyAlignment="1">
      <alignment horizontal="right" vertical="center" wrapText="1"/>
    </xf>
    <xf numFmtId="0" fontId="19" fillId="8" borderId="10" xfId="2" applyFont="1" applyFill="1" applyBorder="1" applyAlignment="1">
      <alignment horizontal="center" vertical="center" wrapText="1"/>
    </xf>
    <xf numFmtId="0" fontId="19" fillId="8" borderId="14" xfId="2" applyFont="1" applyFill="1" applyBorder="1" applyAlignment="1">
      <alignment horizontal="center" vertical="center" wrapText="1"/>
    </xf>
    <xf numFmtId="0" fontId="19" fillId="9" borderId="13" xfId="2" applyFont="1" applyFill="1" applyBorder="1" applyAlignment="1">
      <alignment horizontal="center" vertical="center" wrapText="1"/>
    </xf>
    <xf numFmtId="0" fontId="12" fillId="0" borderId="3" xfId="2" applyFont="1" applyFill="1" applyBorder="1" applyAlignment="1">
      <alignment horizontal="center" vertical="center" wrapText="1"/>
    </xf>
    <xf numFmtId="165" fontId="12" fillId="0" borderId="3" xfId="3" applyNumberFormat="1" applyFont="1" applyFill="1" applyBorder="1" applyAlignment="1" applyProtection="1">
      <alignment horizontal="center" vertical="center" wrapText="1"/>
    </xf>
    <xf numFmtId="167" fontId="30" fillId="4" borderId="3" xfId="8" applyNumberFormat="1" applyFont="1" applyFill="1" applyBorder="1" applyAlignment="1">
      <alignment horizontal="center" vertical="center"/>
    </xf>
    <xf numFmtId="0" fontId="18" fillId="14" borderId="8" xfId="2" applyFont="1" applyFill="1" applyBorder="1" applyAlignment="1">
      <alignment horizontal="center"/>
    </xf>
    <xf numFmtId="0" fontId="1" fillId="0" borderId="3" xfId="0" applyFont="1" applyBorder="1" applyAlignment="1">
      <alignment horizontal="center" vertical="center" wrapText="1"/>
    </xf>
    <xf numFmtId="165" fontId="30" fillId="5" borderId="3" xfId="5" applyNumberFormat="1" applyFont="1" applyFill="1" applyBorder="1" applyAlignment="1" applyProtection="1">
      <alignment horizontal="center" vertical="center" wrapText="1"/>
    </xf>
    <xf numFmtId="0" fontId="12" fillId="0" borderId="3" xfId="2" applyFont="1" applyBorder="1" applyAlignment="1">
      <alignment horizontal="center" vertical="center" wrapText="1"/>
    </xf>
    <xf numFmtId="0" fontId="37" fillId="8" borderId="11" xfId="2" applyFont="1" applyFill="1" applyBorder="1" applyAlignment="1">
      <alignment horizontal="center" vertical="center" wrapText="1"/>
    </xf>
    <xf numFmtId="0" fontId="19" fillId="8" borderId="12" xfId="2" applyFont="1" applyFill="1" applyBorder="1" applyAlignment="1">
      <alignment horizontal="center" vertical="center" wrapText="1"/>
    </xf>
    <xf numFmtId="0" fontId="19" fillId="8" borderId="7" xfId="2" applyFont="1" applyFill="1" applyBorder="1" applyAlignment="1">
      <alignment horizontal="center" vertical="center" wrapText="1"/>
    </xf>
    <xf numFmtId="0" fontId="17" fillId="8" borderId="2" xfId="2" applyFont="1" applyFill="1" applyBorder="1" applyAlignment="1">
      <alignment horizontal="center" vertical="center" wrapText="1"/>
    </xf>
  </cellXfs>
  <cellStyles count="10">
    <cellStyle name="Comma 2" xfId="3"/>
    <cellStyle name="Excel Built-in Normal" xfId="2"/>
    <cellStyle name="Milliers" xfId="8" builtinId="3"/>
    <cellStyle name="Milliers 2" xfId="5"/>
    <cellStyle name="Normal" xfId="0" builtinId="0"/>
    <cellStyle name="Normal 2" xfId="9"/>
    <cellStyle name="Normal 3" xfId="6"/>
    <cellStyle name="Percent 2" xfId="4"/>
    <cellStyle name="Pourcentage" xfId="1" builtinId="5"/>
    <cellStyle name="Pourcentag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oul/Downloads/FI%20142a-TF%20PSR%20-%20Aggregate%20Valu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 142a-TF PSR - Aggregate Valu"/>
    </sheetNames>
    <sheetDataSet>
      <sheetData sheetId="0" refreshError="1">
        <row r="15">
          <cell r="P15">
            <v>23480</v>
          </cell>
        </row>
        <row r="16">
          <cell r="P16">
            <v>638330</v>
          </cell>
        </row>
        <row r="17">
          <cell r="P17">
            <v>13043</v>
          </cell>
        </row>
        <row r="18">
          <cell r="P18">
            <v>18692</v>
          </cell>
        </row>
        <row r="19">
          <cell r="P19">
            <v>12213</v>
          </cell>
        </row>
        <row r="20">
          <cell r="P20">
            <v>1097</v>
          </cell>
        </row>
        <row r="22">
          <cell r="P22">
            <v>19345</v>
          </cell>
        </row>
        <row r="24">
          <cell r="P24">
            <v>16470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9"/>
  <sheetViews>
    <sheetView tabSelected="1" topLeftCell="A4" zoomScale="70" zoomScaleNormal="70" zoomScaleSheetLayoutView="65" workbookViewId="0">
      <selection activeCell="AA50" sqref="AA50"/>
    </sheetView>
  </sheetViews>
  <sheetFormatPr baseColWidth="10" defaultColWidth="9.140625" defaultRowHeight="15" x14ac:dyDescent="0.25"/>
  <cols>
    <col min="1" max="1" width="18" style="1" customWidth="1"/>
    <col min="2" max="2" width="75.85546875" style="1" customWidth="1"/>
    <col min="3" max="3" width="15.85546875" style="1" customWidth="1"/>
    <col min="4" max="4" width="15" style="1" customWidth="1"/>
    <col min="5" max="5" width="15" style="33" customWidth="1"/>
    <col min="6" max="6" width="15" style="1" customWidth="1"/>
    <col min="7" max="7" width="15.140625" style="1" customWidth="1"/>
    <col min="8" max="9" width="15" style="5" customWidth="1"/>
    <col min="10" max="10" width="15" style="1" customWidth="1"/>
    <col min="11" max="11" width="22.85546875" style="1" customWidth="1"/>
    <col min="12" max="12" width="21" style="1" customWidth="1"/>
    <col min="13" max="13" width="18" style="1" hidden="1" customWidth="1"/>
    <col min="14" max="14" width="15.42578125" style="1" hidden="1" customWidth="1"/>
    <col min="15" max="15" width="18.140625" style="1" hidden="1" customWidth="1"/>
    <col min="16" max="16" width="8.42578125" style="1" hidden="1" customWidth="1"/>
    <col min="17" max="17" width="13.140625" style="1" hidden="1" customWidth="1"/>
    <col min="18" max="18" width="18.140625" style="1" hidden="1" customWidth="1"/>
    <col min="19" max="20" width="0" style="1" hidden="1" customWidth="1"/>
    <col min="21" max="21" width="12.140625" style="1" hidden="1" customWidth="1"/>
    <col min="22" max="23" width="0" style="1" hidden="1" customWidth="1"/>
    <col min="24" max="24" width="0" style="7" hidden="1" customWidth="1"/>
    <col min="25" max="26" width="0" style="1" hidden="1" customWidth="1"/>
    <col min="27" max="27" width="9.140625" style="1"/>
    <col min="28" max="28" width="20.140625" style="1" bestFit="1" customWidth="1"/>
    <col min="29" max="16384" width="9.140625" style="1"/>
  </cols>
  <sheetData>
    <row r="1" spans="1:24" ht="21" x14ac:dyDescent="0.35">
      <c r="A1" s="4" t="s">
        <v>5</v>
      </c>
      <c r="B1" s="3"/>
      <c r="C1" s="3"/>
      <c r="E1" s="31"/>
    </row>
    <row r="2" spans="1:24" ht="15.75" x14ac:dyDescent="0.25">
      <c r="A2" s="2"/>
      <c r="B2" s="2"/>
      <c r="C2" s="2"/>
      <c r="E2" s="32"/>
    </row>
    <row r="3" spans="1:24" ht="15.75" x14ac:dyDescent="0.25">
      <c r="A3" s="2" t="s">
        <v>6</v>
      </c>
      <c r="B3" s="2"/>
      <c r="C3" s="2"/>
      <c r="E3" s="32"/>
    </row>
    <row r="5" spans="1:24" ht="15.75" x14ac:dyDescent="0.25">
      <c r="A5" s="2" t="s">
        <v>7</v>
      </c>
    </row>
    <row r="7" spans="1:24" ht="93.6" customHeight="1" x14ac:dyDescent="0.25">
      <c r="A7" s="54"/>
      <c r="B7" s="54"/>
      <c r="C7" s="119" t="s">
        <v>114</v>
      </c>
      <c r="D7" s="119"/>
      <c r="E7" s="119"/>
      <c r="F7" s="119"/>
      <c r="G7" s="36" t="s">
        <v>102</v>
      </c>
      <c r="H7" s="121" t="s">
        <v>24</v>
      </c>
      <c r="I7" s="121"/>
      <c r="J7" s="121"/>
      <c r="K7" s="121"/>
      <c r="L7" s="36" t="s">
        <v>10</v>
      </c>
      <c r="M7" s="37" t="s">
        <v>103</v>
      </c>
      <c r="N7" s="35"/>
      <c r="O7" s="35" t="s">
        <v>104</v>
      </c>
      <c r="P7" s="35" t="s">
        <v>105</v>
      </c>
      <c r="Q7" s="35" t="s">
        <v>106</v>
      </c>
      <c r="R7" s="35" t="s">
        <v>107</v>
      </c>
      <c r="S7" s="35"/>
      <c r="X7" s="7" t="s">
        <v>108</v>
      </c>
    </row>
    <row r="8" spans="1:24" ht="79.5" customHeight="1" x14ac:dyDescent="0.25">
      <c r="A8" s="36" t="s">
        <v>8</v>
      </c>
      <c r="B8" s="59" t="s">
        <v>9</v>
      </c>
      <c r="C8" s="8" t="s">
        <v>32</v>
      </c>
      <c r="D8" s="8" t="s">
        <v>33</v>
      </c>
      <c r="E8" s="53" t="s">
        <v>34</v>
      </c>
      <c r="F8" s="8" t="s">
        <v>1</v>
      </c>
      <c r="G8" s="94"/>
      <c r="H8" s="38" t="s">
        <v>32</v>
      </c>
      <c r="I8" s="38" t="s">
        <v>33</v>
      </c>
      <c r="J8" s="38" t="s">
        <v>101</v>
      </c>
      <c r="K8" s="8" t="s">
        <v>1</v>
      </c>
      <c r="L8" s="36"/>
      <c r="M8" s="37"/>
      <c r="N8" s="35"/>
      <c r="O8" s="35"/>
      <c r="P8" s="35"/>
      <c r="Q8" s="35"/>
      <c r="R8" s="35"/>
      <c r="S8" s="35"/>
    </row>
    <row r="9" spans="1:24" ht="33" customHeight="1" x14ac:dyDescent="0.25">
      <c r="A9" s="8" t="s">
        <v>35</v>
      </c>
      <c r="B9" s="8" t="s">
        <v>36</v>
      </c>
      <c r="C9" s="8"/>
      <c r="D9" s="8"/>
      <c r="E9" s="53"/>
      <c r="F9" s="8"/>
      <c r="G9" s="8"/>
      <c r="H9" s="39">
        <f>H10+H14+H18+H25</f>
        <v>177423</v>
      </c>
      <c r="I9" s="39">
        <f>I10+I14+I18+I25</f>
        <v>413229</v>
      </c>
      <c r="J9" s="39">
        <f>J10+J14+J18+J25</f>
        <v>473898.37</v>
      </c>
      <c r="K9" s="40">
        <f t="shared" ref="K9:K47" si="0">H9+I9+J9</f>
        <v>1064550.3700000001</v>
      </c>
      <c r="L9" s="8"/>
      <c r="M9" s="37"/>
      <c r="N9" s="41">
        <f t="shared" ref="N9:N41" si="1">M9/587.123</f>
        <v>0</v>
      </c>
      <c r="O9" s="35">
        <f ca="1">+O9:SM34</f>
        <v>0</v>
      </c>
      <c r="P9" s="35"/>
      <c r="Q9" s="35"/>
      <c r="R9" s="35"/>
      <c r="S9" s="35"/>
      <c r="U9" s="6">
        <f t="shared" ref="U9:U48" ca="1" si="2">SUM(N9:T9)</f>
        <v>0</v>
      </c>
    </row>
    <row r="10" spans="1:24" ht="31.5" x14ac:dyDescent="0.25">
      <c r="A10" s="42" t="s">
        <v>37</v>
      </c>
      <c r="B10" s="42" t="s">
        <v>25</v>
      </c>
      <c r="C10" s="60">
        <f>SUM(C11:C13)</f>
        <v>33000</v>
      </c>
      <c r="D10" s="60">
        <f>SUM(D11:D13)</f>
        <v>0</v>
      </c>
      <c r="E10" s="61">
        <f>SUM(E11:E13)</f>
        <v>82740</v>
      </c>
      <c r="F10" s="62">
        <f t="shared" ref="F10:F30" si="3">E10+D10+C10</f>
        <v>115740</v>
      </c>
      <c r="G10" s="42"/>
      <c r="H10" s="44">
        <f>SUM(H11:H13)</f>
        <v>25761</v>
      </c>
      <c r="I10" s="44">
        <f>SUM(I11:I13)</f>
        <v>178</v>
      </c>
      <c r="J10" s="44">
        <f>SUM(J11:J13)</f>
        <v>11290</v>
      </c>
      <c r="K10" s="40">
        <f t="shared" si="0"/>
        <v>37229</v>
      </c>
      <c r="L10" s="42"/>
      <c r="M10" s="37"/>
      <c r="N10" s="41">
        <f t="shared" si="1"/>
        <v>0</v>
      </c>
      <c r="O10" s="35"/>
      <c r="P10" s="35"/>
      <c r="Q10" s="35"/>
      <c r="R10" s="35"/>
      <c r="S10" s="35"/>
      <c r="U10" s="6">
        <f t="shared" si="2"/>
        <v>0</v>
      </c>
    </row>
    <row r="11" spans="1:24" ht="31.5" x14ac:dyDescent="0.25">
      <c r="A11" s="8" t="s">
        <v>38</v>
      </c>
      <c r="B11" s="36" t="s">
        <v>26</v>
      </c>
      <c r="C11" s="63">
        <v>5000</v>
      </c>
      <c r="D11" s="56"/>
      <c r="E11" s="64">
        <v>19600</v>
      </c>
      <c r="F11" s="65">
        <f t="shared" si="3"/>
        <v>24600</v>
      </c>
      <c r="G11" s="45">
        <v>0.30000000000000004</v>
      </c>
      <c r="H11" s="46">
        <v>8693</v>
      </c>
      <c r="I11" s="46"/>
      <c r="J11" s="46">
        <v>11290</v>
      </c>
      <c r="K11" s="9">
        <f t="shared" si="0"/>
        <v>19983</v>
      </c>
      <c r="L11" s="8"/>
      <c r="M11" s="37"/>
      <c r="N11" s="41">
        <f t="shared" si="1"/>
        <v>0</v>
      </c>
      <c r="O11" s="35">
        <v>5983</v>
      </c>
      <c r="P11" s="35"/>
      <c r="Q11" s="47">
        <f>1679+1031</f>
        <v>2710</v>
      </c>
      <c r="R11" s="35"/>
      <c r="S11" s="35"/>
      <c r="U11" s="6">
        <f t="shared" si="2"/>
        <v>8693</v>
      </c>
    </row>
    <row r="12" spans="1:24" ht="31.5" x14ac:dyDescent="0.25">
      <c r="A12" s="8" t="s">
        <v>39</v>
      </c>
      <c r="B12" s="36" t="s">
        <v>27</v>
      </c>
      <c r="C12" s="63">
        <v>10000</v>
      </c>
      <c r="D12" s="56"/>
      <c r="E12" s="64">
        <v>25060</v>
      </c>
      <c r="F12" s="65">
        <f t="shared" si="3"/>
        <v>35060</v>
      </c>
      <c r="G12" s="45">
        <v>0.2</v>
      </c>
      <c r="H12" s="46">
        <v>7000</v>
      </c>
      <c r="I12" s="46">
        <v>178</v>
      </c>
      <c r="J12" s="46"/>
      <c r="K12" s="9">
        <f t="shared" si="0"/>
        <v>7178</v>
      </c>
      <c r="L12" s="8"/>
      <c r="M12" s="37"/>
      <c r="N12" s="41">
        <f t="shared" si="1"/>
        <v>0</v>
      </c>
      <c r="O12" s="35">
        <v>7000</v>
      </c>
      <c r="P12" s="35"/>
      <c r="Q12" s="35"/>
      <c r="R12" s="35"/>
      <c r="S12" s="35"/>
      <c r="U12" s="6">
        <f t="shared" si="2"/>
        <v>7000</v>
      </c>
    </row>
    <row r="13" spans="1:24" ht="25.5" customHeight="1" x14ac:dyDescent="0.25">
      <c r="A13" s="66" t="s">
        <v>40</v>
      </c>
      <c r="B13" s="36" t="s">
        <v>28</v>
      </c>
      <c r="C13" s="63">
        <v>18000</v>
      </c>
      <c r="D13" s="56"/>
      <c r="E13" s="64">
        <v>38080</v>
      </c>
      <c r="F13" s="65">
        <f t="shared" si="3"/>
        <v>56080</v>
      </c>
      <c r="G13" s="45">
        <v>0.2</v>
      </c>
      <c r="H13" s="46">
        <v>10068</v>
      </c>
      <c r="I13" s="46"/>
      <c r="J13" s="46"/>
      <c r="K13" s="9">
        <f t="shared" si="0"/>
        <v>10068</v>
      </c>
      <c r="L13" s="8"/>
      <c r="M13" s="37"/>
      <c r="N13" s="41">
        <f t="shared" si="1"/>
        <v>0</v>
      </c>
      <c r="O13" s="35">
        <v>10000</v>
      </c>
      <c r="P13" s="35"/>
      <c r="Q13" s="35"/>
      <c r="R13" s="35"/>
      <c r="S13" s="35"/>
      <c r="U13" s="6">
        <f t="shared" si="2"/>
        <v>10000</v>
      </c>
    </row>
    <row r="14" spans="1:24" ht="47.25" x14ac:dyDescent="0.25">
      <c r="A14" s="42" t="s">
        <v>11</v>
      </c>
      <c r="B14" s="42" t="s">
        <v>29</v>
      </c>
      <c r="C14" s="60">
        <f>SUM(C15:C17)</f>
        <v>38000</v>
      </c>
      <c r="D14" s="60">
        <f>SUM(D15:D17)</f>
        <v>0</v>
      </c>
      <c r="E14" s="61">
        <f>SUM(E15:E17)</f>
        <v>111160</v>
      </c>
      <c r="F14" s="62">
        <f t="shared" si="3"/>
        <v>149160</v>
      </c>
      <c r="G14" s="42"/>
      <c r="H14" s="44">
        <f>SUM(H15:H17)</f>
        <v>20917</v>
      </c>
      <c r="I14" s="44">
        <f>SUM(I15:I17)</f>
        <v>0</v>
      </c>
      <c r="J14" s="44">
        <f>SUM(J15:J17)</f>
        <v>52171</v>
      </c>
      <c r="K14" s="40">
        <f t="shared" si="0"/>
        <v>73088</v>
      </c>
      <c r="L14" s="42"/>
      <c r="M14" s="37"/>
      <c r="N14" s="41">
        <f t="shared" si="1"/>
        <v>0</v>
      </c>
      <c r="O14" s="35"/>
      <c r="P14" s="35"/>
      <c r="Q14" s="35"/>
      <c r="R14" s="35"/>
      <c r="S14" s="35"/>
      <c r="U14" s="6">
        <f t="shared" si="2"/>
        <v>0</v>
      </c>
    </row>
    <row r="15" spans="1:24" ht="31.5" x14ac:dyDescent="0.25">
      <c r="A15" s="8" t="s">
        <v>41</v>
      </c>
      <c r="B15" s="36" t="s">
        <v>42</v>
      </c>
      <c r="C15" s="63">
        <v>5000</v>
      </c>
      <c r="D15" s="56"/>
      <c r="E15" s="67">
        <v>70700</v>
      </c>
      <c r="F15" s="65">
        <f t="shared" si="3"/>
        <v>75700</v>
      </c>
      <c r="G15" s="45">
        <v>0.30000000000000004</v>
      </c>
      <c r="H15" s="46">
        <v>3017</v>
      </c>
      <c r="I15" s="46"/>
      <c r="J15" s="46">
        <v>18260</v>
      </c>
      <c r="K15" s="40">
        <f t="shared" si="0"/>
        <v>21277</v>
      </c>
      <c r="L15" s="8"/>
      <c r="M15" s="37"/>
      <c r="N15" s="41">
        <f t="shared" si="1"/>
        <v>0</v>
      </c>
      <c r="O15" s="35"/>
      <c r="P15" s="35"/>
      <c r="Q15" s="35"/>
      <c r="R15" s="35"/>
      <c r="S15" s="35"/>
      <c r="U15" s="6">
        <f t="shared" si="2"/>
        <v>0</v>
      </c>
    </row>
    <row r="16" spans="1:24" ht="47.25" x14ac:dyDescent="0.25">
      <c r="A16" s="8" t="s">
        <v>43</v>
      </c>
      <c r="B16" s="36" t="s">
        <v>30</v>
      </c>
      <c r="C16" s="63">
        <v>15000</v>
      </c>
      <c r="D16" s="56"/>
      <c r="E16" s="68">
        <v>24360</v>
      </c>
      <c r="F16" s="65">
        <f t="shared" si="3"/>
        <v>39360</v>
      </c>
      <c r="G16" s="45">
        <v>0.2</v>
      </c>
      <c r="H16" s="46">
        <v>7900</v>
      </c>
      <c r="I16" s="46"/>
      <c r="J16" s="46">
        <v>22400</v>
      </c>
      <c r="K16" s="9">
        <f t="shared" si="0"/>
        <v>30300</v>
      </c>
      <c r="L16" s="8"/>
      <c r="M16" s="37">
        <v>500000</v>
      </c>
      <c r="N16" s="41">
        <f t="shared" si="1"/>
        <v>851.61030993505608</v>
      </c>
      <c r="O16" s="35"/>
      <c r="P16" s="35"/>
      <c r="Q16" s="35"/>
      <c r="R16" s="35"/>
      <c r="S16" s="35"/>
      <c r="U16" s="6">
        <f t="shared" si="2"/>
        <v>851.61030993505608</v>
      </c>
    </row>
    <row r="17" spans="1:25" ht="31.5" x14ac:dyDescent="0.25">
      <c r="A17" s="8" t="s">
        <v>44</v>
      </c>
      <c r="B17" s="36" t="s">
        <v>31</v>
      </c>
      <c r="C17" s="63">
        <v>18000</v>
      </c>
      <c r="D17" s="56"/>
      <c r="E17" s="68">
        <v>16100</v>
      </c>
      <c r="F17" s="65">
        <f t="shared" si="3"/>
        <v>34100</v>
      </c>
      <c r="G17" s="45">
        <v>0.2</v>
      </c>
      <c r="H17" s="46">
        <v>10000</v>
      </c>
      <c r="I17" s="46"/>
      <c r="J17" s="46">
        <v>11511</v>
      </c>
      <c r="K17" s="40">
        <f t="shared" si="0"/>
        <v>21511</v>
      </c>
      <c r="L17" s="8"/>
      <c r="M17" s="37"/>
      <c r="N17" s="41">
        <f t="shared" si="1"/>
        <v>0</v>
      </c>
      <c r="O17" s="35"/>
      <c r="P17" s="35"/>
      <c r="Q17" s="35"/>
      <c r="R17" s="35"/>
      <c r="S17" s="35"/>
      <c r="U17" s="6">
        <f t="shared" si="2"/>
        <v>0</v>
      </c>
    </row>
    <row r="18" spans="1:25" ht="41.25" customHeight="1" x14ac:dyDescent="0.25">
      <c r="A18" s="42" t="s">
        <v>45</v>
      </c>
      <c r="B18" s="42" t="s">
        <v>46</v>
      </c>
      <c r="C18" s="60">
        <f>SUM(C19:C24)</f>
        <v>78500</v>
      </c>
      <c r="D18" s="60">
        <f>SUM(D19:D24)</f>
        <v>14231</v>
      </c>
      <c r="E18" s="61">
        <f>SUM(E19:E24)</f>
        <v>173950</v>
      </c>
      <c r="F18" s="62">
        <f t="shared" si="3"/>
        <v>266681</v>
      </c>
      <c r="G18" s="42"/>
      <c r="H18" s="44">
        <f>SUM(H19:H24)</f>
        <v>73338</v>
      </c>
      <c r="I18" s="44">
        <f>SUM(I19:I24)</f>
        <v>0</v>
      </c>
      <c r="J18" s="44">
        <f>SUM(J19:J24)</f>
        <v>106852</v>
      </c>
      <c r="K18" s="40">
        <f t="shared" si="0"/>
        <v>180190</v>
      </c>
      <c r="L18" s="42"/>
      <c r="M18" s="37"/>
      <c r="N18" s="41">
        <f t="shared" si="1"/>
        <v>0</v>
      </c>
      <c r="O18" s="35"/>
      <c r="P18" s="35"/>
      <c r="Q18" s="35"/>
      <c r="R18" s="35"/>
      <c r="S18" s="35"/>
      <c r="U18" s="6">
        <f t="shared" si="2"/>
        <v>0</v>
      </c>
    </row>
    <row r="19" spans="1:25" ht="45.75" customHeight="1" x14ac:dyDescent="0.25">
      <c r="A19" s="8" t="s">
        <v>47</v>
      </c>
      <c r="B19" s="36" t="s">
        <v>48</v>
      </c>
      <c r="C19" s="69">
        <v>20000</v>
      </c>
      <c r="D19" s="70"/>
      <c r="E19" s="68">
        <v>67900</v>
      </c>
      <c r="F19" s="65">
        <f t="shared" si="3"/>
        <v>87900</v>
      </c>
      <c r="G19" s="45">
        <v>0.2</v>
      </c>
      <c r="H19" s="46">
        <v>17384</v>
      </c>
      <c r="I19" s="46"/>
      <c r="J19" s="85">
        <v>62437</v>
      </c>
      <c r="K19" s="9">
        <f t="shared" si="0"/>
        <v>79821</v>
      </c>
      <c r="L19" s="36"/>
      <c r="M19" s="37">
        <f>1875000+3341250</f>
        <v>5216250</v>
      </c>
      <c r="N19" s="41">
        <f t="shared" si="1"/>
        <v>8884.4245583974734</v>
      </c>
      <c r="O19" s="35">
        <v>8500</v>
      </c>
      <c r="P19" s="35"/>
      <c r="Q19" s="35"/>
      <c r="R19" s="35"/>
      <c r="S19" s="35"/>
      <c r="U19" s="6">
        <f t="shared" si="2"/>
        <v>17384.424558397473</v>
      </c>
    </row>
    <row r="20" spans="1:25" ht="47.25" x14ac:dyDescent="0.25">
      <c r="A20" s="8" t="s">
        <v>49</v>
      </c>
      <c r="B20" s="36" t="s">
        <v>50</v>
      </c>
      <c r="C20" s="69">
        <v>12000</v>
      </c>
      <c r="D20" s="70"/>
      <c r="E20" s="68">
        <v>16100</v>
      </c>
      <c r="F20" s="65">
        <f t="shared" si="3"/>
        <v>28100</v>
      </c>
      <c r="G20" s="45">
        <v>0.2</v>
      </c>
      <c r="H20" s="46">
        <v>4454</v>
      </c>
      <c r="I20" s="46"/>
      <c r="J20" s="85">
        <v>14805</v>
      </c>
      <c r="K20" s="9">
        <f t="shared" si="0"/>
        <v>19259</v>
      </c>
      <c r="L20" s="36"/>
      <c r="M20" s="37">
        <f>1965000+650000</f>
        <v>2615000</v>
      </c>
      <c r="N20" s="41">
        <f t="shared" si="1"/>
        <v>4453.9219209603434</v>
      </c>
      <c r="O20" s="35"/>
      <c r="P20" s="35"/>
      <c r="Q20" s="35"/>
      <c r="R20" s="35"/>
      <c r="S20" s="35"/>
      <c r="U20" s="6">
        <f t="shared" si="2"/>
        <v>4453.9219209603434</v>
      </c>
    </row>
    <row r="21" spans="1:25" ht="47.25" x14ac:dyDescent="0.25">
      <c r="A21" s="8" t="s">
        <v>51</v>
      </c>
      <c r="B21" s="36" t="s">
        <v>52</v>
      </c>
      <c r="C21" s="69">
        <v>10000</v>
      </c>
      <c r="D21" s="70"/>
      <c r="E21" s="68">
        <v>57750</v>
      </c>
      <c r="F21" s="65">
        <f t="shared" si="3"/>
        <v>67750</v>
      </c>
      <c r="G21" s="45">
        <v>0.2</v>
      </c>
      <c r="H21" s="46">
        <v>20455</v>
      </c>
      <c r="I21" s="46"/>
      <c r="J21" s="85">
        <v>16736</v>
      </c>
      <c r="K21" s="9">
        <f t="shared" si="0"/>
        <v>37191</v>
      </c>
      <c r="L21" s="36"/>
      <c r="M21" s="41">
        <f>11256000+3341250</f>
        <v>14597250</v>
      </c>
      <c r="N21" s="41">
        <f t="shared" si="1"/>
        <v>24862.337193398995</v>
      </c>
      <c r="O21" s="35"/>
      <c r="P21" s="35"/>
      <c r="Q21" s="35"/>
      <c r="R21" s="35"/>
      <c r="S21" s="35"/>
      <c r="U21" s="6">
        <f t="shared" si="2"/>
        <v>24862.337193398995</v>
      </c>
    </row>
    <row r="22" spans="1:25" ht="47.25" x14ac:dyDescent="0.25">
      <c r="A22" s="8" t="s">
        <v>53</v>
      </c>
      <c r="B22" s="71" t="s">
        <v>54</v>
      </c>
      <c r="C22" s="69">
        <v>20000</v>
      </c>
      <c r="D22" s="70"/>
      <c r="E22" s="68">
        <v>18200</v>
      </c>
      <c r="F22" s="65">
        <f t="shared" si="3"/>
        <v>38200</v>
      </c>
      <c r="G22" s="45">
        <v>0.2</v>
      </c>
      <c r="H22" s="46">
        <v>20000</v>
      </c>
      <c r="I22" s="46"/>
      <c r="J22" s="85"/>
      <c r="K22" s="9">
        <f t="shared" si="0"/>
        <v>20000</v>
      </c>
      <c r="L22" s="36"/>
      <c r="M22" s="41">
        <f>10364000+3341250</f>
        <v>13705250</v>
      </c>
      <c r="N22" s="41">
        <f t="shared" si="1"/>
        <v>23343.064400474857</v>
      </c>
      <c r="O22" s="35"/>
      <c r="P22" s="35"/>
      <c r="Q22" s="35"/>
      <c r="R22" s="35"/>
      <c r="S22" s="35"/>
      <c r="U22" s="6">
        <f t="shared" si="2"/>
        <v>23343.064400474857</v>
      </c>
    </row>
    <row r="23" spans="1:25" ht="47.25" x14ac:dyDescent="0.25">
      <c r="A23" s="8" t="s">
        <v>55</v>
      </c>
      <c r="B23" s="36" t="s">
        <v>56</v>
      </c>
      <c r="C23" s="69">
        <v>10000</v>
      </c>
      <c r="D23" s="70"/>
      <c r="E23" s="68">
        <v>7000</v>
      </c>
      <c r="F23" s="65">
        <f t="shared" si="3"/>
        <v>17000</v>
      </c>
      <c r="G23" s="45">
        <v>0</v>
      </c>
      <c r="H23" s="46">
        <v>7000</v>
      </c>
      <c r="I23" s="46"/>
      <c r="J23" s="85">
        <v>6437</v>
      </c>
      <c r="K23" s="9">
        <f t="shared" si="0"/>
        <v>13437</v>
      </c>
      <c r="L23" s="36"/>
      <c r="M23" s="41">
        <f>1200000+3341250</f>
        <v>4541250</v>
      </c>
      <c r="N23" s="41">
        <f t="shared" si="1"/>
        <v>7734.7506399851472</v>
      </c>
      <c r="O23" s="35"/>
      <c r="P23" s="35"/>
      <c r="Q23" s="35"/>
      <c r="R23" s="35"/>
      <c r="S23" s="35"/>
      <c r="U23" s="6">
        <f t="shared" si="2"/>
        <v>7734.7506399851472</v>
      </c>
    </row>
    <row r="24" spans="1:25" ht="87.6" customHeight="1" x14ac:dyDescent="0.25">
      <c r="A24" s="66" t="s">
        <v>57</v>
      </c>
      <c r="B24" s="36" t="s">
        <v>58</v>
      </c>
      <c r="C24" s="69">
        <v>6500</v>
      </c>
      <c r="D24" s="69">
        <v>14231</v>
      </c>
      <c r="E24" s="68">
        <v>7000</v>
      </c>
      <c r="F24" s="65">
        <f t="shared" si="3"/>
        <v>27731</v>
      </c>
      <c r="G24" s="45">
        <v>1</v>
      </c>
      <c r="H24" s="46">
        <v>4045</v>
      </c>
      <c r="I24" s="46"/>
      <c r="J24" s="85">
        <v>6437</v>
      </c>
      <c r="K24" s="9">
        <f t="shared" si="0"/>
        <v>10482</v>
      </c>
      <c r="L24" s="36"/>
      <c r="M24" s="41"/>
      <c r="N24" s="41">
        <f t="shared" si="1"/>
        <v>0</v>
      </c>
      <c r="O24" s="35"/>
      <c r="P24" s="35"/>
      <c r="Q24" s="35"/>
      <c r="R24" s="35"/>
      <c r="S24" s="35"/>
      <c r="U24" s="6">
        <f t="shared" si="2"/>
        <v>0</v>
      </c>
    </row>
    <row r="25" spans="1:25" ht="37.5" customHeight="1" x14ac:dyDescent="0.25">
      <c r="A25" s="72" t="s">
        <v>59</v>
      </c>
      <c r="B25" s="42" t="s">
        <v>60</v>
      </c>
      <c r="C25" s="43">
        <f>SUM(C26:C31)</f>
        <v>105000</v>
      </c>
      <c r="D25" s="43">
        <f>SUM(D26:D31)</f>
        <v>394648</v>
      </c>
      <c r="E25" s="61">
        <f>SUM(E26:E31)</f>
        <v>198800</v>
      </c>
      <c r="F25" s="62">
        <f t="shared" si="3"/>
        <v>698448</v>
      </c>
      <c r="G25" s="42"/>
      <c r="H25" s="44">
        <f>SUM(H26:H32)</f>
        <v>57407</v>
      </c>
      <c r="I25" s="44">
        <f>SUM(I26:I32)</f>
        <v>413051</v>
      </c>
      <c r="J25" s="44">
        <f>SUM(J26:J31)</f>
        <v>303585.37</v>
      </c>
      <c r="K25" s="40">
        <f t="shared" si="0"/>
        <v>774043.37</v>
      </c>
      <c r="L25" s="42"/>
      <c r="M25" s="41"/>
      <c r="N25" s="41">
        <f t="shared" si="1"/>
        <v>0</v>
      </c>
      <c r="O25" s="35"/>
      <c r="P25" s="35"/>
      <c r="Q25" s="35"/>
      <c r="R25" s="35"/>
      <c r="S25" s="35"/>
      <c r="U25" s="6">
        <f t="shared" si="2"/>
        <v>0</v>
      </c>
    </row>
    <row r="26" spans="1:25" ht="63" x14ac:dyDescent="0.25">
      <c r="A26" s="71" t="s">
        <v>61</v>
      </c>
      <c r="B26" s="36" t="s">
        <v>62</v>
      </c>
      <c r="C26" s="69">
        <v>14000</v>
      </c>
      <c r="D26" s="55"/>
      <c r="E26" s="68">
        <v>17920</v>
      </c>
      <c r="F26" s="65">
        <f t="shared" si="3"/>
        <v>31920</v>
      </c>
      <c r="G26" s="45">
        <v>0.2</v>
      </c>
      <c r="H26" s="46"/>
      <c r="I26" s="46"/>
      <c r="J26" s="86">
        <v>17339</v>
      </c>
      <c r="K26" s="9">
        <f t="shared" si="0"/>
        <v>17339</v>
      </c>
      <c r="L26" s="36"/>
      <c r="M26" s="41">
        <v>0</v>
      </c>
      <c r="N26" s="41">
        <f t="shared" si="1"/>
        <v>0</v>
      </c>
      <c r="O26" s="35"/>
      <c r="P26" s="35"/>
      <c r="Q26" s="35"/>
      <c r="R26" s="35"/>
      <c r="S26" s="35"/>
      <c r="U26" s="6">
        <f t="shared" si="2"/>
        <v>0</v>
      </c>
    </row>
    <row r="27" spans="1:25" ht="31.5" x14ac:dyDescent="0.25">
      <c r="A27" s="71" t="s">
        <v>63</v>
      </c>
      <c r="B27" s="36" t="s">
        <v>64</v>
      </c>
      <c r="C27" s="69">
        <v>6000</v>
      </c>
      <c r="D27" s="55"/>
      <c r="E27" s="68">
        <v>10220</v>
      </c>
      <c r="F27" s="65">
        <f t="shared" si="3"/>
        <v>16220</v>
      </c>
      <c r="G27" s="45">
        <v>0</v>
      </c>
      <c r="H27" s="46">
        <v>7794</v>
      </c>
      <c r="I27" s="46"/>
      <c r="J27" s="86"/>
      <c r="K27" s="9">
        <f t="shared" si="0"/>
        <v>7794</v>
      </c>
      <c r="L27" s="36"/>
      <c r="M27" s="41">
        <v>1750000</v>
      </c>
      <c r="N27" s="41">
        <f t="shared" si="1"/>
        <v>2980.6360847726964</v>
      </c>
      <c r="O27" s="49" t="e">
        <f>N27+Y27+#REF!</f>
        <v>#REF!</v>
      </c>
      <c r="P27" s="35"/>
      <c r="Q27" s="35"/>
      <c r="R27" s="35"/>
      <c r="S27" s="41"/>
      <c r="U27" s="6" t="e">
        <f t="shared" si="2"/>
        <v>#REF!</v>
      </c>
      <c r="X27" s="7">
        <v>750000</v>
      </c>
      <c r="Y27" s="1">
        <f>X27/588</f>
        <v>1275.5102040816328</v>
      </c>
    </row>
    <row r="28" spans="1:25" ht="47.25" x14ac:dyDescent="0.25">
      <c r="A28" s="71" t="s">
        <v>65</v>
      </c>
      <c r="B28" s="36" t="s">
        <v>66</v>
      </c>
      <c r="C28" s="69">
        <v>15000</v>
      </c>
      <c r="D28" s="69">
        <v>193900</v>
      </c>
      <c r="E28" s="68">
        <v>85820</v>
      </c>
      <c r="F28" s="65">
        <f t="shared" si="3"/>
        <v>294720</v>
      </c>
      <c r="G28" s="45">
        <v>0.5</v>
      </c>
      <c r="H28" s="46">
        <v>3062</v>
      </c>
      <c r="I28" s="46">
        <v>412591</v>
      </c>
      <c r="J28" s="86">
        <v>70000</v>
      </c>
      <c r="K28" s="9">
        <f t="shared" si="0"/>
        <v>485653</v>
      </c>
      <c r="L28" s="36"/>
      <c r="M28" s="41">
        <v>1750000</v>
      </c>
      <c r="N28" s="41">
        <f t="shared" si="1"/>
        <v>2980.6360847726964</v>
      </c>
      <c r="O28" s="35"/>
      <c r="P28" s="35"/>
      <c r="Q28" s="35"/>
      <c r="R28" s="35"/>
      <c r="S28" s="35"/>
      <c r="U28" s="6">
        <f t="shared" si="2"/>
        <v>2980.6360847726964</v>
      </c>
    </row>
    <row r="29" spans="1:25" ht="55.7" customHeight="1" x14ac:dyDescent="0.25">
      <c r="A29" s="71" t="s">
        <v>67</v>
      </c>
      <c r="B29" s="36" t="s">
        <v>68</v>
      </c>
      <c r="C29" s="69">
        <v>40000</v>
      </c>
      <c r="D29" s="55"/>
      <c r="E29" s="68">
        <v>28700</v>
      </c>
      <c r="F29" s="65">
        <f t="shared" si="3"/>
        <v>68700</v>
      </c>
      <c r="G29" s="45">
        <v>0.5</v>
      </c>
      <c r="H29" s="46">
        <v>2827</v>
      </c>
      <c r="I29" s="46"/>
      <c r="J29" s="86">
        <v>86498.54800000001</v>
      </c>
      <c r="K29" s="9">
        <f t="shared" si="0"/>
        <v>89325.54800000001</v>
      </c>
      <c r="L29" s="36"/>
      <c r="M29" s="41">
        <v>1750000</v>
      </c>
      <c r="N29" s="41">
        <f t="shared" si="1"/>
        <v>2980.6360847726964</v>
      </c>
      <c r="O29" s="35"/>
      <c r="P29" s="35"/>
      <c r="Q29" s="35"/>
      <c r="R29" s="35"/>
      <c r="S29" s="35"/>
      <c r="U29" s="6">
        <f t="shared" si="2"/>
        <v>2980.6360847726964</v>
      </c>
    </row>
    <row r="30" spans="1:25" ht="47.25" x14ac:dyDescent="0.25">
      <c r="A30" s="71" t="s">
        <v>69</v>
      </c>
      <c r="B30" s="36" t="s">
        <v>70</v>
      </c>
      <c r="C30" s="69"/>
      <c r="D30" s="69">
        <v>200748</v>
      </c>
      <c r="E30" s="68">
        <v>41020</v>
      </c>
      <c r="F30" s="65">
        <f t="shared" si="3"/>
        <v>241768</v>
      </c>
      <c r="G30" s="45">
        <v>0.5</v>
      </c>
      <c r="H30" s="46">
        <v>2981</v>
      </c>
      <c r="I30" s="46"/>
      <c r="J30" s="86">
        <v>129747.82199999999</v>
      </c>
      <c r="K30" s="9">
        <f t="shared" si="0"/>
        <v>132728.82199999999</v>
      </c>
      <c r="L30" s="36"/>
      <c r="M30" s="41">
        <f>1750000</f>
        <v>1750000</v>
      </c>
      <c r="N30" s="41">
        <f t="shared" si="1"/>
        <v>2980.6360847726964</v>
      </c>
      <c r="O30" s="35"/>
      <c r="P30" s="35"/>
      <c r="Q30" s="35"/>
      <c r="R30" s="35"/>
      <c r="S30" s="35"/>
      <c r="U30" s="6">
        <f t="shared" si="2"/>
        <v>2980.6360847726964</v>
      </c>
    </row>
    <row r="31" spans="1:25" ht="40.700000000000003" customHeight="1" x14ac:dyDescent="0.25">
      <c r="A31" s="71" t="s">
        <v>71</v>
      </c>
      <c r="B31" s="36" t="s">
        <v>72</v>
      </c>
      <c r="C31" s="69">
        <v>30000</v>
      </c>
      <c r="D31" s="54"/>
      <c r="E31" s="68">
        <v>15120</v>
      </c>
      <c r="F31" s="65">
        <f>E31+C31</f>
        <v>45120</v>
      </c>
      <c r="G31" s="45">
        <v>0</v>
      </c>
      <c r="H31" s="46"/>
      <c r="I31" s="46"/>
      <c r="J31" s="86"/>
      <c r="K31" s="9">
        <f t="shared" si="0"/>
        <v>0</v>
      </c>
      <c r="L31" s="36"/>
      <c r="M31" s="41"/>
      <c r="N31" s="41">
        <f t="shared" si="1"/>
        <v>0</v>
      </c>
      <c r="O31" s="35"/>
      <c r="P31" s="35"/>
      <c r="Q31" s="35"/>
      <c r="R31" s="35"/>
      <c r="S31" s="35"/>
      <c r="U31" s="6">
        <f t="shared" si="2"/>
        <v>0</v>
      </c>
    </row>
    <row r="32" spans="1:25" ht="59.85" customHeight="1" x14ac:dyDescent="0.25">
      <c r="A32" s="8" t="s">
        <v>73</v>
      </c>
      <c r="B32" s="8" t="s">
        <v>74</v>
      </c>
      <c r="C32" s="56"/>
      <c r="D32" s="56"/>
      <c r="E32" s="73"/>
      <c r="F32" s="74">
        <f>F33+F38</f>
        <v>356620</v>
      </c>
      <c r="G32" s="8"/>
      <c r="H32" s="39">
        <f>H33+H38</f>
        <v>40743</v>
      </c>
      <c r="I32" s="39">
        <f>I33+I38</f>
        <v>460</v>
      </c>
      <c r="J32" s="39">
        <f>J33+J38</f>
        <v>199495.63</v>
      </c>
      <c r="K32" s="40">
        <f t="shared" si="0"/>
        <v>240698.63</v>
      </c>
      <c r="L32" s="8"/>
      <c r="M32" s="41"/>
      <c r="N32" s="41">
        <f t="shared" si="1"/>
        <v>0</v>
      </c>
      <c r="O32" s="35"/>
      <c r="P32" s="35"/>
      <c r="Q32" s="35"/>
      <c r="R32" s="35"/>
      <c r="S32" s="35"/>
      <c r="U32" s="6">
        <f t="shared" si="2"/>
        <v>0</v>
      </c>
    </row>
    <row r="33" spans="1:21" ht="36.75" customHeight="1" x14ac:dyDescent="0.25">
      <c r="A33" s="72" t="s">
        <v>75</v>
      </c>
      <c r="B33" s="42" t="s">
        <v>76</v>
      </c>
      <c r="C33" s="43">
        <f>SUM(C34:C37)</f>
        <v>75000</v>
      </c>
      <c r="D33" s="43">
        <f>SUM(D34:D36)</f>
        <v>0</v>
      </c>
      <c r="E33" s="61">
        <f>SUM(E34:E37)</f>
        <v>107800</v>
      </c>
      <c r="F33" s="62">
        <f t="shared" ref="F33:F47" si="4">E33+D33+C33</f>
        <v>182800</v>
      </c>
      <c r="G33" s="42"/>
      <c r="H33" s="44">
        <f>H34+H36</f>
        <v>5713</v>
      </c>
      <c r="I33" s="44">
        <f>I34+I36</f>
        <v>460</v>
      </c>
      <c r="J33" s="44">
        <f>J34+J36</f>
        <v>99114.63</v>
      </c>
      <c r="K33" s="40">
        <f t="shared" si="0"/>
        <v>105287.63</v>
      </c>
      <c r="L33" s="42"/>
      <c r="M33" s="41"/>
      <c r="N33" s="41">
        <f t="shared" si="1"/>
        <v>0</v>
      </c>
      <c r="O33" s="35"/>
      <c r="P33" s="35"/>
      <c r="Q33" s="35"/>
      <c r="R33" s="35"/>
      <c r="S33" s="35"/>
      <c r="U33" s="6">
        <f t="shared" si="2"/>
        <v>0</v>
      </c>
    </row>
    <row r="34" spans="1:21" ht="84.6" customHeight="1" x14ac:dyDescent="0.25">
      <c r="A34" s="71" t="s">
        <v>77</v>
      </c>
      <c r="B34" s="36" t="s">
        <v>78</v>
      </c>
      <c r="C34" s="116">
        <v>60000</v>
      </c>
      <c r="D34" s="55"/>
      <c r="E34" s="117">
        <v>98280</v>
      </c>
      <c r="F34" s="65">
        <f t="shared" si="4"/>
        <v>158280</v>
      </c>
      <c r="G34" s="45">
        <v>1</v>
      </c>
      <c r="H34" s="46">
        <v>3900</v>
      </c>
      <c r="I34" s="46">
        <v>460</v>
      </c>
      <c r="J34" s="120">
        <f>93977-11.3699999999953</f>
        <v>93965.63</v>
      </c>
      <c r="K34" s="40">
        <f t="shared" si="0"/>
        <v>98325.63</v>
      </c>
      <c r="L34" s="36"/>
      <c r="M34" s="41"/>
      <c r="N34" s="41">
        <f t="shared" si="1"/>
        <v>0</v>
      </c>
      <c r="O34" s="35"/>
      <c r="P34" s="35"/>
      <c r="Q34" s="35"/>
      <c r="R34" s="35"/>
      <c r="S34" s="35"/>
      <c r="U34" s="6">
        <f t="shared" si="2"/>
        <v>0</v>
      </c>
    </row>
    <row r="35" spans="1:21" ht="59.85" customHeight="1" x14ac:dyDescent="0.25">
      <c r="A35" s="71" t="s">
        <v>79</v>
      </c>
      <c r="B35" s="36" t="s">
        <v>80</v>
      </c>
      <c r="C35" s="116"/>
      <c r="D35" s="55"/>
      <c r="E35" s="117"/>
      <c r="F35" s="65">
        <f t="shared" si="4"/>
        <v>0</v>
      </c>
      <c r="G35" s="45">
        <v>1</v>
      </c>
      <c r="H35" s="46"/>
      <c r="I35" s="46"/>
      <c r="J35" s="120"/>
      <c r="K35" s="40">
        <f t="shared" si="0"/>
        <v>0</v>
      </c>
      <c r="L35" s="36"/>
      <c r="M35" s="41"/>
      <c r="N35" s="41">
        <f t="shared" si="1"/>
        <v>0</v>
      </c>
      <c r="O35" s="35"/>
      <c r="P35" s="35"/>
      <c r="Q35" s="35"/>
      <c r="R35" s="35"/>
      <c r="S35" s="35"/>
      <c r="U35" s="6">
        <f t="shared" si="2"/>
        <v>0</v>
      </c>
    </row>
    <row r="36" spans="1:21" ht="31.5" x14ac:dyDescent="0.25">
      <c r="A36" s="71" t="s">
        <v>81</v>
      </c>
      <c r="B36" s="36" t="s">
        <v>82</v>
      </c>
      <c r="C36" s="69">
        <v>9000</v>
      </c>
      <c r="D36" s="55"/>
      <c r="E36" s="75">
        <v>5600</v>
      </c>
      <c r="F36" s="65">
        <f t="shared" si="4"/>
        <v>14600</v>
      </c>
      <c r="G36" s="45">
        <v>1</v>
      </c>
      <c r="H36" s="46">
        <v>1813</v>
      </c>
      <c r="I36" s="46"/>
      <c r="J36" s="50">
        <v>5149</v>
      </c>
      <c r="K36" s="40">
        <f t="shared" si="0"/>
        <v>6962</v>
      </c>
      <c r="L36" s="36"/>
      <c r="M36" s="41"/>
      <c r="N36" s="41">
        <f t="shared" si="1"/>
        <v>0</v>
      </c>
      <c r="O36" s="35"/>
      <c r="P36" s="35"/>
      <c r="Q36" s="35"/>
      <c r="R36" s="35"/>
      <c r="S36" s="35"/>
      <c r="U36" s="6">
        <f t="shared" si="2"/>
        <v>0</v>
      </c>
    </row>
    <row r="37" spans="1:21" ht="47.25" x14ac:dyDescent="0.25">
      <c r="A37" s="71" t="s">
        <v>83</v>
      </c>
      <c r="B37" s="36" t="s">
        <v>84</v>
      </c>
      <c r="C37" s="69">
        <v>6000</v>
      </c>
      <c r="D37" s="55"/>
      <c r="E37" s="75">
        <v>3920</v>
      </c>
      <c r="F37" s="65">
        <f t="shared" si="4"/>
        <v>9920</v>
      </c>
      <c r="G37" s="45">
        <v>0</v>
      </c>
      <c r="H37" s="46"/>
      <c r="I37" s="46"/>
      <c r="J37" s="48"/>
      <c r="K37" s="40">
        <f t="shared" si="0"/>
        <v>0</v>
      </c>
      <c r="L37" s="36"/>
      <c r="M37" s="41"/>
      <c r="N37" s="41">
        <f t="shared" si="1"/>
        <v>0</v>
      </c>
      <c r="O37" s="35"/>
      <c r="P37" s="35"/>
      <c r="Q37" s="35"/>
      <c r="R37" s="35"/>
      <c r="S37" s="35"/>
      <c r="U37" s="6">
        <f t="shared" si="2"/>
        <v>0</v>
      </c>
    </row>
    <row r="38" spans="1:21" ht="48" customHeight="1" x14ac:dyDescent="0.25">
      <c r="A38" s="76" t="s">
        <v>85</v>
      </c>
      <c r="B38" s="8" t="s">
        <v>86</v>
      </c>
      <c r="C38" s="51">
        <f>SUM(C39:C42)</f>
        <v>70920</v>
      </c>
      <c r="D38" s="51">
        <f>SUM(D39:D42)</f>
        <v>0</v>
      </c>
      <c r="E38" s="73">
        <f>SUM(E39:E42)</f>
        <v>102900</v>
      </c>
      <c r="F38" s="74">
        <f t="shared" si="4"/>
        <v>173820</v>
      </c>
      <c r="G38" s="8"/>
      <c r="H38" s="39">
        <f>+H39+H40+H41+H42</f>
        <v>35030</v>
      </c>
      <c r="I38" s="39">
        <f>+I39+I40+I41+I42</f>
        <v>0</v>
      </c>
      <c r="J38" s="39">
        <f>+J39+J40+J41+J42</f>
        <v>100381</v>
      </c>
      <c r="K38" s="40">
        <f t="shared" si="0"/>
        <v>135411</v>
      </c>
      <c r="L38" s="8"/>
      <c r="M38" s="41"/>
      <c r="N38" s="41">
        <f t="shared" si="1"/>
        <v>0</v>
      </c>
      <c r="O38" s="35"/>
      <c r="P38" s="35"/>
      <c r="Q38" s="35"/>
      <c r="R38" s="35"/>
      <c r="S38" s="35"/>
      <c r="U38" s="6">
        <f t="shared" si="2"/>
        <v>0</v>
      </c>
    </row>
    <row r="39" spans="1:21" ht="47.25" x14ac:dyDescent="0.25">
      <c r="A39" s="71" t="s">
        <v>87</v>
      </c>
      <c r="B39" s="36" t="s">
        <v>88</v>
      </c>
      <c r="C39" s="69">
        <v>56000</v>
      </c>
      <c r="D39" s="55"/>
      <c r="E39" s="68">
        <v>74200</v>
      </c>
      <c r="F39" s="65">
        <f t="shared" si="4"/>
        <v>130200</v>
      </c>
      <c r="G39" s="45">
        <v>0.75</v>
      </c>
      <c r="H39" s="46">
        <v>23180</v>
      </c>
      <c r="I39" s="46"/>
      <c r="J39" s="48">
        <v>72615</v>
      </c>
      <c r="K39" s="40">
        <f t="shared" si="0"/>
        <v>95795</v>
      </c>
      <c r="L39" s="36"/>
      <c r="M39" s="41"/>
      <c r="N39" s="41">
        <f t="shared" si="1"/>
        <v>0</v>
      </c>
      <c r="O39" s="35"/>
      <c r="P39" s="35"/>
      <c r="Q39" s="35"/>
      <c r="R39" s="35"/>
      <c r="S39" s="35"/>
      <c r="U39" s="6">
        <f t="shared" si="2"/>
        <v>0</v>
      </c>
    </row>
    <row r="40" spans="1:21" ht="31.5" x14ac:dyDescent="0.25">
      <c r="A40" s="71" t="s">
        <v>89</v>
      </c>
      <c r="B40" s="36" t="s">
        <v>90</v>
      </c>
      <c r="C40" s="69">
        <v>8320</v>
      </c>
      <c r="D40" s="55"/>
      <c r="E40" s="68">
        <v>14700</v>
      </c>
      <c r="F40" s="65">
        <f t="shared" si="4"/>
        <v>23020</v>
      </c>
      <c r="G40" s="45">
        <v>0.75</v>
      </c>
      <c r="H40" s="46">
        <v>4200</v>
      </c>
      <c r="I40" s="46"/>
      <c r="J40" s="48">
        <v>14386</v>
      </c>
      <c r="K40" s="40">
        <f t="shared" si="0"/>
        <v>18586</v>
      </c>
      <c r="L40" s="36"/>
      <c r="M40" s="41">
        <f>650000+485950</f>
        <v>1135950</v>
      </c>
      <c r="N40" s="41">
        <f t="shared" si="1"/>
        <v>1934.7734631414539</v>
      </c>
      <c r="O40" s="35"/>
      <c r="P40" s="35"/>
      <c r="Q40" s="35"/>
      <c r="R40" s="35"/>
      <c r="S40" s="35"/>
      <c r="U40" s="6">
        <f t="shared" si="2"/>
        <v>1934.7734631414539</v>
      </c>
    </row>
    <row r="41" spans="1:21" ht="63" x14ac:dyDescent="0.25">
      <c r="A41" s="71" t="s">
        <v>91</v>
      </c>
      <c r="B41" s="36" t="s">
        <v>92</v>
      </c>
      <c r="C41" s="69">
        <v>3200</v>
      </c>
      <c r="D41" s="55"/>
      <c r="E41" s="68">
        <v>5600</v>
      </c>
      <c r="F41" s="65">
        <f t="shared" si="4"/>
        <v>8800</v>
      </c>
      <c r="G41" s="45">
        <v>1</v>
      </c>
      <c r="H41" s="46">
        <v>2891</v>
      </c>
      <c r="I41" s="46"/>
      <c r="J41" s="50">
        <v>5159</v>
      </c>
      <c r="K41" s="40">
        <f t="shared" si="0"/>
        <v>8050</v>
      </c>
      <c r="L41" s="36"/>
      <c r="M41" s="41"/>
      <c r="N41" s="41">
        <f t="shared" si="1"/>
        <v>0</v>
      </c>
      <c r="O41" s="35"/>
      <c r="P41" s="35"/>
      <c r="Q41" s="35"/>
      <c r="R41" s="35"/>
      <c r="S41" s="35"/>
      <c r="U41" s="6">
        <f t="shared" si="2"/>
        <v>0</v>
      </c>
    </row>
    <row r="42" spans="1:21" ht="47.25" x14ac:dyDescent="0.25">
      <c r="A42" s="71" t="s">
        <v>93</v>
      </c>
      <c r="B42" s="36" t="s">
        <v>94</v>
      </c>
      <c r="C42" s="69">
        <v>3400</v>
      </c>
      <c r="D42" s="56"/>
      <c r="E42" s="68">
        <v>8400</v>
      </c>
      <c r="F42" s="65">
        <f t="shared" si="4"/>
        <v>11800</v>
      </c>
      <c r="G42" s="45">
        <v>0.75</v>
      </c>
      <c r="H42" s="46">
        <v>4759</v>
      </c>
      <c r="I42" s="46"/>
      <c r="J42" s="48">
        <v>8221</v>
      </c>
      <c r="K42" s="40">
        <f t="shared" si="0"/>
        <v>12980</v>
      </c>
      <c r="L42" s="36"/>
      <c r="M42" s="41">
        <f>SUM(M8:M41)</f>
        <v>49310950</v>
      </c>
      <c r="N42" s="49">
        <v>0</v>
      </c>
      <c r="O42" s="49">
        <v>0</v>
      </c>
      <c r="P42" s="35"/>
      <c r="Q42" s="35"/>
      <c r="R42" s="35"/>
      <c r="S42" s="35"/>
      <c r="U42" s="6">
        <f t="shared" si="2"/>
        <v>0</v>
      </c>
    </row>
    <row r="43" spans="1:21" ht="63.75" customHeight="1" x14ac:dyDescent="0.25">
      <c r="A43" s="115" t="s">
        <v>95</v>
      </c>
      <c r="B43" s="115"/>
      <c r="C43" s="51">
        <f>C38+C33+C25+C18+C14+C10</f>
        <v>400420</v>
      </c>
      <c r="D43" s="51">
        <f>D38+D33+D25+D18+D14+D10</f>
        <v>408879</v>
      </c>
      <c r="E43" s="73">
        <f>E38+E33+E25+E18+E14+E10</f>
        <v>777350</v>
      </c>
      <c r="F43" s="74">
        <f t="shared" si="4"/>
        <v>1586649</v>
      </c>
      <c r="G43" s="52"/>
      <c r="H43" s="39">
        <f>+H9+H32</f>
        <v>218166</v>
      </c>
      <c r="I43" s="39">
        <f>+I9+I32</f>
        <v>413689</v>
      </c>
      <c r="J43" s="39">
        <f>+J9+J32</f>
        <v>673394</v>
      </c>
      <c r="K43" s="40">
        <f t="shared" si="0"/>
        <v>1305249</v>
      </c>
      <c r="L43" s="36"/>
      <c r="M43" s="41"/>
      <c r="N43" s="35"/>
      <c r="O43" s="35"/>
      <c r="P43" s="35"/>
      <c r="Q43" s="35"/>
      <c r="R43" s="35"/>
      <c r="S43" s="35"/>
      <c r="U43" s="6">
        <f t="shared" si="2"/>
        <v>0</v>
      </c>
    </row>
    <row r="44" spans="1:21" ht="38.25" customHeight="1" x14ac:dyDescent="0.25">
      <c r="A44" s="8"/>
      <c r="B44" s="8" t="s">
        <v>96</v>
      </c>
      <c r="C44" s="77">
        <v>61570</v>
      </c>
      <c r="D44" s="56"/>
      <c r="E44" s="78">
        <v>85555</v>
      </c>
      <c r="F44" s="74">
        <f t="shared" si="4"/>
        <v>147125</v>
      </c>
      <c r="G44" s="8"/>
      <c r="H44" s="53"/>
      <c r="I44" s="53">
        <v>0</v>
      </c>
      <c r="J44" s="84">
        <v>35815</v>
      </c>
      <c r="K44" s="40">
        <f t="shared" si="0"/>
        <v>35815</v>
      </c>
      <c r="L44" s="8"/>
      <c r="M44" s="41"/>
      <c r="N44" s="35"/>
      <c r="O44" s="35"/>
      <c r="P44" s="35"/>
      <c r="Q44" s="35"/>
      <c r="R44" s="35">
        <v>2474</v>
      </c>
      <c r="S44" s="35"/>
      <c r="U44" s="6">
        <f t="shared" si="2"/>
        <v>2474</v>
      </c>
    </row>
    <row r="45" spans="1:21" ht="38.25" customHeight="1" x14ac:dyDescent="0.25">
      <c r="A45" s="8"/>
      <c r="B45" s="8" t="s">
        <v>97</v>
      </c>
      <c r="C45" s="77">
        <v>27000</v>
      </c>
      <c r="D45" s="56"/>
      <c r="E45" s="78">
        <v>47600</v>
      </c>
      <c r="F45" s="74">
        <f t="shared" si="4"/>
        <v>74600</v>
      </c>
      <c r="G45" s="8"/>
      <c r="H45" s="105">
        <v>11700</v>
      </c>
      <c r="I45" s="105">
        <v>10967.4</v>
      </c>
      <c r="J45" s="106">
        <v>13043</v>
      </c>
      <c r="K45" s="107">
        <f t="shared" si="0"/>
        <v>35710.400000000001</v>
      </c>
      <c r="L45" s="8"/>
      <c r="M45" s="41"/>
      <c r="N45" s="35"/>
      <c r="O45" s="35"/>
      <c r="P45" s="47">
        <v>5776</v>
      </c>
      <c r="Q45" s="35"/>
      <c r="R45" s="35"/>
      <c r="S45" s="35"/>
      <c r="U45" s="6">
        <f t="shared" si="2"/>
        <v>5776</v>
      </c>
    </row>
    <row r="46" spans="1:21" ht="28.5" customHeight="1" x14ac:dyDescent="0.25">
      <c r="A46" s="8"/>
      <c r="B46" s="8" t="s">
        <v>98</v>
      </c>
      <c r="C46" s="77">
        <v>83440</v>
      </c>
      <c r="D46" s="56"/>
      <c r="E46" s="78">
        <v>70803</v>
      </c>
      <c r="F46" s="74">
        <f t="shared" si="4"/>
        <v>154243</v>
      </c>
      <c r="G46" s="8"/>
      <c r="H46" s="105">
        <v>37950</v>
      </c>
      <c r="I46" s="105">
        <f>43856928*30%/599.595</f>
        <v>21943.275711104994</v>
      </c>
      <c r="J46" s="106">
        <v>20418</v>
      </c>
      <c r="K46" s="107">
        <f t="shared" si="0"/>
        <v>80311.275711105001</v>
      </c>
      <c r="L46" s="8"/>
      <c r="M46" s="41"/>
      <c r="N46" s="35"/>
      <c r="O46" s="35"/>
      <c r="P46" s="35"/>
      <c r="Q46" s="35"/>
      <c r="R46" s="35"/>
      <c r="S46" s="35"/>
      <c r="U46" s="6">
        <f t="shared" si="2"/>
        <v>0</v>
      </c>
    </row>
    <row r="47" spans="1:21" ht="28.5" customHeight="1" x14ac:dyDescent="0.25">
      <c r="A47" s="58"/>
      <c r="B47" s="58" t="s">
        <v>99</v>
      </c>
      <c r="C47" s="79">
        <f>C43+C44+C45+C46</f>
        <v>572430</v>
      </c>
      <c r="D47" s="79">
        <f>D43+D44+D45+D46</f>
        <v>408879</v>
      </c>
      <c r="E47" s="80">
        <f>E43+E44+E45+E46</f>
        <v>981308</v>
      </c>
      <c r="F47" s="81">
        <f t="shared" si="4"/>
        <v>1962617</v>
      </c>
      <c r="G47" s="57"/>
      <c r="H47" s="108">
        <f>SUM(H43:H46)</f>
        <v>267816</v>
      </c>
      <c r="I47" s="108">
        <f>SUM(I43:I46)</f>
        <v>446599.675711105</v>
      </c>
      <c r="J47" s="108">
        <f>SUM(J43:J46)</f>
        <v>742670</v>
      </c>
      <c r="K47" s="109">
        <f t="shared" si="0"/>
        <v>1457085.6757111051</v>
      </c>
      <c r="L47" s="58"/>
      <c r="M47" s="41"/>
      <c r="N47" s="35"/>
      <c r="O47" s="35"/>
      <c r="P47" s="35"/>
      <c r="Q47" s="35"/>
      <c r="R47" s="35"/>
      <c r="S47" s="35"/>
      <c r="U47" s="6">
        <f t="shared" si="2"/>
        <v>0</v>
      </c>
    </row>
    <row r="48" spans="1:21" ht="15.75" x14ac:dyDescent="0.25">
      <c r="A48" s="8"/>
      <c r="B48" s="8" t="s">
        <v>12</v>
      </c>
      <c r="C48" s="100">
        <f>C47*7%</f>
        <v>40070.100000000006</v>
      </c>
      <c r="D48" s="100">
        <f>D47*7%-1</f>
        <v>28620.530000000002</v>
      </c>
      <c r="E48" s="101">
        <f>E47*0.07</f>
        <v>68691.560000000012</v>
      </c>
      <c r="F48" s="74">
        <f>F47*0.07</f>
        <v>137383.19</v>
      </c>
      <c r="G48" s="8"/>
      <c r="H48" s="105">
        <f>H47*7%</f>
        <v>18747.120000000003</v>
      </c>
      <c r="I48" s="105">
        <f>I47*7%</f>
        <v>31261.977299777354</v>
      </c>
      <c r="J48" s="105">
        <f>J47*7%</f>
        <v>51986.9</v>
      </c>
      <c r="K48" s="107">
        <f>H48+I48+J48</f>
        <v>101995.99729977736</v>
      </c>
      <c r="L48" s="8"/>
      <c r="M48" s="41"/>
      <c r="N48" s="35"/>
      <c r="O48" s="35"/>
      <c r="P48" s="35"/>
      <c r="Q48" s="35"/>
      <c r="R48" s="35"/>
      <c r="S48" s="35">
        <v>258</v>
      </c>
      <c r="U48" s="6">
        <f t="shared" si="2"/>
        <v>258</v>
      </c>
    </row>
    <row r="49" spans="1:28" ht="38.25" customHeight="1" x14ac:dyDescent="0.25">
      <c r="A49" s="8"/>
      <c r="B49" s="8" t="s">
        <v>100</v>
      </c>
      <c r="C49" s="51">
        <f>C48+C47</f>
        <v>612500.1</v>
      </c>
      <c r="D49" s="82">
        <f>D47+D48</f>
        <v>437499.53</v>
      </c>
      <c r="E49" s="73">
        <f>E48+E47</f>
        <v>1049999.56</v>
      </c>
      <c r="F49" s="74">
        <f>SUM(F47:F48)</f>
        <v>2100000.19</v>
      </c>
      <c r="G49" s="104">
        <v>0.38</v>
      </c>
      <c r="H49" s="105">
        <f>SUM(H47:H48)</f>
        <v>286563.12</v>
      </c>
      <c r="I49" s="105">
        <f>SUM(I47:I48)</f>
        <v>477861.65301088232</v>
      </c>
      <c r="J49" s="105">
        <f>SUM(J47:J48)</f>
        <v>794656.9</v>
      </c>
      <c r="K49" s="107">
        <f>H49+I49+J49</f>
        <v>1559081.6730108825</v>
      </c>
      <c r="L49" s="8"/>
      <c r="M49" s="41"/>
      <c r="N49" s="35"/>
      <c r="O49" s="35"/>
      <c r="P49" s="35"/>
      <c r="Q49" s="35"/>
      <c r="R49" s="35"/>
      <c r="S49" s="35"/>
      <c r="U49" s="6">
        <v>0</v>
      </c>
    </row>
    <row r="50" spans="1:28" ht="59.1" customHeight="1" x14ac:dyDescent="0.25">
      <c r="A50" s="54"/>
      <c r="B50" s="54" t="s">
        <v>115</v>
      </c>
      <c r="C50" s="54"/>
      <c r="D50" s="54"/>
      <c r="E50" s="83"/>
      <c r="F50" s="54"/>
      <c r="G50" s="54"/>
      <c r="H50" s="89">
        <f>H49/C49</f>
        <v>0.46785807871704838</v>
      </c>
      <c r="I50" s="89">
        <f>+I49/D49</f>
        <v>1.0922563802774423</v>
      </c>
      <c r="J50" s="91">
        <f>J49/E49</f>
        <v>0.75681641238021091</v>
      </c>
      <c r="K50" s="89">
        <f>K49/F49</f>
        <v>0.74241977711958329</v>
      </c>
      <c r="L50" s="54"/>
      <c r="M50" s="35"/>
      <c r="N50" s="35"/>
      <c r="O50" s="35"/>
      <c r="P50" s="35"/>
      <c r="Q50" s="35"/>
      <c r="R50" s="35"/>
      <c r="S50" s="35"/>
    </row>
    <row r="51" spans="1:28" x14ac:dyDescent="0.25">
      <c r="H51" s="118" t="s">
        <v>116</v>
      </c>
      <c r="I51" s="118"/>
      <c r="J51" s="118"/>
      <c r="K51" s="118"/>
    </row>
    <row r="52" spans="1:28" x14ac:dyDescent="0.25">
      <c r="J52" s="87"/>
      <c r="N52" s="6">
        <f>SUM(N9:N51)</f>
        <v>83987.426825384071</v>
      </c>
      <c r="O52" s="6">
        <v>31483</v>
      </c>
      <c r="P52" s="1">
        <f>SUM(P9:P51)</f>
        <v>5776</v>
      </c>
      <c r="Q52" s="1">
        <v>2710</v>
      </c>
      <c r="R52" s="1">
        <v>2474</v>
      </c>
      <c r="S52" s="1">
        <v>258</v>
      </c>
      <c r="U52" s="6" t="e">
        <f ca="1">SUM(U9:U51)</f>
        <v>#REF!</v>
      </c>
      <c r="AB52" s="11"/>
    </row>
    <row r="53" spans="1:28" ht="15.75" x14ac:dyDescent="0.25">
      <c r="A53" s="95" t="s">
        <v>113</v>
      </c>
      <c r="B53" s="96"/>
      <c r="C53" s="103">
        <v>1073255</v>
      </c>
      <c r="J53" s="88"/>
    </row>
    <row r="54" spans="1:28" ht="15.75" x14ac:dyDescent="0.25">
      <c r="A54" s="96" t="s">
        <v>109</v>
      </c>
      <c r="B54" s="95"/>
      <c r="C54" s="103">
        <v>2806956</v>
      </c>
      <c r="E54" s="34"/>
      <c r="J54" s="87" t="s">
        <v>111</v>
      </c>
      <c r="L54" s="12">
        <f>K47*C55/100</f>
        <v>5571.2468841168939</v>
      </c>
    </row>
    <row r="55" spans="1:28" ht="17.25" customHeight="1" x14ac:dyDescent="0.25">
      <c r="A55" s="96" t="s">
        <v>110</v>
      </c>
      <c r="B55" s="96"/>
      <c r="C55" s="102">
        <f>C53/C54</f>
        <v>0.38235547689383087</v>
      </c>
      <c r="E55" s="99"/>
      <c r="J55" s="87"/>
    </row>
    <row r="58" spans="1:28" x14ac:dyDescent="0.25">
      <c r="E58" s="99"/>
    </row>
    <row r="59" spans="1:28" x14ac:dyDescent="0.25">
      <c r="D59" s="10"/>
    </row>
  </sheetData>
  <sheetProtection selectLockedCells="1" selectUnlockedCells="1"/>
  <mergeCells count="7">
    <mergeCell ref="A43:B43"/>
    <mergeCell ref="C34:C35"/>
    <mergeCell ref="E34:E35"/>
    <mergeCell ref="H51:K51"/>
    <mergeCell ref="C7:F7"/>
    <mergeCell ref="J34:J35"/>
    <mergeCell ref="H7:K7"/>
  </mergeCells>
  <pageMargins left="0.7" right="0.7" top="0.75" bottom="0.75" header="0.51180555555555551" footer="0.51180555555555551"/>
  <pageSetup scale="50" firstPageNumber="0" orientation="landscape" horizontalDpi="300" verticalDpi="300" r:id="rId1"/>
  <headerFooter alignWithMargins="0"/>
  <rowBreaks count="2" manualBreakCount="2">
    <brk id="15" max="16383" man="1"/>
    <brk id="24"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C17" workbookViewId="0">
      <selection activeCell="G14" sqref="G14"/>
    </sheetView>
  </sheetViews>
  <sheetFormatPr baseColWidth="10" defaultColWidth="9.140625" defaultRowHeight="15" x14ac:dyDescent="0.25"/>
  <cols>
    <col min="1" max="1" width="19.140625" customWidth="1"/>
    <col min="3" max="3" width="17.42578125" customWidth="1"/>
    <col min="4" max="4" width="15.5703125" customWidth="1"/>
    <col min="5" max="5" width="16.42578125" customWidth="1"/>
    <col min="6" max="6" width="14.140625" customWidth="1"/>
    <col min="7" max="7" width="17.140625" customWidth="1"/>
    <col min="8" max="9" width="12.28515625" customWidth="1"/>
    <col min="10" max="10" width="14" customWidth="1"/>
    <col min="11" max="11" width="11.85546875" customWidth="1"/>
    <col min="12" max="13" width="11.42578125" customWidth="1"/>
    <col min="14" max="14" width="11.140625" customWidth="1"/>
  </cols>
  <sheetData>
    <row r="1" spans="1:14" ht="15.75" x14ac:dyDescent="0.25">
      <c r="A1" s="2" t="s">
        <v>13</v>
      </c>
      <c r="B1" s="2"/>
      <c r="C1" s="2"/>
      <c r="D1" s="2"/>
      <c r="E1" s="1"/>
      <c r="F1" s="1"/>
      <c r="G1" s="1"/>
      <c r="H1" s="1"/>
      <c r="I1" s="1"/>
      <c r="J1" s="1"/>
    </row>
    <row r="2" spans="1:14" x14ac:dyDescent="0.25">
      <c r="A2" s="24"/>
      <c r="B2" s="24"/>
      <c r="C2" s="24"/>
      <c r="D2" s="24"/>
      <c r="E2" s="1"/>
      <c r="F2" s="1"/>
      <c r="G2" s="1"/>
      <c r="H2" s="1"/>
      <c r="I2" s="1"/>
      <c r="J2" s="1"/>
    </row>
    <row r="3" spans="1:14" x14ac:dyDescent="0.25">
      <c r="A3" s="24" t="s">
        <v>14</v>
      </c>
      <c r="B3" s="24"/>
      <c r="C3" s="24"/>
      <c r="D3" s="24"/>
      <c r="E3" s="1"/>
      <c r="F3" s="1"/>
      <c r="G3" s="1"/>
      <c r="H3" s="1"/>
      <c r="I3" s="1"/>
      <c r="J3" s="1"/>
    </row>
    <row r="4" spans="1:14" ht="15.75" thickBot="1" x14ac:dyDescent="0.3">
      <c r="A4" s="1"/>
      <c r="B4" s="1"/>
      <c r="C4" s="1"/>
      <c r="D4" s="1"/>
      <c r="E4" s="1"/>
      <c r="F4" s="1"/>
      <c r="G4" s="1"/>
      <c r="H4" s="1"/>
      <c r="I4" s="1"/>
      <c r="J4" s="1"/>
    </row>
    <row r="5" spans="1:14" ht="26.25" thickBot="1" x14ac:dyDescent="0.3">
      <c r="A5" s="125" t="s">
        <v>0</v>
      </c>
      <c r="B5" s="125" t="s">
        <v>119</v>
      </c>
      <c r="C5" s="125"/>
      <c r="D5" s="125" t="s">
        <v>120</v>
      </c>
      <c r="E5" s="125"/>
      <c r="F5" s="125" t="s">
        <v>121</v>
      </c>
      <c r="G5" s="125"/>
      <c r="H5" s="97" t="s">
        <v>4</v>
      </c>
      <c r="I5" s="98" t="s">
        <v>122</v>
      </c>
      <c r="J5" s="125" t="s">
        <v>15</v>
      </c>
      <c r="K5" s="122" t="s">
        <v>127</v>
      </c>
      <c r="L5" s="123"/>
      <c r="M5" s="123"/>
      <c r="N5" s="124"/>
    </row>
    <row r="6" spans="1:14" ht="26.25" thickBot="1" x14ac:dyDescent="0.3">
      <c r="A6" s="125"/>
      <c r="B6" s="23" t="s">
        <v>2</v>
      </c>
      <c r="C6" s="23" t="s">
        <v>3</v>
      </c>
      <c r="D6" s="23" t="s">
        <v>2</v>
      </c>
      <c r="E6" s="23" t="s">
        <v>3</v>
      </c>
      <c r="F6" s="23" t="s">
        <v>2</v>
      </c>
      <c r="G6" s="23" t="s">
        <v>3</v>
      </c>
      <c r="H6" s="23"/>
      <c r="I6" s="23"/>
      <c r="J6" s="125"/>
      <c r="K6" s="112" t="s">
        <v>123</v>
      </c>
      <c r="L6" s="112" t="s">
        <v>33</v>
      </c>
      <c r="M6" s="113" t="s">
        <v>34</v>
      </c>
      <c r="N6" s="114" t="s">
        <v>1</v>
      </c>
    </row>
    <row r="7" spans="1:14" ht="35.25" customHeight="1" thickBot="1" x14ac:dyDescent="0.3">
      <c r="A7" s="22" t="s">
        <v>112</v>
      </c>
      <c r="B7" s="15">
        <v>55440</v>
      </c>
      <c r="C7" s="15">
        <v>23760</v>
      </c>
      <c r="D7" s="18"/>
      <c r="E7" s="18"/>
      <c r="F7" s="15">
        <v>179976</v>
      </c>
      <c r="G7" s="15">
        <v>77132</v>
      </c>
      <c r="H7" s="15">
        <f>F7+B7</f>
        <v>235416</v>
      </c>
      <c r="I7" s="15">
        <f t="shared" ref="I7:I16" si="0">C7+E7+G7</f>
        <v>100892</v>
      </c>
      <c r="J7" s="15">
        <f t="shared" ref="J7:J16" si="1">+H7+I7</f>
        <v>336308</v>
      </c>
      <c r="K7" s="25">
        <v>37949.970000000008</v>
      </c>
      <c r="L7" s="28">
        <f>43856928*30%/599.595</f>
        <v>21943.275711104994</v>
      </c>
      <c r="M7" s="25">
        <f>+'[1]FI 142a-TF PSR - Aggregate Valu'!$P$15</f>
        <v>23480</v>
      </c>
      <c r="N7" s="25">
        <f>K7+L7+M7</f>
        <v>83373.245711105003</v>
      </c>
    </row>
    <row r="8" spans="1:14" ht="30" customHeight="1" thickBot="1" x14ac:dyDescent="0.3">
      <c r="A8" s="19" t="s">
        <v>16</v>
      </c>
      <c r="B8" s="15">
        <v>70000</v>
      </c>
      <c r="C8" s="15">
        <v>30000</v>
      </c>
      <c r="D8" s="18"/>
      <c r="E8" s="18"/>
      <c r="F8" s="15">
        <v>31808</v>
      </c>
      <c r="G8" s="15">
        <v>13632</v>
      </c>
      <c r="H8" s="15">
        <f>F8+B8</f>
        <v>101808</v>
      </c>
      <c r="I8" s="15">
        <f t="shared" si="0"/>
        <v>43632</v>
      </c>
      <c r="J8" s="15">
        <f t="shared" si="1"/>
        <v>145440</v>
      </c>
      <c r="K8" s="25">
        <v>8460.1799999999985</v>
      </c>
      <c r="L8" s="28">
        <f>1699</f>
        <v>1699</v>
      </c>
      <c r="M8" s="25">
        <f>+'[1]FI 142a-TF PSR - Aggregate Valu'!$P$19</f>
        <v>12213</v>
      </c>
      <c r="N8" s="25">
        <f t="shared" ref="N8:N16" si="2">K8+L8+M8</f>
        <v>22372.18</v>
      </c>
    </row>
    <row r="9" spans="1:14" ht="36.75" customHeight="1" thickBot="1" x14ac:dyDescent="0.3">
      <c r="A9" s="19" t="s">
        <v>17</v>
      </c>
      <c r="B9" s="15">
        <f>100000*0.7</f>
        <v>70000</v>
      </c>
      <c r="C9" s="15">
        <v>30000</v>
      </c>
      <c r="D9" s="18">
        <v>105000</v>
      </c>
      <c r="E9" s="18">
        <v>45000</v>
      </c>
      <c r="F9" s="15">
        <v>3531</v>
      </c>
      <c r="G9" s="15">
        <v>1513</v>
      </c>
      <c r="H9" s="15">
        <f>F9+B9+D9</f>
        <v>178531</v>
      </c>
      <c r="I9" s="15">
        <f t="shared" si="0"/>
        <v>76513</v>
      </c>
      <c r="J9" s="15">
        <f t="shared" si="1"/>
        <v>255044</v>
      </c>
      <c r="K9" s="25"/>
      <c r="L9" s="28"/>
      <c r="M9" s="25">
        <f>+'[1]FI 142a-TF PSR - Aggregate Valu'!$P$20</f>
        <v>1097</v>
      </c>
      <c r="N9" s="25">
        <f t="shared" si="2"/>
        <v>1097</v>
      </c>
    </row>
    <row r="10" spans="1:14" ht="25.5" customHeight="1" thickBot="1" x14ac:dyDescent="0.3">
      <c r="A10" s="19" t="s">
        <v>18</v>
      </c>
      <c r="B10" s="15">
        <v>28000</v>
      </c>
      <c r="C10" s="15">
        <v>12000</v>
      </c>
      <c r="D10" s="18">
        <v>62999.999999999993</v>
      </c>
      <c r="E10" s="18">
        <v>27000.000000000007</v>
      </c>
      <c r="F10" s="15">
        <v>73500</v>
      </c>
      <c r="G10" s="15">
        <v>31500</v>
      </c>
      <c r="H10" s="15">
        <f>F10+B10+D10</f>
        <v>164500</v>
      </c>
      <c r="I10" s="15">
        <f t="shared" si="0"/>
        <v>70500</v>
      </c>
      <c r="J10" s="15">
        <f t="shared" si="1"/>
        <v>235000</v>
      </c>
      <c r="K10" s="25">
        <v>200</v>
      </c>
      <c r="L10" s="28">
        <v>0</v>
      </c>
      <c r="M10" s="25"/>
      <c r="N10" s="25">
        <f t="shared" si="2"/>
        <v>200</v>
      </c>
    </row>
    <row r="11" spans="1:14" ht="24" customHeight="1" thickBot="1" x14ac:dyDescent="0.3">
      <c r="A11" s="19" t="s">
        <v>19</v>
      </c>
      <c r="B11" s="15">
        <f>39000*0.7</f>
        <v>27300</v>
      </c>
      <c r="C11" s="15">
        <f>39000*0.3</f>
        <v>11700</v>
      </c>
      <c r="D11" s="18">
        <v>6648</v>
      </c>
      <c r="E11" s="18"/>
      <c r="F11" s="15">
        <v>47600</v>
      </c>
      <c r="G11" s="15">
        <v>20400</v>
      </c>
      <c r="H11" s="15">
        <f>F11+B11</f>
        <v>74900</v>
      </c>
      <c r="I11" s="15">
        <f t="shared" si="0"/>
        <v>32100</v>
      </c>
      <c r="J11" s="15">
        <f t="shared" si="1"/>
        <v>107000</v>
      </c>
      <c r="K11" s="25">
        <v>12499.71</v>
      </c>
      <c r="L11" s="28">
        <f>20720289*30%/599.595</f>
        <v>10367.14232106672</v>
      </c>
      <c r="M11" s="25">
        <f>+'[1]FI 142a-TF PSR - Aggregate Valu'!$P$17</f>
        <v>13043</v>
      </c>
      <c r="N11" s="25">
        <f t="shared" si="2"/>
        <v>35909.852321066719</v>
      </c>
    </row>
    <row r="12" spans="1:14" ht="44.25" customHeight="1" thickBot="1" x14ac:dyDescent="0.3">
      <c r="A12" s="19" t="s">
        <v>20</v>
      </c>
      <c r="B12" s="15">
        <v>260120</v>
      </c>
      <c r="C12" s="15">
        <v>111480</v>
      </c>
      <c r="D12" s="18">
        <v>170531</v>
      </c>
      <c r="E12" s="18">
        <v>83799</v>
      </c>
      <c r="F12" s="15">
        <v>456854</v>
      </c>
      <c r="G12" s="15">
        <v>195794</v>
      </c>
      <c r="H12" s="15">
        <f>F12+B12+D12</f>
        <v>887505</v>
      </c>
      <c r="I12" s="15">
        <f t="shared" si="0"/>
        <v>391073</v>
      </c>
      <c r="J12" s="15">
        <f t="shared" si="1"/>
        <v>1278578</v>
      </c>
      <c r="K12" s="25">
        <v>183161.48</v>
      </c>
      <c r="L12" s="28">
        <v>412591</v>
      </c>
      <c r="M12" s="25">
        <f>+'[1]FI 142a-TF PSR - Aggregate Valu'!$P$16</f>
        <v>638330</v>
      </c>
      <c r="N12" s="25">
        <f t="shared" si="2"/>
        <v>1234082.48</v>
      </c>
    </row>
    <row r="13" spans="1:14" ht="35.25" customHeight="1" thickBot="1" x14ac:dyDescent="0.3">
      <c r="A13" s="19" t="s">
        <v>21</v>
      </c>
      <c r="B13" s="15">
        <f>87957*0.7</f>
        <v>61569.899999999994</v>
      </c>
      <c r="C13" s="15">
        <f>87957*0.3</f>
        <v>26387.1</v>
      </c>
      <c r="D13" s="18">
        <v>63699.999999999993</v>
      </c>
      <c r="E13" s="18">
        <v>19436</v>
      </c>
      <c r="F13" s="15">
        <v>188040</v>
      </c>
      <c r="G13" s="15">
        <v>80589</v>
      </c>
      <c r="H13" s="15">
        <f>F13+B13+D13</f>
        <v>313309.89999999997</v>
      </c>
      <c r="I13" s="15">
        <f t="shared" si="0"/>
        <v>126412.1</v>
      </c>
      <c r="J13" s="15">
        <f t="shared" si="1"/>
        <v>439722</v>
      </c>
      <c r="K13" s="25">
        <v>25544</v>
      </c>
      <c r="L13" s="28">
        <v>0</v>
      </c>
      <c r="M13" s="25">
        <f>+'[1]FI 142a-TF PSR - Aggregate Valu'!$P$18+'[1]FI 142a-TF PSR - Aggregate Valu'!$P$22+'[1]FI 142a-TF PSR - Aggregate Valu'!$P$24</f>
        <v>54507</v>
      </c>
      <c r="N13" s="25">
        <f t="shared" si="2"/>
        <v>80051</v>
      </c>
    </row>
    <row r="14" spans="1:14" ht="15.75" thickBot="1" x14ac:dyDescent="0.3">
      <c r="A14" s="17" t="s">
        <v>22</v>
      </c>
      <c r="B14" s="21">
        <f>SUM(B7:B13)</f>
        <v>572429.9</v>
      </c>
      <c r="C14" s="21">
        <f>SUM(C7:C13)</f>
        <v>245327.1</v>
      </c>
      <c r="D14" s="20">
        <f>SUM(D9:D13)</f>
        <v>408879</v>
      </c>
      <c r="E14" s="20">
        <f>SUM(E7:E13)</f>
        <v>175235</v>
      </c>
      <c r="F14" s="16">
        <f>SUM(F7:F13)-1</f>
        <v>981308</v>
      </c>
      <c r="G14" s="16">
        <f>SUM(G7:G13)</f>
        <v>420560</v>
      </c>
      <c r="H14" s="15">
        <f>F14+B14+D14</f>
        <v>1962616.9</v>
      </c>
      <c r="I14" s="15">
        <f t="shared" si="0"/>
        <v>841122.1</v>
      </c>
      <c r="J14" s="15">
        <f t="shared" si="1"/>
        <v>2803739</v>
      </c>
      <c r="K14" s="26">
        <f>SUM(K7:K13)</f>
        <v>267815.34000000003</v>
      </c>
      <c r="L14" s="28">
        <f>SUM(L7:L13)</f>
        <v>446600.41803217173</v>
      </c>
      <c r="M14" s="27">
        <f>SUM(M7:M13)</f>
        <v>742670</v>
      </c>
      <c r="N14" s="25">
        <f t="shared" si="2"/>
        <v>1457085.7580321718</v>
      </c>
    </row>
    <row r="15" spans="1:14" ht="15.75" thickBot="1" x14ac:dyDescent="0.3">
      <c r="A15" s="19" t="s">
        <v>23</v>
      </c>
      <c r="B15" s="15">
        <f>57243*0.7</f>
        <v>40070.1</v>
      </c>
      <c r="C15" s="15">
        <f>57243*0.3</f>
        <v>17172.899999999998</v>
      </c>
      <c r="D15" s="15">
        <f>+D14*0.07-1</f>
        <v>28620.530000000002</v>
      </c>
      <c r="E15" s="15">
        <f>+E14*0.07-1</f>
        <v>12265.45</v>
      </c>
      <c r="F15" s="15">
        <v>68692</v>
      </c>
      <c r="G15" s="15">
        <v>29440</v>
      </c>
      <c r="H15" s="15">
        <f>F15+B15+D15</f>
        <v>137382.63</v>
      </c>
      <c r="I15" s="15">
        <f t="shared" si="0"/>
        <v>58878.35</v>
      </c>
      <c r="J15" s="15">
        <f t="shared" si="1"/>
        <v>196260.98</v>
      </c>
      <c r="K15" s="25">
        <f>K14*7%</f>
        <v>18747.073800000002</v>
      </c>
      <c r="L15" s="28">
        <f>L14*7%</f>
        <v>31262.029262252025</v>
      </c>
      <c r="M15" s="25">
        <f>M14*7%</f>
        <v>51986.9</v>
      </c>
      <c r="N15" s="25">
        <f t="shared" si="2"/>
        <v>101996.00306225203</v>
      </c>
    </row>
    <row r="16" spans="1:14" ht="15.75" thickBot="1" x14ac:dyDescent="0.3">
      <c r="A16" s="17" t="s">
        <v>1</v>
      </c>
      <c r="B16" s="16">
        <f>B14+B15</f>
        <v>612500</v>
      </c>
      <c r="C16" s="16">
        <f>C14+C15</f>
        <v>262500</v>
      </c>
      <c r="D16" s="16">
        <f>D14+D15</f>
        <v>437499.53</v>
      </c>
      <c r="E16" s="16">
        <f>SUM(E14:E15)</f>
        <v>187500.45</v>
      </c>
      <c r="F16" s="16">
        <f>F14+F15</f>
        <v>1050000</v>
      </c>
      <c r="G16" s="16">
        <f>G14+G15</f>
        <v>450000</v>
      </c>
      <c r="H16" s="15">
        <f>SUM(H14:H15)</f>
        <v>2099999.5299999998</v>
      </c>
      <c r="I16" s="15">
        <f t="shared" si="0"/>
        <v>900000.45</v>
      </c>
      <c r="J16" s="15">
        <f t="shared" si="1"/>
        <v>2999999.9799999995</v>
      </c>
      <c r="K16" s="29">
        <f>SUM(K14:K15)</f>
        <v>286562.41380000004</v>
      </c>
      <c r="L16" s="30">
        <f>SUM(L14:L15)</f>
        <v>477862.44729442376</v>
      </c>
      <c r="M16" s="29">
        <f>SUM(M14:M15)</f>
        <v>794656.9</v>
      </c>
      <c r="N16" s="111">
        <f t="shared" si="2"/>
        <v>1559081.7610944239</v>
      </c>
    </row>
    <row r="17" spans="1:14" x14ac:dyDescent="0.25">
      <c r="A17" s="1"/>
      <c r="B17" s="1"/>
      <c r="C17" s="14">
        <f>C16+B16</f>
        <v>875000</v>
      </c>
      <c r="D17" s="14"/>
      <c r="E17" s="14">
        <f>E16+D16</f>
        <v>624999.98</v>
      </c>
      <c r="F17" s="1"/>
      <c r="G17" s="14">
        <f>F16+G16</f>
        <v>1500000</v>
      </c>
      <c r="H17" s="1"/>
      <c r="I17" s="1"/>
      <c r="J17" s="13"/>
      <c r="K17" s="1"/>
      <c r="L17" s="1"/>
      <c r="M17" s="1"/>
      <c r="N17" s="1"/>
    </row>
    <row r="18" spans="1:14" x14ac:dyDescent="0.25">
      <c r="A18" s="13"/>
      <c r="B18" s="13"/>
      <c r="C18" s="13"/>
      <c r="D18" s="110" t="s">
        <v>123</v>
      </c>
      <c r="E18" s="13"/>
      <c r="F18" s="13"/>
      <c r="G18" s="110" t="s">
        <v>124</v>
      </c>
      <c r="H18" s="13"/>
      <c r="I18" s="13"/>
      <c r="J18" s="13"/>
      <c r="K18" s="110" t="s">
        <v>125</v>
      </c>
      <c r="L18" s="13"/>
      <c r="M18" s="13"/>
      <c r="N18" s="110" t="s">
        <v>126</v>
      </c>
    </row>
    <row r="19" spans="1:14" x14ac:dyDescent="0.25">
      <c r="A19" s="90" t="s">
        <v>117</v>
      </c>
      <c r="B19" s="90"/>
      <c r="C19" s="90"/>
      <c r="D19" s="92">
        <f>K16/C17</f>
        <v>0.32749990148571434</v>
      </c>
      <c r="E19" s="90"/>
      <c r="F19" s="90"/>
      <c r="G19" s="92">
        <f>L16/E17</f>
        <v>0.76457994013763608</v>
      </c>
      <c r="H19" s="90"/>
      <c r="I19" s="90"/>
      <c r="J19" s="90"/>
      <c r="K19" s="92">
        <f>M16/G17</f>
        <v>0.52977126666666663</v>
      </c>
      <c r="L19" s="90"/>
      <c r="M19" s="90"/>
      <c r="N19" s="92">
        <f>N16/J16</f>
        <v>0.51969392382943425</v>
      </c>
    </row>
    <row r="20" spans="1:14" x14ac:dyDescent="0.25">
      <c r="A20" s="90" t="s">
        <v>118</v>
      </c>
      <c r="B20" s="93"/>
      <c r="C20" s="93"/>
      <c r="D20" s="92">
        <f>K16/B16</f>
        <v>0.46785700212244902</v>
      </c>
      <c r="E20" s="90"/>
      <c r="F20" s="90"/>
      <c r="G20" s="92">
        <f>L16/D16</f>
        <v>1.0922581957846302</v>
      </c>
      <c r="H20" s="90"/>
      <c r="I20" s="90"/>
      <c r="J20" s="90"/>
      <c r="K20" s="92">
        <f>M16/F16</f>
        <v>0.75681609523809523</v>
      </c>
      <c r="L20" s="90"/>
      <c r="M20" s="90"/>
      <c r="N20" s="92">
        <f>N16/H16</f>
        <v>0.74242005239611841</v>
      </c>
    </row>
  </sheetData>
  <mergeCells count="6">
    <mergeCell ref="K5:N5"/>
    <mergeCell ref="A5:A6"/>
    <mergeCell ref="B5:C5"/>
    <mergeCell ref="D5:E5"/>
    <mergeCell ref="F5:G5"/>
    <mergeCell ref="J5:J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par activités</vt:lpstr>
      <vt:lpstr>par categorie</vt:lpstr>
      <vt:lpstr>'par activités'!New_Print</vt:lpstr>
      <vt:lpstr>'par activités'!Zone_d_impression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Hamsatou</cp:lastModifiedBy>
  <cp:lastPrinted>2019-06-11T11:32:00Z</cp:lastPrinted>
  <dcterms:created xsi:type="dcterms:W3CDTF">2017-11-15T21:17:43Z</dcterms:created>
  <dcterms:modified xsi:type="dcterms:W3CDTF">2019-11-27T12:55:17Z</dcterms:modified>
</cp:coreProperties>
</file>