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t_provider\Documents\PBF\Rapport semestriel Juin2019\ARSSAM\"/>
    </mc:Choice>
  </mc:AlternateContent>
  <xr:revisionPtr revIDLastSave="0" documentId="8_{55526F1F-6C67-4AC7-8231-BA4C2C80BD8B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B8" i="2" l="1"/>
  <c r="B14" i="2"/>
  <c r="B12" i="2"/>
  <c r="B6" i="2"/>
  <c r="B9" i="2"/>
  <c r="B7" i="2" l="1"/>
  <c r="F11" i="2" l="1"/>
  <c r="F8" i="2"/>
  <c r="M73" i="1" l="1"/>
  <c r="M66" i="1"/>
  <c r="H69" i="1"/>
  <c r="G66" i="1" l="1"/>
  <c r="J66" i="1" l="1"/>
  <c r="K66" i="1"/>
  <c r="L66" i="1"/>
  <c r="J61" i="1"/>
  <c r="J71" i="1" s="1"/>
  <c r="K61" i="1"/>
  <c r="K71" i="1" s="1"/>
  <c r="L61" i="1"/>
  <c r="L71" i="1" s="1"/>
  <c r="M61" i="1"/>
  <c r="J55" i="1"/>
  <c r="K55" i="1"/>
  <c r="L55" i="1"/>
  <c r="M55" i="1"/>
  <c r="J52" i="1"/>
  <c r="K52" i="1"/>
  <c r="L52" i="1"/>
  <c r="M52" i="1"/>
  <c r="J46" i="1"/>
  <c r="K46" i="1"/>
  <c r="L46" i="1"/>
  <c r="M46" i="1"/>
  <c r="M59" i="1" s="1"/>
  <c r="J39" i="1"/>
  <c r="K39" i="1"/>
  <c r="L39" i="1"/>
  <c r="M39" i="1"/>
  <c r="J31" i="1"/>
  <c r="K31" i="1"/>
  <c r="L31" i="1"/>
  <c r="M31" i="1"/>
  <c r="J26" i="1"/>
  <c r="K26" i="1"/>
  <c r="L26" i="1"/>
  <c r="M26" i="1"/>
  <c r="J20" i="1"/>
  <c r="K20" i="1"/>
  <c r="L20" i="1"/>
  <c r="M20" i="1"/>
  <c r="J12" i="1"/>
  <c r="K12" i="1"/>
  <c r="L12" i="1"/>
  <c r="M12" i="1"/>
  <c r="J9" i="1"/>
  <c r="K9" i="1"/>
  <c r="L9" i="1"/>
  <c r="M9" i="1"/>
  <c r="J59" i="1" l="1"/>
  <c r="K59" i="1"/>
  <c r="J24" i="1"/>
  <c r="L59" i="1"/>
  <c r="L24" i="1"/>
  <c r="K24" i="1"/>
  <c r="M24" i="1"/>
  <c r="M71" i="1"/>
  <c r="I21" i="1"/>
  <c r="I22" i="1"/>
  <c r="I76" i="1"/>
  <c r="I50" i="1"/>
  <c r="I43" i="1"/>
  <c r="I73" i="1"/>
  <c r="I72" i="1"/>
  <c r="I62" i="1"/>
  <c r="I58" i="1"/>
  <c r="I53" i="1"/>
  <c r="I40" i="1"/>
  <c r="N34" i="1"/>
  <c r="D31" i="1"/>
  <c r="E31" i="1"/>
  <c r="F31" i="1"/>
  <c r="G31" i="1"/>
  <c r="H31" i="1"/>
  <c r="I32" i="1"/>
  <c r="I19" i="1"/>
  <c r="I18" i="1"/>
  <c r="I17" i="1"/>
  <c r="I11" i="1"/>
  <c r="I10" i="1"/>
  <c r="C73" i="1"/>
  <c r="D46" i="1"/>
  <c r="E46" i="1"/>
  <c r="F46" i="1"/>
  <c r="G46" i="1"/>
  <c r="C46" i="1"/>
  <c r="C31" i="1"/>
  <c r="C18" i="1"/>
  <c r="B13" i="2" l="1"/>
  <c r="B15" i="2" s="1"/>
  <c r="C13" i="2"/>
  <c r="D13" i="2"/>
  <c r="E13" i="2"/>
  <c r="I48" i="1" l="1"/>
  <c r="I33" i="1"/>
  <c r="I31" i="1" s="1"/>
  <c r="I15" i="1"/>
  <c r="H71" i="1"/>
  <c r="H44" i="1"/>
  <c r="H24" i="1"/>
  <c r="O24" i="1"/>
  <c r="F12" i="2" l="1"/>
  <c r="M35" i="1"/>
  <c r="M75" i="1" l="1"/>
  <c r="M77" i="1" s="1"/>
  <c r="M44" i="1"/>
  <c r="F13" i="2"/>
  <c r="F15" i="2" s="1"/>
  <c r="I15" i="2" s="1"/>
  <c r="D15" i="2"/>
  <c r="K35" i="1"/>
  <c r="K75" i="1" l="1"/>
  <c r="K77" i="1" s="1"/>
  <c r="K78" i="1" s="1"/>
  <c r="K44" i="1"/>
  <c r="G7" i="2"/>
  <c r="G8" i="2"/>
  <c r="G9" i="2"/>
  <c r="G10" i="2"/>
  <c r="G11" i="2"/>
  <c r="G12" i="2"/>
  <c r="G6" i="2"/>
  <c r="J75" i="1" l="1"/>
  <c r="J77" i="1" s="1"/>
  <c r="J78" i="1" s="1"/>
  <c r="J44" i="1"/>
  <c r="G13" i="2"/>
  <c r="E15" i="2" l="1"/>
  <c r="G14" i="2"/>
  <c r="G61" i="1"/>
  <c r="G55" i="1"/>
  <c r="G59" i="1" s="1"/>
  <c r="G52" i="1"/>
  <c r="G39" i="1"/>
  <c r="G35" i="1"/>
  <c r="G26" i="1"/>
  <c r="G20" i="1"/>
  <c r="G12" i="1"/>
  <c r="G9" i="1"/>
  <c r="G75" i="1" l="1"/>
  <c r="G44" i="1"/>
  <c r="G24" i="1"/>
  <c r="D35" i="1"/>
  <c r="C15" i="2" l="1"/>
  <c r="D9" i="1"/>
  <c r="E9" i="1"/>
  <c r="F9" i="1"/>
  <c r="D12" i="1"/>
  <c r="E12" i="1"/>
  <c r="F12" i="1"/>
  <c r="D20" i="1"/>
  <c r="E20" i="1"/>
  <c r="F20" i="1"/>
  <c r="D26" i="1"/>
  <c r="E26" i="1"/>
  <c r="E44" i="1" s="1"/>
  <c r="F26" i="1"/>
  <c r="E35" i="1"/>
  <c r="F35" i="1"/>
  <c r="D39" i="1"/>
  <c r="E39" i="1"/>
  <c r="F39" i="1"/>
  <c r="D55" i="1"/>
  <c r="E55" i="1"/>
  <c r="F55" i="1"/>
  <c r="D52" i="1"/>
  <c r="E52" i="1"/>
  <c r="F52" i="1"/>
  <c r="F59" i="1" s="1"/>
  <c r="E59" i="1" l="1"/>
  <c r="D44" i="1"/>
  <c r="E24" i="1"/>
  <c r="F24" i="1"/>
  <c r="D59" i="1"/>
  <c r="D24" i="1"/>
  <c r="F44" i="1"/>
  <c r="G15" i="2"/>
  <c r="C9" i="1"/>
  <c r="N14" i="1" l="1"/>
  <c r="N19" i="1"/>
  <c r="N27" i="1"/>
  <c r="N28" i="1"/>
  <c r="N29" i="1"/>
  <c r="N30" i="1"/>
  <c r="N36" i="1"/>
  <c r="N37" i="1"/>
  <c r="N38" i="1"/>
  <c r="N41" i="1"/>
  <c r="N42" i="1"/>
  <c r="N45" i="1"/>
  <c r="N47" i="1"/>
  <c r="N49" i="1"/>
  <c r="N50" i="1"/>
  <c r="N54" i="1"/>
  <c r="N56" i="1"/>
  <c r="N57" i="1"/>
  <c r="N58" i="1"/>
  <c r="N64" i="1"/>
  <c r="N65" i="1"/>
  <c r="N67" i="1"/>
  <c r="N68" i="1"/>
  <c r="N69" i="1"/>
  <c r="N70" i="1"/>
  <c r="N73" i="1"/>
  <c r="N74" i="1"/>
  <c r="D66" i="1"/>
  <c r="D61" i="1"/>
  <c r="H55" i="1"/>
  <c r="I55" i="1"/>
  <c r="L35" i="1"/>
  <c r="L75" i="1" l="1"/>
  <c r="L77" i="1" s="1"/>
  <c r="L78" i="1" s="1"/>
  <c r="L44" i="1"/>
  <c r="H75" i="1"/>
  <c r="H59" i="1"/>
  <c r="D71" i="1"/>
  <c r="D75" i="1"/>
  <c r="D76" i="1" s="1"/>
  <c r="N55" i="1"/>
  <c r="N76" i="1"/>
  <c r="I66" i="1"/>
  <c r="N66" i="1" s="1"/>
  <c r="N63" i="1"/>
  <c r="N62" i="1"/>
  <c r="I61" i="1"/>
  <c r="N53" i="1"/>
  <c r="N48" i="1"/>
  <c r="I46" i="1"/>
  <c r="N43" i="1"/>
  <c r="N40" i="1"/>
  <c r="I35" i="1"/>
  <c r="N35" i="1" s="1"/>
  <c r="N33" i="1"/>
  <c r="N32" i="1"/>
  <c r="I26" i="1"/>
  <c r="N26" i="1" s="1"/>
  <c r="N23" i="1"/>
  <c r="N22" i="1"/>
  <c r="N21" i="1"/>
  <c r="N18" i="1"/>
  <c r="N17" i="1"/>
  <c r="I16" i="1"/>
  <c r="N16" i="1" s="1"/>
  <c r="I13" i="1"/>
  <c r="N13" i="1" s="1"/>
  <c r="N11" i="1"/>
  <c r="C66" i="1"/>
  <c r="C61" i="1"/>
  <c r="C71" i="1" s="1"/>
  <c r="C55" i="1"/>
  <c r="C52" i="1"/>
  <c r="C59" i="1" s="1"/>
  <c r="C39" i="1"/>
  <c r="C35" i="1"/>
  <c r="C26" i="1"/>
  <c r="C20" i="1"/>
  <c r="C12" i="1"/>
  <c r="C44" i="1" l="1"/>
  <c r="C75" i="1"/>
  <c r="C77" i="1" s="1"/>
  <c r="C24" i="1"/>
  <c r="N61" i="1"/>
  <c r="N71" i="1" s="1"/>
  <c r="I71" i="1"/>
  <c r="N46" i="1"/>
  <c r="N72" i="1"/>
  <c r="I9" i="1"/>
  <c r="N10" i="1"/>
  <c r="I39" i="1"/>
  <c r="N39" i="1" s="1"/>
  <c r="I12" i="1"/>
  <c r="N12" i="1" s="1"/>
  <c r="N15" i="1"/>
  <c r="I20" i="1"/>
  <c r="N20" i="1" s="1"/>
  <c r="I52" i="1"/>
  <c r="N52" i="1" s="1"/>
  <c r="I59" i="1" l="1"/>
  <c r="N59" i="1"/>
  <c r="N31" i="1"/>
  <c r="N44" i="1" s="1"/>
  <c r="I44" i="1"/>
  <c r="N9" i="1"/>
  <c r="I75" i="1"/>
  <c r="I24" i="1"/>
  <c r="F66" i="1"/>
  <c r="E66" i="1"/>
  <c r="F61" i="1"/>
  <c r="E61" i="1"/>
  <c r="F71" i="1" l="1"/>
  <c r="F75" i="1"/>
  <c r="F76" i="1" s="1"/>
  <c r="E71" i="1"/>
  <c r="E75" i="1"/>
  <c r="E76" i="1" s="1"/>
  <c r="N24" i="1"/>
  <c r="N75" i="1"/>
  <c r="N77" i="1" s="1"/>
  <c r="N78" i="1" s="1"/>
  <c r="I77" i="1"/>
  <c r="I78" i="1" s="1"/>
  <c r="G71" i="1" l="1"/>
  <c r="G76" i="1"/>
  <c r="G77" i="1" s="1"/>
  <c r="M78" i="1" s="1"/>
</calcChain>
</file>

<file path=xl/sharedStrings.xml><?xml version="1.0" encoding="utf-8"?>
<sst xmlns="http://schemas.openxmlformats.org/spreadsheetml/2006/main" count="164" uniqueCount="164">
  <si>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</si>
  <si>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</si>
  <si>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</si>
  <si>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</si>
  <si>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USD: PNUD</t>
  </si>
  <si>
    <t>Budget par agence recipiendiaire en USD: OIM</t>
  </si>
  <si>
    <t>Budget par agence recipiendiaire en USD: UNICEF</t>
  </si>
  <si>
    <t>Budget par agence recipiendiaire en USD: OHCHR</t>
  </si>
  <si>
    <t>Budget par agence recipiendiaire en USD: UNFPA</t>
  </si>
  <si>
    <t>Pourcentage du budget pour chaque produit ou activite reserve pour action directe sur le genre (cas echeant)</t>
  </si>
  <si>
    <t>Notes quelconque le cas echeant (.e.g sur types des entrants ou justification du budget)</t>
  </si>
  <si>
    <t>Resultat 1: Une vision de la RSS est développée de manière participative, tournée vers la protection des biens et des personnes, et traduite dans des plans d’action inclusifs et réalistes</t>
  </si>
  <si>
    <t>Produit 1.1:</t>
  </si>
  <si>
    <t>Le processus de réforme du secteur de la sécurité dans sa globalité est soutenu techniquement et politiquement, ses enjeux sont compris par les acteurs politiques informés</t>
  </si>
  <si>
    <t>Activite 1.1.1:</t>
  </si>
  <si>
    <t>Appui au CTO-RSS (ou son successeur)</t>
  </si>
  <si>
    <t>Activite 1.1.2:</t>
  </si>
  <si>
    <t>Plaidoyer pour une appropriation efficace de la RSS par les Gouvernants</t>
  </si>
  <si>
    <t>Produit 1.2:</t>
  </si>
  <si>
    <t>Une vision nationale de la sécurité répondant aux réalités des défis sécuritaires sur le territoire malgache est développée et permet une planification et formulation stratégique pour chaque FDS</t>
  </si>
  <si>
    <t>Activite 1.2.1:</t>
  </si>
  <si>
    <t>Revoir les besoins de sécurité du pays</t>
  </si>
  <si>
    <t>Activite 1.2.2:</t>
  </si>
  <si>
    <t>Mener une analyse de la sécurité et de la gestion des frontières</t>
  </si>
  <si>
    <t>Activite 1.2.3:</t>
  </si>
  <si>
    <t>Evaluation et analyse de la législation nationale, des règles et des procédures pour la gestion des armes des FDS et des civils</t>
  </si>
  <si>
    <t>Activité 1.2.4:</t>
  </si>
  <si>
    <t>Harmonisation des textes relatifs à la sécurité communautaire</t>
  </si>
  <si>
    <t>Activité 1.2.5:</t>
  </si>
  <si>
    <t>Faciliter le développement d’une vision nationale de la sécurité</t>
  </si>
  <si>
    <t>Activité 1.2.6:</t>
  </si>
  <si>
    <t>Analyser le système de promotion/sa transparence</t>
  </si>
  <si>
    <t>Activité 1.2.7:</t>
  </si>
  <si>
    <t>Appuyer l’élaboration de plans d’action pour chaque FDS</t>
  </si>
  <si>
    <t>Produit 1.3:</t>
  </si>
  <si>
    <t>La participation et le rôle des femmes dans le secteur de la sécurité sont
Renforcés</t>
  </si>
  <si>
    <t>Activite 1.3.1:</t>
  </si>
  <si>
    <t>Appuyer la réforme des critères de recrutement</t>
  </si>
  <si>
    <t>Activite 1.3.2:</t>
  </si>
  <si>
    <t>Appuyer les associations professionnelles des femmes et les points focaux genre</t>
  </si>
  <si>
    <t>Activite 1.3.3:</t>
  </si>
  <si>
    <t>Développer des lignes directrices relatives aux infrastructures et
réhabiliter une infrastructure pilote</t>
  </si>
  <si>
    <t>TOTAL $ pour Résultat 1:</t>
  </si>
  <si>
    <t>Resultat 2: Les FDS accomplissent leur mandat de manière compétente et professionnelle, grâce au renforcement de leurs compétences et capacités</t>
  </si>
  <si>
    <t>Produit 2.1:</t>
  </si>
  <si>
    <t>Les éléments des FDS sont formés sur les questions d’éthique, déontologie, droits de l’homme, de la femme et des enfants</t>
  </si>
  <si>
    <t>Activite 2.1.1:</t>
  </si>
  <si>
    <t>Appui à la révision et mise à niveau des curricula et des manuels de formations (initiale et continue) des FDS</t>
  </si>
  <si>
    <t>Activite 2.1.2:</t>
  </si>
  <si>
    <t>Formation de deux « Pools de formateurs » pour les formations
initiales et continues sur les questions de Droits de l’Homme</t>
  </si>
  <si>
    <t>Activite 2.1.3:</t>
  </si>
  <si>
    <t>Formation de 14 promotions de FDS sur les questions de droits de
l’homme, et de 300 représentants des FDS en poste</t>
  </si>
  <si>
    <t>Activité 2.1.4:</t>
  </si>
  <si>
    <t>Traduction et vulgarisation du Code Pénal en langue malagasy et
production de manuels de formation</t>
  </si>
  <si>
    <t>Produit 2.2:</t>
  </si>
  <si>
    <t>Les FDS sont sensibilisés et formés sur l’attitude de Police de proximité, pour gérer et traiter avec les citoyens, y compris sur les questions de VBG</t>
  </si>
  <si>
    <t>Activite 2.2.1:</t>
  </si>
  <si>
    <t>Sensibilisation sur le concept de « police de proximité »</t>
  </si>
  <si>
    <t>Activite 2.2.2:</t>
  </si>
  <si>
    <t>Adapter les modules de formation pertinents</t>
  </si>
  <si>
    <t>Produit 2.3:</t>
  </si>
  <si>
    <t>La gestion intégrée des frontières est rendue possible</t>
  </si>
  <si>
    <t>Activite 2.3.1:</t>
  </si>
  <si>
    <t>Sensibilisation aux concepts clés de la gestion intégrée des frontières et mise à disposition des bonnes pratiques</t>
  </si>
  <si>
    <t>Activite 2.3.2:</t>
  </si>
  <si>
    <t>Mise à disposition des infrastructures, des équipements, matériels, et systèmes rendant possible la gestion intégrée de deux espaces frontières pilotes à
Madagascar</t>
  </si>
  <si>
    <t>Activite 2.3.3:</t>
  </si>
  <si>
    <t>Renforcement des capacités des personnels rendant possible la
gestion intégrée de deux espaces frontières pilotes à Madagascar</t>
  </si>
  <si>
    <t>Produit 2.4:</t>
  </si>
  <si>
    <t>Les FDS gèrent plus efficacement leurs stocks d’armes</t>
  </si>
  <si>
    <t>Activité 2.4.1:</t>
  </si>
  <si>
    <t>Formation des FDS responsables du contrôle et de la gestion des
stocks d’armes légères détenues par l’Etat (volet gestion)</t>
  </si>
  <si>
    <t>Activité 2.4.2:</t>
  </si>
  <si>
    <t>Renforcer les capacités des inspecteurs des stocks d’armes (volet contrôle interne)</t>
  </si>
  <si>
    <t>Activité 2.4.3:</t>
  </si>
  <si>
    <t>Mettre à jour les procédures de gestion de stocks d’armes des FDS</t>
  </si>
  <si>
    <t>Activité 2.4.4:</t>
  </si>
  <si>
    <t>Fournir les moyens techniques et les compétences pour un marquage et un enregistrement d’armes selon les standards internationaux (volet traçabilité
et marquage)</t>
  </si>
  <si>
    <t>TOTAL $ pour Resultat 2:</t>
  </si>
  <si>
    <t>Resultat 3: Les mécanismes de contrôle civil et institutionnel sont en place et fonctionnent</t>
  </si>
  <si>
    <t>Produit 3.1:</t>
  </si>
  <si>
    <t>Des mécanismes de contrôle internes aux FDS sont développés et appuyés pour le lancement de leur opérationnalisation</t>
  </si>
  <si>
    <t>Activite 3.1.1:</t>
  </si>
  <si>
    <t>Appuyer le CSED</t>
  </si>
  <si>
    <t>Activite 3.1.2:</t>
  </si>
  <si>
    <t>Evaluer la justice militaire</t>
  </si>
  <si>
    <t>Activite 3.1.3:</t>
  </si>
  <si>
    <t>Elaborer des codes de conduite et d’éthique, et leurs mécanismes</t>
  </si>
  <si>
    <t>Activité 3.1.4:</t>
  </si>
  <si>
    <t>Appuyer la conception d’un mécanisme de dénonciation d’abus</t>
  </si>
  <si>
    <t>Produit 3.2:</t>
  </si>
  <si>
    <t>Les institutions et mécanismes de contrôle étatiques jouent un rôle accru et responsable dans l’exercice de leurs fonctions de contrôle démocratique des forces de défense et de sécurité</t>
  </si>
  <si>
    <t>Activite 3.2.1:</t>
  </si>
  <si>
    <t>Renforcement des capacités des parlementaires et du personnel de l’Assemblée nationale et du Sénat sur la RSS</t>
  </si>
  <si>
    <t>Activite 3.2.2:</t>
  </si>
  <si>
    <t>Formation des membres de la Commission Nationale Indépendante des Droits de l’Homme</t>
  </si>
  <si>
    <t>Produit 3.3:</t>
  </si>
  <si>
    <t>Les mécanismes de contrôle civil jouent un rôle accru et responsable dans l’exercice de leurs fonctions de contrôle démocratique des forces de défense et de sécurité</t>
  </si>
  <si>
    <t>Activite 3.3.1:</t>
  </si>
  <si>
    <t>Une stratégie nationale de communication pour le développement pour la promotion de la paix est élaborée</t>
  </si>
  <si>
    <t>Activite 3.3.2:</t>
  </si>
  <si>
    <t>Formation des OSC et médias (en lien avec le volet médias1 du
Projet 1 soutenu dans le cadre de la Bonne Gouvernance)</t>
  </si>
  <si>
    <t>Activite 3.3.3:</t>
  </si>
  <si>
    <t>Capacités des OSC de jeunes pour le plaidoyer renforcées</t>
  </si>
  <si>
    <t>TOTAL $ pour Resultat 3:</t>
  </si>
  <si>
    <t>Resultat 4: La confiance entre les FDS et la population la plus vulnérable est renforcée, à travers une approche de sécurité communautaire adéquate par les FDS aux préoccupations de la population dans les zones pilotes, y compris des groupes les plus vulnérables.</t>
  </si>
  <si>
    <t>Produit 4.1:</t>
  </si>
  <si>
    <t>Un modèle de sécurité communautaire inclusive et sensible au genre est élaboré, testé et réajusté</t>
  </si>
  <si>
    <t>Activite 4.1.1:</t>
  </si>
  <si>
    <t>Organisations de sessions de dialogue entre les représentants des FDS, des autorités locales et de la société civile (en particulier les organisations de femmes et de jeunes).</t>
  </si>
  <si>
    <t>Activite 4.1.2:</t>
  </si>
  <si>
    <t>Développement d’un modèle de plan de sécurité communautaire</t>
  </si>
  <si>
    <t>Activite 4.1.3:</t>
  </si>
  <si>
    <t>Mise en œuvre conjointe par les corps de sécurité et les communautés des plans de sécurité communautaires</t>
  </si>
  <si>
    <t>Activité 4.1.4:</t>
  </si>
  <si>
    <t>Dotation d’équipement</t>
  </si>
  <si>
    <t>Produit 4.2:</t>
  </si>
  <si>
    <t>La réponse des FDS aux cas de violence basée sur le genre est améliorée en prise en charge et traitement des dossiers</t>
  </si>
  <si>
    <t>Activite 4.2.1:</t>
  </si>
  <si>
    <t>Réactualisation des procédures de prise en compte des victimes de VBG (en lien avec l’objectif 1 de ce projet, sur l’identification et développement de politiques et stratégies)</t>
  </si>
  <si>
    <t>Activite 4.2.2:</t>
  </si>
  <si>
    <t>Vulgarisation des nouvelles procédures opérationnelles standards de prise charge des cas de violences basées</t>
  </si>
  <si>
    <t>Activite 4.2.3:</t>
  </si>
  <si>
    <t>Appui à la fourniture de services de prise en charge des cas de
violences basées sur le genre</t>
  </si>
  <si>
    <t>Activite 4.2.4:</t>
  </si>
  <si>
    <t>Mener une étude sur les violences faites aux femmes lors des raids de dahalos</t>
  </si>
  <si>
    <t>TOTAL $ pour Resultat 4:</t>
  </si>
  <si>
    <t>Cout de personnel du projet si pas inclus dans les activites si-dessus</t>
  </si>
  <si>
    <t>Couts operationnels si pas inclus dans les activites si-dessus</t>
  </si>
  <si>
    <t>Budget S&amp;E du projet</t>
  </si>
  <si>
    <t>SOUS TOTAL DU BUDGET DE PROJET: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</si>
  <si>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</si>
  <si>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</si>
  <si>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</si>
  <si>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</si>
  <si>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</si>
  <si>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</si>
  <si>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</si>
  <si>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</si>
  <si>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</si>
  <si>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</si>
  <si>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</si>
  <si>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</si>
  <si>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</si>
  <si>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</si>
  <si>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>8. Coûts indirects*</t>
  </si>
  <si>
    <t>TOTAL</t>
  </si>
  <si>
    <t>PNUD</t>
  </si>
  <si>
    <t>OIM</t>
  </si>
  <si>
    <t>UNICEF</t>
  </si>
  <si>
    <t>OHCHR</t>
  </si>
  <si>
    <t>UNFPA</t>
  </si>
  <si>
    <t xml:space="preserve">Niveau de depense TOTAL/ engagement actuel en USD (a remplir au moment des rapports de projet) </t>
  </si>
  <si>
    <t>Activité 2.2.3</t>
  </si>
  <si>
    <t>Appui au Bataillon Inter-armes à Ihosy</t>
  </si>
  <si>
    <t>Activité 3.1.5:</t>
  </si>
  <si>
    <t>Renforcer la sécurité de la prison de Tsiafahy</t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</si>
  <si>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PNUD</t>
    </r>
  </si>
  <si>
    <r>
      <t>Niveau de depense/ engagement actuel en USD (a remplir au moment des rapports de projet)</t>
    </r>
    <r>
      <rPr>
        <b/>
        <sz val="11"/>
        <rFont val="Calibri"/>
        <family val="2"/>
      </rPr>
      <t xml:space="preserve"> OIM</t>
    </r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</si>
  <si>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UNICEF</t>
    </r>
  </si>
  <si>
    <r>
      <t>Niveau de depense/ engagement actuel en USD (a remplir au moment des rapports de projet)</t>
    </r>
    <r>
      <rPr>
        <b/>
        <sz val="11"/>
        <rFont val="Calibri"/>
        <family val="2"/>
      </rPr>
      <t xml:space="preserve"> OHCHR</t>
    </r>
  </si>
  <si>
    <r>
      <t xml:space="preserve">Niveau de depense/ engagement actuel en USD (a remplir au moment des rapports de projet) </t>
    </r>
    <r>
      <rPr>
        <b/>
        <sz val="11"/>
        <rFont val="Calibri"/>
        <family val="2"/>
      </rPr>
      <t>UNFPA</t>
    </r>
  </si>
  <si>
    <t>Annexe D - Budget du projet PBF Appui à la Réforme du Secteur de la Sécurité à Madagascar (ARSSAM)</t>
  </si>
  <si>
    <t>Appui à la Réforme du Secteur de la Sécurité à Madagascar (ARSSAM)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</si>
</sst>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3B3B3"/>
        <bgColor rgb="FFBFBFBF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3" fontId="1" fillId="0" borderId="4" xfId="1" applyBorder="1" applyAlignment="1">
      <alignment horizontal="right" vertical="center" wrapText="1"/>
    </xf>
    <xf numFmtId="43" fontId="8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164" fontId="8" fillId="0" borderId="4" xfId="1" applyNumberFormat="1" applyFont="1" applyBorder="1" applyAlignment="1">
      <alignment horizontal="right" vertical="center" wrapText="1"/>
    </xf>
    <xf numFmtId="0" fontId="0" fillId="4" borderId="0" xfId="0" applyFill="1"/>
    <xf numFmtId="43" fontId="0" fillId="0" borderId="0" xfId="0" applyNumberFormat="1"/>
    <xf numFmtId="43" fontId="1" fillId="0" borderId="1" xfId="1" applyBorder="1" applyAlignment="1">
      <alignment horizontal="right" vertical="center" wrapText="1"/>
    </xf>
    <xf numFmtId="43" fontId="1" fillId="0" borderId="3" xfId="1" applyBorder="1" applyAlignment="1">
      <alignment horizontal="center" vertical="center" wrapText="1"/>
    </xf>
    <xf numFmtId="43" fontId="1" fillId="0" borderId="3" xfId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43" fontId="14" fillId="4" borderId="0" xfId="1" applyFont="1" applyFill="1"/>
    <xf numFmtId="0" fontId="15" fillId="4" borderId="0" xfId="0" applyFont="1" applyFill="1"/>
    <xf numFmtId="43" fontId="14" fillId="0" borderId="0" xfId="1" applyFont="1" applyFill="1"/>
    <xf numFmtId="43" fontId="16" fillId="0" borderId="0" xfId="1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3" fontId="19" fillId="4" borderId="2" xfId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43" fontId="19" fillId="4" borderId="4" xfId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43" fontId="19" fillId="0" borderId="4" xfId="1" applyFont="1" applyFill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0" fontId="21" fillId="0" borderId="4" xfId="0" applyNumberFormat="1" applyFont="1" applyBorder="1" applyAlignment="1">
      <alignment horizontal="left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43" fontId="20" fillId="4" borderId="4" xfId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vertical="center" wrapText="1"/>
    </xf>
    <xf numFmtId="10" fontId="15" fillId="0" borderId="4" xfId="0" applyNumberFormat="1" applyFont="1" applyBorder="1" applyAlignment="1">
      <alignment horizontal="left" vertical="center" wrapText="1"/>
    </xf>
    <xf numFmtId="43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3" fontId="20" fillId="4" borderId="1" xfId="1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43" fontId="20" fillId="0" borderId="1" xfId="1" applyFont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43" fontId="19" fillId="4" borderId="4" xfId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43" fontId="19" fillId="4" borderId="0" xfId="1" applyFont="1" applyFill="1"/>
    <xf numFmtId="9" fontId="20" fillId="0" borderId="1" xfId="2" applyFont="1" applyBorder="1"/>
    <xf numFmtId="10" fontId="15" fillId="0" borderId="1" xfId="0" applyNumberFormat="1" applyFont="1" applyBorder="1" applyAlignment="1">
      <alignment horizontal="left" vertical="center" wrapText="1"/>
    </xf>
    <xf numFmtId="43" fontId="19" fillId="0" borderId="1" xfId="1" applyFont="1" applyBorder="1" applyAlignment="1">
      <alignment horizontal="center" vertical="center" wrapText="1"/>
    </xf>
    <xf numFmtId="43" fontId="7" fillId="5" borderId="4" xfId="1" applyFont="1" applyFill="1" applyBorder="1" applyAlignment="1">
      <alignment horizontal="right" vertical="center" wrapText="1"/>
    </xf>
    <xf numFmtId="43" fontId="11" fillId="6" borderId="6" xfId="0" applyNumberFormat="1" applyFont="1" applyFill="1" applyBorder="1" applyAlignment="1">
      <alignment horizontal="center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43" fontId="20" fillId="7" borderId="4" xfId="1" applyFont="1" applyFill="1" applyBorder="1" applyAlignment="1">
      <alignment horizontal="center" vertical="center" wrapText="1"/>
    </xf>
    <xf numFmtId="43" fontId="19" fillId="7" borderId="4" xfId="1" applyFont="1" applyFill="1" applyBorder="1" applyAlignment="1">
      <alignment horizontal="center" vertical="center" wrapText="1"/>
    </xf>
    <xf numFmtId="43" fontId="18" fillId="7" borderId="1" xfId="0" applyNumberFormat="1" applyFont="1" applyFill="1" applyBorder="1" applyAlignment="1">
      <alignment vertical="center" wrapText="1"/>
    </xf>
    <xf numFmtId="43" fontId="19" fillId="7" borderId="1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horizontal="center" vertical="center" wrapText="1"/>
    </xf>
    <xf numFmtId="43" fontId="20" fillId="7" borderId="1" xfId="1" applyFont="1" applyFill="1" applyBorder="1" applyAlignment="1">
      <alignment vertical="center" wrapText="1"/>
    </xf>
    <xf numFmtId="9" fontId="20" fillId="7" borderId="1" xfId="2" applyFont="1" applyFill="1" applyBorder="1"/>
    <xf numFmtId="0" fontId="18" fillId="8" borderId="0" xfId="0" applyFont="1" applyFill="1"/>
    <xf numFmtId="43" fontId="15" fillId="4" borderId="4" xfId="0" applyNumberFormat="1" applyFont="1" applyFill="1" applyBorder="1" applyAlignment="1">
      <alignment vertical="center" wrapText="1"/>
    </xf>
    <xf numFmtId="43" fontId="18" fillId="4" borderId="1" xfId="0" applyNumberFormat="1" applyFont="1" applyFill="1" applyBorder="1" applyAlignment="1">
      <alignment vertical="center" wrapText="1"/>
    </xf>
    <xf numFmtId="9" fontId="14" fillId="4" borderId="0" xfId="2" applyFont="1" applyFill="1"/>
    <xf numFmtId="43" fontId="20" fillId="0" borderId="4" xfId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vertical="center" wrapText="1"/>
    </xf>
    <xf numFmtId="43" fontId="19" fillId="0" borderId="1" xfId="1" applyFont="1" applyFill="1" applyBorder="1" applyAlignment="1">
      <alignment vertical="center" wrapText="1"/>
    </xf>
    <xf numFmtId="43" fontId="19" fillId="0" borderId="4" xfId="1" applyFont="1" applyFill="1" applyBorder="1" applyAlignment="1">
      <alignment vertical="center" wrapText="1"/>
    </xf>
    <xf numFmtId="43" fontId="20" fillId="0" borderId="1" xfId="1" applyFont="1" applyFill="1" applyBorder="1" applyAlignment="1">
      <alignment vertical="center" wrapText="1"/>
    </xf>
    <xf numFmtId="164" fontId="20" fillId="0" borderId="1" xfId="1" applyNumberFormat="1" applyFont="1" applyFill="1" applyBorder="1" applyAlignment="1">
      <alignment vertical="center" wrapText="1"/>
    </xf>
    <xf numFmtId="43" fontId="19" fillId="0" borderId="0" xfId="1" applyFont="1" applyFill="1"/>
    <xf numFmtId="0" fontId="18" fillId="0" borderId="3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43" fontId="7" fillId="5" borderId="5" xfId="1" applyFont="1" applyFill="1" applyBorder="1" applyAlignment="1">
      <alignment horizontal="right" vertical="center" wrapText="1"/>
    </xf>
    <xf numFmtId="43" fontId="1" fillId="0" borderId="5" xfId="1" applyFill="1" applyBorder="1" applyAlignment="1">
      <alignment horizontal="right" vertical="center" wrapText="1"/>
    </xf>
    <xf numFmtId="9" fontId="20" fillId="7" borderId="2" xfId="2" applyFont="1" applyFill="1" applyBorder="1"/>
    <xf numFmtId="43" fontId="7" fillId="5" borderId="3" xfId="1" applyFont="1" applyFill="1" applyBorder="1" applyAlignment="1">
      <alignment horizontal="right" vertical="center" wrapText="1"/>
    </xf>
    <xf numFmtId="43" fontId="19" fillId="7" borderId="4" xfId="1" quotePrefix="1" applyFont="1" applyFill="1" applyBorder="1" applyAlignment="1">
      <alignment horizontal="center" vertical="center" wrapText="1"/>
    </xf>
    <xf numFmtId="43" fontId="19" fillId="7" borderId="2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view="pageBreakPreview" zoomScale="60" zoomScaleNormal="100" zoomScalePageLayoutView="80" workbookViewId="0">
      <pane ySplit="7" topLeftCell="A8" activePane="bottomLeft" state="frozen"/>
      <selection pane="bottomLeft" activeCell="B1" sqref="B1"/>
    </sheetView>
  </sheetViews>
  <sheetFormatPr defaultColWidth="8.85546875" defaultRowHeight="15" x14ac:dyDescent="0.25"/>
  <cols>
    <col min="1" max="1" width="19.28515625" style="22" customWidth="1"/>
    <col min="2" max="2" width="24.7109375" style="22"/>
    <col min="3" max="3" width="19.140625" style="18" customWidth="1"/>
    <col min="4" max="7" width="17.5703125" style="18" customWidth="1"/>
    <col min="8" max="8" width="15.85546875" style="19" customWidth="1"/>
    <col min="9" max="9" width="19.5703125" style="18" customWidth="1"/>
    <col min="10" max="10" width="18.140625" style="18" customWidth="1"/>
    <col min="11" max="11" width="19" style="20" customWidth="1"/>
    <col min="12" max="12" width="19.28515625" style="18" customWidth="1"/>
    <col min="13" max="13" width="18.28515625" style="18" customWidth="1"/>
    <col min="14" max="14" width="19.7109375" style="21" customWidth="1"/>
    <col min="15" max="15" width="22" style="22" customWidth="1"/>
    <col min="16" max="16" width="22.7109375" style="22"/>
    <col min="17" max="19" width="28.7109375" style="22"/>
    <col min="20" max="20" width="34.140625" style="22"/>
    <col min="21" max="1030" width="8.5703125" style="22"/>
    <col min="1031" max="16384" width="8.85546875" style="22"/>
  </cols>
  <sheetData>
    <row r="1" spans="1:15" ht="21" x14ac:dyDescent="0.35">
      <c r="A1" s="16" t="s">
        <v>162</v>
      </c>
      <c r="B1" s="17"/>
    </row>
    <row r="2" spans="1:15" ht="6" customHeight="1" x14ac:dyDescent="0.25">
      <c r="A2" s="23"/>
      <c r="B2" s="23"/>
    </row>
    <row r="3" spans="1:15" ht="15.75" x14ac:dyDescent="0.25">
      <c r="A3" s="23" t="s">
        <v>0</v>
      </c>
      <c r="B3" s="23"/>
    </row>
    <row r="4" spans="1:15" ht="6.75" customHeight="1" x14ac:dyDescent="0.25"/>
    <row r="5" spans="1:15" ht="15.75" x14ac:dyDescent="0.25">
      <c r="A5" s="23" t="s">
        <v>1</v>
      </c>
    </row>
    <row r="6" spans="1:15" ht="8.25" customHeight="1" thickBot="1" x14ac:dyDescent="0.3"/>
    <row r="7" spans="1:15" ht="138.75" customHeight="1" thickBot="1" x14ac:dyDescent="0.3">
      <c r="A7" s="25" t="s">
        <v>2</v>
      </c>
      <c r="B7" s="26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8" t="s">
        <v>9</v>
      </c>
      <c r="I7" s="90" t="s">
        <v>157</v>
      </c>
      <c r="J7" s="90" t="s">
        <v>158</v>
      </c>
      <c r="K7" s="90" t="s">
        <v>159</v>
      </c>
      <c r="L7" s="90" t="s">
        <v>160</v>
      </c>
      <c r="M7" s="90" t="s">
        <v>161</v>
      </c>
      <c r="N7" s="29" t="s">
        <v>152</v>
      </c>
      <c r="O7" s="26" t="s">
        <v>10</v>
      </c>
    </row>
    <row r="8" spans="1:15" ht="15.6" customHeight="1" thickBot="1" x14ac:dyDescent="0.3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s="24" customFormat="1" ht="120.75" thickBot="1" x14ac:dyDescent="0.3">
      <c r="A9" s="30" t="s">
        <v>12</v>
      </c>
      <c r="B9" s="31" t="s">
        <v>13</v>
      </c>
      <c r="C9" s="41">
        <f>C10+C11</f>
        <v>118270</v>
      </c>
      <c r="D9" s="41">
        <f t="shared" ref="D9:G9" si="0">D10+D11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2"/>
      <c r="I9" s="64">
        <f>I10+I11</f>
        <v>63198.719999999994</v>
      </c>
      <c r="J9" s="64">
        <f t="shared" ref="J9:M9" si="1">J10+J11</f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35">
        <f t="shared" ref="N9:N22" si="2">SUM(I9:M9)</f>
        <v>63198.719999999994</v>
      </c>
      <c r="O9" s="36"/>
    </row>
    <row r="10" spans="1:15" ht="97.15" customHeight="1" thickBot="1" x14ac:dyDescent="0.3">
      <c r="A10" s="37" t="s">
        <v>14</v>
      </c>
      <c r="B10" s="38" t="s">
        <v>15</v>
      </c>
      <c r="C10" s="32">
        <v>77500</v>
      </c>
      <c r="D10" s="32">
        <v>0</v>
      </c>
      <c r="E10" s="32">
        <v>0</v>
      </c>
      <c r="F10" s="32">
        <v>0</v>
      </c>
      <c r="G10" s="32">
        <v>0</v>
      </c>
      <c r="H10" s="33"/>
      <c r="I10" s="65">
        <f>32323.62+6180.2+688.09</f>
        <v>39191.909999999996</v>
      </c>
      <c r="J10" s="65"/>
      <c r="K10" s="65"/>
      <c r="L10" s="65"/>
      <c r="M10" s="65"/>
      <c r="N10" s="35">
        <f t="shared" si="2"/>
        <v>39191.909999999996</v>
      </c>
      <c r="O10" s="39"/>
    </row>
    <row r="11" spans="1:15" ht="60.75" thickBot="1" x14ac:dyDescent="0.3">
      <c r="A11" s="37" t="s">
        <v>16</v>
      </c>
      <c r="B11" s="38" t="s">
        <v>17</v>
      </c>
      <c r="C11" s="32">
        <v>40770</v>
      </c>
      <c r="D11" s="32">
        <v>0</v>
      </c>
      <c r="E11" s="32">
        <v>0</v>
      </c>
      <c r="F11" s="32">
        <v>0</v>
      </c>
      <c r="G11" s="32">
        <v>0</v>
      </c>
      <c r="H11" s="33"/>
      <c r="I11" s="65">
        <f>3201.79+5827.04+14977.98</f>
        <v>24006.809999999998</v>
      </c>
      <c r="J11" s="65"/>
      <c r="K11" s="65"/>
      <c r="L11" s="65"/>
      <c r="M11" s="65"/>
      <c r="N11" s="35">
        <f t="shared" si="2"/>
        <v>24006.809999999998</v>
      </c>
      <c r="O11" s="40"/>
    </row>
    <row r="12" spans="1:15" s="24" customFormat="1" ht="135.75" thickBot="1" x14ac:dyDescent="0.3">
      <c r="A12" s="30" t="s">
        <v>18</v>
      </c>
      <c r="B12" s="31" t="s">
        <v>19</v>
      </c>
      <c r="C12" s="41">
        <f>C13+C14+C15+C16+C17+C18+C19</f>
        <v>287275</v>
      </c>
      <c r="D12" s="41">
        <f t="shared" ref="D12:G12" si="3">D13+D14+D15+D16+D17+D18+D19</f>
        <v>97324</v>
      </c>
      <c r="E12" s="41">
        <f t="shared" si="3"/>
        <v>0</v>
      </c>
      <c r="F12" s="41">
        <f t="shared" si="3"/>
        <v>10750</v>
      </c>
      <c r="G12" s="41">
        <f t="shared" si="3"/>
        <v>0</v>
      </c>
      <c r="H12" s="42"/>
      <c r="I12" s="64">
        <f>I13+I14+I15+I16+I17+I18+I19</f>
        <v>250913.31999999995</v>
      </c>
      <c r="J12" s="64">
        <f t="shared" ref="J12:M12" si="4">J13+J14+J15+J16+J17+J18+J19</f>
        <v>97910.05</v>
      </c>
      <c r="K12" s="64">
        <f t="shared" si="4"/>
        <v>0</v>
      </c>
      <c r="L12" s="64">
        <f t="shared" si="4"/>
        <v>10750</v>
      </c>
      <c r="M12" s="64">
        <f t="shared" si="4"/>
        <v>0</v>
      </c>
      <c r="N12" s="35">
        <f t="shared" si="2"/>
        <v>359573.36999999994</v>
      </c>
      <c r="O12" s="36"/>
    </row>
    <row r="13" spans="1:15" ht="30.75" thickBot="1" x14ac:dyDescent="0.3">
      <c r="A13" s="37" t="s">
        <v>20</v>
      </c>
      <c r="B13" s="38" t="s">
        <v>21</v>
      </c>
      <c r="C13" s="32">
        <v>32870</v>
      </c>
      <c r="D13" s="32">
        <v>0</v>
      </c>
      <c r="E13" s="32">
        <v>0</v>
      </c>
      <c r="F13" s="32">
        <v>0</v>
      </c>
      <c r="G13" s="32">
        <v>0</v>
      </c>
      <c r="H13" s="33"/>
      <c r="I13" s="65">
        <f>32867.03</f>
        <v>32867.03</v>
      </c>
      <c r="J13" s="65"/>
      <c r="K13" s="65"/>
      <c r="L13" s="65"/>
      <c r="M13" s="65"/>
      <c r="N13" s="35">
        <f t="shared" si="2"/>
        <v>32867.03</v>
      </c>
      <c r="O13" s="40"/>
    </row>
    <row r="14" spans="1:15" ht="45.75" thickBot="1" x14ac:dyDescent="0.3">
      <c r="A14" s="37" t="s">
        <v>22</v>
      </c>
      <c r="B14" s="38" t="s">
        <v>23</v>
      </c>
      <c r="C14" s="32"/>
      <c r="D14" s="32">
        <v>97324</v>
      </c>
      <c r="E14" s="32">
        <v>0</v>
      </c>
      <c r="F14" s="32">
        <v>0</v>
      </c>
      <c r="G14" s="32">
        <v>0</v>
      </c>
      <c r="H14" s="33"/>
      <c r="I14" s="65"/>
      <c r="J14" s="65">
        <v>97910.05</v>
      </c>
      <c r="K14" s="65"/>
      <c r="L14" s="65"/>
      <c r="M14" s="65"/>
      <c r="N14" s="35">
        <f t="shared" si="2"/>
        <v>97910.05</v>
      </c>
      <c r="O14" s="40"/>
    </row>
    <row r="15" spans="1:15" ht="90.75" thickBot="1" x14ac:dyDescent="0.3">
      <c r="A15" s="37" t="s">
        <v>24</v>
      </c>
      <c r="B15" s="38" t="s">
        <v>25</v>
      </c>
      <c r="C15" s="32">
        <v>71090</v>
      </c>
      <c r="D15" s="32">
        <v>0</v>
      </c>
      <c r="E15" s="32">
        <v>0</v>
      </c>
      <c r="F15" s="32">
        <v>0</v>
      </c>
      <c r="G15" s="32">
        <v>0</v>
      </c>
      <c r="H15" s="33"/>
      <c r="I15" s="65">
        <f>28659.81+42427</f>
        <v>71086.81</v>
      </c>
      <c r="J15" s="65"/>
      <c r="K15" s="65"/>
      <c r="L15" s="65"/>
      <c r="M15" s="65"/>
      <c r="N15" s="35">
        <f t="shared" si="2"/>
        <v>71086.81</v>
      </c>
      <c r="O15" s="40"/>
    </row>
    <row r="16" spans="1:15" ht="45.75" thickBot="1" x14ac:dyDescent="0.3">
      <c r="A16" s="37" t="s">
        <v>26</v>
      </c>
      <c r="B16" s="38" t="s">
        <v>27</v>
      </c>
      <c r="C16" s="32">
        <v>22000</v>
      </c>
      <c r="D16" s="32">
        <v>0</v>
      </c>
      <c r="E16" s="32">
        <v>0</v>
      </c>
      <c r="F16" s="32">
        <v>0</v>
      </c>
      <c r="G16" s="32">
        <v>0</v>
      </c>
      <c r="H16" s="33"/>
      <c r="I16" s="65">
        <f>22002.4</f>
        <v>22002.400000000001</v>
      </c>
      <c r="J16" s="65"/>
      <c r="K16" s="65"/>
      <c r="L16" s="65"/>
      <c r="M16" s="65"/>
      <c r="N16" s="35">
        <f t="shared" si="2"/>
        <v>22002.400000000001</v>
      </c>
      <c r="O16" s="40"/>
    </row>
    <row r="17" spans="1:15" ht="60.75" thickBot="1" x14ac:dyDescent="0.3">
      <c r="A17" s="37" t="s">
        <v>28</v>
      </c>
      <c r="B17" s="38" t="s">
        <v>29</v>
      </c>
      <c r="C17" s="32">
        <v>74520</v>
      </c>
      <c r="D17" s="32">
        <v>0</v>
      </c>
      <c r="E17" s="32">
        <v>0</v>
      </c>
      <c r="F17" s="32">
        <v>0</v>
      </c>
      <c r="G17" s="32">
        <v>0</v>
      </c>
      <c r="H17" s="33"/>
      <c r="I17" s="65">
        <f>37445.71+22951.27</f>
        <v>60396.979999999996</v>
      </c>
      <c r="J17" s="65"/>
      <c r="K17" s="65"/>
      <c r="L17" s="65"/>
      <c r="M17" s="65"/>
      <c r="N17" s="35">
        <f t="shared" si="2"/>
        <v>60396.979999999996</v>
      </c>
      <c r="O17" s="40"/>
    </row>
    <row r="18" spans="1:15" ht="45.75" thickBot="1" x14ac:dyDescent="0.3">
      <c r="A18" s="37" t="s">
        <v>30</v>
      </c>
      <c r="B18" s="38" t="s">
        <v>31</v>
      </c>
      <c r="C18" s="32">
        <f>27660</f>
        <v>27660</v>
      </c>
      <c r="D18" s="32">
        <v>0</v>
      </c>
      <c r="E18" s="32">
        <v>0</v>
      </c>
      <c r="F18" s="32">
        <v>10750</v>
      </c>
      <c r="G18" s="32">
        <v>0</v>
      </c>
      <c r="H18" s="33"/>
      <c r="I18" s="65">
        <f>27560.77</f>
        <v>27560.77</v>
      </c>
      <c r="J18" s="65"/>
      <c r="K18" s="65"/>
      <c r="L18" s="65">
        <v>10750</v>
      </c>
      <c r="M18" s="65"/>
      <c r="N18" s="35">
        <f t="shared" si="2"/>
        <v>38310.770000000004</v>
      </c>
      <c r="O18" s="40"/>
    </row>
    <row r="19" spans="1:15" ht="45.75" thickBot="1" x14ac:dyDescent="0.3">
      <c r="A19" s="37" t="s">
        <v>32</v>
      </c>
      <c r="B19" s="38" t="s">
        <v>33</v>
      </c>
      <c r="C19" s="32">
        <v>59135</v>
      </c>
      <c r="D19" s="32">
        <v>0</v>
      </c>
      <c r="E19" s="32">
        <v>0</v>
      </c>
      <c r="F19" s="32">
        <v>0</v>
      </c>
      <c r="G19" s="32">
        <v>0</v>
      </c>
      <c r="H19" s="33"/>
      <c r="I19" s="65">
        <f>36974.8+24.53</f>
        <v>36999.33</v>
      </c>
      <c r="J19" s="65"/>
      <c r="K19" s="65"/>
      <c r="L19" s="65"/>
      <c r="M19" s="65"/>
      <c r="N19" s="35">
        <f t="shared" si="2"/>
        <v>36999.33</v>
      </c>
      <c r="O19" s="40"/>
    </row>
    <row r="20" spans="1:15" s="24" customFormat="1" ht="75.75" thickBot="1" x14ac:dyDescent="0.3">
      <c r="A20" s="30" t="s">
        <v>34</v>
      </c>
      <c r="B20" s="31" t="s">
        <v>35</v>
      </c>
      <c r="C20" s="41">
        <f>C21+C22+C23</f>
        <v>180830</v>
      </c>
      <c r="D20" s="41">
        <f t="shared" ref="D20:G20" si="5">D21+D22+D23</f>
        <v>0</v>
      </c>
      <c r="E20" s="41">
        <f t="shared" si="5"/>
        <v>0</v>
      </c>
      <c r="F20" s="41">
        <f t="shared" si="5"/>
        <v>0</v>
      </c>
      <c r="G20" s="41">
        <f t="shared" si="5"/>
        <v>0</v>
      </c>
      <c r="H20" s="42"/>
      <c r="I20" s="64">
        <f>I21+I22+I23</f>
        <v>181822.72999999998</v>
      </c>
      <c r="J20" s="64">
        <f t="shared" ref="J20:M20" si="6">J21+J22+J23</f>
        <v>0</v>
      </c>
      <c r="K20" s="64">
        <f t="shared" si="6"/>
        <v>0</v>
      </c>
      <c r="L20" s="64">
        <f t="shared" si="6"/>
        <v>0</v>
      </c>
      <c r="M20" s="64">
        <f t="shared" si="6"/>
        <v>0</v>
      </c>
      <c r="N20" s="35">
        <f t="shared" si="2"/>
        <v>181822.72999999998</v>
      </c>
      <c r="O20" s="43"/>
    </row>
    <row r="21" spans="1:15" ht="30.75" thickBot="1" x14ac:dyDescent="0.3">
      <c r="A21" s="37" t="s">
        <v>36</v>
      </c>
      <c r="B21" s="38" t="s">
        <v>37</v>
      </c>
      <c r="C21" s="32">
        <v>65130</v>
      </c>
      <c r="D21" s="32">
        <v>0</v>
      </c>
      <c r="E21" s="32">
        <v>0</v>
      </c>
      <c r="F21" s="32">
        <v>0</v>
      </c>
      <c r="G21" s="32">
        <v>0</v>
      </c>
      <c r="H21" s="44"/>
      <c r="I21" s="65">
        <f>5346.67+40440.99+25665.19+9000</f>
        <v>80452.849999999991</v>
      </c>
      <c r="J21" s="65"/>
      <c r="K21" s="65"/>
      <c r="L21" s="65"/>
      <c r="M21" s="65"/>
      <c r="N21" s="35">
        <f t="shared" si="2"/>
        <v>80452.849999999991</v>
      </c>
      <c r="O21" s="45"/>
    </row>
    <row r="22" spans="1:15" ht="60.75" thickBot="1" x14ac:dyDescent="0.3">
      <c r="A22" s="37" t="s">
        <v>38</v>
      </c>
      <c r="B22" s="38" t="s">
        <v>39</v>
      </c>
      <c r="C22" s="32">
        <v>31700</v>
      </c>
      <c r="D22" s="32">
        <v>0</v>
      </c>
      <c r="E22" s="32">
        <v>0</v>
      </c>
      <c r="F22" s="32">
        <v>0</v>
      </c>
      <c r="G22" s="32">
        <v>0</v>
      </c>
      <c r="H22" s="44"/>
      <c r="I22" s="65">
        <f>27453.71</f>
        <v>27453.71</v>
      </c>
      <c r="J22" s="65"/>
      <c r="K22" s="65"/>
      <c r="L22" s="65"/>
      <c r="M22" s="65"/>
      <c r="N22" s="35">
        <f t="shared" si="2"/>
        <v>27453.71</v>
      </c>
      <c r="O22" s="40"/>
    </row>
    <row r="23" spans="1:15" ht="75.75" thickBot="1" x14ac:dyDescent="0.3">
      <c r="A23" s="37" t="s">
        <v>40</v>
      </c>
      <c r="B23" s="38" t="s">
        <v>41</v>
      </c>
      <c r="C23" s="32">
        <v>84000</v>
      </c>
      <c r="D23" s="32">
        <v>0</v>
      </c>
      <c r="E23" s="32">
        <v>0</v>
      </c>
      <c r="F23" s="32">
        <v>0</v>
      </c>
      <c r="G23" s="32">
        <v>0</v>
      </c>
      <c r="H23" s="44"/>
      <c r="I23" s="65">
        <v>73916.17</v>
      </c>
      <c r="J23" s="65"/>
      <c r="K23" s="65"/>
      <c r="L23" s="65"/>
      <c r="M23" s="65"/>
      <c r="N23" s="35">
        <f>SUM(I23:M23)</f>
        <v>73916.17</v>
      </c>
      <c r="O23" s="40"/>
    </row>
    <row r="24" spans="1:15" ht="15.6" customHeight="1" thickBot="1" x14ac:dyDescent="0.3">
      <c r="A24" s="92" t="s">
        <v>42</v>
      </c>
      <c r="B24" s="93"/>
      <c r="C24" s="46">
        <f>C9+C12+C20</f>
        <v>586375</v>
      </c>
      <c r="D24" s="46">
        <f t="shared" ref="D24:O24" si="7">D9+D12+D20</f>
        <v>97324</v>
      </c>
      <c r="E24" s="46">
        <f t="shared" si="7"/>
        <v>0</v>
      </c>
      <c r="F24" s="46">
        <f t="shared" si="7"/>
        <v>10750</v>
      </c>
      <c r="G24" s="73">
        <f t="shared" si="7"/>
        <v>0</v>
      </c>
      <c r="H24" s="46">
        <f t="shared" si="7"/>
        <v>0</v>
      </c>
      <c r="I24" s="66">
        <f t="shared" si="7"/>
        <v>495934.7699999999</v>
      </c>
      <c r="J24" s="66">
        <f t="shared" si="7"/>
        <v>97910.05</v>
      </c>
      <c r="K24" s="66">
        <f t="shared" si="7"/>
        <v>0</v>
      </c>
      <c r="L24" s="66">
        <f t="shared" si="7"/>
        <v>10750</v>
      </c>
      <c r="M24" s="66">
        <f t="shared" si="7"/>
        <v>0</v>
      </c>
      <c r="N24" s="46">
        <f t="shared" si="7"/>
        <v>604594.81999999983</v>
      </c>
      <c r="O24" s="46">
        <f t="shared" si="7"/>
        <v>0</v>
      </c>
    </row>
    <row r="25" spans="1:15" ht="15.6" customHeight="1" thickBot="1" x14ac:dyDescent="0.3">
      <c r="A25" s="94" t="s">
        <v>43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s="24" customFormat="1" ht="90.75" thickBot="1" x14ac:dyDescent="0.3">
      <c r="A26" s="30" t="s">
        <v>44</v>
      </c>
      <c r="B26" s="31" t="s">
        <v>45</v>
      </c>
      <c r="C26" s="41">
        <f>C27+C28+C29+C30</f>
        <v>0</v>
      </c>
      <c r="D26" s="41">
        <f t="shared" ref="D26:G26" si="8">D27+D28+D29+D30</f>
        <v>0</v>
      </c>
      <c r="E26" s="41">
        <f t="shared" si="8"/>
        <v>118106</v>
      </c>
      <c r="F26" s="41">
        <f t="shared" si="8"/>
        <v>85464</v>
      </c>
      <c r="G26" s="41">
        <f t="shared" si="8"/>
        <v>0</v>
      </c>
      <c r="H26" s="42"/>
      <c r="I26" s="64">
        <f>I27+I28+I29+I30</f>
        <v>0</v>
      </c>
      <c r="J26" s="64">
        <f t="shared" ref="J26:M26" si="9">J27+J28+J29+J30</f>
        <v>0</v>
      </c>
      <c r="K26" s="64">
        <f t="shared" si="9"/>
        <v>133903.59999999998</v>
      </c>
      <c r="L26" s="64">
        <f t="shared" si="9"/>
        <v>133003</v>
      </c>
      <c r="M26" s="64">
        <f t="shared" si="9"/>
        <v>0</v>
      </c>
      <c r="N26" s="35">
        <f t="shared" ref="N26:N42" si="10">SUM(I26:M26)</f>
        <v>266906.59999999998</v>
      </c>
      <c r="O26" s="43"/>
    </row>
    <row r="27" spans="1:15" ht="75.75" thickBot="1" x14ac:dyDescent="0.3">
      <c r="A27" s="37" t="s">
        <v>46</v>
      </c>
      <c r="B27" s="38" t="s">
        <v>47</v>
      </c>
      <c r="C27" s="32">
        <v>0</v>
      </c>
      <c r="D27" s="32">
        <v>0</v>
      </c>
      <c r="E27" s="32">
        <v>17888</v>
      </c>
      <c r="F27" s="32">
        <v>2625</v>
      </c>
      <c r="G27" s="32">
        <v>0</v>
      </c>
      <c r="H27" s="33"/>
      <c r="I27" s="65"/>
      <c r="J27" s="65"/>
      <c r="K27" s="89">
        <v>37288.06</v>
      </c>
      <c r="L27" s="65">
        <v>2625</v>
      </c>
      <c r="M27" s="65"/>
      <c r="N27" s="35">
        <f t="shared" si="10"/>
        <v>39913.06</v>
      </c>
      <c r="O27" s="40"/>
    </row>
    <row r="28" spans="1:15" ht="90.75" thickBot="1" x14ac:dyDescent="0.3">
      <c r="A28" s="37" t="s">
        <v>48</v>
      </c>
      <c r="B28" s="38" t="s">
        <v>49</v>
      </c>
      <c r="C28" s="32">
        <v>0</v>
      </c>
      <c r="D28" s="32">
        <v>0</v>
      </c>
      <c r="E28" s="32">
        <v>17862</v>
      </c>
      <c r="F28" s="32">
        <v>31003</v>
      </c>
      <c r="G28" s="32">
        <v>0</v>
      </c>
      <c r="H28" s="33"/>
      <c r="I28" s="65"/>
      <c r="J28" s="65"/>
      <c r="K28" s="65">
        <v>13467.75</v>
      </c>
      <c r="L28" s="65">
        <v>41003</v>
      </c>
      <c r="M28" s="65"/>
      <c r="N28" s="35">
        <f t="shared" si="10"/>
        <v>54470.75</v>
      </c>
      <c r="O28" s="40"/>
    </row>
    <row r="29" spans="1:15" ht="90.75" thickBot="1" x14ac:dyDescent="0.3">
      <c r="A29" s="37" t="s">
        <v>50</v>
      </c>
      <c r="B29" s="38" t="s">
        <v>51</v>
      </c>
      <c r="C29" s="32">
        <v>0</v>
      </c>
      <c r="D29" s="32">
        <v>0</v>
      </c>
      <c r="E29" s="32">
        <v>82356</v>
      </c>
      <c r="F29" s="32">
        <v>42461</v>
      </c>
      <c r="G29" s="32">
        <v>0</v>
      </c>
      <c r="H29" s="33"/>
      <c r="I29" s="65"/>
      <c r="J29" s="65"/>
      <c r="K29" s="65">
        <v>83147.789999999994</v>
      </c>
      <c r="L29" s="65">
        <v>80000</v>
      </c>
      <c r="M29" s="65"/>
      <c r="N29" s="35">
        <f t="shared" si="10"/>
        <v>163147.78999999998</v>
      </c>
      <c r="O29" s="40"/>
    </row>
    <row r="30" spans="1:15" ht="90.75" thickBot="1" x14ac:dyDescent="0.3">
      <c r="A30" s="37" t="s">
        <v>52</v>
      </c>
      <c r="B30" s="38" t="s">
        <v>53</v>
      </c>
      <c r="C30" s="32">
        <v>0</v>
      </c>
      <c r="D30" s="32">
        <v>0</v>
      </c>
      <c r="E30" s="32">
        <v>0</v>
      </c>
      <c r="F30" s="32">
        <v>9375</v>
      </c>
      <c r="G30" s="32">
        <v>0</v>
      </c>
      <c r="H30" s="33"/>
      <c r="I30" s="65"/>
      <c r="J30" s="65"/>
      <c r="K30" s="65"/>
      <c r="L30" s="65">
        <v>9375</v>
      </c>
      <c r="M30" s="65"/>
      <c r="N30" s="35">
        <f t="shared" si="10"/>
        <v>9375</v>
      </c>
      <c r="O30" s="40"/>
    </row>
    <row r="31" spans="1:15" s="24" customFormat="1" ht="90.75" thickBot="1" x14ac:dyDescent="0.3">
      <c r="A31" s="30" t="s">
        <v>54</v>
      </c>
      <c r="B31" s="31" t="s">
        <v>55</v>
      </c>
      <c r="C31" s="41">
        <f>C32+C33+C34</f>
        <v>69870</v>
      </c>
      <c r="D31" s="41">
        <f t="shared" ref="D31:I31" si="11">D32+D33+D34</f>
        <v>0</v>
      </c>
      <c r="E31" s="41">
        <f t="shared" si="11"/>
        <v>0</v>
      </c>
      <c r="F31" s="41">
        <f t="shared" si="11"/>
        <v>0</v>
      </c>
      <c r="G31" s="41">
        <f t="shared" si="11"/>
        <v>0</v>
      </c>
      <c r="H31" s="41">
        <f t="shared" si="11"/>
        <v>0</v>
      </c>
      <c r="I31" s="64">
        <f t="shared" si="11"/>
        <v>129870.07</v>
      </c>
      <c r="J31" s="64">
        <f t="shared" ref="J31" si="12">J32+J33+J34</f>
        <v>0</v>
      </c>
      <c r="K31" s="64">
        <f t="shared" ref="K31" si="13">K32+K33+K34</f>
        <v>0</v>
      </c>
      <c r="L31" s="64">
        <f t="shared" ref="L31" si="14">L32+L33+L34</f>
        <v>0</v>
      </c>
      <c r="M31" s="64">
        <f t="shared" ref="M31" si="15">M32+M33+M34</f>
        <v>0</v>
      </c>
      <c r="N31" s="35">
        <f t="shared" si="10"/>
        <v>129870.07</v>
      </c>
      <c r="O31" s="43"/>
    </row>
    <row r="32" spans="1:15" ht="45.75" thickBot="1" x14ac:dyDescent="0.3">
      <c r="A32" s="37" t="s">
        <v>56</v>
      </c>
      <c r="B32" s="38" t="s">
        <v>57</v>
      </c>
      <c r="C32" s="32">
        <v>40870</v>
      </c>
      <c r="D32" s="32">
        <v>0</v>
      </c>
      <c r="E32" s="32">
        <v>0</v>
      </c>
      <c r="F32" s="32"/>
      <c r="G32" s="32">
        <v>0</v>
      </c>
      <c r="H32" s="33"/>
      <c r="I32" s="65">
        <f>868.62+40001.56</f>
        <v>40870.18</v>
      </c>
      <c r="J32" s="65"/>
      <c r="K32" s="65"/>
      <c r="L32" s="65"/>
      <c r="M32" s="65"/>
      <c r="N32" s="35">
        <f t="shared" si="10"/>
        <v>40870.18</v>
      </c>
      <c r="O32" s="40"/>
    </row>
    <row r="33" spans="1:15" ht="30.75" thickBot="1" x14ac:dyDescent="0.3">
      <c r="A33" s="37" t="s">
        <v>58</v>
      </c>
      <c r="B33" s="38" t="s">
        <v>59</v>
      </c>
      <c r="C33" s="32">
        <v>9000</v>
      </c>
      <c r="D33" s="32">
        <v>0</v>
      </c>
      <c r="E33" s="32">
        <v>0</v>
      </c>
      <c r="F33" s="32"/>
      <c r="G33" s="32">
        <v>0</v>
      </c>
      <c r="H33" s="33"/>
      <c r="I33" s="65">
        <f>8999.89</f>
        <v>8999.89</v>
      </c>
      <c r="J33" s="65"/>
      <c r="K33" s="65"/>
      <c r="L33" s="65"/>
      <c r="M33" s="65"/>
      <c r="N33" s="35">
        <f t="shared" si="10"/>
        <v>8999.89</v>
      </c>
      <c r="O33" s="45"/>
    </row>
    <row r="34" spans="1:15" ht="30.75" thickBot="1" x14ac:dyDescent="0.3">
      <c r="A34" s="37" t="s">
        <v>153</v>
      </c>
      <c r="B34" s="38" t="s">
        <v>154</v>
      </c>
      <c r="C34" s="32">
        <v>20000</v>
      </c>
      <c r="D34" s="32"/>
      <c r="E34" s="32"/>
      <c r="F34" s="32"/>
      <c r="G34" s="32"/>
      <c r="H34" s="33"/>
      <c r="I34" s="65">
        <v>80000</v>
      </c>
      <c r="J34" s="65"/>
      <c r="K34" s="65"/>
      <c r="L34" s="65"/>
      <c r="M34" s="65"/>
      <c r="N34" s="35">
        <f t="shared" si="10"/>
        <v>80000</v>
      </c>
      <c r="O34" s="45"/>
    </row>
    <row r="35" spans="1:15" s="24" customFormat="1" ht="45.75" thickBot="1" x14ac:dyDescent="0.3">
      <c r="A35" s="30" t="s">
        <v>60</v>
      </c>
      <c r="B35" s="31" t="s">
        <v>61</v>
      </c>
      <c r="C35" s="41">
        <f>C36+C37+C38</f>
        <v>0</v>
      </c>
      <c r="D35" s="32">
        <f>D36+D37+D38</f>
        <v>268161</v>
      </c>
      <c r="E35" s="41">
        <f t="shared" ref="E35:G35" si="16">E36+E37+E38</f>
        <v>0</v>
      </c>
      <c r="F35" s="41">
        <f t="shared" si="16"/>
        <v>0</v>
      </c>
      <c r="G35" s="41">
        <f t="shared" si="16"/>
        <v>0</v>
      </c>
      <c r="H35" s="42"/>
      <c r="I35" s="64">
        <f>I36+I37+I38</f>
        <v>0</v>
      </c>
      <c r="J35" s="64">
        <f>J36+J37+J38</f>
        <v>245804.39</v>
      </c>
      <c r="K35" s="64">
        <f>K36+K37+K38</f>
        <v>0</v>
      </c>
      <c r="L35" s="64">
        <f>L36+L37+L38</f>
        <v>0</v>
      </c>
      <c r="M35" s="64">
        <f>M36+M37+M38</f>
        <v>0</v>
      </c>
      <c r="N35" s="35">
        <f t="shared" si="10"/>
        <v>245804.39</v>
      </c>
      <c r="O35" s="43"/>
    </row>
    <row r="36" spans="1:15" ht="90.75" thickBot="1" x14ac:dyDescent="0.3">
      <c r="A36" s="37" t="s">
        <v>62</v>
      </c>
      <c r="B36" s="38" t="s">
        <v>63</v>
      </c>
      <c r="C36" s="32">
        <v>0</v>
      </c>
      <c r="D36" s="32">
        <v>25122</v>
      </c>
      <c r="E36" s="32">
        <v>0</v>
      </c>
      <c r="F36" s="32"/>
      <c r="G36" s="32">
        <v>0</v>
      </c>
      <c r="H36" s="33"/>
      <c r="I36" s="65"/>
      <c r="J36" s="65">
        <v>25916.23</v>
      </c>
      <c r="K36" s="65"/>
      <c r="L36" s="65"/>
      <c r="M36" s="65"/>
      <c r="N36" s="35">
        <f t="shared" si="10"/>
        <v>25916.23</v>
      </c>
      <c r="O36" s="40"/>
    </row>
    <row r="37" spans="1:15" ht="108.6" customHeight="1" thickBot="1" x14ac:dyDescent="0.3">
      <c r="A37" s="37" t="s">
        <v>64</v>
      </c>
      <c r="B37" s="38" t="s">
        <v>65</v>
      </c>
      <c r="C37" s="32">
        <v>0</v>
      </c>
      <c r="D37" s="32">
        <v>210500</v>
      </c>
      <c r="E37" s="32">
        <v>0</v>
      </c>
      <c r="F37" s="32">
        <v>0</v>
      </c>
      <c r="G37" s="32">
        <v>0</v>
      </c>
      <c r="H37" s="33"/>
      <c r="I37" s="65"/>
      <c r="J37" s="65">
        <v>191332.83</v>
      </c>
      <c r="K37" s="65"/>
      <c r="L37" s="65"/>
      <c r="M37" s="65"/>
      <c r="N37" s="35">
        <f t="shared" si="10"/>
        <v>191332.83</v>
      </c>
      <c r="O37" s="40"/>
    </row>
    <row r="38" spans="1:15" ht="90.75" thickBot="1" x14ac:dyDescent="0.3">
      <c r="A38" s="37" t="s">
        <v>66</v>
      </c>
      <c r="B38" s="38" t="s">
        <v>67</v>
      </c>
      <c r="C38" s="32">
        <v>0</v>
      </c>
      <c r="D38" s="32">
        <v>32539</v>
      </c>
      <c r="E38" s="32">
        <v>0</v>
      </c>
      <c r="F38" s="32">
        <v>0</v>
      </c>
      <c r="G38" s="32">
        <v>0</v>
      </c>
      <c r="H38" s="33"/>
      <c r="I38" s="65"/>
      <c r="J38" s="65">
        <v>28555.33</v>
      </c>
      <c r="K38" s="65"/>
      <c r="L38" s="65"/>
      <c r="M38" s="65"/>
      <c r="N38" s="35">
        <f t="shared" si="10"/>
        <v>28555.33</v>
      </c>
      <c r="O38" s="40"/>
    </row>
    <row r="39" spans="1:15" s="24" customFormat="1" ht="45.75" thickBot="1" x14ac:dyDescent="0.3">
      <c r="A39" s="30" t="s">
        <v>68</v>
      </c>
      <c r="B39" s="31" t="s">
        <v>69</v>
      </c>
      <c r="C39" s="41">
        <f>C40+C41+C42+C43</f>
        <v>175320</v>
      </c>
      <c r="D39" s="41">
        <f t="shared" ref="D39:G39" si="17">D40+D41+D42+D43</f>
        <v>0</v>
      </c>
      <c r="E39" s="41">
        <f t="shared" si="17"/>
        <v>0</v>
      </c>
      <c r="F39" s="41">
        <f t="shared" si="17"/>
        <v>0</v>
      </c>
      <c r="G39" s="41">
        <f t="shared" si="17"/>
        <v>0</v>
      </c>
      <c r="H39" s="42"/>
      <c r="I39" s="64">
        <f>I40+I41+I42+I43</f>
        <v>298672.58999999997</v>
      </c>
      <c r="J39" s="64">
        <f t="shared" ref="J39:M39" si="18">J40+J41+J42+J43</f>
        <v>0</v>
      </c>
      <c r="K39" s="64">
        <f t="shared" si="18"/>
        <v>0</v>
      </c>
      <c r="L39" s="64">
        <f t="shared" si="18"/>
        <v>0</v>
      </c>
      <c r="M39" s="64">
        <f t="shared" si="18"/>
        <v>0</v>
      </c>
      <c r="N39" s="35">
        <f t="shared" si="10"/>
        <v>298672.58999999997</v>
      </c>
      <c r="O39" s="43"/>
    </row>
    <row r="40" spans="1:15" ht="90.75" thickBot="1" x14ac:dyDescent="0.3">
      <c r="A40" s="37" t="s">
        <v>70</v>
      </c>
      <c r="B40" s="38" t="s">
        <v>71</v>
      </c>
      <c r="C40" s="32">
        <v>18840</v>
      </c>
      <c r="D40" s="32">
        <v>0</v>
      </c>
      <c r="E40" s="32">
        <v>0</v>
      </c>
      <c r="F40" s="32">
        <v>0</v>
      </c>
      <c r="G40" s="32">
        <v>0</v>
      </c>
      <c r="H40" s="33"/>
      <c r="I40" s="65">
        <f>67483.41+90007.46</f>
        <v>157490.87</v>
      </c>
      <c r="J40" s="65"/>
      <c r="K40" s="65"/>
      <c r="L40" s="65"/>
      <c r="M40" s="65"/>
      <c r="N40" s="35">
        <f t="shared" si="10"/>
        <v>157490.87</v>
      </c>
      <c r="O40" s="40"/>
    </row>
    <row r="41" spans="1:15" ht="60.75" thickBot="1" x14ac:dyDescent="0.3">
      <c r="A41" s="37" t="s">
        <v>72</v>
      </c>
      <c r="B41" s="38" t="s">
        <v>73</v>
      </c>
      <c r="C41" s="32">
        <v>15000</v>
      </c>
      <c r="D41" s="32">
        <v>0</v>
      </c>
      <c r="E41" s="32">
        <v>0</v>
      </c>
      <c r="F41" s="32">
        <v>0</v>
      </c>
      <c r="G41" s="32">
        <v>0</v>
      </c>
      <c r="H41" s="33"/>
      <c r="I41" s="65">
        <v>2102.33</v>
      </c>
      <c r="J41" s="65">
        <v>0</v>
      </c>
      <c r="K41" s="65">
        <v>0</v>
      </c>
      <c r="L41" s="65">
        <v>0</v>
      </c>
      <c r="M41" s="65">
        <v>0</v>
      </c>
      <c r="N41" s="35">
        <f t="shared" si="10"/>
        <v>2102.33</v>
      </c>
      <c r="O41" s="40"/>
    </row>
    <row r="42" spans="1:15" ht="45.75" thickBot="1" x14ac:dyDescent="0.3">
      <c r="A42" s="37" t="s">
        <v>74</v>
      </c>
      <c r="B42" s="38" t="s">
        <v>75</v>
      </c>
      <c r="C42" s="32">
        <v>10000</v>
      </c>
      <c r="D42" s="32">
        <v>0</v>
      </c>
      <c r="E42" s="32">
        <v>0</v>
      </c>
      <c r="F42" s="32">
        <v>0</v>
      </c>
      <c r="G42" s="32">
        <v>0</v>
      </c>
      <c r="H42" s="33"/>
      <c r="I42" s="65">
        <v>5704.84</v>
      </c>
      <c r="J42" s="65">
        <v>0</v>
      </c>
      <c r="K42" s="65">
        <v>0</v>
      </c>
      <c r="L42" s="65">
        <v>0</v>
      </c>
      <c r="M42" s="65">
        <v>0</v>
      </c>
      <c r="N42" s="35">
        <f t="shared" si="10"/>
        <v>5704.84</v>
      </c>
      <c r="O42" s="40"/>
    </row>
    <row r="43" spans="1:15" ht="135.75" thickBot="1" x14ac:dyDescent="0.3">
      <c r="A43" s="37" t="s">
        <v>76</v>
      </c>
      <c r="B43" s="38" t="s">
        <v>77</v>
      </c>
      <c r="C43" s="32">
        <v>131480</v>
      </c>
      <c r="D43" s="32">
        <v>0</v>
      </c>
      <c r="E43" s="32">
        <v>0</v>
      </c>
      <c r="F43" s="32">
        <v>0</v>
      </c>
      <c r="G43" s="32">
        <v>0</v>
      </c>
      <c r="H43" s="33"/>
      <c r="I43" s="65">
        <f>49019.68+459.9+41894.97+42000</f>
        <v>133374.54999999999</v>
      </c>
      <c r="J43" s="65"/>
      <c r="K43" s="65"/>
      <c r="L43" s="65"/>
      <c r="M43" s="65"/>
      <c r="N43" s="35">
        <f>SUM(I43:M43)</f>
        <v>133374.54999999999</v>
      </c>
      <c r="O43" s="40"/>
    </row>
    <row r="44" spans="1:15" ht="16.5" customHeight="1" thickBot="1" x14ac:dyDescent="0.3">
      <c r="A44" s="92" t="s">
        <v>78</v>
      </c>
      <c r="B44" s="93"/>
      <c r="C44" s="46">
        <f>C26+C31+C35+C39</f>
        <v>245190</v>
      </c>
      <c r="D44" s="46">
        <f t="shared" ref="D44:N44" si="19">D26+D31+D35+D39</f>
        <v>268161</v>
      </c>
      <c r="E44" s="46">
        <f t="shared" si="19"/>
        <v>118106</v>
      </c>
      <c r="F44" s="46">
        <f t="shared" si="19"/>
        <v>85464</v>
      </c>
      <c r="G44" s="73">
        <f t="shared" si="19"/>
        <v>0</v>
      </c>
      <c r="H44" s="46">
        <f t="shared" si="19"/>
        <v>0</v>
      </c>
      <c r="I44" s="66">
        <f t="shared" si="19"/>
        <v>428542.66</v>
      </c>
      <c r="J44" s="66">
        <f t="shared" si="19"/>
        <v>245804.39</v>
      </c>
      <c r="K44" s="66">
        <f t="shared" si="19"/>
        <v>133903.59999999998</v>
      </c>
      <c r="L44" s="66">
        <f t="shared" si="19"/>
        <v>133003</v>
      </c>
      <c r="M44" s="73">
        <f t="shared" si="19"/>
        <v>0</v>
      </c>
      <c r="N44" s="46">
        <f t="shared" si="19"/>
        <v>941253.65</v>
      </c>
      <c r="O44" s="47"/>
    </row>
    <row r="45" spans="1:15" ht="15.6" customHeight="1" thickBot="1" x14ac:dyDescent="0.3">
      <c r="A45" s="94" t="s">
        <v>79</v>
      </c>
      <c r="B45" s="94"/>
      <c r="C45" s="94"/>
      <c r="D45" s="94"/>
      <c r="E45" s="94"/>
      <c r="F45" s="94"/>
      <c r="G45" s="94"/>
      <c r="H45" s="94"/>
      <c r="I45" s="32"/>
      <c r="J45" s="32"/>
      <c r="K45" s="34"/>
      <c r="L45" s="32"/>
      <c r="M45" s="32"/>
      <c r="N45" s="35">
        <f t="shared" ref="N45:N57" si="20">SUM(I45:M45)</f>
        <v>0</v>
      </c>
      <c r="O45" s="40"/>
    </row>
    <row r="46" spans="1:15" s="24" customFormat="1" ht="90.75" thickBot="1" x14ac:dyDescent="0.3">
      <c r="A46" s="30" t="s">
        <v>80</v>
      </c>
      <c r="B46" s="31" t="s">
        <v>81</v>
      </c>
      <c r="C46" s="41">
        <f>C47+C48+C49+C50+C51</f>
        <v>129120</v>
      </c>
      <c r="D46" s="41">
        <f t="shared" ref="D46:G46" si="21">D47+D48+D49+D50+D51</f>
        <v>0</v>
      </c>
      <c r="E46" s="41">
        <f t="shared" si="21"/>
        <v>0</v>
      </c>
      <c r="F46" s="41">
        <f t="shared" si="21"/>
        <v>16075</v>
      </c>
      <c r="G46" s="41">
        <f t="shared" si="21"/>
        <v>0</v>
      </c>
      <c r="H46" s="42"/>
      <c r="I46" s="64">
        <f>I47+I48+I49+I50</f>
        <v>67022.94</v>
      </c>
      <c r="J46" s="64">
        <f t="shared" ref="J46:M46" si="22">J47+J48+J49+J50</f>
        <v>0</v>
      </c>
      <c r="K46" s="64">
        <f t="shared" si="22"/>
        <v>0</v>
      </c>
      <c r="L46" s="64">
        <f t="shared" si="22"/>
        <v>0</v>
      </c>
      <c r="M46" s="64">
        <f t="shared" si="22"/>
        <v>0</v>
      </c>
      <c r="N46" s="35">
        <f t="shared" si="20"/>
        <v>67022.94</v>
      </c>
      <c r="O46" s="43"/>
    </row>
    <row r="47" spans="1:15" ht="15.75" thickBot="1" x14ac:dyDescent="0.3">
      <c r="A47" s="37" t="s">
        <v>82</v>
      </c>
      <c r="B47" s="38" t="s">
        <v>83</v>
      </c>
      <c r="C47" s="32">
        <v>0</v>
      </c>
      <c r="D47" s="32">
        <v>0</v>
      </c>
      <c r="E47" s="32">
        <v>0</v>
      </c>
      <c r="F47" s="32">
        <v>8975</v>
      </c>
      <c r="G47" s="32">
        <v>0</v>
      </c>
      <c r="H47" s="33"/>
      <c r="I47" s="65"/>
      <c r="J47" s="65"/>
      <c r="K47" s="65"/>
      <c r="L47" s="65"/>
      <c r="M47" s="65"/>
      <c r="N47" s="35">
        <f t="shared" si="20"/>
        <v>0</v>
      </c>
      <c r="O47" s="40"/>
    </row>
    <row r="48" spans="1:15" ht="15.75" thickBot="1" x14ac:dyDescent="0.3">
      <c r="A48" s="37" t="s">
        <v>84</v>
      </c>
      <c r="B48" s="38" t="s">
        <v>85</v>
      </c>
      <c r="C48" s="32">
        <v>15620</v>
      </c>
      <c r="D48" s="32">
        <v>0</v>
      </c>
      <c r="E48" s="32">
        <v>0</v>
      </c>
      <c r="F48" s="32">
        <v>0</v>
      </c>
      <c r="G48" s="32">
        <v>0</v>
      </c>
      <c r="H48" s="33"/>
      <c r="I48" s="65">
        <f>15617.86</f>
        <v>15617.86</v>
      </c>
      <c r="J48" s="65"/>
      <c r="K48" s="65"/>
      <c r="L48" s="65"/>
      <c r="M48" s="65"/>
      <c r="N48" s="35">
        <f t="shared" si="20"/>
        <v>15617.86</v>
      </c>
      <c r="O48" s="40"/>
    </row>
    <row r="49" spans="1:15" ht="45.75" thickBot="1" x14ac:dyDescent="0.3">
      <c r="A49" s="37" t="s">
        <v>86</v>
      </c>
      <c r="B49" s="38" t="s">
        <v>87</v>
      </c>
      <c r="C49" s="32">
        <v>0</v>
      </c>
      <c r="D49" s="32">
        <v>0</v>
      </c>
      <c r="E49" s="32">
        <v>0</v>
      </c>
      <c r="F49" s="32">
        <v>7100</v>
      </c>
      <c r="G49" s="32">
        <v>0</v>
      </c>
      <c r="H49" s="33"/>
      <c r="I49" s="65"/>
      <c r="J49" s="65"/>
      <c r="K49" s="65"/>
      <c r="L49" s="65"/>
      <c r="M49" s="65"/>
      <c r="N49" s="35">
        <f t="shared" si="20"/>
        <v>0</v>
      </c>
      <c r="O49" s="40"/>
    </row>
    <row r="50" spans="1:15" ht="45.75" thickBot="1" x14ac:dyDescent="0.3">
      <c r="A50" s="37" t="s">
        <v>88</v>
      </c>
      <c r="B50" s="38" t="s">
        <v>89</v>
      </c>
      <c r="C50" s="32">
        <v>53500</v>
      </c>
      <c r="D50" s="32">
        <v>0</v>
      </c>
      <c r="E50" s="32">
        <v>0</v>
      </c>
      <c r="F50" s="32">
        <v>0</v>
      </c>
      <c r="G50" s="32">
        <v>0</v>
      </c>
      <c r="H50" s="33"/>
      <c r="I50" s="65">
        <f>21405.08+30000</f>
        <v>51405.08</v>
      </c>
      <c r="J50" s="65">
        <v>0</v>
      </c>
      <c r="K50" s="65">
        <v>0</v>
      </c>
      <c r="L50" s="65">
        <v>0</v>
      </c>
      <c r="M50" s="65">
        <v>0</v>
      </c>
      <c r="N50" s="35">
        <f t="shared" si="20"/>
        <v>51405.08</v>
      </c>
      <c r="O50" s="40"/>
    </row>
    <row r="51" spans="1:15" ht="30.75" thickBot="1" x14ac:dyDescent="0.3">
      <c r="A51" s="37" t="s">
        <v>155</v>
      </c>
      <c r="B51" s="38" t="s">
        <v>156</v>
      </c>
      <c r="C51" s="32">
        <v>60000</v>
      </c>
      <c r="D51" s="32"/>
      <c r="E51" s="32"/>
      <c r="F51" s="32"/>
      <c r="G51" s="32"/>
      <c r="H51" s="33"/>
      <c r="I51" s="65">
        <v>59610.81</v>
      </c>
      <c r="J51" s="65"/>
      <c r="K51" s="65"/>
      <c r="L51" s="65"/>
      <c r="M51" s="65"/>
      <c r="N51" s="35"/>
      <c r="O51" s="40"/>
    </row>
    <row r="52" spans="1:15" s="24" customFormat="1" ht="120.75" thickBot="1" x14ac:dyDescent="0.3">
      <c r="A52" s="30" t="s">
        <v>90</v>
      </c>
      <c r="B52" s="31" t="s">
        <v>91</v>
      </c>
      <c r="C52" s="41">
        <f>C53+C54</f>
        <v>24870</v>
      </c>
      <c r="D52" s="41">
        <f t="shared" ref="D52:G52" si="23">D53+D54</f>
        <v>0</v>
      </c>
      <c r="E52" s="41">
        <f t="shared" si="23"/>
        <v>0</v>
      </c>
      <c r="F52" s="41">
        <f t="shared" si="23"/>
        <v>32450</v>
      </c>
      <c r="G52" s="41">
        <f t="shared" si="23"/>
        <v>0</v>
      </c>
      <c r="H52" s="42"/>
      <c r="I52" s="64">
        <f>I53+I54</f>
        <v>26310.530000000002</v>
      </c>
      <c r="J52" s="64">
        <f t="shared" ref="J52:M52" si="24">J53+J54</f>
        <v>0</v>
      </c>
      <c r="K52" s="64">
        <f t="shared" si="24"/>
        <v>0</v>
      </c>
      <c r="L52" s="64">
        <f t="shared" si="24"/>
        <v>12000</v>
      </c>
      <c r="M52" s="64">
        <f t="shared" si="24"/>
        <v>0</v>
      </c>
      <c r="N52" s="35">
        <f t="shared" si="20"/>
        <v>38310.53</v>
      </c>
      <c r="O52" s="43"/>
    </row>
    <row r="53" spans="1:15" ht="90.75" thickBot="1" x14ac:dyDescent="0.3">
      <c r="A53" s="37" t="s">
        <v>92</v>
      </c>
      <c r="B53" s="38" t="s">
        <v>93</v>
      </c>
      <c r="C53" s="32">
        <v>24870</v>
      </c>
      <c r="D53" s="32">
        <v>0</v>
      </c>
      <c r="E53" s="32">
        <v>0</v>
      </c>
      <c r="F53" s="32">
        <v>0</v>
      </c>
      <c r="G53" s="32">
        <v>0</v>
      </c>
      <c r="H53" s="33"/>
      <c r="I53" s="65">
        <f>3418.43+18652.24+4239.86</f>
        <v>26310.530000000002</v>
      </c>
      <c r="J53" s="65"/>
      <c r="K53" s="65"/>
      <c r="L53" s="65"/>
      <c r="M53" s="65"/>
      <c r="N53" s="35">
        <f t="shared" si="20"/>
        <v>26310.530000000002</v>
      </c>
      <c r="O53" s="45"/>
    </row>
    <row r="54" spans="1:15" ht="60.75" thickBot="1" x14ac:dyDescent="0.3">
      <c r="A54" s="37" t="s">
        <v>94</v>
      </c>
      <c r="B54" s="38" t="s">
        <v>95</v>
      </c>
      <c r="C54" s="32">
        <v>0</v>
      </c>
      <c r="D54" s="32">
        <v>0</v>
      </c>
      <c r="E54" s="32">
        <v>0</v>
      </c>
      <c r="F54" s="32">
        <v>32450</v>
      </c>
      <c r="G54" s="32">
        <v>0</v>
      </c>
      <c r="H54" s="33"/>
      <c r="I54" s="65"/>
      <c r="J54" s="65"/>
      <c r="K54" s="65"/>
      <c r="L54" s="65">
        <v>12000</v>
      </c>
      <c r="M54" s="65"/>
      <c r="N54" s="35">
        <f t="shared" si="20"/>
        <v>12000</v>
      </c>
      <c r="O54" s="40"/>
    </row>
    <row r="55" spans="1:15" s="24" customFormat="1" ht="105.75" thickBot="1" x14ac:dyDescent="0.3">
      <c r="A55" s="30" t="s">
        <v>96</v>
      </c>
      <c r="B55" s="31" t="s">
        <v>97</v>
      </c>
      <c r="C55" s="41">
        <f>C56+C57+C58</f>
        <v>27030</v>
      </c>
      <c r="D55" s="41">
        <f t="shared" ref="D55:G55" si="25">D56+D57+D58</f>
        <v>0</v>
      </c>
      <c r="E55" s="41">
        <f t="shared" si="25"/>
        <v>84294</v>
      </c>
      <c r="F55" s="41">
        <f t="shared" si="25"/>
        <v>63919</v>
      </c>
      <c r="G55" s="41">
        <f t="shared" si="25"/>
        <v>0</v>
      </c>
      <c r="H55" s="41">
        <f t="shared" ref="H55:M55" si="26">H56+H57+H58</f>
        <v>0</v>
      </c>
      <c r="I55" s="64">
        <f t="shared" si="26"/>
        <v>27033.7</v>
      </c>
      <c r="J55" s="64">
        <f t="shared" si="26"/>
        <v>0</v>
      </c>
      <c r="K55" s="64">
        <f t="shared" si="26"/>
        <v>63744.34</v>
      </c>
      <c r="L55" s="64">
        <f t="shared" si="26"/>
        <v>53720.160000000003</v>
      </c>
      <c r="M55" s="64">
        <f t="shared" si="26"/>
        <v>0</v>
      </c>
      <c r="N55" s="35">
        <f t="shared" si="20"/>
        <v>144498.20000000001</v>
      </c>
      <c r="O55" s="43"/>
    </row>
    <row r="56" spans="1:15" ht="75.75" thickBot="1" x14ac:dyDescent="0.3">
      <c r="A56" s="37" t="s">
        <v>98</v>
      </c>
      <c r="B56" s="38" t="s">
        <v>99</v>
      </c>
      <c r="C56" s="32">
        <v>0</v>
      </c>
      <c r="D56" s="32">
        <v>0</v>
      </c>
      <c r="E56" s="32">
        <v>84294</v>
      </c>
      <c r="F56" s="32">
        <v>0</v>
      </c>
      <c r="G56" s="32">
        <v>0</v>
      </c>
      <c r="H56" s="33"/>
      <c r="I56" s="65"/>
      <c r="J56" s="65"/>
      <c r="K56" s="65">
        <v>63744.34</v>
      </c>
      <c r="L56" s="65"/>
      <c r="M56" s="65"/>
      <c r="N56" s="35">
        <f t="shared" si="20"/>
        <v>63744.34</v>
      </c>
      <c r="O56" s="40"/>
    </row>
    <row r="57" spans="1:15" ht="90.75" thickBot="1" x14ac:dyDescent="0.3">
      <c r="A57" s="37" t="s">
        <v>100</v>
      </c>
      <c r="B57" s="38" t="s">
        <v>101</v>
      </c>
      <c r="C57" s="32">
        <v>0</v>
      </c>
      <c r="D57" s="32">
        <v>0</v>
      </c>
      <c r="E57" s="32">
        <v>0</v>
      </c>
      <c r="F57" s="32">
        <v>63919</v>
      </c>
      <c r="G57" s="32">
        <v>0</v>
      </c>
      <c r="H57" s="33"/>
      <c r="I57" s="65"/>
      <c r="J57" s="65"/>
      <c r="K57" s="65"/>
      <c r="L57" s="65">
        <v>53720.160000000003</v>
      </c>
      <c r="M57" s="65"/>
      <c r="N57" s="35">
        <f t="shared" si="20"/>
        <v>53720.160000000003</v>
      </c>
      <c r="O57" s="40"/>
    </row>
    <row r="58" spans="1:15" ht="45.75" thickBot="1" x14ac:dyDescent="0.3">
      <c r="A58" s="37" t="s">
        <v>102</v>
      </c>
      <c r="B58" s="38" t="s">
        <v>103</v>
      </c>
      <c r="C58" s="32">
        <v>27030</v>
      </c>
      <c r="D58" s="32">
        <v>0</v>
      </c>
      <c r="E58" s="32">
        <v>0</v>
      </c>
      <c r="F58" s="32">
        <v>0</v>
      </c>
      <c r="G58" s="32">
        <v>0</v>
      </c>
      <c r="H58" s="33"/>
      <c r="I58" s="65">
        <f>33.7+27000</f>
        <v>27033.7</v>
      </c>
      <c r="J58" s="65">
        <v>0</v>
      </c>
      <c r="K58" s="65">
        <v>0</v>
      </c>
      <c r="L58" s="65">
        <v>0</v>
      </c>
      <c r="M58" s="65">
        <v>0</v>
      </c>
      <c r="N58" s="35">
        <f>SUM(I58:M58)</f>
        <v>27033.7</v>
      </c>
      <c r="O58" s="40"/>
    </row>
    <row r="59" spans="1:15" ht="16.5" customHeight="1" thickBot="1" x14ac:dyDescent="0.3">
      <c r="A59" s="92" t="s">
        <v>104</v>
      </c>
      <c r="B59" s="93"/>
      <c r="C59" s="46">
        <f>C46+C52+C55</f>
        <v>181020</v>
      </c>
      <c r="D59" s="46">
        <f t="shared" ref="D59:N59" si="27">D46+D52+D55</f>
        <v>0</v>
      </c>
      <c r="E59" s="46">
        <f t="shared" si="27"/>
        <v>84294</v>
      </c>
      <c r="F59" s="46">
        <f t="shared" si="27"/>
        <v>112444</v>
      </c>
      <c r="G59" s="73">
        <f t="shared" si="27"/>
        <v>0</v>
      </c>
      <c r="H59" s="46">
        <f t="shared" si="27"/>
        <v>0</v>
      </c>
      <c r="I59" s="66">
        <f t="shared" si="27"/>
        <v>120367.17</v>
      </c>
      <c r="J59" s="66">
        <f t="shared" si="27"/>
        <v>0</v>
      </c>
      <c r="K59" s="66">
        <f t="shared" si="27"/>
        <v>63744.34</v>
      </c>
      <c r="L59" s="66">
        <f t="shared" si="27"/>
        <v>65720.160000000003</v>
      </c>
      <c r="M59" s="66">
        <f t="shared" si="27"/>
        <v>0</v>
      </c>
      <c r="N59" s="46">
        <f t="shared" si="27"/>
        <v>249831.67</v>
      </c>
      <c r="O59" s="47"/>
    </row>
    <row r="60" spans="1:15" ht="29.85" customHeight="1" thickBot="1" x14ac:dyDescent="0.3">
      <c r="A60" s="94" t="s">
        <v>105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s="24" customFormat="1" ht="60.75" thickBot="1" x14ac:dyDescent="0.3">
      <c r="A61" s="30" t="s">
        <v>106</v>
      </c>
      <c r="B61" s="31" t="s">
        <v>107</v>
      </c>
      <c r="C61" s="41">
        <f>C62+C63+C64+C65</f>
        <v>75830</v>
      </c>
      <c r="D61" s="41">
        <f>D62+D63+D64+D65</f>
        <v>0</v>
      </c>
      <c r="E61" s="41">
        <f>E62+E63+E64+E65</f>
        <v>0</v>
      </c>
      <c r="F61" s="41">
        <f>F62+F63+F64+F65</f>
        <v>0</v>
      </c>
      <c r="G61" s="41">
        <f>G62+G63+G64+G65</f>
        <v>0</v>
      </c>
      <c r="H61" s="42"/>
      <c r="I61" s="64">
        <f>I62+I63+I64+I65</f>
        <v>55026.78</v>
      </c>
      <c r="J61" s="64">
        <f t="shared" ref="J61:M61" si="28">J62+J63+J64+J65</f>
        <v>0</v>
      </c>
      <c r="K61" s="64">
        <f t="shared" si="28"/>
        <v>0</v>
      </c>
      <c r="L61" s="64">
        <f t="shared" si="28"/>
        <v>0</v>
      </c>
      <c r="M61" s="64">
        <f t="shared" si="28"/>
        <v>0</v>
      </c>
      <c r="N61" s="35">
        <f t="shared" ref="N61:N69" si="29">SUM(I61:M61)</f>
        <v>55026.78</v>
      </c>
      <c r="O61" s="43"/>
    </row>
    <row r="62" spans="1:15" ht="120.75" thickBot="1" x14ac:dyDescent="0.3">
      <c r="A62" s="37" t="s">
        <v>108</v>
      </c>
      <c r="B62" s="38" t="s">
        <v>109</v>
      </c>
      <c r="C62" s="32">
        <v>15030</v>
      </c>
      <c r="D62" s="32">
        <v>0</v>
      </c>
      <c r="E62" s="32">
        <v>0</v>
      </c>
      <c r="F62" s="32">
        <v>0</v>
      </c>
      <c r="G62" s="32">
        <v>0</v>
      </c>
      <c r="H62" s="33"/>
      <c r="I62" s="65">
        <f>1706.61+320.17+13000</f>
        <v>15026.78</v>
      </c>
      <c r="J62" s="65"/>
      <c r="K62" s="65"/>
      <c r="L62" s="65"/>
      <c r="M62" s="65"/>
      <c r="N62" s="35">
        <f t="shared" si="29"/>
        <v>15026.78</v>
      </c>
      <c r="O62" s="40"/>
    </row>
    <row r="63" spans="1:15" ht="45.75" thickBot="1" x14ac:dyDescent="0.3">
      <c r="A63" s="37" t="s">
        <v>110</v>
      </c>
      <c r="B63" s="38" t="s">
        <v>111</v>
      </c>
      <c r="C63" s="32">
        <v>15800</v>
      </c>
      <c r="D63" s="32">
        <v>0</v>
      </c>
      <c r="E63" s="32">
        <v>0</v>
      </c>
      <c r="F63" s="32">
        <v>0</v>
      </c>
      <c r="G63" s="32">
        <v>0</v>
      </c>
      <c r="H63" s="33"/>
      <c r="I63" s="65">
        <v>15000</v>
      </c>
      <c r="J63" s="65"/>
      <c r="K63" s="65"/>
      <c r="L63" s="65"/>
      <c r="M63" s="65"/>
      <c r="N63" s="35">
        <f t="shared" si="29"/>
        <v>15000</v>
      </c>
      <c r="O63" s="40"/>
    </row>
    <row r="64" spans="1:15" ht="75.75" thickBot="1" x14ac:dyDescent="0.3">
      <c r="A64" s="37" t="s">
        <v>112</v>
      </c>
      <c r="B64" s="38" t="s">
        <v>113</v>
      </c>
      <c r="C64" s="32">
        <v>25000</v>
      </c>
      <c r="D64" s="32">
        <v>0</v>
      </c>
      <c r="E64" s="32">
        <v>0</v>
      </c>
      <c r="F64" s="32">
        <v>0</v>
      </c>
      <c r="G64" s="32">
        <v>0</v>
      </c>
      <c r="H64" s="33"/>
      <c r="I64" s="65">
        <v>25000</v>
      </c>
      <c r="J64" s="65">
        <v>0</v>
      </c>
      <c r="K64" s="65">
        <v>0</v>
      </c>
      <c r="L64" s="65">
        <v>0</v>
      </c>
      <c r="M64" s="65">
        <v>0</v>
      </c>
      <c r="N64" s="35">
        <f t="shared" si="29"/>
        <v>25000</v>
      </c>
      <c r="O64" s="40"/>
    </row>
    <row r="65" spans="1:15" ht="15.75" thickBot="1" x14ac:dyDescent="0.3">
      <c r="A65" s="37" t="s">
        <v>114</v>
      </c>
      <c r="B65" s="38" t="s">
        <v>115</v>
      </c>
      <c r="C65" s="32">
        <v>20000</v>
      </c>
      <c r="D65" s="32">
        <v>0</v>
      </c>
      <c r="E65" s="32">
        <v>0</v>
      </c>
      <c r="F65" s="32">
        <v>0</v>
      </c>
      <c r="G65" s="32">
        <v>0</v>
      </c>
      <c r="H65" s="33"/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35">
        <f t="shared" si="29"/>
        <v>0</v>
      </c>
      <c r="O65" s="40"/>
    </row>
    <row r="66" spans="1:15" s="71" customFormat="1" ht="81" customHeight="1" thickBot="1" x14ac:dyDescent="0.3">
      <c r="A66" s="82" t="s">
        <v>116</v>
      </c>
      <c r="B66" s="83" t="s">
        <v>117</v>
      </c>
      <c r="C66" s="75">
        <f>C67+C68+C69+C70</f>
        <v>0</v>
      </c>
      <c r="D66" s="75">
        <f>D67+D68+D69+D70</f>
        <v>0</v>
      </c>
      <c r="E66" s="75">
        <f>E67+E68+E69+E70</f>
        <v>0</v>
      </c>
      <c r="F66" s="75">
        <f>F67+F68+F69+F70</f>
        <v>0</v>
      </c>
      <c r="G66" s="75">
        <f>G67+G68+G69+G70</f>
        <v>209685</v>
      </c>
      <c r="H66" s="83"/>
      <c r="I66" s="64">
        <f>I67+I68+I69+I70</f>
        <v>0</v>
      </c>
      <c r="J66" s="64">
        <f t="shared" ref="J66:L66" si="30">J67+J68+J69+J70</f>
        <v>0</v>
      </c>
      <c r="K66" s="64">
        <f t="shared" si="30"/>
        <v>0</v>
      </c>
      <c r="L66" s="64">
        <f t="shared" si="30"/>
        <v>0</v>
      </c>
      <c r="M66" s="64">
        <f>M67+M68+M69+M70</f>
        <v>208362</v>
      </c>
      <c r="N66" s="75">
        <f t="shared" si="29"/>
        <v>208362</v>
      </c>
      <c r="O66" s="84"/>
    </row>
    <row r="67" spans="1:15" ht="120.75" thickBot="1" x14ac:dyDescent="0.3">
      <c r="A67" s="37" t="s">
        <v>118</v>
      </c>
      <c r="B67" s="38" t="s">
        <v>119</v>
      </c>
      <c r="C67" s="32">
        <v>0</v>
      </c>
      <c r="D67" s="32">
        <v>0</v>
      </c>
      <c r="E67" s="32">
        <v>0</v>
      </c>
      <c r="F67" s="32">
        <v>0</v>
      </c>
      <c r="G67" s="34">
        <v>28500</v>
      </c>
      <c r="H67" s="33"/>
      <c r="I67" s="65"/>
      <c r="J67" s="65"/>
      <c r="K67" s="65"/>
      <c r="L67" s="65"/>
      <c r="M67" s="65">
        <v>28500</v>
      </c>
      <c r="N67" s="35">
        <f t="shared" si="29"/>
        <v>28500</v>
      </c>
      <c r="O67" s="40"/>
    </row>
    <row r="68" spans="1:15" ht="90.75" thickBot="1" x14ac:dyDescent="0.3">
      <c r="A68" s="37" t="s">
        <v>120</v>
      </c>
      <c r="B68" s="38" t="s">
        <v>121</v>
      </c>
      <c r="C68" s="32">
        <v>0</v>
      </c>
      <c r="D68" s="32">
        <v>0</v>
      </c>
      <c r="E68" s="32">
        <v>0</v>
      </c>
      <c r="F68" s="32">
        <v>0</v>
      </c>
      <c r="G68" s="34">
        <v>54585</v>
      </c>
      <c r="H68" s="33"/>
      <c r="I68" s="65"/>
      <c r="J68" s="65"/>
      <c r="K68" s="65"/>
      <c r="L68" s="65"/>
      <c r="M68" s="65">
        <v>54000</v>
      </c>
      <c r="N68" s="35">
        <f t="shared" si="29"/>
        <v>54000</v>
      </c>
      <c r="O68" s="40"/>
    </row>
    <row r="69" spans="1:15" ht="75.75" thickBot="1" x14ac:dyDescent="0.3">
      <c r="A69" s="37" t="s">
        <v>122</v>
      </c>
      <c r="B69" s="38" t="s">
        <v>123</v>
      </c>
      <c r="C69" s="32">
        <v>0</v>
      </c>
      <c r="D69" s="32">
        <v>0</v>
      </c>
      <c r="E69" s="32">
        <v>0</v>
      </c>
      <c r="F69" s="32">
        <v>0</v>
      </c>
      <c r="G69" s="34">
        <v>76600</v>
      </c>
      <c r="H69" s="72">
        <f>G69-738</f>
        <v>75862</v>
      </c>
      <c r="I69" s="65"/>
      <c r="J69" s="65"/>
      <c r="K69" s="65"/>
      <c r="L69" s="65"/>
      <c r="M69" s="65">
        <v>75862</v>
      </c>
      <c r="N69" s="35">
        <f t="shared" si="29"/>
        <v>75862</v>
      </c>
      <c r="O69" s="40"/>
    </row>
    <row r="70" spans="1:15" ht="60.75" thickBot="1" x14ac:dyDescent="0.3">
      <c r="A70" s="37" t="s">
        <v>124</v>
      </c>
      <c r="B70" s="38" t="s">
        <v>125</v>
      </c>
      <c r="C70" s="32">
        <v>0</v>
      </c>
      <c r="D70" s="32">
        <v>0</v>
      </c>
      <c r="E70" s="32">
        <v>0</v>
      </c>
      <c r="F70" s="32">
        <v>0</v>
      </c>
      <c r="G70" s="34">
        <v>50000</v>
      </c>
      <c r="H70" s="33"/>
      <c r="I70" s="65"/>
      <c r="J70" s="65"/>
      <c r="K70" s="65"/>
      <c r="L70" s="65"/>
      <c r="M70" s="65">
        <v>50000</v>
      </c>
      <c r="N70" s="35">
        <f>SUM(I70:M70)</f>
        <v>50000</v>
      </c>
      <c r="O70" s="40"/>
    </row>
    <row r="71" spans="1:15" ht="16.5" customHeight="1" thickBot="1" x14ac:dyDescent="0.3">
      <c r="A71" s="92" t="s">
        <v>126</v>
      </c>
      <c r="B71" s="93"/>
      <c r="C71" s="46">
        <f>C61+C66</f>
        <v>75830</v>
      </c>
      <c r="D71" s="46">
        <f t="shared" ref="D71:M71" si="31">D61+D66</f>
        <v>0</v>
      </c>
      <c r="E71" s="46">
        <f t="shared" si="31"/>
        <v>0</v>
      </c>
      <c r="F71" s="46">
        <f t="shared" si="31"/>
        <v>0</v>
      </c>
      <c r="G71" s="76">
        <f t="shared" si="31"/>
        <v>209685</v>
      </c>
      <c r="H71" s="46">
        <f t="shared" si="31"/>
        <v>0</v>
      </c>
      <c r="I71" s="66">
        <f t="shared" si="31"/>
        <v>55026.78</v>
      </c>
      <c r="J71" s="66">
        <f t="shared" si="31"/>
        <v>0</v>
      </c>
      <c r="K71" s="66">
        <f t="shared" si="31"/>
        <v>0</v>
      </c>
      <c r="L71" s="66">
        <f t="shared" si="31"/>
        <v>0</v>
      </c>
      <c r="M71" s="66">
        <f t="shared" si="31"/>
        <v>208362</v>
      </c>
      <c r="N71" s="46">
        <f>N61+N66</f>
        <v>263388.78000000003</v>
      </c>
      <c r="O71" s="47"/>
    </row>
    <row r="72" spans="1:15" ht="115.15" customHeight="1" thickBot="1" x14ac:dyDescent="0.3">
      <c r="A72" s="25" t="s">
        <v>127</v>
      </c>
      <c r="B72" s="25"/>
      <c r="C72" s="52">
        <v>258768</v>
      </c>
      <c r="D72" s="53">
        <v>163052</v>
      </c>
      <c r="E72" s="53">
        <v>66600</v>
      </c>
      <c r="F72" s="53">
        <v>45974</v>
      </c>
      <c r="G72" s="77">
        <v>57605</v>
      </c>
      <c r="H72" s="56"/>
      <c r="I72" s="67">
        <f>89207.67+99219.06+59821.79</f>
        <v>248248.52</v>
      </c>
      <c r="J72" s="67">
        <v>161035.57999999999</v>
      </c>
      <c r="K72" s="67">
        <v>59188.36</v>
      </c>
      <c r="L72" s="67">
        <v>45974</v>
      </c>
      <c r="M72" s="67">
        <v>57605</v>
      </c>
      <c r="N72" s="60">
        <f t="shared" ref="N72:N74" si="32">SUM(I72:M72)</f>
        <v>572051.46</v>
      </c>
      <c r="O72" s="59"/>
    </row>
    <row r="73" spans="1:15" ht="50.25" customHeight="1" thickBot="1" x14ac:dyDescent="0.3">
      <c r="A73" s="25" t="s">
        <v>128</v>
      </c>
      <c r="B73" s="47"/>
      <c r="C73" s="52">
        <f>15174+39513</f>
        <v>54687</v>
      </c>
      <c r="D73" s="53">
        <v>32210</v>
      </c>
      <c r="E73" s="53">
        <v>11374</v>
      </c>
      <c r="F73" s="53">
        <v>24980</v>
      </c>
      <c r="G73" s="77">
        <v>13084</v>
      </c>
      <c r="H73" s="50"/>
      <c r="I73" s="67">
        <f>36832.9+18636.27+12214.87</f>
        <v>67684.039999999994</v>
      </c>
      <c r="J73" s="67">
        <v>31426.41</v>
      </c>
      <c r="K73" s="67">
        <v>11664.63</v>
      </c>
      <c r="L73" s="67">
        <v>24980</v>
      </c>
      <c r="M73" s="67">
        <f>13000-1400</f>
        <v>11600</v>
      </c>
      <c r="N73" s="51">
        <f t="shared" si="32"/>
        <v>147355.08000000002</v>
      </c>
      <c r="O73" s="54"/>
    </row>
    <row r="74" spans="1:15" ht="36" customHeight="1" thickBot="1" x14ac:dyDescent="0.3">
      <c r="A74" s="37" t="s">
        <v>129</v>
      </c>
      <c r="B74" s="38"/>
      <c r="C74" s="32"/>
      <c r="D74" s="55"/>
      <c r="E74" s="55"/>
      <c r="F74" s="55"/>
      <c r="G74" s="78"/>
      <c r="H74" s="33"/>
      <c r="I74" s="65"/>
      <c r="J74" s="65"/>
      <c r="K74" s="65"/>
      <c r="L74" s="65"/>
      <c r="M74" s="65"/>
      <c r="N74" s="51">
        <f t="shared" si="32"/>
        <v>0</v>
      </c>
      <c r="O74" s="40"/>
    </row>
    <row r="75" spans="1:15" s="24" customFormat="1" ht="33.6" customHeight="1" thickBot="1" x14ac:dyDescent="0.3">
      <c r="A75" s="47" t="s">
        <v>130</v>
      </c>
      <c r="B75" s="47"/>
      <c r="C75" s="49">
        <f>C9+C12+C20+C26+C31+C35+C39+C46+C52+C55+C61+C66+C72+C73</f>
        <v>1401870</v>
      </c>
      <c r="D75" s="49">
        <f t="shared" ref="D75:N75" si="33">D9+D12+D20+D26+D31+D35+D39+D46+D52+D55+D61+D66+D72+D73</f>
        <v>560747</v>
      </c>
      <c r="E75" s="49">
        <f t="shared" si="33"/>
        <v>280374</v>
      </c>
      <c r="F75" s="49">
        <f t="shared" si="33"/>
        <v>279612</v>
      </c>
      <c r="G75" s="79">
        <f>G9+G12+G20+G26+G31+G35+G39+G46+G52+G55+G61+G66+G72+G73</f>
        <v>280374</v>
      </c>
      <c r="H75" s="49">
        <f t="shared" si="33"/>
        <v>0</v>
      </c>
      <c r="I75" s="69">
        <f t="shared" si="33"/>
        <v>1415803.94</v>
      </c>
      <c r="J75" s="69">
        <f t="shared" si="33"/>
        <v>536176.43000000005</v>
      </c>
      <c r="K75" s="69">
        <f t="shared" si="33"/>
        <v>268500.93</v>
      </c>
      <c r="L75" s="69">
        <f t="shared" si="33"/>
        <v>280427.16000000003</v>
      </c>
      <c r="M75" s="69">
        <f t="shared" si="33"/>
        <v>277567</v>
      </c>
      <c r="N75" s="49">
        <f t="shared" si="33"/>
        <v>2778475.46</v>
      </c>
      <c r="O75" s="47"/>
    </row>
    <row r="76" spans="1:15" ht="32.25" customHeight="1" thickBot="1" x14ac:dyDescent="0.3">
      <c r="A76" s="25" t="s">
        <v>131</v>
      </c>
      <c r="B76" s="25"/>
      <c r="C76" s="53">
        <v>98130</v>
      </c>
      <c r="D76" s="53">
        <f t="shared" ref="D76:G76" si="34">D75*0.07</f>
        <v>39252.29</v>
      </c>
      <c r="E76" s="53">
        <f t="shared" si="34"/>
        <v>19626.18</v>
      </c>
      <c r="F76" s="53">
        <f t="shared" si="34"/>
        <v>19572.84</v>
      </c>
      <c r="G76" s="77">
        <f t="shared" si="34"/>
        <v>19626.18</v>
      </c>
      <c r="H76" s="56"/>
      <c r="I76" s="67">
        <f>20538.17+32213.63</f>
        <v>52751.8</v>
      </c>
      <c r="J76" s="67">
        <v>33519.949999999997</v>
      </c>
      <c r="K76" s="67">
        <v>18795.07</v>
      </c>
      <c r="L76" s="67">
        <v>19572.84</v>
      </c>
      <c r="M76" s="67">
        <v>19626.18</v>
      </c>
      <c r="N76" s="51">
        <f>SUM(I76:M76)</f>
        <v>144265.84</v>
      </c>
      <c r="O76" s="25"/>
    </row>
    <row r="77" spans="1:15" s="24" customFormat="1" ht="36" customHeight="1" thickBot="1" x14ac:dyDescent="0.3">
      <c r="A77" s="47" t="s">
        <v>132</v>
      </c>
      <c r="B77" s="47"/>
      <c r="C77" s="49">
        <f>C75+C76</f>
        <v>1500000</v>
      </c>
      <c r="D77" s="49">
        <v>600000</v>
      </c>
      <c r="E77" s="49">
        <v>300000</v>
      </c>
      <c r="F77" s="49">
        <v>300000</v>
      </c>
      <c r="G77" s="80">
        <f>+G75+G76</f>
        <v>300000.18</v>
      </c>
      <c r="H77" s="50"/>
      <c r="I77" s="68">
        <f>I75+I76</f>
        <v>1468555.74</v>
      </c>
      <c r="J77" s="68">
        <f t="shared" ref="J77:M77" si="35">J75+J76</f>
        <v>569696.38</v>
      </c>
      <c r="K77" s="68">
        <f t="shared" si="35"/>
        <v>287296</v>
      </c>
      <c r="L77" s="68">
        <f t="shared" si="35"/>
        <v>300000.00000000006</v>
      </c>
      <c r="M77" s="68">
        <f t="shared" si="35"/>
        <v>297193.18</v>
      </c>
      <c r="N77" s="48">
        <f>SUM(N75:N76)</f>
        <v>2922741.3</v>
      </c>
      <c r="O77" s="47"/>
    </row>
    <row r="78" spans="1:15" ht="29.45" customHeight="1" thickBot="1" x14ac:dyDescent="0.3">
      <c r="C78" s="57"/>
      <c r="D78" s="57"/>
      <c r="E78" s="57"/>
      <c r="F78" s="57"/>
      <c r="G78" s="81"/>
      <c r="I78" s="70">
        <f>I77/C77</f>
        <v>0.97903715999999996</v>
      </c>
      <c r="J78" s="70">
        <f>J77/D77</f>
        <v>0.94949396666666663</v>
      </c>
      <c r="K78" s="70">
        <f>K77/E77</f>
        <v>0.95765333333333336</v>
      </c>
      <c r="L78" s="70">
        <f>L77/F77</f>
        <v>1.0000000000000002</v>
      </c>
      <c r="M78" s="87">
        <f>M77/G77</f>
        <v>0.99064333894732992</v>
      </c>
      <c r="N78" s="58">
        <f>N77/3000000</f>
        <v>0.97424709999999992</v>
      </c>
    </row>
    <row r="79" spans="1:15" x14ac:dyDescent="0.25">
      <c r="G79" s="74"/>
      <c r="M79" s="20"/>
    </row>
    <row r="83" ht="25.5" customHeight="1" x14ac:dyDescent="0.25"/>
  </sheetData>
  <mergeCells count="8">
    <mergeCell ref="A71:B71"/>
    <mergeCell ref="A60:O60"/>
    <mergeCell ref="A8:O8"/>
    <mergeCell ref="A25:O25"/>
    <mergeCell ref="A45:H45"/>
    <mergeCell ref="A24:B24"/>
    <mergeCell ref="A44:B44"/>
    <mergeCell ref="A59:B59"/>
  </mergeCells>
  <pageMargins left="0.25" right="0.25" top="0.75" bottom="0.75" header="0.3" footer="0.3"/>
  <pageSetup paperSize="9" scale="50" firstPageNumber="0" fitToHeight="0" orientation="landscape" r:id="rId1"/>
  <rowBreaks count="2" manualBreakCount="2">
    <brk id="44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tabSelected="1" view="pageBreakPreview" zoomScale="70" zoomScaleNormal="100" zoomScaleSheetLayoutView="70" zoomScalePageLayoutView="80" workbookViewId="0">
      <pane ySplit="5" topLeftCell="A6" activePane="bottomLeft" state="frozen"/>
      <selection pane="bottomLeft" activeCell="A2" sqref="A2"/>
    </sheetView>
  </sheetViews>
  <sheetFormatPr defaultColWidth="8.85546875" defaultRowHeight="15" x14ac:dyDescent="0.25"/>
  <cols>
    <col min="1" max="1" width="23.28515625" customWidth="1"/>
    <col min="2" max="2" width="18.5703125" customWidth="1"/>
    <col min="3" max="3" width="19.7109375" customWidth="1"/>
    <col min="4" max="4" width="19.5703125" customWidth="1"/>
    <col min="5" max="5" width="17.85546875" style="9" customWidth="1"/>
    <col min="6" max="6" width="20.28515625" style="11" customWidth="1"/>
    <col min="7" max="7" width="18.5703125" customWidth="1"/>
    <col min="8" max="8" width="8.5703125"/>
    <col min="9" max="9" width="9.28515625" bestFit="1" customWidth="1"/>
    <col min="10" max="15" width="8.5703125"/>
    <col min="16" max="16" width="21.42578125" customWidth="1"/>
    <col min="17" max="1022" width="8.5703125"/>
  </cols>
  <sheetData>
    <row r="1" spans="1:16" ht="15.75" x14ac:dyDescent="0.25">
      <c r="A1" s="1" t="s">
        <v>133</v>
      </c>
      <c r="B1" s="1"/>
      <c r="C1" s="1"/>
      <c r="D1" s="1"/>
    </row>
    <row r="2" spans="1:16" ht="24.95" customHeight="1" x14ac:dyDescent="0.25">
      <c r="A2" s="91" t="s">
        <v>163</v>
      </c>
      <c r="B2" s="2"/>
      <c r="C2" s="2"/>
      <c r="D2" s="2"/>
    </row>
    <row r="3" spans="1:16" x14ac:dyDescent="0.25">
      <c r="A3" s="2" t="s">
        <v>134</v>
      </c>
      <c r="B3" s="2"/>
      <c r="C3" s="2"/>
      <c r="D3" s="2"/>
    </row>
    <row r="4" spans="1:16" ht="15.75" thickBot="1" x14ac:dyDescent="0.3"/>
    <row r="5" spans="1:16" ht="15.75" thickBot="1" x14ac:dyDescent="0.3">
      <c r="A5" s="3" t="s">
        <v>135</v>
      </c>
      <c r="B5" s="3" t="s">
        <v>147</v>
      </c>
      <c r="C5" s="3" t="s">
        <v>148</v>
      </c>
      <c r="D5" s="3" t="s">
        <v>149</v>
      </c>
      <c r="E5" s="3" t="s">
        <v>150</v>
      </c>
      <c r="F5" s="3" t="s">
        <v>151</v>
      </c>
      <c r="G5" s="3" t="s">
        <v>136</v>
      </c>
    </row>
    <row r="6" spans="1:16" ht="39" customHeight="1" thickBot="1" x14ac:dyDescent="0.3">
      <c r="A6" s="4" t="s">
        <v>137</v>
      </c>
      <c r="B6" s="7">
        <f>88859.01+86366+30041+17497</f>
        <v>222763.01</v>
      </c>
      <c r="C6" s="8">
        <v>161035.57999999999</v>
      </c>
      <c r="D6" s="13">
        <v>59188.36</v>
      </c>
      <c r="E6" s="10">
        <v>45974</v>
      </c>
      <c r="F6" s="86">
        <v>57605</v>
      </c>
      <c r="G6" s="7">
        <f>SUM(B6:F6)</f>
        <v>546565.94999999995</v>
      </c>
    </row>
    <row r="7" spans="1:16" ht="64.150000000000006" customHeight="1" thickBot="1" x14ac:dyDescent="0.3">
      <c r="A7" s="5" t="s">
        <v>138</v>
      </c>
      <c r="B7" s="7">
        <f>10082.8+1696</f>
        <v>11778.8</v>
      </c>
      <c r="C7" s="8">
        <v>10266.59</v>
      </c>
      <c r="D7" s="14">
        <v>2233.5300000000002</v>
      </c>
      <c r="E7" s="10">
        <v>7468</v>
      </c>
      <c r="F7" s="86">
        <v>13084</v>
      </c>
      <c r="G7" s="7">
        <f t="shared" ref="G7:G15" si="0">SUM(B7:F7)</f>
        <v>44830.92</v>
      </c>
    </row>
    <row r="8" spans="1:16" ht="115.15" customHeight="1" thickBot="1" x14ac:dyDescent="0.3">
      <c r="A8" s="5" t="s">
        <v>139</v>
      </c>
      <c r="B8" s="7">
        <f>67493.65+3882+44366+148600</f>
        <v>264341.65000000002</v>
      </c>
      <c r="C8" s="8">
        <v>182098.89</v>
      </c>
      <c r="D8" s="15"/>
      <c r="E8" s="10">
        <v>0</v>
      </c>
      <c r="F8" s="86">
        <f>2100+25000</f>
        <v>27100</v>
      </c>
      <c r="G8" s="7">
        <f t="shared" si="0"/>
        <v>473540.54000000004</v>
      </c>
    </row>
    <row r="9" spans="1:16" ht="51.75" customHeight="1" thickBot="1" x14ac:dyDescent="0.3">
      <c r="A9" s="5" t="s">
        <v>140</v>
      </c>
      <c r="B9" s="7">
        <f>109251.28+335615+345775+59414</f>
        <v>850055.28</v>
      </c>
      <c r="C9" s="8">
        <v>71176.25</v>
      </c>
      <c r="D9" s="15">
        <v>63252.98</v>
      </c>
      <c r="E9" s="10">
        <v>93386</v>
      </c>
      <c r="F9" s="86">
        <v>22800</v>
      </c>
      <c r="G9" s="7">
        <f t="shared" si="0"/>
        <v>1100670.51</v>
      </c>
    </row>
    <row r="10" spans="1:16" ht="15.75" thickBot="1" x14ac:dyDescent="0.3">
      <c r="A10" s="5" t="s">
        <v>141</v>
      </c>
      <c r="B10" s="7">
        <v>8818.5499999999993</v>
      </c>
      <c r="C10" s="8">
        <v>80172.710000000006</v>
      </c>
      <c r="D10" s="15">
        <v>11234.22</v>
      </c>
      <c r="E10" s="10">
        <v>110188</v>
      </c>
      <c r="F10" s="86">
        <v>43485</v>
      </c>
      <c r="G10" s="7">
        <f t="shared" si="0"/>
        <v>253898.48</v>
      </c>
    </row>
    <row r="11" spans="1:16" ht="77.25" customHeight="1" thickBot="1" x14ac:dyDescent="0.3">
      <c r="A11" s="5" t="s">
        <v>142</v>
      </c>
      <c r="B11" s="7">
        <v>0</v>
      </c>
      <c r="C11" s="8">
        <v>0</v>
      </c>
      <c r="D11" s="15">
        <v>120927.21</v>
      </c>
      <c r="E11" s="10"/>
      <c r="F11" s="86">
        <f>62600-1000-533</f>
        <v>61067</v>
      </c>
      <c r="G11" s="7">
        <f t="shared" si="0"/>
        <v>181994.21000000002</v>
      </c>
      <c r="P11" s="12"/>
    </row>
    <row r="12" spans="1:16" ht="64.5" customHeight="1" thickBot="1" x14ac:dyDescent="0.3">
      <c r="A12" s="5" t="s">
        <v>143</v>
      </c>
      <c r="B12" s="7">
        <f>702.83+12737+577+3353</f>
        <v>17369.830000000002</v>
      </c>
      <c r="C12" s="8">
        <v>31426.41</v>
      </c>
      <c r="D12" s="15">
        <v>11664.63</v>
      </c>
      <c r="E12" s="10">
        <v>24984</v>
      </c>
      <c r="F12" s="86">
        <f>41466+10960</f>
        <v>52426</v>
      </c>
      <c r="G12" s="7">
        <f t="shared" si="0"/>
        <v>137870.87</v>
      </c>
    </row>
    <row r="13" spans="1:16" ht="39" customHeight="1" thickBot="1" x14ac:dyDescent="0.3">
      <c r="A13" s="6" t="s">
        <v>144</v>
      </c>
      <c r="B13" s="61">
        <f>SUM(B6:B12)</f>
        <v>1375127.12</v>
      </c>
      <c r="C13" s="61">
        <f t="shared" ref="C13:G13" si="1">SUM(C6:C12)</f>
        <v>536176.43000000005</v>
      </c>
      <c r="D13" s="61">
        <f t="shared" si="1"/>
        <v>268500.93</v>
      </c>
      <c r="E13" s="61">
        <f t="shared" si="1"/>
        <v>282000</v>
      </c>
      <c r="F13" s="61">
        <f t="shared" si="1"/>
        <v>277567</v>
      </c>
      <c r="G13" s="61">
        <f t="shared" si="1"/>
        <v>2739371.48</v>
      </c>
    </row>
    <row r="14" spans="1:16" ht="18.600000000000001" customHeight="1" thickBot="1" x14ac:dyDescent="0.3">
      <c r="A14" s="5" t="s">
        <v>145</v>
      </c>
      <c r="B14" s="7">
        <f>35438.61+31812+6782+19400</f>
        <v>93432.61</v>
      </c>
      <c r="C14" s="8">
        <v>33519.949999999997</v>
      </c>
      <c r="D14" s="15">
        <v>18795.07</v>
      </c>
      <c r="E14" s="10">
        <v>18000</v>
      </c>
      <c r="F14" s="86">
        <v>19626.18</v>
      </c>
      <c r="G14" s="7">
        <f t="shared" si="0"/>
        <v>183373.81</v>
      </c>
    </row>
    <row r="15" spans="1:16" ht="20.45" customHeight="1" thickBot="1" x14ac:dyDescent="0.3">
      <c r="A15" s="6" t="s">
        <v>146</v>
      </c>
      <c r="B15" s="61">
        <f>B13+B14</f>
        <v>1468559.7300000002</v>
      </c>
      <c r="C15" s="62">
        <f>C13+C14</f>
        <v>569696.38</v>
      </c>
      <c r="D15" s="88">
        <f>D13+D14</f>
        <v>287296</v>
      </c>
      <c r="E15" s="63">
        <f>+E13+E14</f>
        <v>300000</v>
      </c>
      <c r="F15" s="85">
        <f>+F13+F14</f>
        <v>297193.18</v>
      </c>
      <c r="G15" s="61">
        <f t="shared" si="0"/>
        <v>2922745.2900000005</v>
      </c>
      <c r="I15" s="12">
        <f>+F15-297193.18</f>
        <v>0</v>
      </c>
    </row>
  </sheetData>
  <pageMargins left="0.7" right="0.7" top="0.75" bottom="0.75" header="0.51180555555555496" footer="0.51180555555555496"/>
  <pageSetup paperSize="9" scale="63" firstPageNumber="0" orientation="portrait" horizontalDpi="4294967293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Francois Butedi </cp:lastModifiedBy>
  <cp:revision>0</cp:revision>
  <cp:lastPrinted>2018-06-07T07:53:28Z</cp:lastPrinted>
  <dcterms:created xsi:type="dcterms:W3CDTF">2017-11-15T21:17:43Z</dcterms:created>
  <dcterms:modified xsi:type="dcterms:W3CDTF">2019-09-13T14:21:02Z</dcterms:modified>
  <dc:language>en-GB</dc:language>
</cp:coreProperties>
</file>